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5DC1E97-B2B5-48C1-9CE6-F7BD165BE06B}" xr6:coauthVersionLast="47" xr6:coauthVersionMax="47" xr10:uidLastSave="{00000000-0000-0000-0000-000000000000}"/>
  <bookViews>
    <workbookView xWindow="-27825" yWindow="360" windowWidth="27600" windowHeight="20535" activeTab="1" xr2:uid="{45C6FE0B-6151-49F1-9E4F-580AA412CB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3" i="2" l="1"/>
  <c r="T73" i="2"/>
  <c r="S73" i="2"/>
  <c r="R73" i="2"/>
  <c r="R70" i="2"/>
  <c r="R69" i="2"/>
  <c r="R68" i="2"/>
  <c r="R67" i="2"/>
  <c r="R65" i="2"/>
  <c r="R64" i="2"/>
  <c r="R63" i="2"/>
  <c r="R62" i="2"/>
  <c r="R59" i="2"/>
  <c r="R58" i="2"/>
  <c r="R57" i="2"/>
  <c r="R56" i="2"/>
  <c r="R55" i="2"/>
  <c r="R54" i="2"/>
  <c r="R53" i="2"/>
  <c r="Q46" i="2"/>
  <c r="Q34" i="2"/>
  <c r="Q40" i="2" s="1"/>
  <c r="Q38" i="2"/>
  <c r="Q32" i="2"/>
  <c r="Q50" i="2"/>
  <c r="Q70" i="2"/>
  <c r="Q69" i="2"/>
  <c r="Q68" i="2"/>
  <c r="Q67" i="2"/>
  <c r="Q65" i="2"/>
  <c r="Q64" i="2"/>
  <c r="Q62" i="2"/>
  <c r="Q63" i="2"/>
  <c r="Q58" i="2"/>
  <c r="Q59" i="2"/>
  <c r="Q57" i="2"/>
  <c r="Q56" i="2"/>
  <c r="Q55" i="2"/>
  <c r="Q54" i="2"/>
  <c r="Q53" i="2"/>
  <c r="P71" i="2"/>
  <c r="P70" i="2"/>
  <c r="P69" i="2"/>
  <c r="P68" i="2"/>
  <c r="P67" i="2"/>
  <c r="P65" i="2"/>
  <c r="P64" i="2"/>
  <c r="P63" i="2"/>
  <c r="P62" i="2"/>
  <c r="P59" i="2"/>
  <c r="P58" i="2"/>
  <c r="P57" i="2"/>
  <c r="P56" i="2"/>
  <c r="P55" i="2"/>
  <c r="P54" i="2"/>
  <c r="P53" i="2"/>
  <c r="P46" i="2"/>
  <c r="P34" i="2"/>
  <c r="P38" i="2"/>
  <c r="P32" i="2"/>
  <c r="P50" i="2"/>
  <c r="P40" i="2"/>
  <c r="O71" i="2"/>
  <c r="O69" i="2"/>
  <c r="O65" i="2"/>
  <c r="O63" i="2"/>
  <c r="R60" i="2"/>
  <c r="R71" i="2" s="1"/>
  <c r="O60" i="2"/>
  <c r="O59" i="2"/>
  <c r="O58" i="2"/>
  <c r="O56" i="2"/>
  <c r="R52" i="2"/>
  <c r="Q52" i="2"/>
  <c r="P52" i="2"/>
  <c r="O52" i="2"/>
  <c r="O50" i="2"/>
  <c r="O46" i="2"/>
  <c r="O34" i="2"/>
  <c r="O40" i="2" s="1"/>
  <c r="O38" i="2"/>
  <c r="O32" i="2"/>
  <c r="AC59" i="2"/>
  <c r="AB59" i="2"/>
  <c r="AC60" i="2"/>
  <c r="AB60" i="2"/>
  <c r="AA60" i="2"/>
  <c r="AA59" i="2"/>
  <c r="AC58" i="2"/>
  <c r="AB58" i="2"/>
  <c r="AA58" i="2"/>
  <c r="AC56" i="2"/>
  <c r="AB56" i="2"/>
  <c r="AA56" i="2"/>
  <c r="AD52" i="2"/>
  <c r="AC52" i="2"/>
  <c r="AB52" i="2"/>
  <c r="AA52" i="2"/>
  <c r="AD30" i="2"/>
  <c r="AC30" i="2"/>
  <c r="AB30" i="2"/>
  <c r="AA30" i="2"/>
  <c r="AD29" i="2"/>
  <c r="AC29" i="2"/>
  <c r="AB29" i="2"/>
  <c r="AD24" i="2"/>
  <c r="AC24" i="2"/>
  <c r="AB24" i="2"/>
  <c r="AA24" i="2"/>
  <c r="AD27" i="2"/>
  <c r="AD13" i="2"/>
  <c r="AD12" i="2"/>
  <c r="AC27" i="2"/>
  <c r="AB27" i="2"/>
  <c r="AA27" i="2"/>
  <c r="AD25" i="2"/>
  <c r="AD26" i="2" s="1"/>
  <c r="AC25" i="2"/>
  <c r="AC26" i="2" s="1"/>
  <c r="AB25" i="2"/>
  <c r="AB26" i="2" s="1"/>
  <c r="AA25" i="2"/>
  <c r="AA26" i="2" s="1"/>
  <c r="AD23" i="2"/>
  <c r="AC23" i="2"/>
  <c r="AB23" i="2"/>
  <c r="AA23" i="2"/>
  <c r="AD22" i="2"/>
  <c r="AC22" i="2"/>
  <c r="AB22" i="2"/>
  <c r="AA22" i="2"/>
  <c r="AD20" i="2"/>
  <c r="AD21" i="2" s="1"/>
  <c r="AC20" i="2"/>
  <c r="AC21" i="2" s="1"/>
  <c r="AB20" i="2"/>
  <c r="AB21" i="2" s="1"/>
  <c r="AA20" i="2"/>
  <c r="AA21" i="2" s="1"/>
  <c r="AD19" i="2"/>
  <c r="AC19" i="2"/>
  <c r="AB19" i="2"/>
  <c r="AA19" i="2"/>
  <c r="AD18" i="2"/>
  <c r="AC18" i="2"/>
  <c r="AB18" i="2"/>
  <c r="AA18" i="2"/>
  <c r="AD17" i="2"/>
  <c r="AC17" i="2"/>
  <c r="AB17" i="2"/>
  <c r="AA17" i="2"/>
  <c r="AD16" i="2"/>
  <c r="AC16" i="2"/>
  <c r="AB16" i="2"/>
  <c r="AA16" i="2"/>
  <c r="AD15" i="2"/>
  <c r="AC15" i="2"/>
  <c r="AB15" i="2"/>
  <c r="AA15" i="2"/>
  <c r="V22" i="2"/>
  <c r="V27" i="2"/>
  <c r="V23" i="2"/>
  <c r="V25" i="2" s="1"/>
  <c r="V26" i="2" s="1"/>
  <c r="V18" i="2"/>
  <c r="V17" i="2"/>
  <c r="V19" i="2"/>
  <c r="V20" i="2"/>
  <c r="V21" i="2" s="1"/>
  <c r="V15" i="2"/>
  <c r="V16" i="2"/>
  <c r="V12" i="2"/>
  <c r="AA13" i="2"/>
  <c r="AA12" i="2"/>
  <c r="AB13" i="2"/>
  <c r="AB12" i="2"/>
  <c r="AC12" i="2"/>
  <c r="AC13" i="2"/>
  <c r="AC14" i="2"/>
  <c r="AD14" i="2"/>
  <c r="AB14" i="2"/>
  <c r="T70" i="2"/>
  <c r="U70" i="2" s="1"/>
  <c r="T67" i="2"/>
  <c r="U67" i="2" s="1"/>
  <c r="T64" i="2"/>
  <c r="U64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S68" i="2"/>
  <c r="S69" i="2" s="1"/>
  <c r="S62" i="2"/>
  <c r="T62" i="2" s="1"/>
  <c r="U62" i="2" s="1"/>
  <c r="S63" i="2"/>
  <c r="T63" i="2" s="1"/>
  <c r="U63" i="2" s="1"/>
  <c r="S59" i="2"/>
  <c r="S60" i="2" s="1"/>
  <c r="S46" i="2"/>
  <c r="S50" i="2"/>
  <c r="S38" i="2"/>
  <c r="S34" i="2"/>
  <c r="S32" i="2"/>
  <c r="T46" i="2"/>
  <c r="T38" i="2"/>
  <c r="T34" i="2"/>
  <c r="T32" i="2"/>
  <c r="T50" i="2"/>
  <c r="T40" i="2"/>
  <c r="V2" i="2"/>
  <c r="U45" i="2"/>
  <c r="U46" i="2"/>
  <c r="U34" i="2"/>
  <c r="U38" i="2"/>
  <c r="U32" i="2"/>
  <c r="U22" i="2"/>
  <c r="U20" i="2"/>
  <c r="U14" i="2"/>
  <c r="U16" i="2" s="1"/>
  <c r="V30" i="2"/>
  <c r="T20" i="2"/>
  <c r="T15" i="2"/>
  <c r="T14" i="2"/>
  <c r="K5" i="1"/>
  <c r="K3" i="1"/>
  <c r="P22" i="2"/>
  <c r="P20" i="2"/>
  <c r="P14" i="2"/>
  <c r="P16" i="2" s="1"/>
  <c r="M22" i="2"/>
  <c r="M14" i="2"/>
  <c r="M16" i="2" s="1"/>
  <c r="M30" i="2" s="1"/>
  <c r="Q22" i="2"/>
  <c r="Q20" i="2"/>
  <c r="Q14" i="2"/>
  <c r="Q29" i="2" s="1"/>
  <c r="N22" i="2"/>
  <c r="N14" i="2"/>
  <c r="N16" i="2" s="1"/>
  <c r="R15" i="2"/>
  <c r="R20" i="2"/>
  <c r="R14" i="2"/>
  <c r="O22" i="2"/>
  <c r="O14" i="2"/>
  <c r="O16" i="2" s="1"/>
  <c r="S22" i="2"/>
  <c r="S14" i="2"/>
  <c r="S16" i="2" s="1"/>
  <c r="S30" i="2" s="1"/>
  <c r="S20" i="2"/>
  <c r="O20" i="2"/>
  <c r="K4" i="1"/>
  <c r="E22" i="2"/>
  <c r="E20" i="2"/>
  <c r="E14" i="2"/>
  <c r="E16" i="2" s="1"/>
  <c r="I22" i="2"/>
  <c r="I20" i="2"/>
  <c r="I14" i="2"/>
  <c r="I16" i="2" s="1"/>
  <c r="I30" i="2" s="1"/>
  <c r="H22" i="2"/>
  <c r="F22" i="2"/>
  <c r="F20" i="2"/>
  <c r="F14" i="2"/>
  <c r="F16" i="2" s="1"/>
  <c r="F30" i="2" s="1"/>
  <c r="J22" i="2"/>
  <c r="J20" i="2"/>
  <c r="J14" i="2"/>
  <c r="J16" i="2" s="1"/>
  <c r="J30" i="2" s="1"/>
  <c r="K46" i="2"/>
  <c r="K45" i="2"/>
  <c r="K38" i="2"/>
  <c r="K34" i="2"/>
  <c r="K32" i="2"/>
  <c r="G22" i="2"/>
  <c r="G20" i="2"/>
  <c r="G14" i="2"/>
  <c r="G16" i="2" s="1"/>
  <c r="G30" i="2" s="1"/>
  <c r="K22" i="2"/>
  <c r="K20" i="2"/>
  <c r="K14" i="2"/>
  <c r="K16" i="2" s="1"/>
  <c r="K30" i="2" s="1"/>
  <c r="L46" i="2"/>
  <c r="L45" i="2"/>
  <c r="L32" i="2"/>
  <c r="L38" i="2"/>
  <c r="L34" i="2"/>
  <c r="L35" i="2"/>
  <c r="H20" i="2"/>
  <c r="L22" i="2"/>
  <c r="L20" i="2"/>
  <c r="H14" i="2"/>
  <c r="H16" i="2" s="1"/>
  <c r="H30" i="2" s="1"/>
  <c r="L14" i="2"/>
  <c r="L16" i="2" s="1"/>
  <c r="L30" i="2" s="1"/>
  <c r="Q60" i="2" l="1"/>
  <c r="Q71" i="2" s="1"/>
  <c r="P60" i="2"/>
  <c r="T16" i="2"/>
  <c r="U65" i="2"/>
  <c r="S40" i="2"/>
  <c r="T68" i="2"/>
  <c r="U50" i="2"/>
  <c r="T69" i="2"/>
  <c r="R29" i="2"/>
  <c r="U68" i="2"/>
  <c r="U69" i="2" s="1"/>
  <c r="T21" i="2"/>
  <c r="T23" i="2" s="1"/>
  <c r="T25" i="2" s="1"/>
  <c r="T30" i="2"/>
  <c r="U30" i="2"/>
  <c r="U21" i="2"/>
  <c r="U23" i="2" s="1"/>
  <c r="U25" i="2" s="1"/>
  <c r="T65" i="2"/>
  <c r="S65" i="2"/>
  <c r="S71" i="2" s="1"/>
  <c r="U40" i="2"/>
  <c r="T59" i="2"/>
  <c r="T29" i="2"/>
  <c r="U29" i="2"/>
  <c r="O29" i="2"/>
  <c r="V29" i="2"/>
  <c r="P30" i="2"/>
  <c r="P21" i="2"/>
  <c r="P23" i="2" s="1"/>
  <c r="P25" i="2" s="1"/>
  <c r="P26" i="2" s="1"/>
  <c r="P29" i="2"/>
  <c r="Q16" i="2"/>
  <c r="Q21" i="2" s="1"/>
  <c r="Q23" i="2" s="1"/>
  <c r="Q25" i="2" s="1"/>
  <c r="Q26" i="2" s="1"/>
  <c r="R16" i="2"/>
  <c r="O30" i="2"/>
  <c r="S29" i="2"/>
  <c r="S21" i="2"/>
  <c r="S23" i="2" s="1"/>
  <c r="S25" i="2" s="1"/>
  <c r="O21" i="2"/>
  <c r="O23" i="2" s="1"/>
  <c r="O25" i="2" s="1"/>
  <c r="O26" i="2" s="1"/>
  <c r="K7" i="1"/>
  <c r="E21" i="2"/>
  <c r="E23" i="2" s="1"/>
  <c r="E25" i="2" s="1"/>
  <c r="E26" i="2" s="1"/>
  <c r="K50" i="2"/>
  <c r="N20" i="2"/>
  <c r="N21" i="2" s="1"/>
  <c r="N23" i="2" s="1"/>
  <c r="N25" i="2" s="1"/>
  <c r="N26" i="2" s="1"/>
  <c r="N29" i="2"/>
  <c r="AA14" i="2"/>
  <c r="E30" i="2"/>
  <c r="K40" i="2"/>
  <c r="M29" i="2"/>
  <c r="N30" i="2"/>
  <c r="M20" i="2"/>
  <c r="M21" i="2" s="1"/>
  <c r="M23" i="2" s="1"/>
  <c r="M25" i="2" s="1"/>
  <c r="M26" i="2" s="1"/>
  <c r="I21" i="2"/>
  <c r="I29" i="2"/>
  <c r="I23" i="2"/>
  <c r="I25" i="2" s="1"/>
  <c r="I26" i="2" s="1"/>
  <c r="F21" i="2"/>
  <c r="F23" i="2" s="1"/>
  <c r="F25" i="2" s="1"/>
  <c r="F26" i="2" s="1"/>
  <c r="J29" i="2"/>
  <c r="J21" i="2"/>
  <c r="J23" i="2" s="1"/>
  <c r="J25" i="2" s="1"/>
  <c r="J26" i="2" s="1"/>
  <c r="L29" i="2"/>
  <c r="K29" i="2"/>
  <c r="L50" i="2"/>
  <c r="G21" i="2"/>
  <c r="G23" i="2" s="1"/>
  <c r="G25" i="2" s="1"/>
  <c r="G26" i="2" s="1"/>
  <c r="K21" i="2"/>
  <c r="K23" i="2" s="1"/>
  <c r="K25" i="2" s="1"/>
  <c r="K26" i="2" s="1"/>
  <c r="L21" i="2"/>
  <c r="L23" i="2" s="1"/>
  <c r="L25" i="2" s="1"/>
  <c r="L26" i="2" s="1"/>
  <c r="L40" i="2"/>
  <c r="H21" i="2"/>
  <c r="H23" i="2" s="1"/>
  <c r="H25" i="2" s="1"/>
  <c r="H26" i="2" s="1"/>
  <c r="T60" i="2" l="1"/>
  <c r="T71" i="2" s="1"/>
  <c r="U59" i="2"/>
  <c r="U60" i="2" s="1"/>
  <c r="U71" i="2" s="1"/>
  <c r="S26" i="2"/>
  <c r="S52" i="2"/>
  <c r="U26" i="2"/>
  <c r="U52" i="2"/>
  <c r="T26" i="2"/>
  <c r="T52" i="2"/>
  <c r="Q30" i="2"/>
  <c r="R30" i="2"/>
  <c r="R21" i="2"/>
  <c r="R23" i="2" s="1"/>
  <c r="R25" i="2" s="1"/>
  <c r="R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tc={982F6261-82C2-4888-A5B2-7F180FB48D20}</author>
    <author>tc={5079672D-4A0C-42B7-9146-861D71216A70}</author>
    <author>tc={5ADB5477-4EAC-4DFC-8399-235D928B0293}</author>
    <author>tc={F2B31FD4-143B-4D03-A3F1-C40117F4B1AB}</author>
    <author>tc={4212C041-70CB-45C7-B4C1-50DB0EFB9C60}</author>
    <author>tc={0C17F5D6-955C-468A-A428-9B873444F7A6}</author>
  </authors>
  <commentList>
    <comment ref="M9" authorId="0" shapeId="0" xr:uid="{982F6261-82C2-4888-A5B2-7F180FB48D2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1.54-1.55B</t>
      </text>
    </comment>
    <comment ref="J14" authorId="1" shapeId="0" xr:uid="{5079672D-4A0C-42B7-9146-861D71216A7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358-360m</t>
      </text>
    </comment>
    <comment ref="K14" authorId="2" shapeId="0" xr:uid="{5ADB5477-4EAC-4DFC-8399-235D928B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388-390m</t>
      </text>
    </comment>
    <comment ref="L14" authorId="3" shapeId="0" xr:uid="{F2B31FD4-143B-4D03-A3F1-C40117F4B1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428-430m</t>
      </text>
    </comment>
    <comment ref="M14" authorId="4" shapeId="0" xr:uid="{4212C041-70CB-45C7-B4C1-50DB0EFB9C6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463-465m</t>
      </text>
    </comment>
    <comment ref="AB14" authorId="5" shapeId="0" xr:uid="{0C17F5D6-955C-468A-A428-9B873444F7A6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1780m-1790m
Q1 guidance: 1805m-1815m
Q2 guidance: 1812m-1820m</t>
      </text>
    </comment>
  </commentList>
</comments>
</file>

<file path=xl/sharedStrings.xml><?xml version="1.0" encoding="utf-8"?>
<sst xmlns="http://schemas.openxmlformats.org/spreadsheetml/2006/main" count="98" uniqueCount="90">
  <si>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</si>
  <si>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</si>
  <si>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</si>
  <si>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</si>
  <si>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</si>
  <si>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</si>
  <si>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</si>
  <si>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</si>
  <si>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</si>
  <si>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</si>
  <si>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</si>
  <si>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</si>
  <si>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</si>
  <si>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</si>
  <si>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</si>
  <si>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</si>
  <si>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</si>
  <si>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</si>
  <si>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</si>
  <si>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</si>
  <si>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</si>
  <si>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Services</t>
  </si>
  <si>
    <t>OpInc</t>
  </si>
  <si>
    <t>OpEx</t>
  </si>
  <si>
    <t>COGS</t>
  </si>
  <si>
    <t>Gross Profit</t>
  </si>
  <si>
    <t>R&amp;D</t>
  </si>
  <si>
    <t>S&amp;M</t>
  </si>
  <si>
    <t>G&amp;A</t>
  </si>
  <si>
    <t>Interest</t>
  </si>
  <si>
    <t>Pretax</t>
  </si>
  <si>
    <t>Taxes</t>
  </si>
  <si>
    <t>Net Income</t>
  </si>
  <si>
    <t>EPS</t>
  </si>
  <si>
    <t>Assets</t>
  </si>
  <si>
    <t>AR</t>
  </si>
  <si>
    <t>Commissions</t>
  </si>
  <si>
    <t>Prepaids</t>
  </si>
  <si>
    <t>PP&amp;E</t>
  </si>
  <si>
    <t>Leases</t>
  </si>
  <si>
    <t>Goodwill</t>
  </si>
  <si>
    <t>Other</t>
  </si>
  <si>
    <t>DR</t>
  </si>
  <si>
    <t>AP</t>
  </si>
  <si>
    <t>AE</t>
  </si>
  <si>
    <t>Compensation</t>
  </si>
  <si>
    <t>Lease</t>
  </si>
  <si>
    <t>L+SE</t>
  </si>
  <si>
    <t>SE</t>
  </si>
  <si>
    <t>RPO</t>
  </si>
  <si>
    <t>FY2022</t>
  </si>
  <si>
    <t>FY2023</t>
  </si>
  <si>
    <t>Current RPO</t>
  </si>
  <si>
    <t>Revenue y/y</t>
  </si>
  <si>
    <t>Billings</t>
  </si>
  <si>
    <t>Auth</t>
  </si>
  <si>
    <t>8/22/22: BOD addition</t>
  </si>
  <si>
    <t>Gross Margin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</si>
  <si>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</si>
  <si>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</si>
  <si>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</si>
  <si>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</si>
  <si>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</si>
  <si>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</si>
  <si>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</si>
  <si>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</si>
  <si>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Q324</t>
  </si>
  <si>
    <t>Model NI</t>
  </si>
  <si>
    <t>Reported NI</t>
  </si>
  <si>
    <t>CFFO</t>
  </si>
  <si>
    <t>WC</t>
  </si>
  <si>
    <t>DT</t>
  </si>
  <si>
    <t>Amortization of DC</t>
  </si>
  <si>
    <t>Depreciation</t>
  </si>
  <si>
    <t>SBC</t>
  </si>
  <si>
    <t>CapEx</t>
  </si>
  <si>
    <t>CFFI</t>
  </si>
  <si>
    <t>Acquisitions</t>
  </si>
  <si>
    <t>Investments</t>
  </si>
  <si>
    <t>FX</t>
  </si>
  <si>
    <t>CIC</t>
  </si>
  <si>
    <t>CFFF</t>
  </si>
  <si>
    <t>ESOP</t>
  </si>
  <si>
    <t>Customers</t>
  </si>
  <si>
    <t>ACV &gt;100k</t>
  </si>
  <si>
    <t>NRR</t>
  </si>
  <si>
    <t>FY2024</t>
  </si>
  <si>
    <t>FY2025</t>
  </si>
  <si>
    <t>FY2026</t>
  </si>
  <si>
    <t>TTM 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</si>
</sst>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D06A59-0012-4010-947C-CA61BEBDA8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10885</xdr:colOff>
      <xdr:row>0</xdr:row>
      <xdr:rowOff>0</xdr:rowOff>
    </xdr:from>
    <xdr:to>
      <xdr:col>21</xdr:col>
      <xdr:colOff>10885</xdr:colOff>
      <xdr:row>80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E47AE5-C85F-8C40-48CE-D3145DE3A988}"/>
            </a:ext>
          </a:extLst>
        </xdr:cNvPr>
        <xdr:cNvCxnSpPr/>
      </xdr:nvCxnSpPr>
      <xdr:spPr>
        <a:xfrm>
          <a:off x="12719956" y="0"/>
          <a:ext cx="0" cy="121103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5442</xdr:colOff>
      <xdr:row>0</xdr:row>
      <xdr:rowOff>27215</xdr:rowOff>
    </xdr:from>
    <xdr:to>
      <xdr:col>29</xdr:col>
      <xdr:colOff>5442</xdr:colOff>
      <xdr:row>73</xdr:row>
      <xdr:rowOff>103415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22724D-5FF8-4675-8896-AA5A3F175369}"/>
            </a:ext>
          </a:extLst>
        </xdr:cNvPr>
        <xdr:cNvCxnSpPr/>
      </xdr:nvCxnSpPr>
      <xdr:spPr>
        <a:xfrm>
          <a:off x="17591313" y="27215"/>
          <a:ext cx="0" cy="11996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737C958-64A4-48FB-A9FC-F28332CDF3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9" dT="2022-09-01T17:50:11.25" personId="{6737C958-64A4-48FB-A9FC-F28332CDF3FF}" id="{982F6261-82C2-4888-A5B2-7F180FB48D20}">
    <text>Q2 guidance: 1.54-1.55B</text>
  </threadedComment>
  <threadedComment ref="J14" dT="2022-09-02T02:02:53.13" personId="{6737C958-64A4-48FB-A9FC-F28332CDF3FF}" id="{5079672D-4A0C-42B7-9146-861D71216A70}">
    <text>Q3: 358-360m</text>
  </threadedComment>
  <threadedComment ref="K14" dT="2022-09-02T01:35:28.15" personId="{6737C958-64A4-48FB-A9FC-F28332CDF3FF}" id="{5ADB5477-4EAC-4DFC-8399-235D928B0293}">
    <text>Q4 guidance: 388-390m</text>
  </threadedComment>
  <threadedComment ref="L14" dT="2022-09-02T01:32:07.61" personId="{6737C958-64A4-48FB-A9FC-F28332CDF3FF}" id="{F2B31FD4-143B-4D03-A3F1-C40117F4B1AB}">
    <text>Q1 guidance: 428-430m</text>
  </threadedComment>
  <threadedComment ref="M14" dT="2022-09-01T17:49:56.79" personId="{6737C958-64A4-48FB-A9FC-F28332CDF3FF}" id="{4212C041-70CB-45C7-B4C1-50DB0EFB9C60}">
    <text>Q2 guidance: 463-465m</text>
  </threadedComment>
  <threadedComment ref="AB14" dT="2022-09-01T17:50:45.64" personId="{6737C958-64A4-48FB-A9FC-F28332CDF3FF}" id="{0C17F5D6-955C-468A-A428-9B873444F7A6}">
    <text>Q4 guidance: 1780m-1790m
Q1 guidance: 1805m-1815m
Q2 guidance: 1812m-1820m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4A9-2DE8-4AD4-B4E5-5ABB22FA282E}">
  <dimension ref="B2:L7"/>
  <sheetViews>
    <sheetView zoomScale="190" zoomScaleNormal="190" workbookViewId="0"/>
  </sheetViews>
  <sheetFormatPr defaultRowHeight="12.75" x14ac:dyDescent="0.2"/>
  <sheetData>
    <row r="2" spans="2:12" x14ac:dyDescent="0.2">
      <c r="B2" t="s">
        <v>55</v>
      </c>
      <c r="J2" t="s">
        <v>0</v>
      </c>
      <c r="K2" s="1">
        <v>80.39</v>
      </c>
    </row>
    <row r="3" spans="2:12" x14ac:dyDescent="0.2">
      <c r="J3" t="s">
        <v>1</v>
      </c>
      <c r="K3" s="3">
        <f>162.413965+7.448091</f>
        <v>169.862056</v>
      </c>
      <c r="L3" s="2" t="s">
        <v>66</v>
      </c>
    </row>
    <row r="4" spans="2:12" x14ac:dyDescent="0.2">
      <c r="J4" t="s">
        <v>2</v>
      </c>
      <c r="K4" s="3">
        <f>+K2*K3</f>
        <v>13655.210681839999</v>
      </c>
    </row>
    <row r="5" spans="2:12" x14ac:dyDescent="0.2">
      <c r="J5" t="s">
        <v>3</v>
      </c>
      <c r="K5" s="3">
        <f>515+1843</f>
        <v>2358</v>
      </c>
      <c r="L5" s="2" t="s">
        <v>66</v>
      </c>
    </row>
    <row r="6" spans="2:12" x14ac:dyDescent="0.2">
      <c r="J6" t="s">
        <v>4</v>
      </c>
      <c r="K6" s="3">
        <v>1113</v>
      </c>
      <c r="L6" s="2" t="s">
        <v>66</v>
      </c>
    </row>
    <row r="7" spans="2:12" x14ac:dyDescent="0.2">
      <c r="B7" t="s">
        <v>56</v>
      </c>
      <c r="J7" t="s">
        <v>5</v>
      </c>
      <c r="K7" s="3">
        <f>+K4-K5+K6</f>
        <v>12410.210681839999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7387-6724-4091-A478-2799CE710CF0}">
  <dimension ref="A1:AE73"/>
  <sheetViews>
    <sheetView tabSelected="1" zoomScale="175" zoomScaleNormal="175" workbookViewId="0">
      <pane xSplit="2" ySplit="3" topLeftCell="T7" activePane="bottomRight" state="frozen"/>
      <selection pane="topRight" activeCell="C1" sqref="C1"/>
      <selection pane="bottomLeft" activeCell="A3" sqref="A3"/>
      <selection pane="bottomRight" activeCell="AF15" sqref="AF15"/>
    </sheetView>
  </sheetViews>
  <sheetFormatPr defaultRowHeight="12.75" x14ac:dyDescent="0.2"/>
  <cols>
    <col min="1" max="1" width="5" bestFit="1" customWidth="1"/>
    <col min="2" max="2" width="12.5703125" customWidth="1"/>
    <col min="3" max="4" width="9.140625" style="2"/>
    <col min="5" max="14" width="8.7109375" style="2" customWidth="1"/>
    <col min="15" max="21" width="8.85546875" style="2" customWidth="1"/>
    <col min="22" max="24" width="9.140625" style="2"/>
  </cols>
  <sheetData>
    <row r="1" spans="1:31" x14ac:dyDescent="0.2">
      <c r="A1" s="9" t="s">
        <v>6</v>
      </c>
    </row>
    <row r="2" spans="1:31" s="10" customFormat="1" x14ac:dyDescent="0.2">
      <c r="C2" s="11"/>
      <c r="D2" s="11"/>
      <c r="E2" s="11"/>
      <c r="F2" s="11"/>
      <c r="G2" s="11"/>
      <c r="H2" s="11"/>
      <c r="I2" s="11"/>
      <c r="J2" s="11"/>
      <c r="K2" s="11"/>
      <c r="L2" s="11">
        <v>44773</v>
      </c>
      <c r="M2" s="11">
        <v>44865</v>
      </c>
      <c r="N2" s="11">
        <v>44957</v>
      </c>
      <c r="O2" s="11">
        <v>45046</v>
      </c>
      <c r="P2" s="11">
        <v>45138</v>
      </c>
      <c r="Q2" s="11">
        <v>45230</v>
      </c>
      <c r="R2" s="11">
        <v>45322</v>
      </c>
      <c r="S2" s="11">
        <v>45412</v>
      </c>
      <c r="T2" s="11">
        <v>45504</v>
      </c>
      <c r="U2" s="11">
        <v>45596</v>
      </c>
      <c r="V2" s="11">
        <f>+U2+91</f>
        <v>45687</v>
      </c>
      <c r="W2" s="11"/>
      <c r="X2" s="11"/>
      <c r="AA2" s="10">
        <v>44592</v>
      </c>
      <c r="AB2" s="10">
        <v>44957</v>
      </c>
      <c r="AC2" s="10">
        <v>45322</v>
      </c>
      <c r="AD2" s="10">
        <v>45688</v>
      </c>
      <c r="AE2" s="10">
        <v>46053</v>
      </c>
    </row>
    <row r="3" spans="1:31" x14ac:dyDescent="0.2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65</v>
      </c>
      <c r="AA3" s="2" t="s">
        <v>50</v>
      </c>
      <c r="AB3" s="2" t="s">
        <v>51</v>
      </c>
      <c r="AC3" s="2" t="s">
        <v>86</v>
      </c>
      <c r="AD3" s="2" t="s">
        <v>87</v>
      </c>
      <c r="AE3" s="2" t="s">
        <v>88</v>
      </c>
    </row>
    <row r="4" spans="1:31" x14ac:dyDescent="0.2">
      <c r="B4" t="s">
        <v>83</v>
      </c>
      <c r="AA4" s="4">
        <v>15000</v>
      </c>
      <c r="AB4" s="4">
        <v>17600</v>
      </c>
      <c r="AC4" s="4">
        <v>18950</v>
      </c>
    </row>
    <row r="5" spans="1:31" x14ac:dyDescent="0.2">
      <c r="B5" t="s">
        <v>84</v>
      </c>
      <c r="AA5" s="4">
        <v>3100</v>
      </c>
      <c r="AB5" s="4">
        <v>3930</v>
      </c>
      <c r="AC5" s="4">
        <v>4485</v>
      </c>
    </row>
    <row r="6" spans="1:31" x14ac:dyDescent="0.2">
      <c r="B6" t="s">
        <v>85</v>
      </c>
      <c r="AA6" s="8">
        <v>1.24</v>
      </c>
      <c r="AB6" s="8">
        <v>1.2</v>
      </c>
      <c r="AC6" s="8">
        <v>1.1100000000000001</v>
      </c>
    </row>
    <row r="7" spans="1:31" x14ac:dyDescent="0.2">
      <c r="AA7" s="2"/>
      <c r="AB7" s="2"/>
      <c r="AC7" s="2"/>
    </row>
    <row r="8" spans="1:31" s="3" customFormat="1" x14ac:dyDescent="0.2">
      <c r="B8" s="3" t="s">
        <v>49</v>
      </c>
      <c r="C8" s="4"/>
      <c r="D8" s="4"/>
      <c r="E8" s="4"/>
      <c r="F8" s="4"/>
      <c r="G8" s="4"/>
      <c r="H8" s="4"/>
      <c r="I8" s="4"/>
      <c r="J8" s="4">
        <v>2690</v>
      </c>
      <c r="K8" s="4">
        <v>2710</v>
      </c>
      <c r="L8" s="4">
        <v>2790</v>
      </c>
      <c r="M8" s="4"/>
      <c r="N8" s="4"/>
      <c r="O8" s="4"/>
      <c r="P8" s="4"/>
      <c r="Q8" s="4"/>
      <c r="R8" s="4"/>
      <c r="S8" s="4"/>
      <c r="T8" s="4"/>
      <c r="U8" s="4">
        <v>3659</v>
      </c>
      <c r="V8" s="4"/>
      <c r="W8" s="4"/>
      <c r="X8" s="4"/>
      <c r="AA8" s="3">
        <v>2694</v>
      </c>
      <c r="AB8" s="3">
        <v>3007</v>
      </c>
      <c r="AC8" s="3">
        <v>3385</v>
      </c>
    </row>
    <row r="9" spans="1:31" s="3" customFormat="1" x14ac:dyDescent="0.2">
      <c r="B9" s="3" t="s">
        <v>52</v>
      </c>
      <c r="C9" s="4"/>
      <c r="D9" s="4"/>
      <c r="E9" s="4"/>
      <c r="F9" s="4"/>
      <c r="G9" s="4"/>
      <c r="H9" s="4"/>
      <c r="I9" s="4"/>
      <c r="J9" s="4">
        <v>1350</v>
      </c>
      <c r="K9" s="4">
        <v>1410</v>
      </c>
      <c r="L9" s="4">
        <v>1500</v>
      </c>
      <c r="M9" s="4">
        <v>1545</v>
      </c>
      <c r="N9" s="4"/>
      <c r="O9" s="4"/>
      <c r="P9" s="4"/>
      <c r="Q9" s="4"/>
      <c r="R9" s="4"/>
      <c r="S9" s="4"/>
      <c r="T9" s="4"/>
      <c r="U9" s="4">
        <v>2062</v>
      </c>
      <c r="V9" s="4"/>
      <c r="W9" s="4"/>
      <c r="X9" s="4"/>
      <c r="AA9" s="3">
        <v>1351</v>
      </c>
      <c r="AB9" s="3">
        <v>1684</v>
      </c>
      <c r="AC9" s="3">
        <v>1952</v>
      </c>
    </row>
    <row r="10" spans="1:31" s="3" customFormat="1" x14ac:dyDescent="0.2">
      <c r="B10" s="3" t="s">
        <v>54</v>
      </c>
      <c r="C10" s="4"/>
      <c r="D10" s="4"/>
      <c r="E10" s="4"/>
      <c r="F10" s="4"/>
      <c r="G10" s="4"/>
      <c r="H10" s="4"/>
      <c r="I10" s="4"/>
      <c r="J10" s="4">
        <v>603</v>
      </c>
      <c r="K10" s="4">
        <v>389</v>
      </c>
      <c r="L10" s="4">
        <v>491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2" spans="1:31" s="3" customFormat="1" x14ac:dyDescent="0.2">
      <c r="B12" s="3" t="s">
        <v>20</v>
      </c>
      <c r="C12" s="4"/>
      <c r="D12" s="4"/>
      <c r="E12" s="4">
        <v>206.74299999999999</v>
      </c>
      <c r="F12" s="4">
        <v>225.4</v>
      </c>
      <c r="G12" s="4">
        <v>240.05799999999999</v>
      </c>
      <c r="H12" s="4">
        <v>303.12099999999998</v>
      </c>
      <c r="I12" s="4">
        <v>336.702</v>
      </c>
      <c r="J12" s="4">
        <v>369.32900000000001</v>
      </c>
      <c r="K12" s="4">
        <v>397.94099999999997</v>
      </c>
      <c r="L12" s="4">
        <v>435.38400000000001</v>
      </c>
      <c r="M12" s="4">
        <v>466</v>
      </c>
      <c r="N12" s="4">
        <v>495</v>
      </c>
      <c r="O12" s="4">
        <v>503</v>
      </c>
      <c r="P12" s="4">
        <v>542</v>
      </c>
      <c r="Q12" s="4">
        <v>569</v>
      </c>
      <c r="R12" s="4">
        <v>591</v>
      </c>
      <c r="S12" s="4">
        <v>603</v>
      </c>
      <c r="T12" s="4">
        <v>632</v>
      </c>
      <c r="U12" s="4">
        <v>651</v>
      </c>
      <c r="V12" s="4">
        <f>+V14-V13</f>
        <v>654</v>
      </c>
      <c r="W12" s="4"/>
      <c r="X12" s="4"/>
      <c r="AA12" s="3">
        <f>SUM(G12:J12)</f>
        <v>1249.21</v>
      </c>
      <c r="AB12" s="3">
        <f>SUM(K12:N12)</f>
        <v>1794.325</v>
      </c>
      <c r="AC12" s="3">
        <f>SUM(O12:R12)</f>
        <v>2205</v>
      </c>
      <c r="AD12" s="3">
        <f>SUM(S12:V12)</f>
        <v>2540</v>
      </c>
    </row>
    <row r="13" spans="1:31" s="3" customFormat="1" x14ac:dyDescent="0.2">
      <c r="B13" s="3" t="s">
        <v>21</v>
      </c>
      <c r="C13" s="4"/>
      <c r="D13" s="4"/>
      <c r="E13" s="4">
        <v>10.635999999999999</v>
      </c>
      <c r="F13" s="4">
        <v>9.34</v>
      </c>
      <c r="G13" s="4">
        <v>10.948</v>
      </c>
      <c r="H13" s="4">
        <v>12.379</v>
      </c>
      <c r="I13" s="4">
        <v>13.978</v>
      </c>
      <c r="J13" s="4">
        <v>13.686</v>
      </c>
      <c r="K13" s="4">
        <v>17.001999999999999</v>
      </c>
      <c r="L13" s="4">
        <v>16.422999999999998</v>
      </c>
      <c r="M13" s="4">
        <v>15</v>
      </c>
      <c r="N13" s="4">
        <v>15</v>
      </c>
      <c r="O13" s="4">
        <v>15</v>
      </c>
      <c r="P13" s="4">
        <v>14</v>
      </c>
      <c r="Q13" s="4">
        <v>15</v>
      </c>
      <c r="R13" s="4">
        <v>14</v>
      </c>
      <c r="S13" s="4">
        <v>14</v>
      </c>
      <c r="T13" s="4">
        <v>14</v>
      </c>
      <c r="U13" s="4">
        <v>14</v>
      </c>
      <c r="V13" s="4">
        <v>14</v>
      </c>
      <c r="W13" s="4"/>
      <c r="X13" s="4"/>
      <c r="AA13" s="3">
        <f>SUM(G13:J13)</f>
        <v>50.991</v>
      </c>
      <c r="AB13" s="3">
        <f>SUM(K13:N13)</f>
        <v>63.424999999999997</v>
      </c>
      <c r="AC13" s="3">
        <f>SUM(O13:R13)</f>
        <v>58</v>
      </c>
      <c r="AD13" s="3">
        <f>SUM(S13:V13)</f>
        <v>56</v>
      </c>
    </row>
    <row r="14" spans="1:31" s="5" customFormat="1" x14ac:dyDescent="0.2">
      <c r="B14" s="5" t="s">
        <v>7</v>
      </c>
      <c r="C14" s="6"/>
      <c r="D14" s="6"/>
      <c r="E14" s="6">
        <f t="shared" ref="E14:L14" si="0">+E12+E13</f>
        <v>217.37899999999999</v>
      </c>
      <c r="F14" s="6">
        <f t="shared" si="0"/>
        <v>234.74</v>
      </c>
      <c r="G14" s="6">
        <f t="shared" si="0"/>
        <v>251.006</v>
      </c>
      <c r="H14" s="6">
        <f t="shared" si="0"/>
        <v>315.5</v>
      </c>
      <c r="I14" s="6">
        <f t="shared" si="0"/>
        <v>350.68</v>
      </c>
      <c r="J14" s="6">
        <f t="shared" si="0"/>
        <v>383.01499999999999</v>
      </c>
      <c r="K14" s="6">
        <f t="shared" si="0"/>
        <v>414.94299999999998</v>
      </c>
      <c r="L14" s="6">
        <f t="shared" si="0"/>
        <v>451.80700000000002</v>
      </c>
      <c r="M14" s="6">
        <f t="shared" ref="M14:U14" si="1">+M12+M13</f>
        <v>481</v>
      </c>
      <c r="N14" s="6">
        <f t="shared" si="1"/>
        <v>510</v>
      </c>
      <c r="O14" s="6">
        <f t="shared" si="1"/>
        <v>518</v>
      </c>
      <c r="P14" s="6">
        <f t="shared" si="1"/>
        <v>556</v>
      </c>
      <c r="Q14" s="6">
        <f t="shared" si="1"/>
        <v>584</v>
      </c>
      <c r="R14" s="6">
        <f t="shared" si="1"/>
        <v>605</v>
      </c>
      <c r="S14" s="6">
        <f t="shared" si="1"/>
        <v>617</v>
      </c>
      <c r="T14" s="6">
        <f t="shared" si="1"/>
        <v>646</v>
      </c>
      <c r="U14" s="6">
        <f t="shared" si="1"/>
        <v>665</v>
      </c>
      <c r="V14" s="6">
        <v>668</v>
      </c>
      <c r="W14" s="6"/>
      <c r="X14" s="6"/>
      <c r="AA14" s="5">
        <f>SUM(G14:J14)</f>
        <v>1300.201</v>
      </c>
      <c r="AB14" s="5">
        <f>SUM(K14:N14)</f>
        <v>1857.75</v>
      </c>
      <c r="AC14" s="5">
        <f>SUM(O14:R14)</f>
        <v>2263</v>
      </c>
      <c r="AD14" s="5">
        <f>SUM(S14:V14)</f>
        <v>2596</v>
      </c>
    </row>
    <row r="15" spans="1:31" s="3" customFormat="1" x14ac:dyDescent="0.2">
      <c r="B15" s="3" t="s">
        <v>24</v>
      </c>
      <c r="C15" s="4"/>
      <c r="D15" s="4"/>
      <c r="E15" s="4">
        <v>56.908000000000001</v>
      </c>
      <c r="F15" s="4">
        <v>61.14</v>
      </c>
      <c r="G15" s="4">
        <v>66.123000000000005</v>
      </c>
      <c r="H15" s="4">
        <v>101.10599999999999</v>
      </c>
      <c r="I15" s="4">
        <v>109.67400000000001</v>
      </c>
      <c r="J15" s="4">
        <v>119.502</v>
      </c>
      <c r="K15" s="4">
        <v>131.16499999999999</v>
      </c>
      <c r="L15" s="4">
        <v>137.69399999999999</v>
      </c>
      <c r="M15" s="4">
        <v>138</v>
      </c>
      <c r="N15" s="4">
        <v>139</v>
      </c>
      <c r="O15" s="4">
        <v>142</v>
      </c>
      <c r="P15" s="4">
        <v>149</v>
      </c>
      <c r="Q15" s="4">
        <v>145</v>
      </c>
      <c r="R15" s="4">
        <f>126+19</f>
        <v>145</v>
      </c>
      <c r="S15" s="4">
        <v>148</v>
      </c>
      <c r="T15" s="4">
        <f>137+18</f>
        <v>155</v>
      </c>
      <c r="U15" s="4">
        <v>157</v>
      </c>
      <c r="V15" s="4">
        <f>+V14-V16</f>
        <v>160.32</v>
      </c>
      <c r="W15" s="4"/>
      <c r="X15" s="4"/>
      <c r="AA15" s="3">
        <f>SUM(G15:J15)</f>
        <v>396.40500000000003</v>
      </c>
      <c r="AB15" s="3">
        <f>SUM(K15:N15)</f>
        <v>545.85899999999992</v>
      </c>
      <c r="AC15" s="3">
        <f>SUM(O15:R15)</f>
        <v>581</v>
      </c>
      <c r="AD15" s="3">
        <f>SUM(S15:V15)</f>
        <v>620.31999999999994</v>
      </c>
    </row>
    <row r="16" spans="1:31" s="3" customFormat="1" x14ac:dyDescent="0.2">
      <c r="B16" s="3" t="s">
        <v>25</v>
      </c>
      <c r="C16" s="4"/>
      <c r="D16" s="4"/>
      <c r="E16" s="4">
        <f t="shared" ref="E16:L16" si="2">+E14-E15</f>
        <v>160.471</v>
      </c>
      <c r="F16" s="4">
        <f t="shared" si="2"/>
        <v>173.60000000000002</v>
      </c>
      <c r="G16" s="4">
        <f t="shared" si="2"/>
        <v>184.88299999999998</v>
      </c>
      <c r="H16" s="4">
        <f t="shared" si="2"/>
        <v>214.39400000000001</v>
      </c>
      <c r="I16" s="4">
        <f t="shared" si="2"/>
        <v>241.006</v>
      </c>
      <c r="J16" s="4">
        <f t="shared" si="2"/>
        <v>263.51299999999998</v>
      </c>
      <c r="K16" s="4">
        <f t="shared" si="2"/>
        <v>283.77800000000002</v>
      </c>
      <c r="L16" s="4">
        <f t="shared" si="2"/>
        <v>314.11300000000006</v>
      </c>
      <c r="M16" s="4">
        <f t="shared" ref="M16:S16" si="3">+M14-M15</f>
        <v>343</v>
      </c>
      <c r="N16" s="4">
        <f t="shared" si="3"/>
        <v>371</v>
      </c>
      <c r="O16" s="4">
        <f t="shared" si="3"/>
        <v>376</v>
      </c>
      <c r="P16" s="4">
        <f t="shared" si="3"/>
        <v>407</v>
      </c>
      <c r="Q16" s="4">
        <f t="shared" si="3"/>
        <v>439</v>
      </c>
      <c r="R16" s="4">
        <f t="shared" si="3"/>
        <v>460</v>
      </c>
      <c r="S16" s="4">
        <f t="shared" si="3"/>
        <v>469</v>
      </c>
      <c r="T16" s="4">
        <f>+T14-T15</f>
        <v>491</v>
      </c>
      <c r="U16" s="4">
        <f>+U14-U15</f>
        <v>508</v>
      </c>
      <c r="V16" s="4">
        <f>+V14*0.76</f>
        <v>507.68</v>
      </c>
      <c r="W16" s="4"/>
      <c r="X16" s="4"/>
      <c r="AA16" s="3">
        <f>+AA14-AA15</f>
        <v>903.79600000000005</v>
      </c>
      <c r="AB16" s="3">
        <f t="shared" ref="AB16:AD16" si="4">+AB14-AB15</f>
        <v>1311.8910000000001</v>
      </c>
      <c r="AC16" s="3">
        <f t="shared" si="4"/>
        <v>1682</v>
      </c>
      <c r="AD16" s="3">
        <f t="shared" si="4"/>
        <v>1975.68</v>
      </c>
    </row>
    <row r="17" spans="2:30" s="3" customFormat="1" x14ac:dyDescent="0.2">
      <c r="B17" s="3" t="s">
        <v>26</v>
      </c>
      <c r="C17" s="4"/>
      <c r="D17" s="4"/>
      <c r="E17" s="4">
        <v>58.15</v>
      </c>
      <c r="F17" s="4">
        <v>62.316000000000003</v>
      </c>
      <c r="G17" s="4">
        <v>68.863</v>
      </c>
      <c r="H17" s="4">
        <v>122.407</v>
      </c>
      <c r="I17" s="4">
        <v>130.535</v>
      </c>
      <c r="J17" s="4">
        <v>147.45400000000001</v>
      </c>
      <c r="K17" s="4">
        <v>161.65100000000001</v>
      </c>
      <c r="L17" s="4">
        <v>155.83600000000001</v>
      </c>
      <c r="M17" s="4">
        <v>148</v>
      </c>
      <c r="N17" s="4">
        <v>154</v>
      </c>
      <c r="O17" s="4">
        <v>163</v>
      </c>
      <c r="P17" s="4">
        <v>172</v>
      </c>
      <c r="Q17" s="4">
        <v>165</v>
      </c>
      <c r="R17" s="4">
        <v>156</v>
      </c>
      <c r="S17" s="4">
        <v>163</v>
      </c>
      <c r="T17" s="4">
        <v>164</v>
      </c>
      <c r="U17" s="4">
        <v>158</v>
      </c>
      <c r="V17" s="4">
        <f t="shared" ref="V17:V18" si="5">U17</f>
        <v>158</v>
      </c>
      <c r="W17" s="4"/>
      <c r="X17" s="4"/>
      <c r="AA17" s="3">
        <f>SUM(G17:J17)</f>
        <v>469.25899999999996</v>
      </c>
      <c r="AB17" s="3">
        <f>SUM(K17:N17)</f>
        <v>619.48700000000008</v>
      </c>
      <c r="AC17" s="3">
        <f>SUM(O17:R17)</f>
        <v>656</v>
      </c>
      <c r="AD17" s="3">
        <f>SUM(S17:V17)</f>
        <v>643</v>
      </c>
    </row>
    <row r="18" spans="2:30" s="3" customFormat="1" x14ac:dyDescent="0.2">
      <c r="B18" s="3" t="s">
        <v>27</v>
      </c>
      <c r="C18" s="4"/>
      <c r="D18" s="4"/>
      <c r="E18" s="4">
        <v>109.812</v>
      </c>
      <c r="F18" s="4">
        <v>115.173</v>
      </c>
      <c r="G18" s="4">
        <v>146.52099999999999</v>
      </c>
      <c r="H18" s="4">
        <v>198.35</v>
      </c>
      <c r="I18" s="4">
        <v>203.87799999999999</v>
      </c>
      <c r="J18" s="4">
        <v>221.577</v>
      </c>
      <c r="K18" s="4">
        <v>252.47300000000001</v>
      </c>
      <c r="L18" s="4">
        <v>264.65300000000002</v>
      </c>
      <c r="M18" s="4">
        <v>290</v>
      </c>
      <c r="N18" s="4">
        <v>259</v>
      </c>
      <c r="O18" s="4">
        <v>256</v>
      </c>
      <c r="P18" s="4">
        <v>261</v>
      </c>
      <c r="Q18" s="4">
        <v>270</v>
      </c>
      <c r="R18" s="4">
        <v>249</v>
      </c>
      <c r="S18" s="4">
        <v>236</v>
      </c>
      <c r="T18" s="4">
        <v>238</v>
      </c>
      <c r="U18" s="4">
        <v>256</v>
      </c>
      <c r="V18" s="4">
        <f t="shared" si="5"/>
        <v>256</v>
      </c>
      <c r="W18" s="4"/>
      <c r="X18" s="4"/>
      <c r="AA18" s="3">
        <f>SUM(G18:J18)</f>
        <v>770.32600000000002</v>
      </c>
      <c r="AB18" s="3">
        <f>SUM(K18:N18)</f>
        <v>1066.126</v>
      </c>
      <c r="AC18" s="3">
        <f>SUM(O18:R18)</f>
        <v>1036</v>
      </c>
      <c r="AD18" s="3">
        <f>SUM(S18:V18)</f>
        <v>986</v>
      </c>
    </row>
    <row r="19" spans="2:30" s="3" customFormat="1" x14ac:dyDescent="0.2">
      <c r="B19" s="3" t="s">
        <v>28</v>
      </c>
      <c r="C19" s="4"/>
      <c r="D19" s="4"/>
      <c r="E19" s="4">
        <v>44.484999999999999</v>
      </c>
      <c r="F19" s="4">
        <v>50.707000000000001</v>
      </c>
      <c r="G19" s="4">
        <v>60.18</v>
      </c>
      <c r="H19" s="4">
        <v>157.077</v>
      </c>
      <c r="I19" s="4">
        <v>105.149</v>
      </c>
      <c r="J19" s="4">
        <v>108.908</v>
      </c>
      <c r="K19" s="4">
        <v>109.343</v>
      </c>
      <c r="L19" s="4">
        <v>101.68600000000001</v>
      </c>
      <c r="M19" s="4">
        <v>98</v>
      </c>
      <c r="N19" s="4">
        <v>100</v>
      </c>
      <c r="O19" s="4">
        <v>110</v>
      </c>
      <c r="P19" s="4">
        <v>119</v>
      </c>
      <c r="Q19" s="4">
        <v>111</v>
      </c>
      <c r="R19" s="4">
        <v>110</v>
      </c>
      <c r="S19" s="4">
        <v>117</v>
      </c>
      <c r="T19" s="4">
        <v>108</v>
      </c>
      <c r="U19" s="4">
        <v>110</v>
      </c>
      <c r="V19" s="4">
        <f>U19</f>
        <v>110</v>
      </c>
      <c r="W19" s="4"/>
      <c r="X19" s="4"/>
      <c r="AA19" s="3">
        <f>SUM(G19:J19)</f>
        <v>431.31400000000002</v>
      </c>
      <c r="AB19" s="3">
        <f>SUM(K19:N19)</f>
        <v>409.029</v>
      </c>
      <c r="AC19" s="3">
        <f>SUM(O19:R19)</f>
        <v>450</v>
      </c>
      <c r="AD19" s="3">
        <f>SUM(S19:V19)</f>
        <v>445</v>
      </c>
    </row>
    <row r="20" spans="2:30" s="3" customFormat="1" x14ac:dyDescent="0.2">
      <c r="B20" s="3" t="s">
        <v>23</v>
      </c>
      <c r="C20" s="4"/>
      <c r="D20" s="4"/>
      <c r="E20" s="4">
        <f t="shared" ref="E20:L20" si="6">SUM(E17:E19)</f>
        <v>212.447</v>
      </c>
      <c r="F20" s="4">
        <f t="shared" si="6"/>
        <v>228.196</v>
      </c>
      <c r="G20" s="4">
        <f t="shared" si="6"/>
        <v>275.56399999999996</v>
      </c>
      <c r="H20" s="4">
        <f t="shared" si="6"/>
        <v>477.834</v>
      </c>
      <c r="I20" s="4">
        <f t="shared" si="6"/>
        <v>439.56200000000001</v>
      </c>
      <c r="J20" s="4">
        <f t="shared" si="6"/>
        <v>477.93900000000002</v>
      </c>
      <c r="K20" s="4">
        <f t="shared" si="6"/>
        <v>523.46699999999998</v>
      </c>
      <c r="L20" s="4">
        <f t="shared" si="6"/>
        <v>522.17500000000007</v>
      </c>
      <c r="M20" s="4">
        <f t="shared" ref="M20:N20" si="7">SUM(M17:M19)</f>
        <v>536</v>
      </c>
      <c r="N20" s="4">
        <f t="shared" si="7"/>
        <v>513</v>
      </c>
      <c r="O20" s="4">
        <f t="shared" ref="O20:P20" si="8">SUM(O17:O19)</f>
        <v>529</v>
      </c>
      <c r="P20" s="4">
        <f t="shared" si="8"/>
        <v>552</v>
      </c>
      <c r="Q20" s="4">
        <f t="shared" ref="Q20" si="9">SUM(Q17:Q19)</f>
        <v>546</v>
      </c>
      <c r="R20" s="4">
        <f t="shared" ref="R20:V20" si="10">SUM(R17:R19)</f>
        <v>515</v>
      </c>
      <c r="S20" s="4">
        <f t="shared" si="10"/>
        <v>516</v>
      </c>
      <c r="T20" s="4">
        <f t="shared" si="10"/>
        <v>510</v>
      </c>
      <c r="U20" s="4">
        <f t="shared" si="10"/>
        <v>524</v>
      </c>
      <c r="V20" s="4">
        <f t="shared" si="10"/>
        <v>524</v>
      </c>
      <c r="W20" s="4"/>
      <c r="X20" s="4"/>
      <c r="AA20" s="4">
        <f t="shared" ref="AA20:AD20" si="11">SUM(AA17:AA19)</f>
        <v>1670.8990000000001</v>
      </c>
      <c r="AB20" s="4">
        <f t="shared" si="11"/>
        <v>2094.6419999999998</v>
      </c>
      <c r="AC20" s="4">
        <f t="shared" si="11"/>
        <v>2142</v>
      </c>
      <c r="AD20" s="4">
        <f t="shared" si="11"/>
        <v>2074</v>
      </c>
    </row>
    <row r="21" spans="2:30" s="3" customFormat="1" x14ac:dyDescent="0.2">
      <c r="B21" s="3" t="s">
        <v>22</v>
      </c>
      <c r="C21" s="4"/>
      <c r="D21" s="4"/>
      <c r="E21" s="4">
        <f t="shared" ref="E21:L21" si="12">E16-E20</f>
        <v>-51.975999999999999</v>
      </c>
      <c r="F21" s="4">
        <f t="shared" si="12"/>
        <v>-54.595999999999975</v>
      </c>
      <c r="G21" s="4">
        <f t="shared" si="12"/>
        <v>-90.680999999999983</v>
      </c>
      <c r="H21" s="4">
        <f t="shared" si="12"/>
        <v>-263.44</v>
      </c>
      <c r="I21" s="4">
        <f t="shared" si="12"/>
        <v>-198.55600000000001</v>
      </c>
      <c r="J21" s="4">
        <f t="shared" si="12"/>
        <v>-214.42600000000004</v>
      </c>
      <c r="K21" s="4">
        <f t="shared" si="12"/>
        <v>-239.68899999999996</v>
      </c>
      <c r="L21" s="4">
        <f t="shared" si="12"/>
        <v>-208.06200000000001</v>
      </c>
      <c r="M21" s="4">
        <f t="shared" ref="M21" si="13">M16-M20</f>
        <v>-193</v>
      </c>
      <c r="N21" s="4">
        <f t="shared" ref="N21:O21" si="14">N16-N20</f>
        <v>-142</v>
      </c>
      <c r="O21" s="4">
        <f t="shared" si="14"/>
        <v>-153</v>
      </c>
      <c r="P21" s="4">
        <f t="shared" ref="P21" si="15">P16-P20</f>
        <v>-145</v>
      </c>
      <c r="Q21" s="4">
        <f t="shared" ref="Q21" si="16">Q16-Q20</f>
        <v>-107</v>
      </c>
      <c r="R21" s="4">
        <f t="shared" ref="R21:V21" si="17">R16-R20</f>
        <v>-55</v>
      </c>
      <c r="S21" s="4">
        <f t="shared" si="17"/>
        <v>-47</v>
      </c>
      <c r="T21" s="4">
        <f t="shared" si="17"/>
        <v>-19</v>
      </c>
      <c r="U21" s="4">
        <f t="shared" si="17"/>
        <v>-16</v>
      </c>
      <c r="V21" s="4">
        <f t="shared" si="17"/>
        <v>-16.319999999999993</v>
      </c>
      <c r="W21" s="4"/>
      <c r="X21" s="4"/>
      <c r="AA21" s="4">
        <f t="shared" ref="AA21:AD21" si="18">AA16-AA20</f>
        <v>-767.10300000000007</v>
      </c>
      <c r="AB21" s="4">
        <f t="shared" si="18"/>
        <v>-782.75099999999975</v>
      </c>
      <c r="AC21" s="4">
        <f t="shared" si="18"/>
        <v>-460</v>
      </c>
      <c r="AD21" s="4">
        <f t="shared" si="18"/>
        <v>-98.319999999999936</v>
      </c>
    </row>
    <row r="22" spans="2:30" s="3" customFormat="1" x14ac:dyDescent="0.2">
      <c r="B22" s="3" t="s">
        <v>29</v>
      </c>
      <c r="C22" s="4"/>
      <c r="D22" s="4"/>
      <c r="E22" s="4">
        <f>-22.368+1.878</f>
        <v>-20.49</v>
      </c>
      <c r="F22" s="4">
        <f>-22.597+2.154</f>
        <v>-20.443000000000001</v>
      </c>
      <c r="G22" s="4">
        <f>-22.76+4.355</f>
        <v>-18.405000000000001</v>
      </c>
      <c r="H22" s="4">
        <f>-22.872+2.211</f>
        <v>-20.661000000000001</v>
      </c>
      <c r="I22" s="4">
        <f>-23.144+1.056</f>
        <v>-22.087999999999997</v>
      </c>
      <c r="J22" s="4">
        <f>-23.406+2.146</f>
        <v>-21.259999999999998</v>
      </c>
      <c r="K22" s="4">
        <f>-2.868+1.704</f>
        <v>-1.1639999999999999</v>
      </c>
      <c r="L22" s="4">
        <f>-2.915+4.721</f>
        <v>1.806</v>
      </c>
      <c r="M22" s="4">
        <f>-3+5</f>
        <v>2</v>
      </c>
      <c r="N22" s="4">
        <f>-2+10</f>
        <v>8</v>
      </c>
      <c r="O22" s="4">
        <f>-3+17</f>
        <v>14</v>
      </c>
      <c r="P22" s="4">
        <f>-2+18</f>
        <v>16</v>
      </c>
      <c r="Q22" s="4">
        <f>-2+21</f>
        <v>19</v>
      </c>
      <c r="R22" s="4">
        <v>-1</v>
      </c>
      <c r="S22" s="4">
        <f>-2+27</f>
        <v>25</v>
      </c>
      <c r="T22" s="4">
        <v>28</v>
      </c>
      <c r="U22" s="4">
        <f>26-1</f>
        <v>25</v>
      </c>
      <c r="V22" s="4">
        <f>+U22</f>
        <v>25</v>
      </c>
      <c r="W22" s="4"/>
      <c r="X22" s="4"/>
      <c r="AA22" s="3">
        <f>SUM(G22:J22)</f>
        <v>-82.413999999999987</v>
      </c>
      <c r="AB22" s="3">
        <f>SUM(K22:N22)</f>
        <v>10.641999999999999</v>
      </c>
      <c r="AC22" s="3">
        <f>SUM(O22:R22)</f>
        <v>48</v>
      </c>
      <c r="AD22" s="3">
        <f>SUM(S22:V22)</f>
        <v>103</v>
      </c>
    </row>
    <row r="23" spans="2:30" s="3" customFormat="1" x14ac:dyDescent="0.2">
      <c r="B23" s="3" t="s">
        <v>30</v>
      </c>
      <c r="C23" s="4"/>
      <c r="D23" s="4"/>
      <c r="E23" s="4">
        <f t="shared" ref="E23:N23" si="19">+E21+E22</f>
        <v>-72.465999999999994</v>
      </c>
      <c r="F23" s="4">
        <f t="shared" si="19"/>
        <v>-75.038999999999973</v>
      </c>
      <c r="G23" s="4">
        <f t="shared" si="19"/>
        <v>-109.08599999999998</v>
      </c>
      <c r="H23" s="4">
        <f t="shared" si="19"/>
        <v>-284.101</v>
      </c>
      <c r="I23" s="4">
        <f t="shared" si="19"/>
        <v>-220.64400000000001</v>
      </c>
      <c r="J23" s="4">
        <f t="shared" si="19"/>
        <v>-235.68600000000004</v>
      </c>
      <c r="K23" s="4">
        <f t="shared" si="19"/>
        <v>-240.85299999999995</v>
      </c>
      <c r="L23" s="4">
        <f t="shared" si="19"/>
        <v>-206.256</v>
      </c>
      <c r="M23" s="4">
        <f t="shared" si="19"/>
        <v>-191</v>
      </c>
      <c r="N23" s="4">
        <f t="shared" si="19"/>
        <v>-134</v>
      </c>
      <c r="O23" s="4">
        <f t="shared" ref="O23:P23" si="20">+O21+O22</f>
        <v>-139</v>
      </c>
      <c r="P23" s="4">
        <f t="shared" si="20"/>
        <v>-129</v>
      </c>
      <c r="Q23" s="4">
        <f t="shared" ref="Q23" si="21">+Q21+Q22</f>
        <v>-88</v>
      </c>
      <c r="R23" s="4">
        <f t="shared" ref="R23:V23" si="22">+R21+R22</f>
        <v>-56</v>
      </c>
      <c r="S23" s="4">
        <f t="shared" si="22"/>
        <v>-22</v>
      </c>
      <c r="T23" s="4">
        <f t="shared" si="22"/>
        <v>9</v>
      </c>
      <c r="U23" s="4">
        <f t="shared" si="22"/>
        <v>9</v>
      </c>
      <c r="V23" s="4">
        <f t="shared" si="22"/>
        <v>8.6800000000000068</v>
      </c>
      <c r="W23" s="4"/>
      <c r="X23" s="4"/>
      <c r="AA23" s="4">
        <f t="shared" ref="AA23:AD23" si="23">+AA21+AA22</f>
        <v>-849.51700000000005</v>
      </c>
      <c r="AB23" s="4">
        <f t="shared" si="23"/>
        <v>-772.1089999999997</v>
      </c>
      <c r="AC23" s="4">
        <f t="shared" si="23"/>
        <v>-412</v>
      </c>
      <c r="AD23" s="4">
        <f t="shared" si="23"/>
        <v>4.6800000000000637</v>
      </c>
    </row>
    <row r="24" spans="2:30" s="3" customFormat="1" x14ac:dyDescent="0.2">
      <c r="B24" s="3" t="s">
        <v>31</v>
      </c>
      <c r="C24" s="4"/>
      <c r="D24" s="4"/>
      <c r="E24" s="4">
        <v>0.20899999999999999</v>
      </c>
      <c r="F24" s="4">
        <v>0.76700000000000002</v>
      </c>
      <c r="G24" s="4">
        <v>0.01</v>
      </c>
      <c r="H24" s="4">
        <v>-7.4619999999999997</v>
      </c>
      <c r="I24" s="4">
        <v>0.66700000000000004</v>
      </c>
      <c r="J24" s="4">
        <v>5.5</v>
      </c>
      <c r="K24" s="4">
        <v>1.86</v>
      </c>
      <c r="L24" s="4">
        <v>4.2160000000000002</v>
      </c>
      <c r="M24" s="4">
        <v>4</v>
      </c>
      <c r="N24" s="4">
        <v>4</v>
      </c>
      <c r="O24" s="4">
        <v>4</v>
      </c>
      <c r="P24" s="4">
        <v>7</v>
      </c>
      <c r="Q24" s="4">
        <v>7</v>
      </c>
      <c r="R24" s="4">
        <v>18</v>
      </c>
      <c r="S24" s="4">
        <v>18</v>
      </c>
      <c r="T24" s="4">
        <v>-17</v>
      </c>
      <c r="U24" s="4">
        <v>9</v>
      </c>
      <c r="V24" s="4">
        <v>0</v>
      </c>
      <c r="W24" s="4"/>
      <c r="X24" s="4"/>
      <c r="AA24" s="3">
        <f>SUM(G24:J24)</f>
        <v>-1.2850000000000001</v>
      </c>
      <c r="AB24" s="3">
        <f>SUM(K24:N24)</f>
        <v>14.076000000000001</v>
      </c>
      <c r="AC24" s="3">
        <f>SUM(O24:R24)</f>
        <v>36</v>
      </c>
      <c r="AD24" s="3">
        <f>SUM(S24:V24)</f>
        <v>10</v>
      </c>
    </row>
    <row r="25" spans="2:30" s="3" customFormat="1" x14ac:dyDescent="0.2">
      <c r="B25" s="3" t="s">
        <v>32</v>
      </c>
      <c r="C25" s="4"/>
      <c r="D25" s="4"/>
      <c r="E25" s="4">
        <f t="shared" ref="E25:N25" si="24">+E23-E24</f>
        <v>-72.674999999999997</v>
      </c>
      <c r="F25" s="4">
        <f t="shared" si="24"/>
        <v>-75.805999999999969</v>
      </c>
      <c r="G25" s="4">
        <f t="shared" si="24"/>
        <v>-109.09599999999999</v>
      </c>
      <c r="H25" s="4">
        <f t="shared" si="24"/>
        <v>-276.63900000000001</v>
      </c>
      <c r="I25" s="4">
        <f t="shared" si="24"/>
        <v>-221.31100000000001</v>
      </c>
      <c r="J25" s="4">
        <f t="shared" si="24"/>
        <v>-241.18600000000004</v>
      </c>
      <c r="K25" s="4">
        <f t="shared" si="24"/>
        <v>-242.71299999999997</v>
      </c>
      <c r="L25" s="4">
        <f t="shared" si="24"/>
        <v>-210.47200000000001</v>
      </c>
      <c r="M25" s="4">
        <f t="shared" si="24"/>
        <v>-195</v>
      </c>
      <c r="N25" s="4">
        <f t="shared" si="24"/>
        <v>-138</v>
      </c>
      <c r="O25" s="4">
        <f t="shared" ref="O25:P25" si="25">+O23-O24</f>
        <v>-143</v>
      </c>
      <c r="P25" s="4">
        <f t="shared" si="25"/>
        <v>-136</v>
      </c>
      <c r="Q25" s="4">
        <f t="shared" ref="Q25" si="26">+Q23-Q24</f>
        <v>-95</v>
      </c>
      <c r="R25" s="4">
        <f t="shared" ref="R25:V25" si="27">+R23-R24</f>
        <v>-74</v>
      </c>
      <c r="S25" s="4">
        <f t="shared" si="27"/>
        <v>-40</v>
      </c>
      <c r="T25" s="4">
        <f t="shared" si="27"/>
        <v>26</v>
      </c>
      <c r="U25" s="4">
        <f t="shared" si="27"/>
        <v>0</v>
      </c>
      <c r="V25" s="4">
        <f t="shared" si="27"/>
        <v>8.6800000000000068</v>
      </c>
      <c r="W25" s="4"/>
      <c r="X25" s="4"/>
      <c r="AA25" s="4">
        <f t="shared" ref="AA25:AD25" si="28">+AA23-AA24</f>
        <v>-848.23200000000008</v>
      </c>
      <c r="AB25" s="4">
        <f t="shared" si="28"/>
        <v>-786.18499999999972</v>
      </c>
      <c r="AC25" s="4">
        <f t="shared" si="28"/>
        <v>-448</v>
      </c>
      <c r="AD25" s="4">
        <f t="shared" si="28"/>
        <v>-5.3199999999999363</v>
      </c>
    </row>
    <row r="26" spans="2:30" x14ac:dyDescent="0.2">
      <c r="B26" s="3" t="s">
        <v>33</v>
      </c>
      <c r="E26" s="7">
        <f t="shared" ref="E26:N26" si="29">E25/E27</f>
        <v>-0.56418994977215031</v>
      </c>
      <c r="F26" s="7">
        <f t="shared" si="29"/>
        <v>-0.58250472575266232</v>
      </c>
      <c r="G26" s="7">
        <f t="shared" si="29"/>
        <v>-0.82788346980125516</v>
      </c>
      <c r="H26" s="7">
        <f t="shared" si="29"/>
        <v>-1.8277251795424065</v>
      </c>
      <c r="I26" s="7">
        <f t="shared" si="29"/>
        <v>-1.4393649678711726</v>
      </c>
      <c r="J26" s="7">
        <f t="shared" si="29"/>
        <v>-1.5588547052740436</v>
      </c>
      <c r="K26" s="7">
        <f t="shared" si="29"/>
        <v>-1.5571002405773855</v>
      </c>
      <c r="L26" s="7">
        <f t="shared" si="29"/>
        <v>-1.3371791613722999</v>
      </c>
      <c r="M26" s="7">
        <f t="shared" si="29"/>
        <v>-1.2286715225445473</v>
      </c>
      <c r="N26" s="7">
        <f t="shared" si="29"/>
        <v>-0.86229520488883882</v>
      </c>
      <c r="O26" s="7">
        <f t="shared" ref="O26:P26" si="30">O25/O27</f>
        <v>-0.88642041122468584</v>
      </c>
      <c r="P26" s="7">
        <f t="shared" si="30"/>
        <v>-0.83561180916100886</v>
      </c>
      <c r="Q26" s="7">
        <f t="shared" ref="Q26" si="31">Q25/Q27</f>
        <v>-0.57792567267506589</v>
      </c>
      <c r="R26" s="7">
        <f t="shared" ref="R26:V26" si="32">R25/R27</f>
        <v>-0.44188337861642729</v>
      </c>
      <c r="S26" s="7">
        <f t="shared" si="32"/>
        <v>-0.23885588033320396</v>
      </c>
      <c r="T26" s="7">
        <f t="shared" si="32"/>
        <v>0.14904582012462522</v>
      </c>
      <c r="U26" s="7">
        <f t="shared" si="32"/>
        <v>0</v>
      </c>
      <c r="V26" s="7">
        <f t="shared" si="32"/>
        <v>5.0857487710417038E-2</v>
      </c>
      <c r="W26" s="7"/>
      <c r="X26" s="7"/>
      <c r="AA26" s="7">
        <f t="shared" ref="AA26:AD26" si="33">AA25/AA27</f>
        <v>-5.3683785823572325</v>
      </c>
      <c r="AB26" s="7">
        <f t="shared" si="33"/>
        <v>-4.975689098938167</v>
      </c>
      <c r="AC26" s="7">
        <f t="shared" si="33"/>
        <v>-2.8353488254345982</v>
      </c>
      <c r="AD26" s="7">
        <f t="shared" si="33"/>
        <v>-3.1145079282374848E-2</v>
      </c>
    </row>
    <row r="27" spans="2:30" x14ac:dyDescent="0.2">
      <c r="B27" s="3" t="s">
        <v>1</v>
      </c>
      <c r="E27" s="4">
        <v>128.81299999999999</v>
      </c>
      <c r="F27" s="4">
        <v>130.13800000000001</v>
      </c>
      <c r="G27" s="4">
        <v>131.77699999999999</v>
      </c>
      <c r="H27" s="4">
        <v>151.357</v>
      </c>
      <c r="I27" s="4">
        <v>153.756</v>
      </c>
      <c r="J27" s="4">
        <v>154.72</v>
      </c>
      <c r="K27" s="4">
        <v>155.875</v>
      </c>
      <c r="L27" s="4">
        <v>157.4</v>
      </c>
      <c r="M27" s="4">
        <v>158.708</v>
      </c>
      <c r="N27" s="4">
        <v>160.03800000000001</v>
      </c>
      <c r="O27" s="4">
        <v>161.32300000000001</v>
      </c>
      <c r="P27" s="4">
        <v>162.755</v>
      </c>
      <c r="Q27" s="4">
        <v>164.381</v>
      </c>
      <c r="R27" s="4">
        <v>167.465</v>
      </c>
      <c r="S27" s="4">
        <v>167.465</v>
      </c>
      <c r="T27" s="4">
        <v>174.44300000000001</v>
      </c>
      <c r="U27" s="4">
        <v>170.673</v>
      </c>
      <c r="V27" s="4">
        <f>+U27</f>
        <v>170.673</v>
      </c>
      <c r="W27" s="4"/>
      <c r="X27" s="4"/>
      <c r="AA27" s="3">
        <f>AVERAGE(K27:N27)</f>
        <v>158.00524999999999</v>
      </c>
      <c r="AB27" s="3">
        <f>AVERAGE(K27:N27)</f>
        <v>158.00524999999999</v>
      </c>
      <c r="AC27" s="3">
        <f>AVERAGE(K27:N27)</f>
        <v>158.00524999999999</v>
      </c>
      <c r="AD27" s="3">
        <f>AVERAGE(S27:V27)</f>
        <v>170.8135</v>
      </c>
    </row>
    <row r="29" spans="2:30" x14ac:dyDescent="0.2">
      <c r="B29" s="3" t="s">
        <v>53</v>
      </c>
      <c r="I29" s="8">
        <f>+I14/E14-1</f>
        <v>0.61321930821284498</v>
      </c>
      <c r="J29" s="8">
        <f>+J14/F14-1</f>
        <v>0.63165630058788436</v>
      </c>
      <c r="K29" s="8">
        <f>+K14/G14-1</f>
        <v>0.65311984574073922</v>
      </c>
      <c r="L29" s="8">
        <f>+L14/H14-1</f>
        <v>0.43203486529318558</v>
      </c>
      <c r="M29" s="8">
        <f>+M14/I14-1</f>
        <v>0.37162085091821595</v>
      </c>
      <c r="N29" s="8">
        <f t="shared" ref="N29:P29" si="34">+N14/J14-1</f>
        <v>0.33154054018772117</v>
      </c>
      <c r="O29" s="8">
        <f t="shared" si="34"/>
        <v>0.24836423315973533</v>
      </c>
      <c r="P29" s="8">
        <f t="shared" si="34"/>
        <v>0.23061395684440478</v>
      </c>
      <c r="Q29" s="8">
        <f t="shared" ref="Q29:V29" si="35">+Q14/M14-1</f>
        <v>0.2141372141372142</v>
      </c>
      <c r="R29" s="8">
        <f t="shared" si="35"/>
        <v>0.18627450980392157</v>
      </c>
      <c r="S29" s="8">
        <f t="shared" si="35"/>
        <v>0.19111969111969107</v>
      </c>
      <c r="T29" s="8">
        <f t="shared" si="35"/>
        <v>0.16187050359712241</v>
      </c>
      <c r="U29" s="8">
        <f t="shared" si="35"/>
        <v>0.13869863013698636</v>
      </c>
      <c r="V29" s="8">
        <f t="shared" si="35"/>
        <v>0.10413223140495864</v>
      </c>
      <c r="W29" s="8"/>
      <c r="X29" s="8"/>
      <c r="AB29" s="12">
        <f>+AB14/AA14-1</f>
        <v>0.42881754436429431</v>
      </c>
      <c r="AC29" s="12">
        <f t="shared" ref="AC29:AD29" si="36">+AC14/AB14-1</f>
        <v>0.21814022338850769</v>
      </c>
      <c r="AD29" s="12">
        <f t="shared" si="36"/>
        <v>0.1471498011489174</v>
      </c>
    </row>
    <row r="30" spans="2:30" x14ac:dyDescent="0.2">
      <c r="B30" s="3" t="s">
        <v>57</v>
      </c>
      <c r="E30" s="8">
        <f t="shared" ref="E30:K30" si="37">+E16/E14</f>
        <v>0.73820838259445487</v>
      </c>
      <c r="F30" s="8">
        <f t="shared" si="37"/>
        <v>0.739541620516316</v>
      </c>
      <c r="G30" s="8">
        <f t="shared" si="37"/>
        <v>0.73656805016613136</v>
      </c>
      <c r="H30" s="8">
        <f t="shared" si="37"/>
        <v>0.67953724247226621</v>
      </c>
      <c r="I30" s="8">
        <f t="shared" si="37"/>
        <v>0.68725333637504271</v>
      </c>
      <c r="J30" s="8">
        <f t="shared" si="37"/>
        <v>0.6879965536597783</v>
      </c>
      <c r="K30" s="8">
        <f t="shared" si="37"/>
        <v>0.68389634238919572</v>
      </c>
      <c r="L30" s="8">
        <f>+L16/L14</f>
        <v>0.69523712558681039</v>
      </c>
      <c r="M30" s="8">
        <f>+M16/M14</f>
        <v>0.71309771309771308</v>
      </c>
      <c r="N30" s="8">
        <f t="shared" ref="N30:O30" si="38">+N16/N14</f>
        <v>0.72745098039215683</v>
      </c>
      <c r="O30" s="8">
        <f t="shared" si="38"/>
        <v>0.72586872586872586</v>
      </c>
      <c r="P30" s="8">
        <f t="shared" ref="P30" si="39">+P16/P14</f>
        <v>0.73201438848920863</v>
      </c>
      <c r="Q30" s="8">
        <f t="shared" ref="Q30" si="40">+Q16/Q14</f>
        <v>0.75171232876712324</v>
      </c>
      <c r="R30" s="8">
        <f t="shared" ref="R30:V30" si="41">+R16/R14</f>
        <v>0.76033057851239672</v>
      </c>
      <c r="S30" s="8">
        <f t="shared" si="41"/>
        <v>0.76012965964343593</v>
      </c>
      <c r="T30" s="8">
        <f t="shared" si="41"/>
        <v>0.76006191950464397</v>
      </c>
      <c r="U30" s="8">
        <f t="shared" si="41"/>
        <v>0.76390977443609021</v>
      </c>
      <c r="V30" s="8">
        <f t="shared" si="41"/>
        <v>0.76</v>
      </c>
      <c r="W30" s="8"/>
      <c r="X30" s="8"/>
      <c r="AA30" s="8">
        <f t="shared" ref="AA30:AD30" si="42">+AA16/AA14</f>
        <v>0.69512021602813723</v>
      </c>
      <c r="AB30" s="8">
        <f t="shared" si="42"/>
        <v>0.70617198223657651</v>
      </c>
      <c r="AC30" s="8">
        <f t="shared" si="42"/>
        <v>0.74326115775519219</v>
      </c>
      <c r="AD30" s="8">
        <f t="shared" si="42"/>
        <v>0.76104776579352851</v>
      </c>
    </row>
    <row r="32" spans="2:30" s="3" customFormat="1" x14ac:dyDescent="0.2">
      <c r="B32" s="3" t="s">
        <v>3</v>
      </c>
      <c r="C32" s="4"/>
      <c r="D32" s="4"/>
      <c r="E32" s="4"/>
      <c r="F32" s="4"/>
      <c r="G32" s="4"/>
      <c r="H32" s="4"/>
      <c r="I32" s="4"/>
      <c r="J32" s="4"/>
      <c r="K32" s="4">
        <f>194.227+2292.902</f>
        <v>2487.1289999999999</v>
      </c>
      <c r="L32" s="4">
        <f>216.022+2260.956</f>
        <v>2476.9780000000001</v>
      </c>
      <c r="M32" s="4"/>
      <c r="N32" s="4"/>
      <c r="O32" s="4">
        <f>125+2245</f>
        <v>2370</v>
      </c>
      <c r="P32" s="4">
        <f>356+1750</f>
        <v>2106</v>
      </c>
      <c r="Q32" s="4">
        <f>400+1730</f>
        <v>2130</v>
      </c>
      <c r="R32" s="4"/>
      <c r="S32" s="4">
        <f>322+1998</f>
        <v>2320</v>
      </c>
      <c r="T32" s="4">
        <f>515+1843</f>
        <v>2358</v>
      </c>
      <c r="U32" s="4">
        <f>310+1938</f>
        <v>2248</v>
      </c>
      <c r="V32" s="4"/>
      <c r="W32" s="4"/>
      <c r="X32" s="4"/>
    </row>
    <row r="33" spans="2:24" s="3" customFormat="1" x14ac:dyDescent="0.2">
      <c r="B33" s="3" t="s">
        <v>35</v>
      </c>
      <c r="C33" s="4"/>
      <c r="D33" s="4"/>
      <c r="E33" s="4"/>
      <c r="F33" s="4"/>
      <c r="G33" s="4"/>
      <c r="H33" s="4"/>
      <c r="I33" s="4"/>
      <c r="J33" s="4"/>
      <c r="K33" s="4">
        <v>258.911</v>
      </c>
      <c r="L33" s="4">
        <v>323.37700000000001</v>
      </c>
      <c r="M33" s="4"/>
      <c r="N33" s="4"/>
      <c r="O33" s="4">
        <v>290</v>
      </c>
      <c r="P33" s="4">
        <v>388</v>
      </c>
      <c r="Q33" s="4">
        <v>418</v>
      </c>
      <c r="R33" s="4"/>
      <c r="S33" s="4">
        <v>307</v>
      </c>
      <c r="T33" s="4">
        <v>377</v>
      </c>
      <c r="U33" s="4">
        <v>463</v>
      </c>
      <c r="V33" s="4"/>
      <c r="W33" s="4"/>
      <c r="X33" s="4"/>
    </row>
    <row r="34" spans="2:24" s="3" customFormat="1" x14ac:dyDescent="0.2">
      <c r="B34" s="3" t="s">
        <v>36</v>
      </c>
      <c r="C34" s="4"/>
      <c r="D34" s="4"/>
      <c r="E34" s="4"/>
      <c r="F34" s="4"/>
      <c r="G34" s="4"/>
      <c r="H34" s="4"/>
      <c r="I34" s="4"/>
      <c r="J34" s="4"/>
      <c r="K34" s="4">
        <f>77.12+188.49</f>
        <v>265.61</v>
      </c>
      <c r="L34" s="4">
        <f>80.657+191.309</f>
        <v>271.96600000000001</v>
      </c>
      <c r="M34" s="4"/>
      <c r="N34" s="4"/>
      <c r="O34" s="4">
        <f>95+208</f>
        <v>303</v>
      </c>
      <c r="P34" s="4">
        <f>101+218</f>
        <v>319</v>
      </c>
      <c r="Q34" s="4">
        <f>104+220</f>
        <v>324</v>
      </c>
      <c r="R34" s="4"/>
      <c r="S34" s="4">
        <f>117+232</f>
        <v>349</v>
      </c>
      <c r="T34" s="4">
        <f>122+230</f>
        <v>352</v>
      </c>
      <c r="U34" s="4">
        <f>127+230</f>
        <v>357</v>
      </c>
      <c r="V34" s="4"/>
      <c r="W34" s="4"/>
      <c r="X34" s="4"/>
    </row>
    <row r="35" spans="2:24" s="3" customFormat="1" x14ac:dyDescent="0.2">
      <c r="B35" s="3" t="s">
        <v>37</v>
      </c>
      <c r="C35" s="4"/>
      <c r="D35" s="4"/>
      <c r="E35" s="4"/>
      <c r="F35" s="4"/>
      <c r="G35" s="4"/>
      <c r="H35" s="4"/>
      <c r="I35" s="4"/>
      <c r="J35" s="4"/>
      <c r="K35" s="4">
        <v>75.483000000000004</v>
      </c>
      <c r="L35" s="4">
        <f>64.49</f>
        <v>64.489999999999995</v>
      </c>
      <c r="M35" s="4"/>
      <c r="N35" s="4"/>
      <c r="O35" s="4">
        <v>88</v>
      </c>
      <c r="P35" s="4">
        <v>91</v>
      </c>
      <c r="Q35" s="4">
        <v>75</v>
      </c>
      <c r="R35" s="4"/>
      <c r="S35" s="4">
        <v>173</v>
      </c>
      <c r="T35" s="4">
        <v>181</v>
      </c>
      <c r="U35" s="4">
        <v>165</v>
      </c>
      <c r="V35" s="4"/>
      <c r="W35" s="4"/>
      <c r="X35" s="4"/>
    </row>
    <row r="36" spans="2:24" s="3" customFormat="1" x14ac:dyDescent="0.2">
      <c r="B36" s="3" t="s">
        <v>38</v>
      </c>
      <c r="C36" s="4"/>
      <c r="D36" s="4"/>
      <c r="E36" s="4"/>
      <c r="F36" s="4"/>
      <c r="G36" s="4"/>
      <c r="H36" s="4"/>
      <c r="I36" s="4"/>
      <c r="J36" s="4"/>
      <c r="K36" s="4">
        <v>66.418000000000006</v>
      </c>
      <c r="L36" s="4">
        <v>66.957999999999998</v>
      </c>
      <c r="M36" s="4"/>
      <c r="N36" s="4"/>
      <c r="O36" s="4">
        <v>54</v>
      </c>
      <c r="P36" s="4">
        <v>49</v>
      </c>
      <c r="Q36" s="4">
        <v>50</v>
      </c>
      <c r="R36" s="4"/>
      <c r="S36" s="4">
        <v>47</v>
      </c>
      <c r="T36" s="4">
        <v>47</v>
      </c>
      <c r="U36" s="4">
        <v>46</v>
      </c>
      <c r="V36" s="4"/>
      <c r="W36" s="4"/>
      <c r="X36" s="4"/>
    </row>
    <row r="37" spans="2:24" s="3" customFormat="1" x14ac:dyDescent="0.2">
      <c r="B37" s="3" t="s">
        <v>39</v>
      </c>
      <c r="C37" s="4"/>
      <c r="D37" s="4"/>
      <c r="E37" s="4"/>
      <c r="F37" s="4"/>
      <c r="G37" s="4"/>
      <c r="H37" s="4"/>
      <c r="I37" s="4"/>
      <c r="J37" s="4"/>
      <c r="K37" s="4">
        <v>144.73099999999999</v>
      </c>
      <c r="L37" s="4">
        <v>141.94</v>
      </c>
      <c r="M37" s="4"/>
      <c r="N37" s="4"/>
      <c r="O37" s="4">
        <v>114</v>
      </c>
      <c r="P37" s="4">
        <v>92</v>
      </c>
      <c r="Q37" s="4">
        <v>91</v>
      </c>
      <c r="R37" s="4"/>
      <c r="S37" s="4">
        <v>81</v>
      </c>
      <c r="T37" s="4">
        <v>82</v>
      </c>
      <c r="U37" s="4">
        <v>79</v>
      </c>
      <c r="V37" s="4"/>
      <c r="W37" s="4"/>
      <c r="X37" s="4"/>
    </row>
    <row r="38" spans="2:24" s="3" customFormat="1" x14ac:dyDescent="0.2">
      <c r="B38" s="3" t="s">
        <v>40</v>
      </c>
      <c r="C38" s="4"/>
      <c r="D38" s="4"/>
      <c r="E38" s="4"/>
      <c r="F38" s="4"/>
      <c r="G38" s="4"/>
      <c r="H38" s="4"/>
      <c r="I38" s="4"/>
      <c r="J38" s="4"/>
      <c r="K38" s="4">
        <f>298.823+5401.343</f>
        <v>5700.1660000000002</v>
      </c>
      <c r="L38" s="4">
        <f>281.47+5400.275</f>
        <v>5681.7449999999999</v>
      </c>
      <c r="M38" s="4"/>
      <c r="N38" s="4"/>
      <c r="O38" s="4">
        <f>227+5406</f>
        <v>5633</v>
      </c>
      <c r="P38" s="4">
        <f>211+5406</f>
        <v>5617</v>
      </c>
      <c r="Q38" s="4">
        <f>197+5406</f>
        <v>5603</v>
      </c>
      <c r="R38" s="4"/>
      <c r="S38" s="4">
        <f>184+5448</f>
        <v>5632</v>
      </c>
      <c r="T38" s="4">
        <f>168+5448</f>
        <v>5616</v>
      </c>
      <c r="U38" s="4">
        <f>151+5448</f>
        <v>5599</v>
      </c>
      <c r="V38" s="4"/>
      <c r="W38" s="4"/>
      <c r="X38" s="4"/>
    </row>
    <row r="39" spans="2:24" s="3" customFormat="1" x14ac:dyDescent="0.2">
      <c r="B39" s="3" t="s">
        <v>41</v>
      </c>
      <c r="C39" s="4"/>
      <c r="D39" s="4"/>
      <c r="E39" s="4"/>
      <c r="F39" s="4"/>
      <c r="G39" s="4"/>
      <c r="H39" s="4"/>
      <c r="I39" s="4"/>
      <c r="J39" s="4"/>
      <c r="K39" s="4">
        <v>47.232999999999997</v>
      </c>
      <c r="L39" s="4">
        <v>46.552999999999997</v>
      </c>
      <c r="M39" s="4"/>
      <c r="N39" s="4"/>
      <c r="O39" s="4">
        <v>48</v>
      </c>
      <c r="P39" s="4">
        <v>51</v>
      </c>
      <c r="Q39" s="4">
        <v>49</v>
      </c>
      <c r="R39" s="4"/>
      <c r="S39" s="4">
        <v>46</v>
      </c>
      <c r="T39" s="4">
        <v>54</v>
      </c>
      <c r="U39" s="4">
        <v>53</v>
      </c>
      <c r="V39" s="4"/>
      <c r="W39" s="4"/>
      <c r="X39" s="4"/>
    </row>
    <row r="40" spans="2:24" s="3" customFormat="1" x14ac:dyDescent="0.2">
      <c r="B40" s="3" t="s">
        <v>34</v>
      </c>
      <c r="C40" s="4"/>
      <c r="D40" s="4"/>
      <c r="E40" s="4"/>
      <c r="F40" s="4"/>
      <c r="G40" s="4"/>
      <c r="H40" s="4"/>
      <c r="I40" s="4"/>
      <c r="J40" s="4"/>
      <c r="K40" s="4">
        <f t="shared" ref="K40" si="43">SUM(K32:K39)</f>
        <v>9045.6810000000005</v>
      </c>
      <c r="L40" s="4">
        <f>SUM(L32:L39)</f>
        <v>9074.0069999999996</v>
      </c>
      <c r="M40" s="4"/>
      <c r="N40" s="4"/>
      <c r="O40" s="4">
        <f>SUM(O32:O39)</f>
        <v>8900</v>
      </c>
      <c r="P40" s="4">
        <f>SUM(P32:P39)</f>
        <v>8713</v>
      </c>
      <c r="Q40" s="4">
        <f t="shared" ref="Q40" si="44">SUM(Q32:Q39)</f>
        <v>8740</v>
      </c>
      <c r="R40" s="4"/>
      <c r="S40" s="4">
        <f t="shared" ref="S40:T40" si="45">SUM(S32:S39)</f>
        <v>8955</v>
      </c>
      <c r="T40" s="4">
        <f t="shared" si="45"/>
        <v>9067</v>
      </c>
      <c r="U40" s="4">
        <f>SUM(U32:U39)</f>
        <v>9010</v>
      </c>
      <c r="V40" s="4"/>
      <c r="W40" s="4"/>
      <c r="X40" s="4"/>
    </row>
    <row r="42" spans="2:24" s="3" customFormat="1" x14ac:dyDescent="0.2">
      <c r="B42" s="3" t="s">
        <v>43</v>
      </c>
      <c r="C42" s="4"/>
      <c r="D42" s="4"/>
      <c r="E42" s="4"/>
      <c r="F42" s="4"/>
      <c r="G42" s="4"/>
      <c r="H42" s="4"/>
      <c r="I42" s="4"/>
      <c r="J42" s="4"/>
      <c r="K42" s="4">
        <v>33.752000000000002</v>
      </c>
      <c r="L42" s="4">
        <v>43.707999999999998</v>
      </c>
      <c r="M42" s="4"/>
      <c r="N42" s="4"/>
      <c r="O42" s="4">
        <v>10</v>
      </c>
      <c r="P42" s="4">
        <v>13</v>
      </c>
      <c r="Q42" s="4">
        <v>11</v>
      </c>
      <c r="R42" s="4"/>
      <c r="S42" s="4">
        <v>12</v>
      </c>
      <c r="T42" s="4">
        <v>11</v>
      </c>
      <c r="U42" s="4">
        <v>12</v>
      </c>
      <c r="V42" s="4"/>
      <c r="W42" s="4"/>
      <c r="X42" s="4"/>
    </row>
    <row r="43" spans="2:24" s="3" customFormat="1" x14ac:dyDescent="0.2">
      <c r="B43" s="3" t="s">
        <v>44</v>
      </c>
      <c r="C43" s="4"/>
      <c r="D43" s="4"/>
      <c r="E43" s="4"/>
      <c r="F43" s="4"/>
      <c r="G43" s="4"/>
      <c r="H43" s="4"/>
      <c r="I43" s="4"/>
      <c r="J43" s="4"/>
      <c r="K43" s="4">
        <v>110.928</v>
      </c>
      <c r="L43" s="4">
        <v>106.477</v>
      </c>
      <c r="M43" s="4"/>
      <c r="N43" s="4"/>
      <c r="O43" s="4">
        <v>91</v>
      </c>
      <c r="P43" s="4">
        <v>95</v>
      </c>
      <c r="Q43" s="4">
        <v>108</v>
      </c>
      <c r="R43" s="4"/>
      <c r="S43" s="4">
        <v>166</v>
      </c>
      <c r="T43" s="4">
        <v>142</v>
      </c>
      <c r="U43" s="4">
        <v>151</v>
      </c>
      <c r="V43" s="4"/>
      <c r="W43" s="4"/>
      <c r="X43" s="4"/>
    </row>
    <row r="44" spans="2:24" s="3" customFormat="1" x14ac:dyDescent="0.2">
      <c r="B44" s="3" t="s">
        <v>45</v>
      </c>
      <c r="C44" s="4"/>
      <c r="D44" s="4"/>
      <c r="E44" s="4"/>
      <c r="F44" s="4"/>
      <c r="G44" s="4"/>
      <c r="H44" s="4"/>
      <c r="I44" s="4"/>
      <c r="J44" s="4"/>
      <c r="K44" s="4">
        <v>83.206999999999994</v>
      </c>
      <c r="L44" s="4">
        <v>87.093999999999994</v>
      </c>
      <c r="M44" s="4"/>
      <c r="N44" s="4"/>
      <c r="O44" s="4">
        <v>88</v>
      </c>
      <c r="P44" s="4">
        <v>123</v>
      </c>
      <c r="Q44" s="4">
        <v>168</v>
      </c>
      <c r="R44" s="4"/>
      <c r="S44" s="4">
        <v>117</v>
      </c>
      <c r="T44" s="4">
        <v>113</v>
      </c>
      <c r="U44" s="4">
        <v>147</v>
      </c>
      <c r="V44" s="4"/>
      <c r="W44" s="4"/>
      <c r="X44" s="4"/>
    </row>
    <row r="45" spans="2:24" s="3" customFormat="1" x14ac:dyDescent="0.2">
      <c r="B45" s="3" t="s">
        <v>4</v>
      </c>
      <c r="C45" s="4"/>
      <c r="D45" s="4"/>
      <c r="E45" s="4"/>
      <c r="F45" s="4"/>
      <c r="G45" s="4"/>
      <c r="H45" s="4"/>
      <c r="I45" s="4"/>
      <c r="J45" s="4"/>
      <c r="K45" s="4">
        <f>5.198+2188.675</f>
        <v>2193.873</v>
      </c>
      <c r="L45" s="4">
        <f>5.209+2190.11</f>
        <v>2195.319</v>
      </c>
      <c r="M45" s="4"/>
      <c r="N45" s="4"/>
      <c r="O45" s="4">
        <v>1831</v>
      </c>
      <c r="P45" s="4">
        <v>1451</v>
      </c>
      <c r="Q45" s="4">
        <v>1302</v>
      </c>
      <c r="R45" s="4"/>
      <c r="S45" s="4">
        <v>1155</v>
      </c>
      <c r="T45" s="4">
        <v>1113</v>
      </c>
      <c r="U45" s="4">
        <f>509+349</f>
        <v>858</v>
      </c>
      <c r="V45" s="4"/>
      <c r="W45" s="4"/>
      <c r="X45" s="4"/>
    </row>
    <row r="46" spans="2:24" s="3" customFormat="1" x14ac:dyDescent="0.2">
      <c r="B46" s="3" t="s">
        <v>42</v>
      </c>
      <c r="C46" s="4"/>
      <c r="D46" s="4"/>
      <c r="E46" s="4"/>
      <c r="F46" s="4"/>
      <c r="G46" s="4"/>
      <c r="H46" s="4"/>
      <c r="I46" s="4"/>
      <c r="J46" s="4"/>
      <c r="K46" s="4">
        <f>952.19+19.074</f>
        <v>971.26400000000001</v>
      </c>
      <c r="L46" s="4">
        <f>994.097+17.187</f>
        <v>1011.284</v>
      </c>
      <c r="M46" s="4"/>
      <c r="N46" s="4"/>
      <c r="O46" s="4">
        <f>1173+14</f>
        <v>1187</v>
      </c>
      <c r="P46" s="4">
        <f>1225+17</f>
        <v>1242</v>
      </c>
      <c r="Q46" s="4">
        <f>1256+18</f>
        <v>1274</v>
      </c>
      <c r="R46" s="4"/>
      <c r="S46" s="4">
        <f>19+1391</f>
        <v>1410</v>
      </c>
      <c r="T46" s="4">
        <f>1394+21</f>
        <v>1415</v>
      </c>
      <c r="U46" s="4">
        <f>1415+25</f>
        <v>1440</v>
      </c>
      <c r="V46" s="4"/>
      <c r="W46" s="4"/>
      <c r="X46" s="4"/>
    </row>
    <row r="47" spans="2:24" s="3" customFormat="1" x14ac:dyDescent="0.2">
      <c r="B47" s="3" t="s">
        <v>46</v>
      </c>
      <c r="C47" s="4"/>
      <c r="D47" s="4"/>
      <c r="E47" s="4"/>
      <c r="F47" s="4"/>
      <c r="G47" s="4"/>
      <c r="H47" s="4"/>
      <c r="I47" s="4"/>
      <c r="J47" s="4"/>
      <c r="K47" s="4">
        <v>163.86799999999999</v>
      </c>
      <c r="L47" s="4">
        <v>158.577</v>
      </c>
      <c r="M47" s="4"/>
      <c r="N47" s="4"/>
      <c r="O47" s="4">
        <v>134</v>
      </c>
      <c r="P47" s="4">
        <v>122</v>
      </c>
      <c r="Q47" s="4">
        <v>119</v>
      </c>
      <c r="R47" s="4"/>
      <c r="S47" s="4">
        <v>108</v>
      </c>
      <c r="T47" s="4">
        <v>107</v>
      </c>
      <c r="U47" s="4">
        <v>102</v>
      </c>
      <c r="V47" s="4"/>
      <c r="W47" s="4"/>
      <c r="X47" s="4"/>
    </row>
    <row r="48" spans="2:24" s="3" customFormat="1" x14ac:dyDescent="0.2">
      <c r="B48" s="3" t="s">
        <v>41</v>
      </c>
      <c r="C48" s="4"/>
      <c r="D48" s="4"/>
      <c r="E48" s="4"/>
      <c r="F48" s="4"/>
      <c r="G48" s="4"/>
      <c r="H48" s="4"/>
      <c r="I48" s="4"/>
      <c r="J48" s="4"/>
      <c r="K48" s="4">
        <v>16.094999999999999</v>
      </c>
      <c r="L48" s="4">
        <v>18.532</v>
      </c>
      <c r="M48" s="4"/>
      <c r="N48" s="4"/>
      <c r="O48" s="4">
        <v>25</v>
      </c>
      <c r="P48" s="4">
        <v>27</v>
      </c>
      <c r="Q48" s="4">
        <v>28</v>
      </c>
      <c r="R48" s="4"/>
      <c r="S48" s="4">
        <v>34</v>
      </c>
      <c r="T48" s="4">
        <v>33</v>
      </c>
      <c r="U48" s="4">
        <v>35</v>
      </c>
      <c r="V48" s="4"/>
      <c r="W48" s="4"/>
      <c r="X48" s="4"/>
    </row>
    <row r="49" spans="2:30" s="3" customFormat="1" x14ac:dyDescent="0.2">
      <c r="B49" s="3" t="s">
        <v>48</v>
      </c>
      <c r="C49" s="4"/>
      <c r="D49" s="4"/>
      <c r="E49" s="4"/>
      <c r="F49" s="4"/>
      <c r="G49" s="4"/>
      <c r="H49" s="4"/>
      <c r="I49" s="4"/>
      <c r="J49" s="4"/>
      <c r="K49" s="4">
        <v>5472.6940000000004</v>
      </c>
      <c r="L49" s="4">
        <v>5453.0159999999996</v>
      </c>
      <c r="M49" s="4"/>
      <c r="N49" s="4"/>
      <c r="O49" s="4">
        <v>5534</v>
      </c>
      <c r="P49" s="4">
        <v>5640</v>
      </c>
      <c r="Q49" s="4">
        <v>5730</v>
      </c>
      <c r="R49" s="4"/>
      <c r="S49" s="4">
        <v>5953</v>
      </c>
      <c r="T49" s="4">
        <v>6133</v>
      </c>
      <c r="U49" s="4">
        <v>6265</v>
      </c>
      <c r="V49" s="4"/>
      <c r="W49" s="4"/>
      <c r="X49" s="4"/>
    </row>
    <row r="50" spans="2:30" s="3" customFormat="1" x14ac:dyDescent="0.2">
      <c r="B50" s="3" t="s">
        <v>47</v>
      </c>
      <c r="C50" s="4"/>
      <c r="D50" s="4"/>
      <c r="E50" s="4"/>
      <c r="F50" s="4"/>
      <c r="G50" s="4"/>
      <c r="H50" s="4"/>
      <c r="I50" s="4"/>
      <c r="J50" s="4"/>
      <c r="K50" s="4">
        <f>SUM(K42:K49)</f>
        <v>9045.6810000000005</v>
      </c>
      <c r="L50" s="4">
        <f>SUM(L42:L49)</f>
        <v>9074.0069999999996</v>
      </c>
      <c r="M50" s="4"/>
      <c r="N50" s="4"/>
      <c r="O50" s="4">
        <f>SUM(O42:O49)</f>
        <v>8900</v>
      </c>
      <c r="P50" s="4">
        <f>SUM(P42:P49)</f>
        <v>8713</v>
      </c>
      <c r="Q50" s="4">
        <f t="shared" ref="Q50" si="46">SUM(Q42:Q49)</f>
        <v>8740</v>
      </c>
      <c r="R50" s="4"/>
      <c r="S50" s="4">
        <f t="shared" ref="S50:T50" si="47">SUM(S42:S49)</f>
        <v>8955</v>
      </c>
      <c r="T50" s="4">
        <f t="shared" si="47"/>
        <v>9067</v>
      </c>
      <c r="U50" s="4">
        <f>SUM(U42:U49)</f>
        <v>9010</v>
      </c>
      <c r="V50" s="4"/>
      <c r="W50" s="4"/>
      <c r="X50" s="4"/>
    </row>
    <row r="52" spans="2:30" x14ac:dyDescent="0.2">
      <c r="B52" s="3" t="s">
        <v>67</v>
      </c>
      <c r="O52" s="4">
        <f t="shared" ref="O52:R52" si="48">O25</f>
        <v>-143</v>
      </c>
      <c r="P52" s="4">
        <f t="shared" si="48"/>
        <v>-136</v>
      </c>
      <c r="Q52" s="4">
        <f t="shared" si="48"/>
        <v>-95</v>
      </c>
      <c r="R52" s="4">
        <f t="shared" si="48"/>
        <v>-74</v>
      </c>
      <c r="S52" s="4">
        <f>S25</f>
        <v>-40</v>
      </c>
      <c r="T52" s="4">
        <f>T25</f>
        <v>26</v>
      </c>
      <c r="U52" s="4">
        <f>U25</f>
        <v>0</v>
      </c>
      <c r="AA52" s="4">
        <f t="shared" ref="AA52:AD52" si="49">AA25</f>
        <v>-848.23200000000008</v>
      </c>
      <c r="AB52" s="4">
        <f t="shared" si="49"/>
        <v>-786.18499999999972</v>
      </c>
      <c r="AC52" s="4">
        <f t="shared" si="49"/>
        <v>-448</v>
      </c>
      <c r="AD52" s="4">
        <f t="shared" si="49"/>
        <v>-5.3199999999999363</v>
      </c>
    </row>
    <row r="53" spans="2:30" x14ac:dyDescent="0.2">
      <c r="B53" s="3" t="s">
        <v>68</v>
      </c>
      <c r="O53" s="2">
        <v>-119</v>
      </c>
      <c r="P53" s="2">
        <f>-230-O53</f>
        <v>-111</v>
      </c>
      <c r="Q53" s="2">
        <f>-311-P53-O53</f>
        <v>-81</v>
      </c>
      <c r="R53" s="2">
        <f t="shared" ref="R53:R59" si="50">+AC53-Q53-P53-O53</f>
        <v>-44</v>
      </c>
      <c r="S53" s="2">
        <v>-40</v>
      </c>
      <c r="T53" s="2">
        <f>-11-S53</f>
        <v>29</v>
      </c>
      <c r="U53" s="2">
        <f>5-T53-S53</f>
        <v>16</v>
      </c>
      <c r="AA53">
        <v>-848</v>
      </c>
      <c r="AB53">
        <v>-815</v>
      </c>
      <c r="AC53">
        <v>-355</v>
      </c>
    </row>
    <row r="54" spans="2:30" x14ac:dyDescent="0.2">
      <c r="B54" s="3" t="s">
        <v>74</v>
      </c>
      <c r="O54" s="2">
        <v>166</v>
      </c>
      <c r="P54" s="2">
        <f>351-O54</f>
        <v>185</v>
      </c>
      <c r="Q54" s="2">
        <f>523-P54-O54</f>
        <v>172</v>
      </c>
      <c r="R54" s="2">
        <f t="shared" si="50"/>
        <v>161</v>
      </c>
      <c r="S54" s="2">
        <v>151</v>
      </c>
      <c r="T54" s="2">
        <f>299-S54</f>
        <v>148</v>
      </c>
      <c r="U54" s="2">
        <f>434-T54-S54</f>
        <v>135</v>
      </c>
      <c r="AA54">
        <v>566</v>
      </c>
      <c r="AB54">
        <v>677</v>
      </c>
      <c r="AC54">
        <v>684</v>
      </c>
    </row>
    <row r="55" spans="2:30" x14ac:dyDescent="0.2">
      <c r="B55" s="3" t="s">
        <v>73</v>
      </c>
      <c r="O55" s="2">
        <v>25</v>
      </c>
      <c r="P55" s="2">
        <f>43-O55</f>
        <v>18</v>
      </c>
      <c r="Q55" s="2">
        <f>64-P55-O55</f>
        <v>21</v>
      </c>
      <c r="R55" s="2">
        <f t="shared" si="50"/>
        <v>20</v>
      </c>
      <c r="S55" s="2">
        <v>21</v>
      </c>
      <c r="T55" s="2">
        <f>42-S55</f>
        <v>21</v>
      </c>
      <c r="U55" s="2">
        <f>64-T55-S55</f>
        <v>22</v>
      </c>
      <c r="AA55">
        <v>108</v>
      </c>
      <c r="AB55">
        <v>114</v>
      </c>
      <c r="AC55">
        <v>84</v>
      </c>
    </row>
    <row r="56" spans="2:30" x14ac:dyDescent="0.2">
      <c r="B56" t="s">
        <v>72</v>
      </c>
      <c r="O56" s="2">
        <f>1+23</f>
        <v>24</v>
      </c>
      <c r="P56" s="2">
        <f>2+49-O56</f>
        <v>27</v>
      </c>
      <c r="Q56" s="2">
        <f>3+76-P56-O56</f>
        <v>28</v>
      </c>
      <c r="R56" s="2">
        <f t="shared" si="50"/>
        <v>28</v>
      </c>
      <c r="S56" s="2">
        <v>30</v>
      </c>
      <c r="T56" s="2">
        <f>62-S56</f>
        <v>32</v>
      </c>
      <c r="U56" s="2">
        <f>95-T56-S56</f>
        <v>33</v>
      </c>
      <c r="AA56">
        <f>86+57</f>
        <v>143</v>
      </c>
      <c r="AB56">
        <f>6+84</f>
        <v>90</v>
      </c>
      <c r="AC56">
        <f>3+104</f>
        <v>107</v>
      </c>
    </row>
    <row r="57" spans="2:30" x14ac:dyDescent="0.2">
      <c r="B57" t="s">
        <v>71</v>
      </c>
      <c r="O57" s="2">
        <v>1</v>
      </c>
      <c r="P57" s="2">
        <f>3-O57</f>
        <v>2</v>
      </c>
      <c r="Q57" s="2">
        <f>4-P57-O57</f>
        <v>1</v>
      </c>
      <c r="R57" s="2">
        <f t="shared" si="50"/>
        <v>2</v>
      </c>
      <c r="S57" s="2">
        <v>1</v>
      </c>
      <c r="T57" s="2">
        <f>-4-S57</f>
        <v>-5</v>
      </c>
      <c r="U57" s="2">
        <f>-2-T57-S57</f>
        <v>2</v>
      </c>
      <c r="AA57">
        <v>-6</v>
      </c>
      <c r="AB57">
        <v>7</v>
      </c>
      <c r="AC57">
        <v>6</v>
      </c>
    </row>
    <row r="58" spans="2:30" x14ac:dyDescent="0.2">
      <c r="B58" t="s">
        <v>41</v>
      </c>
      <c r="O58" s="2">
        <f>8-31+2</f>
        <v>-21</v>
      </c>
      <c r="P58" s="2">
        <f>25-73+4-O58</f>
        <v>-23</v>
      </c>
      <c r="Q58" s="2">
        <f>25-91+1+5-P58-O58</f>
        <v>-16</v>
      </c>
      <c r="R58" s="2">
        <f t="shared" si="50"/>
        <v>-8</v>
      </c>
      <c r="S58" s="2">
        <v>3</v>
      </c>
      <c r="T58" s="2">
        <f>-3+7-S58</f>
        <v>1</v>
      </c>
      <c r="U58" s="2">
        <f>-19+8-T58-S58</f>
        <v>-15</v>
      </c>
      <c r="AA58">
        <f>-8+9</f>
        <v>1</v>
      </c>
      <c r="AB58">
        <f>14-1+7</f>
        <v>20</v>
      </c>
      <c r="AC58">
        <f>28-106+10</f>
        <v>-68</v>
      </c>
    </row>
    <row r="59" spans="2:30" x14ac:dyDescent="0.2">
      <c r="B59" t="s">
        <v>70</v>
      </c>
      <c r="O59" s="2">
        <f>191-25-13+6-2-11-9-10-74</f>
        <v>53</v>
      </c>
      <c r="P59" s="2">
        <f>92-65-14+12+1+24-4-20-18-O59</f>
        <v>-45</v>
      </c>
      <c r="Q59" s="2">
        <f>61-102-1+18-1+70+9-29+14-P59-O59</f>
        <v>31</v>
      </c>
      <c r="R59" s="2">
        <f t="shared" si="50"/>
        <v>15</v>
      </c>
      <c r="S59" s="2">
        <f>251-26-70+5-51+54-9-101</f>
        <v>53</v>
      </c>
      <c r="T59" s="2">
        <f>181-59-82+10-1-55+33-18-96-S59</f>
        <v>-140</v>
      </c>
      <c r="U59" s="2">
        <f>94-97-60+16-1-21+44-26-70-T59-S59</f>
        <v>-34</v>
      </c>
      <c r="AA59">
        <f>-175-171-7+23+7+50+21-24+416</f>
        <v>140</v>
      </c>
      <c r="AB59">
        <f>-87-122-13+27-6-44+8-34+264</f>
        <v>-7</v>
      </c>
      <c r="AC59">
        <f>-79-158-32+23+68+21-39+250</f>
        <v>54</v>
      </c>
    </row>
    <row r="60" spans="2:30" x14ac:dyDescent="0.2">
      <c r="B60" t="s">
        <v>69</v>
      </c>
      <c r="O60" s="2">
        <f t="shared" ref="O60:R60" si="51">SUM(O53:O59)</f>
        <v>129</v>
      </c>
      <c r="P60" s="2">
        <f t="shared" si="51"/>
        <v>53</v>
      </c>
      <c r="Q60" s="2">
        <f t="shared" si="51"/>
        <v>156</v>
      </c>
      <c r="R60" s="2">
        <f t="shared" si="51"/>
        <v>174</v>
      </c>
      <c r="S60" s="2">
        <f>SUM(S53:S59)</f>
        <v>219</v>
      </c>
      <c r="T60" s="2">
        <f>SUM(T53:T59)</f>
        <v>86</v>
      </c>
      <c r="U60" s="2">
        <f>SUM(U53:U59)</f>
        <v>159</v>
      </c>
      <c r="AA60">
        <f>SUM(AA53:AA59)</f>
        <v>104</v>
      </c>
      <c r="AB60">
        <f>SUM(AB53:AB59)</f>
        <v>86</v>
      </c>
      <c r="AC60">
        <f>SUM(AC53:AC59)</f>
        <v>512</v>
      </c>
    </row>
    <row r="62" spans="2:30" x14ac:dyDescent="0.2">
      <c r="B62" t="s">
        <v>75</v>
      </c>
      <c r="O62" s="2">
        <v>-5</v>
      </c>
      <c r="P62" s="2">
        <f>-7-2-O62</f>
        <v>-4</v>
      </c>
      <c r="Q62" s="2">
        <f>-10-5-P62-O62-1</f>
        <v>-7</v>
      </c>
      <c r="R62" s="2">
        <f>+AC62-Q62-P62-O62</f>
        <v>16</v>
      </c>
      <c r="S62" s="2">
        <f>-4-1</f>
        <v>-5</v>
      </c>
      <c r="T62" s="2">
        <f>-7-6-S62</f>
        <v>-8</v>
      </c>
      <c r="U62" s="2">
        <f>-11-7-T62-S62</f>
        <v>-5</v>
      </c>
    </row>
    <row r="63" spans="2:30" x14ac:dyDescent="0.2">
      <c r="B63" t="s">
        <v>78</v>
      </c>
      <c r="O63" s="2">
        <f>-431+456+61</f>
        <v>86</v>
      </c>
      <c r="P63" s="2">
        <f>-577+1101+61-O63</f>
        <v>499</v>
      </c>
      <c r="Q63" s="2">
        <f>-1151+1702+61-P63-O63</f>
        <v>27</v>
      </c>
      <c r="R63" s="2">
        <f>+AC63-Q63-P63-O63</f>
        <v>-612</v>
      </c>
      <c r="S63" s="2">
        <f>-459+324+2</f>
        <v>-133</v>
      </c>
      <c r="T63" s="2">
        <f>-779+808+2-S63</f>
        <v>164</v>
      </c>
      <c r="U63" s="2">
        <f>-1253+1187+3-T63-S63</f>
        <v>-94</v>
      </c>
    </row>
    <row r="64" spans="2:30" x14ac:dyDescent="0.2">
      <c r="B64" t="s">
        <v>77</v>
      </c>
      <c r="O64" s="2">
        <v>-22</v>
      </c>
      <c r="P64" s="2">
        <f>-22-O64</f>
        <v>0</v>
      </c>
      <c r="Q64" s="2">
        <f>-22-P64-O64</f>
        <v>0</v>
      </c>
      <c r="R64" s="2">
        <f>+AC64-Q64-P64-O64</f>
        <v>22</v>
      </c>
      <c r="S64" s="2">
        <v>-56</v>
      </c>
      <c r="T64" s="2">
        <f>-56-S64</f>
        <v>0</v>
      </c>
      <c r="U64" s="2">
        <f>-56-T64-S64</f>
        <v>0</v>
      </c>
    </row>
    <row r="65" spans="2:21" x14ac:dyDescent="0.2">
      <c r="B65" t="s">
        <v>76</v>
      </c>
      <c r="O65" s="2">
        <f t="shared" ref="O65:U65" si="52">SUM(O62:O64)</f>
        <v>59</v>
      </c>
      <c r="P65" s="2">
        <f t="shared" si="52"/>
        <v>495</v>
      </c>
      <c r="Q65" s="2">
        <f t="shared" si="52"/>
        <v>20</v>
      </c>
      <c r="R65" s="2">
        <f t="shared" si="52"/>
        <v>-574</v>
      </c>
      <c r="S65" s="2">
        <f t="shared" si="52"/>
        <v>-194</v>
      </c>
      <c r="T65" s="2">
        <f t="shared" si="52"/>
        <v>156</v>
      </c>
      <c r="U65" s="2">
        <f t="shared" si="52"/>
        <v>-99</v>
      </c>
    </row>
    <row r="67" spans="2:21" x14ac:dyDescent="0.2">
      <c r="B67" t="s">
        <v>4</v>
      </c>
      <c r="O67" s="2">
        <v>-332</v>
      </c>
      <c r="P67" s="2">
        <f>-671-O67</f>
        <v>-339</v>
      </c>
      <c r="Q67" s="2">
        <f>-803-7-P67-O67</f>
        <v>-139</v>
      </c>
      <c r="R67" s="2">
        <f>+AC67-Q67-P67-O67</f>
        <v>810</v>
      </c>
      <c r="S67" s="2">
        <v>0</v>
      </c>
      <c r="T67" s="2">
        <f>-40-80</f>
        <v>-120</v>
      </c>
      <c r="U67" s="2">
        <f>-280-T67-S67</f>
        <v>-160</v>
      </c>
    </row>
    <row r="68" spans="2:21" x14ac:dyDescent="0.2">
      <c r="B68" t="s">
        <v>82</v>
      </c>
      <c r="O68" s="2">
        <v>6</v>
      </c>
      <c r="P68" s="2">
        <f>-4+8+26-O68</f>
        <v>24</v>
      </c>
      <c r="Q68" s="2">
        <f>10+26-P68-O68</f>
        <v>6</v>
      </c>
      <c r="R68" s="2">
        <f>+AC68-Q68-P68-O68</f>
        <v>-36</v>
      </c>
      <c r="S68" s="2">
        <f>-41+4</f>
        <v>-37</v>
      </c>
      <c r="T68" s="2">
        <f>9+24-S68</f>
        <v>70</v>
      </c>
      <c r="U68" s="2">
        <f>-113+17+24-T68-S68</f>
        <v>-105</v>
      </c>
    </row>
    <row r="69" spans="2:21" x14ac:dyDescent="0.2">
      <c r="B69" t="s">
        <v>81</v>
      </c>
      <c r="O69" s="2">
        <f>+O67+O68</f>
        <v>-326</v>
      </c>
      <c r="P69" s="2">
        <f>+P67+P68</f>
        <v>-315</v>
      </c>
      <c r="Q69" s="2">
        <f>+Q67+Q68</f>
        <v>-133</v>
      </c>
      <c r="R69" s="2">
        <f>+R67+R68</f>
        <v>774</v>
      </c>
      <c r="S69" s="2">
        <f>S68+S67</f>
        <v>-37</v>
      </c>
      <c r="T69" s="2">
        <f>T68+T67</f>
        <v>-50</v>
      </c>
      <c r="U69" s="2">
        <f>U68+U67</f>
        <v>-265</v>
      </c>
    </row>
    <row r="70" spans="2:21" x14ac:dyDescent="0.2">
      <c r="B70" t="s">
        <v>79</v>
      </c>
      <c r="O70" s="2">
        <v>1</v>
      </c>
      <c r="P70" s="2">
        <f>2-O70</f>
        <v>1</v>
      </c>
      <c r="Q70" s="2">
        <f>-1-P70-O70</f>
        <v>-3</v>
      </c>
      <c r="R70" s="2">
        <f>+AC70-Q70-P70-O70</f>
        <v>1</v>
      </c>
      <c r="S70" s="2">
        <v>-1</v>
      </c>
      <c r="T70" s="2">
        <f>0-S70</f>
        <v>1</v>
      </c>
      <c r="U70" s="2">
        <f>1-T70-S70</f>
        <v>1</v>
      </c>
    </row>
    <row r="71" spans="2:21" x14ac:dyDescent="0.2">
      <c r="B71" t="s">
        <v>80</v>
      </c>
      <c r="O71" s="2">
        <f t="shared" ref="O71:R71" si="53">+O70+O69+O65+O60</f>
        <v>-137</v>
      </c>
      <c r="P71" s="2">
        <f t="shared" si="53"/>
        <v>234</v>
      </c>
      <c r="Q71" s="2">
        <f t="shared" si="53"/>
        <v>40</v>
      </c>
      <c r="R71" s="2">
        <f t="shared" si="53"/>
        <v>375</v>
      </c>
      <c r="S71" s="2">
        <f>+S70+S69+S65+S60</f>
        <v>-13</v>
      </c>
      <c r="T71" s="2">
        <f>+T70+T69+T65+T60</f>
        <v>193</v>
      </c>
      <c r="U71" s="2">
        <f>+U70+U69+U65+U60</f>
        <v>-204</v>
      </c>
    </row>
    <row r="73" spans="2:21" x14ac:dyDescent="0.2">
      <c r="B73" t="s">
        <v>89</v>
      </c>
      <c r="R73" s="2">
        <f>SUM(O60:R60)</f>
        <v>512</v>
      </c>
      <c r="S73" s="2">
        <f>SUM(P60:S60)</f>
        <v>602</v>
      </c>
      <c r="T73" s="2">
        <f>SUM(Q60:T60)</f>
        <v>635</v>
      </c>
      <c r="U73" s="2">
        <f>SUM(R60:U60)</f>
        <v>638</v>
      </c>
    </row>
  </sheetData>
  <hyperlinks>
    <hyperlink ref="A1" location="Main!A1" display="Main" xr:uid="{2F08AB63-7AA4-42DF-9ED2-AFCD072B33A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2022-09-01T17:38:32Z</dcterms:created>
  <dcterms:modified xsi:type="dcterms:W3CDTF">2024-12-27T17:32:17Z</dcterms:modified>
</cp:coreProperties>
</file>