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FB2C10-CE83-4D88-B08A-D271B04CF3BB}" xr6:coauthVersionLast="47" xr6:coauthVersionMax="47" xr10:uidLastSave="{00000000-0000-0000-0000-000000000000}"/>
  <bookViews>
    <workbookView xWindow="-29895" yWindow="2400" windowWidth="20055" windowHeight="17745" xr2:uid="{9F6EDB6A-39BB-4789-9A38-F675B9B84B9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2" l="1"/>
  <c r="U20" i="2"/>
  <c r="U22" i="2" s="1"/>
  <c r="T20" i="2"/>
  <c r="T22" i="2" s="1"/>
  <c r="X22" i="2"/>
  <c r="W22" i="2"/>
  <c r="W21" i="2"/>
  <c r="W20" i="2"/>
  <c r="W19" i="2"/>
  <c r="X17" i="2"/>
  <c r="X18" i="2" s="1"/>
  <c r="V17" i="2"/>
  <c r="U17" i="2"/>
  <c r="U18" i="2" s="1"/>
  <c r="T17" i="2"/>
  <c r="T18" i="2" s="1"/>
  <c r="W18" i="2"/>
  <c r="W17" i="2"/>
  <c r="W16" i="2"/>
  <c r="W15" i="2"/>
  <c r="W14" i="2"/>
  <c r="W13" i="2"/>
  <c r="W12" i="2"/>
  <c r="W11" i="2"/>
  <c r="X27" i="2"/>
  <c r="X10" i="2"/>
  <c r="R10" i="2"/>
  <c r="Q10" i="2"/>
  <c r="W10" i="2"/>
  <c r="U27" i="2"/>
  <c r="V10" i="2"/>
  <c r="W27" i="2" s="1"/>
  <c r="H34" i="2"/>
  <c r="L27" i="2"/>
  <c r="M27" i="2"/>
  <c r="H19" i="2"/>
  <c r="H17" i="2"/>
  <c r="H18" i="2" s="1"/>
  <c r="I34" i="2"/>
  <c r="M34" i="2"/>
  <c r="I19" i="2"/>
  <c r="I17" i="2"/>
  <c r="I18" i="2" s="1"/>
  <c r="I20" i="2" s="1"/>
  <c r="I22" i="2" s="1"/>
  <c r="I23" i="2" s="1"/>
  <c r="M19" i="2"/>
  <c r="M17" i="2"/>
  <c r="M18" i="2" s="1"/>
  <c r="M20" i="2" s="1"/>
  <c r="M22" i="2" s="1"/>
  <c r="M23" i="2" s="1"/>
  <c r="K34" i="2"/>
  <c r="O34" i="2"/>
  <c r="L34" i="2"/>
  <c r="P34" i="2"/>
  <c r="N34" i="2"/>
  <c r="J34" i="2"/>
  <c r="J19" i="2"/>
  <c r="J17" i="2"/>
  <c r="J18" i="2" s="1"/>
  <c r="N27" i="2"/>
  <c r="N19" i="2"/>
  <c r="N17" i="2"/>
  <c r="N18" i="2" s="1"/>
  <c r="O27" i="2"/>
  <c r="K19" i="2"/>
  <c r="O19" i="2"/>
  <c r="K17" i="2"/>
  <c r="K18" i="2" s="1"/>
  <c r="O17" i="2"/>
  <c r="O18" i="2" s="1"/>
  <c r="P27" i="2"/>
  <c r="L19" i="2"/>
  <c r="P19" i="2"/>
  <c r="P17" i="2"/>
  <c r="P18" i="2" s="1"/>
  <c r="P20" i="2" s="1"/>
  <c r="P22" i="2" s="1"/>
  <c r="P23" i="2" s="1"/>
  <c r="L17" i="2"/>
  <c r="L18" i="2" s="1"/>
  <c r="K5" i="1"/>
  <c r="K7" i="1" s="1"/>
  <c r="K3" i="1"/>
  <c r="K4" i="1"/>
  <c r="V27" i="2" l="1"/>
  <c r="V18" i="2"/>
  <c r="V20" i="2" s="1"/>
  <c r="V22" i="2" s="1"/>
  <c r="J20" i="2"/>
  <c r="J22" i="2" s="1"/>
  <c r="J23" i="2" s="1"/>
  <c r="H20" i="2"/>
  <c r="H22" i="2" s="1"/>
  <c r="H23" i="2" s="1"/>
  <c r="N20" i="2"/>
  <c r="N22" i="2" s="1"/>
  <c r="N23" i="2" s="1"/>
  <c r="L20" i="2"/>
  <c r="L22" i="2" s="1"/>
  <c r="L23" i="2" s="1"/>
  <c r="K20" i="2"/>
  <c r="K22" i="2" s="1"/>
  <c r="K23" i="2" s="1"/>
  <c r="O20" i="2"/>
  <c r="O22" i="2" s="1"/>
  <c r="O23" i="2" s="1"/>
</calcChain>
</file>

<file path=xl/sharedStrings.xml><?xml version="1.0" encoding="utf-8"?>
<sst xmlns="http://schemas.openxmlformats.org/spreadsheetml/2006/main" count="55" uniqueCount="51">
  <si>
    <t>Price</t>
  </si>
  <si>
    <t>Shares</t>
  </si>
  <si>
    <t>MC</t>
  </si>
  <si>
    <t>Cash</t>
  </si>
  <si>
    <t>Debt</t>
  </si>
  <si>
    <t>EV</t>
  </si>
  <si>
    <t>Q224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</si>
  <si>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</si>
  <si>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</si>
  <si>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</si>
  <si>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</si>
  <si>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</si>
  <si>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</si>
  <si>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</si>
  <si>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</si>
  <si>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</si>
  <si>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</si>
  <si>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</si>
  <si>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</si>
  <si>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Main</t>
  </si>
  <si>
    <t>COGS</t>
  </si>
  <si>
    <t>M&amp;D</t>
  </si>
  <si>
    <t>SG&amp;A</t>
  </si>
  <si>
    <t>Content</t>
  </si>
  <si>
    <t>Tech</t>
  </si>
  <si>
    <t>Operating Expenses</t>
  </si>
  <si>
    <t>Operating Income</t>
  </si>
  <si>
    <t>Other</t>
  </si>
  <si>
    <t>Other Income</t>
  </si>
  <si>
    <t>EPS</t>
  </si>
  <si>
    <t>Net Income</t>
  </si>
  <si>
    <t>Taxes</t>
  </si>
  <si>
    <t>Pretax Income</t>
  </si>
  <si>
    <t>Revenue y/y</t>
  </si>
  <si>
    <t>CFFO</t>
  </si>
  <si>
    <t>CapEx</t>
  </si>
  <si>
    <t>FCF</t>
  </si>
  <si>
    <t>MAU</t>
  </si>
  <si>
    <t>DevEx</t>
  </si>
  <si>
    <t>GX MAU</t>
  </si>
  <si>
    <t>CEO: Yahui Zhou</t>
  </si>
  <si>
    <t>Founded: 1966</t>
  </si>
  <si>
    <t>Acquired Opera Norway for $575m in 2016.</t>
  </si>
  <si>
    <t>Advertising</t>
  </si>
  <si>
    <t>Search</t>
  </si>
  <si>
    <t>Q121</t>
  </si>
  <si>
    <t>Q221</t>
  </si>
  <si>
    <t>Q321</t>
  </si>
  <si>
    <t>Q421</t>
  </si>
  <si>
    <t>Smartphone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</si>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</sst>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D22D027-A23F-4A47-B6A9-BF0F3062D9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30079</xdr:colOff>
      <xdr:row>0</xdr:row>
      <xdr:rowOff>65171</xdr:rowOff>
    </xdr:from>
    <xdr:to>
      <xdr:col>16</xdr:col>
      <xdr:colOff>30079</xdr:colOff>
      <xdr:row>35</xdr:row>
      <xdr:rowOff>155407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92990D-44D7-AD4D-5CDB-8C98D7B1A8E3}"/>
            </a:ext>
          </a:extLst>
        </xdr:cNvPr>
        <xdr:cNvCxnSpPr/>
      </xdr:nvCxnSpPr>
      <xdr:spPr>
        <a:xfrm>
          <a:off x="7690184" y="65171"/>
          <a:ext cx="0" cy="49028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D65B-FC83-4817-AD82-BF5D0E39A7EA}">
  <dimension ref="J2:L11"/>
  <sheetViews>
    <sheetView tabSelected="1" zoomScale="145" zoomScaleNormal="145" workbookViewId="0"/>
  </sheetViews>
  <sheetFormatPr defaultRowHeight="12.75" x14ac:dyDescent="0.2"/>
  <sheetData>
    <row r="2" spans="10:12" x14ac:dyDescent="0.2">
      <c r="J2" t="s">
        <v>0</v>
      </c>
      <c r="K2" s="1">
        <v>14</v>
      </c>
    </row>
    <row r="3" spans="10:12" x14ac:dyDescent="0.2">
      <c r="J3" t="s">
        <v>1</v>
      </c>
      <c r="K3" s="2">
        <f>178.6/2</f>
        <v>89.3</v>
      </c>
      <c r="L3" s="3" t="s">
        <v>6</v>
      </c>
    </row>
    <row r="4" spans="10:12" x14ac:dyDescent="0.2">
      <c r="J4" t="s">
        <v>2</v>
      </c>
      <c r="K4" s="2">
        <f>+K2*K3</f>
        <v>1250.2</v>
      </c>
    </row>
    <row r="5" spans="10:12" x14ac:dyDescent="0.2">
      <c r="J5" t="s">
        <v>3</v>
      </c>
      <c r="K5" s="2">
        <f>104.356+253.3</f>
        <v>357.65600000000001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892.5440000000001</v>
      </c>
    </row>
    <row r="9" spans="10:12" x14ac:dyDescent="0.2">
      <c r="J9" t="s">
        <v>40</v>
      </c>
    </row>
    <row r="10" spans="10:12" x14ac:dyDescent="0.2">
      <c r="J10" t="s">
        <v>41</v>
      </c>
    </row>
    <row r="11" spans="10:12" x14ac:dyDescent="0.2">
      <c r="J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367F-A0F7-48A0-A6E4-386023DC1E94}">
  <dimension ref="A1:X34"/>
  <sheetViews>
    <sheetView zoomScale="190" zoomScaleNormal="190" workbookViewId="0">
      <pane xSplit="2" ySplit="2" topLeftCell="S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24" x14ac:dyDescent="0.2">
      <c r="A1" s="13" t="s">
        <v>19</v>
      </c>
    </row>
    <row r="2" spans="1:24" x14ac:dyDescent="0.2">
      <c r="C2" s="3" t="s">
        <v>45</v>
      </c>
      <c r="D2" s="3" t="s">
        <v>46</v>
      </c>
      <c r="E2" s="3" t="s">
        <v>47</v>
      </c>
      <c r="F2" s="3" t="s">
        <v>48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4" t="s">
        <v>16</v>
      </c>
      <c r="P2" s="3" t="s">
        <v>6</v>
      </c>
      <c r="Q2" s="3" t="s">
        <v>17</v>
      </c>
      <c r="R2" s="3" t="s">
        <v>18</v>
      </c>
      <c r="T2">
        <v>2020</v>
      </c>
      <c r="U2">
        <v>2021</v>
      </c>
      <c r="V2">
        <v>2022</v>
      </c>
      <c r="W2">
        <v>2023</v>
      </c>
      <c r="X2">
        <v>2024</v>
      </c>
    </row>
    <row r="3" spans="1:24" s="2" customFormat="1" x14ac:dyDescent="0.2">
      <c r="B3" s="2" t="s">
        <v>37</v>
      </c>
      <c r="C3" s="9">
        <v>370.6</v>
      </c>
      <c r="D3" s="9">
        <v>364.5</v>
      </c>
      <c r="E3" s="9">
        <v>351.7</v>
      </c>
      <c r="F3" s="9">
        <v>343.1</v>
      </c>
      <c r="G3" s="9">
        <v>337</v>
      </c>
      <c r="H3" s="9">
        <v>328.3</v>
      </c>
      <c r="I3" s="9">
        <v>323.8</v>
      </c>
      <c r="J3" s="9">
        <v>324.39999999999998</v>
      </c>
      <c r="K3" s="9"/>
      <c r="L3" s="9">
        <v>316</v>
      </c>
      <c r="M3" s="9">
        <v>311</v>
      </c>
      <c r="N3" s="9">
        <v>313</v>
      </c>
      <c r="O3" s="9"/>
      <c r="P3" s="9">
        <v>298</v>
      </c>
      <c r="Q3" s="9"/>
      <c r="R3" s="9"/>
    </row>
    <row r="4" spans="1:24" s="2" customFormat="1" x14ac:dyDescent="0.2">
      <c r="B4" s="2" t="s">
        <v>49</v>
      </c>
      <c r="C4" s="9">
        <v>225.9</v>
      </c>
      <c r="D4" s="9">
        <v>220</v>
      </c>
      <c r="E4" s="9">
        <v>215.6</v>
      </c>
      <c r="F4" s="9">
        <v>208.7</v>
      </c>
      <c r="G4" s="9">
        <v>203.4</v>
      </c>
      <c r="H4" s="9">
        <v>198.4</v>
      </c>
      <c r="I4" s="9">
        <v>198</v>
      </c>
      <c r="J4" s="9">
        <v>196.6</v>
      </c>
      <c r="K4" s="9"/>
      <c r="L4" s="9"/>
      <c r="M4" s="9"/>
      <c r="N4" s="9"/>
      <c r="O4" s="9"/>
      <c r="P4" s="9"/>
      <c r="Q4" s="9"/>
      <c r="R4" s="9"/>
    </row>
    <row r="5" spans="1:24" s="2" customFormat="1" x14ac:dyDescent="0.2">
      <c r="B5" s="2" t="s">
        <v>50</v>
      </c>
      <c r="C5" s="9">
        <v>62.4</v>
      </c>
      <c r="D5" s="9">
        <v>62.7</v>
      </c>
      <c r="E5" s="9">
        <v>59.2</v>
      </c>
      <c r="F5" s="9">
        <v>55.1</v>
      </c>
      <c r="G5" s="9">
        <v>55.1</v>
      </c>
      <c r="H5" s="9">
        <v>55.7</v>
      </c>
      <c r="I5" s="9">
        <v>52</v>
      </c>
      <c r="J5" s="9">
        <v>51.6</v>
      </c>
      <c r="K5" s="9"/>
      <c r="L5" s="9"/>
      <c r="M5" s="9"/>
      <c r="N5" s="9"/>
      <c r="O5" s="9"/>
      <c r="P5" s="9"/>
      <c r="Q5" s="9"/>
      <c r="R5" s="9"/>
    </row>
    <row r="6" spans="1:24" x14ac:dyDescent="0.2">
      <c r="B6" t="s">
        <v>39</v>
      </c>
      <c r="O6" s="4"/>
      <c r="P6" s="3">
        <v>30</v>
      </c>
    </row>
    <row r="7" spans="1:24" x14ac:dyDescent="0.2">
      <c r="O7" s="4"/>
    </row>
    <row r="8" spans="1:24" x14ac:dyDescent="0.2">
      <c r="B8" t="s">
        <v>44</v>
      </c>
      <c r="O8" s="4"/>
      <c r="T8" s="7">
        <v>84.18</v>
      </c>
      <c r="U8" s="7">
        <v>121.961</v>
      </c>
      <c r="V8" s="7">
        <v>140.16200000000001</v>
      </c>
      <c r="W8" s="7"/>
      <c r="X8" s="7"/>
    </row>
    <row r="9" spans="1:24" x14ac:dyDescent="0.2">
      <c r="B9" t="s">
        <v>43</v>
      </c>
      <c r="O9" s="4"/>
      <c r="T9" s="7">
        <v>71.292000000000002</v>
      </c>
      <c r="U9" s="7">
        <v>123.87</v>
      </c>
      <c r="V9" s="7">
        <v>187.4</v>
      </c>
      <c r="W9" s="7"/>
      <c r="X9" s="7"/>
    </row>
    <row r="10" spans="1:24" s="5" customFormat="1" x14ac:dyDescent="0.2">
      <c r="B10" s="5" t="s">
        <v>7</v>
      </c>
      <c r="C10" s="6"/>
      <c r="D10" s="6"/>
      <c r="E10" s="6"/>
      <c r="F10" s="6"/>
      <c r="G10" s="6"/>
      <c r="H10" s="6">
        <v>77.834000000000003</v>
      </c>
      <c r="I10" s="6">
        <v>85.346999999999994</v>
      </c>
      <c r="J10" s="6">
        <v>96.272000000000006</v>
      </c>
      <c r="K10" s="6">
        <v>87.051000000000002</v>
      </c>
      <c r="L10" s="6">
        <v>94.134</v>
      </c>
      <c r="M10" s="6">
        <v>102.639</v>
      </c>
      <c r="N10" s="6">
        <v>113.004</v>
      </c>
      <c r="O10" s="6">
        <v>101.871</v>
      </c>
      <c r="P10" s="6">
        <v>109.73399999999999</v>
      </c>
      <c r="Q10" s="6">
        <f>+M10*1.1</f>
        <v>112.9029</v>
      </c>
      <c r="R10" s="6">
        <f>+N10*1.1</f>
        <v>124.30440000000002</v>
      </c>
      <c r="T10" s="5">
        <v>165.05600000000001</v>
      </c>
      <c r="U10" s="5">
        <v>250.99100000000001</v>
      </c>
      <c r="V10" s="5">
        <f>+V8+V9</f>
        <v>327.56200000000001</v>
      </c>
      <c r="W10" s="5">
        <f>SUM(K10:N10)</f>
        <v>396.82800000000003</v>
      </c>
      <c r="X10" s="5">
        <f>SUM(O10:R10)</f>
        <v>448.81230000000005</v>
      </c>
    </row>
    <row r="11" spans="1:24" s="7" customFormat="1" x14ac:dyDescent="0.2">
      <c r="B11" s="7" t="s">
        <v>21</v>
      </c>
      <c r="C11" s="8"/>
      <c r="D11" s="8"/>
      <c r="E11" s="8"/>
      <c r="F11" s="8"/>
      <c r="G11" s="8"/>
      <c r="H11" s="8">
        <v>25.285</v>
      </c>
      <c r="I11" s="8">
        <v>26.004999999999999</v>
      </c>
      <c r="J11" s="8">
        <v>29.558</v>
      </c>
      <c r="K11" s="8">
        <v>24.396000000000001</v>
      </c>
      <c r="L11" s="8">
        <v>26.995999999999999</v>
      </c>
      <c r="M11" s="8">
        <v>28.405999999999999</v>
      </c>
      <c r="N11" s="8">
        <v>30.148</v>
      </c>
      <c r="O11" s="8">
        <v>29.466000000000001</v>
      </c>
      <c r="P11" s="8">
        <v>29.026</v>
      </c>
      <c r="Q11" s="8"/>
      <c r="R11" s="8"/>
      <c r="W11" s="7">
        <f>SUM(K11:N11)</f>
        <v>109.946</v>
      </c>
    </row>
    <row r="12" spans="1:24" s="7" customFormat="1" x14ac:dyDescent="0.2">
      <c r="B12" s="7" t="s">
        <v>20</v>
      </c>
      <c r="C12" s="8"/>
      <c r="D12" s="8"/>
      <c r="E12" s="8"/>
      <c r="F12" s="8"/>
      <c r="G12" s="8"/>
      <c r="H12" s="8">
        <v>9.7189999999999994</v>
      </c>
      <c r="I12" s="8">
        <v>13.868</v>
      </c>
      <c r="J12" s="8">
        <v>17.277000000000001</v>
      </c>
      <c r="K12" s="8">
        <v>15.164999999999999</v>
      </c>
      <c r="L12" s="8">
        <v>20.356999999999999</v>
      </c>
      <c r="M12" s="8">
        <v>23.332000000000001</v>
      </c>
      <c r="N12" s="8">
        <v>26.952999999999999</v>
      </c>
      <c r="O12" s="8">
        <v>19.285</v>
      </c>
      <c r="P12" s="8">
        <v>24.861999999999998</v>
      </c>
      <c r="Q12" s="8"/>
      <c r="R12" s="8"/>
      <c r="W12" s="7">
        <f>SUM(K12:N12)</f>
        <v>85.807000000000002</v>
      </c>
    </row>
    <row r="13" spans="1:24" s="7" customFormat="1" x14ac:dyDescent="0.2">
      <c r="B13" s="7" t="s">
        <v>22</v>
      </c>
      <c r="C13" s="8"/>
      <c r="D13" s="8"/>
      <c r="E13" s="8"/>
      <c r="F13" s="8"/>
      <c r="G13" s="8"/>
      <c r="H13" s="8">
        <v>19.071000000000002</v>
      </c>
      <c r="I13" s="8">
        <v>17.994</v>
      </c>
      <c r="J13" s="8">
        <v>21.094999999999999</v>
      </c>
      <c r="K13" s="8">
        <v>20.053000000000001</v>
      </c>
      <c r="L13" s="8">
        <v>21.37</v>
      </c>
      <c r="M13" s="8">
        <v>20.71</v>
      </c>
      <c r="N13" s="8">
        <v>20.617000000000001</v>
      </c>
      <c r="O13" s="8">
        <v>18.923999999999999</v>
      </c>
      <c r="P13" s="8">
        <v>19.78</v>
      </c>
      <c r="Q13" s="8"/>
      <c r="R13" s="8"/>
      <c r="W13" s="7">
        <f>SUM(K13:N13)</f>
        <v>82.75</v>
      </c>
    </row>
    <row r="14" spans="1:24" s="7" customFormat="1" x14ac:dyDescent="0.2">
      <c r="B14" s="7" t="s">
        <v>23</v>
      </c>
      <c r="C14" s="8"/>
      <c r="D14" s="8"/>
      <c r="E14" s="8"/>
      <c r="F14" s="8"/>
      <c r="G14" s="8"/>
      <c r="H14" s="8">
        <v>1.0589999999999999</v>
      </c>
      <c r="I14" s="8">
        <v>0.84099999999999997</v>
      </c>
      <c r="J14" s="8">
        <v>0.89100000000000001</v>
      </c>
      <c r="K14" s="8">
        <v>0.88900000000000001</v>
      </c>
      <c r="L14" s="8">
        <v>1.0940000000000001</v>
      </c>
      <c r="M14" s="8">
        <v>1.181</v>
      </c>
      <c r="N14" s="8">
        <v>1.133</v>
      </c>
      <c r="O14" s="8">
        <v>0.97</v>
      </c>
      <c r="P14" s="8">
        <v>0.90100000000000002</v>
      </c>
      <c r="Q14" s="8"/>
      <c r="R14" s="8"/>
      <c r="W14" s="7">
        <f>SUM(K14:N14)</f>
        <v>4.2970000000000006</v>
      </c>
    </row>
    <row r="15" spans="1:24" s="7" customFormat="1" x14ac:dyDescent="0.2">
      <c r="B15" s="7" t="s">
        <v>24</v>
      </c>
      <c r="C15" s="8"/>
      <c r="D15" s="8"/>
      <c r="E15" s="8"/>
      <c r="F15" s="8"/>
      <c r="G15" s="8"/>
      <c r="H15" s="8">
        <v>1.0640000000000001</v>
      </c>
      <c r="I15" s="8">
        <v>1.0369999999999999</v>
      </c>
      <c r="J15" s="8">
        <v>0.78400000000000003</v>
      </c>
      <c r="K15" s="8">
        <v>0.84099999999999997</v>
      </c>
      <c r="L15" s="8">
        <v>1.1140000000000001</v>
      </c>
      <c r="M15" s="8">
        <v>0.73599999999999999</v>
      </c>
      <c r="N15" s="8">
        <v>0.45400000000000001</v>
      </c>
      <c r="O15" s="8">
        <v>3.7629999999999999</v>
      </c>
      <c r="P15" s="8">
        <v>1.893</v>
      </c>
      <c r="Q15" s="8"/>
      <c r="R15" s="8"/>
      <c r="W15" s="7">
        <f>SUM(K15:N15)</f>
        <v>3.145</v>
      </c>
    </row>
    <row r="16" spans="1:24" s="7" customFormat="1" x14ac:dyDescent="0.2">
      <c r="B16" s="7" t="s">
        <v>27</v>
      </c>
      <c r="C16" s="8"/>
      <c r="D16" s="8"/>
      <c r="E16" s="8"/>
      <c r="F16" s="8"/>
      <c r="G16" s="8"/>
      <c r="H16" s="8">
        <v>6.4770000000000003</v>
      </c>
      <c r="I16" s="8">
        <v>5.77</v>
      </c>
      <c r="J16" s="8">
        <v>7.0019999999999998</v>
      </c>
      <c r="K16" s="8">
        <v>6.1070000000000002</v>
      </c>
      <c r="L16" s="8">
        <v>7.3150000000000004</v>
      </c>
      <c r="M16" s="8">
        <v>7.5519999999999996</v>
      </c>
      <c r="N16" s="8">
        <v>9.1690000000000005</v>
      </c>
      <c r="O16" s="8">
        <v>7.2240000000000002</v>
      </c>
      <c r="P16" s="8">
        <v>8.7409999999999997</v>
      </c>
      <c r="Q16" s="8"/>
      <c r="R16" s="8"/>
      <c r="W16" s="7">
        <f>SUM(K16:N16)</f>
        <v>30.143000000000001</v>
      </c>
    </row>
    <row r="17" spans="2:24" s="7" customFormat="1" x14ac:dyDescent="0.2">
      <c r="B17" s="7" t="s">
        <v>25</v>
      </c>
      <c r="C17" s="8"/>
      <c r="D17" s="8"/>
      <c r="E17" s="8"/>
      <c r="F17" s="8"/>
      <c r="G17" s="8"/>
      <c r="H17" s="8">
        <f>SUM(H11:H16)</f>
        <v>62.674999999999997</v>
      </c>
      <c r="I17" s="8">
        <f>SUM(I11:I16)</f>
        <v>65.515000000000001</v>
      </c>
      <c r="J17" s="8">
        <f>SUM(J11:J16)</f>
        <v>76.607000000000014</v>
      </c>
      <c r="K17" s="8">
        <f>SUM(K11:K16)</f>
        <v>67.451000000000008</v>
      </c>
      <c r="L17" s="8">
        <f>SUM(L11:L16)</f>
        <v>78.245999999999995</v>
      </c>
      <c r="M17" s="8">
        <f>SUM(M11:M16)</f>
        <v>81.917000000000002</v>
      </c>
      <c r="N17" s="8">
        <f>SUM(N11:N16)</f>
        <v>88.47399999999999</v>
      </c>
      <c r="O17" s="8">
        <f>SUM(O11:O16)</f>
        <v>79.632000000000019</v>
      </c>
      <c r="P17" s="8">
        <f>SUM(P11:P16)</f>
        <v>85.203000000000003</v>
      </c>
      <c r="Q17" s="8"/>
      <c r="R17" s="8"/>
      <c r="T17" s="7">
        <f t="shared" ref="T17:V17" si="0">SUM(T11:T16)</f>
        <v>0</v>
      </c>
      <c r="U17" s="7">
        <f t="shared" si="0"/>
        <v>0</v>
      </c>
      <c r="V17" s="7">
        <f t="shared" si="0"/>
        <v>0</v>
      </c>
      <c r="W17" s="7">
        <f>SUM(W11:W16)</f>
        <v>316.08799999999997</v>
      </c>
      <c r="X17" s="7">
        <f t="shared" ref="X17" si="1">SUM(X11:X16)</f>
        <v>0</v>
      </c>
    </row>
    <row r="18" spans="2:24" s="7" customFormat="1" x14ac:dyDescent="0.2">
      <c r="B18" s="7" t="s">
        <v>26</v>
      </c>
      <c r="C18" s="8"/>
      <c r="D18" s="8"/>
      <c r="E18" s="8"/>
      <c r="F18" s="8"/>
      <c r="G18" s="8"/>
      <c r="H18" s="8">
        <f>+H10-H17</f>
        <v>15.159000000000006</v>
      </c>
      <c r="I18" s="8">
        <f>+I10-I17</f>
        <v>19.831999999999994</v>
      </c>
      <c r="J18" s="8">
        <f>+J10-J17</f>
        <v>19.664999999999992</v>
      </c>
      <c r="K18" s="8">
        <f>+K10-K17</f>
        <v>19.599999999999994</v>
      </c>
      <c r="L18" s="8">
        <f>+L10-L17</f>
        <v>15.888000000000005</v>
      </c>
      <c r="M18" s="8">
        <f>+M10-M17</f>
        <v>20.721999999999994</v>
      </c>
      <c r="N18" s="8">
        <f>+N10-N17</f>
        <v>24.530000000000015</v>
      </c>
      <c r="O18" s="8">
        <f>+O10-O17</f>
        <v>22.238999999999976</v>
      </c>
      <c r="P18" s="8">
        <f>+P10-P17</f>
        <v>24.530999999999992</v>
      </c>
      <c r="Q18" s="8"/>
      <c r="R18" s="8"/>
      <c r="T18" s="7">
        <f t="shared" ref="T18:V18" si="2">+T10-T17</f>
        <v>165.05600000000001</v>
      </c>
      <c r="U18" s="7">
        <f t="shared" si="2"/>
        <v>250.99100000000001</v>
      </c>
      <c r="V18" s="7">
        <f t="shared" si="2"/>
        <v>327.56200000000001</v>
      </c>
      <c r="W18" s="7">
        <f>+W10-W17</f>
        <v>80.740000000000066</v>
      </c>
      <c r="X18" s="7">
        <f t="shared" ref="X18" si="3">+X10-X17</f>
        <v>448.81230000000005</v>
      </c>
    </row>
    <row r="19" spans="2:24" x14ac:dyDescent="0.2">
      <c r="B19" s="7" t="s">
        <v>28</v>
      </c>
      <c r="H19" s="8">
        <f>2.282-15.341</f>
        <v>-13.058999999999999</v>
      </c>
      <c r="I19" s="8">
        <f>2.545-4.747+0.08</f>
        <v>-2.1219999999999999</v>
      </c>
      <c r="J19" s="8">
        <f>43.606-35.62+0.148</f>
        <v>8.1340000000000039</v>
      </c>
      <c r="K19" s="8">
        <f>5.362-0.372+0.129</f>
        <v>5.1189999999999998</v>
      </c>
      <c r="L19" s="8">
        <f>1.361-0.08+0.051</f>
        <v>1.3319999999999999</v>
      </c>
      <c r="M19" s="8">
        <f>1.154-0.092+0.008</f>
        <v>1.0699999999999998</v>
      </c>
      <c r="N19" s="8">
        <f>0.999-0.099+0.478</f>
        <v>1.3780000000000001</v>
      </c>
      <c r="O19" s="8">
        <f>0.863-0.142+0.343</f>
        <v>1.0640000000000001</v>
      </c>
      <c r="P19" s="8">
        <f>0.936-0.173+1.281</f>
        <v>2.044</v>
      </c>
      <c r="W19" s="7">
        <f>SUM(K19:N19)</f>
        <v>8.8989999999999991</v>
      </c>
    </row>
    <row r="20" spans="2:24" x14ac:dyDescent="0.2">
      <c r="B20" s="7" t="s">
        <v>32</v>
      </c>
      <c r="H20" s="8">
        <f>+H18+H19</f>
        <v>2.1000000000000068</v>
      </c>
      <c r="I20" s="8">
        <f>+I18+I19</f>
        <v>17.709999999999994</v>
      </c>
      <c r="J20" s="8">
        <f>+J18+J19</f>
        <v>27.798999999999996</v>
      </c>
      <c r="K20" s="8">
        <f>+K18+K19</f>
        <v>24.718999999999994</v>
      </c>
      <c r="L20" s="8">
        <f>+L18+L19</f>
        <v>17.220000000000006</v>
      </c>
      <c r="M20" s="8">
        <f>+M18+M19</f>
        <v>21.791999999999994</v>
      </c>
      <c r="N20" s="8">
        <f>+N18+N19</f>
        <v>25.908000000000015</v>
      </c>
      <c r="O20" s="8">
        <f>+O18+O19</f>
        <v>23.302999999999976</v>
      </c>
      <c r="P20" s="8">
        <f>+P18+P19</f>
        <v>26.574999999999992</v>
      </c>
      <c r="T20" s="7">
        <f t="shared" ref="T20:V20" si="4">+T18+T19</f>
        <v>165.05600000000001</v>
      </c>
      <c r="U20" s="7">
        <f t="shared" si="4"/>
        <v>250.99100000000001</v>
      </c>
      <c r="V20" s="7">
        <f t="shared" si="4"/>
        <v>327.56200000000001</v>
      </c>
      <c r="W20" s="7">
        <f>+W18+W19</f>
        <v>89.639000000000067</v>
      </c>
      <c r="X20" s="7">
        <f t="shared" ref="X20" si="5">+X18+X19</f>
        <v>448.81230000000005</v>
      </c>
    </row>
    <row r="21" spans="2:24" x14ac:dyDescent="0.2">
      <c r="B21" s="7" t="s">
        <v>31</v>
      </c>
      <c r="H21" s="8">
        <v>3.742</v>
      </c>
      <c r="I21" s="8">
        <v>5.1669999999999998</v>
      </c>
      <c r="J21" s="8">
        <v>0.68100000000000005</v>
      </c>
      <c r="K21" s="8">
        <v>3.2690000000000001</v>
      </c>
      <c r="L21" s="8">
        <v>1.1479999999999999</v>
      </c>
      <c r="M21" s="8">
        <v>0.218</v>
      </c>
      <c r="N21" s="8">
        <v>2.0619999999999998</v>
      </c>
      <c r="O21" s="8">
        <v>4.6289999999999996</v>
      </c>
      <c r="P21" s="8">
        <v>2.8250000000000002</v>
      </c>
      <c r="W21" s="7">
        <f>SUM(K21:N21)</f>
        <v>6.6969999999999992</v>
      </c>
    </row>
    <row r="22" spans="2:24" x14ac:dyDescent="0.2">
      <c r="B22" s="7" t="s">
        <v>30</v>
      </c>
      <c r="H22" s="8">
        <f>+H20-H21</f>
        <v>-1.6419999999999932</v>
      </c>
      <c r="I22" s="8">
        <f>+I20-I21</f>
        <v>12.542999999999994</v>
      </c>
      <c r="J22" s="8">
        <f>+J20-J21</f>
        <v>27.117999999999995</v>
      </c>
      <c r="K22" s="8">
        <f>+K20-K21</f>
        <v>21.449999999999996</v>
      </c>
      <c r="L22" s="8">
        <f>+L20-L21</f>
        <v>16.072000000000006</v>
      </c>
      <c r="M22" s="8">
        <f>+M20-M21</f>
        <v>21.573999999999995</v>
      </c>
      <c r="N22" s="8">
        <f>+N20-N21</f>
        <v>23.846000000000014</v>
      </c>
      <c r="O22" s="8">
        <f>+O20-O21</f>
        <v>18.673999999999978</v>
      </c>
      <c r="P22" s="8">
        <f>+P20-P21</f>
        <v>23.749999999999993</v>
      </c>
      <c r="T22" s="7">
        <f t="shared" ref="T22:V22" si="6">+T20-T21</f>
        <v>165.05600000000001</v>
      </c>
      <c r="U22" s="7">
        <f t="shared" si="6"/>
        <v>250.99100000000001</v>
      </c>
      <c r="V22" s="7">
        <f t="shared" si="6"/>
        <v>327.56200000000001</v>
      </c>
      <c r="W22" s="7">
        <f>+W20-W21</f>
        <v>82.942000000000064</v>
      </c>
      <c r="X22" s="7">
        <f t="shared" ref="X22" si="7">+X20-X21</f>
        <v>448.81230000000005</v>
      </c>
    </row>
    <row r="23" spans="2:24" x14ac:dyDescent="0.2">
      <c r="B23" t="s">
        <v>29</v>
      </c>
      <c r="H23" s="4">
        <f>+H22/H24</f>
        <v>-1.4309368191721074E-2</v>
      </c>
      <c r="I23" s="4">
        <f>+I22/I24</f>
        <v>0.11005527770465907</v>
      </c>
      <c r="J23" s="4">
        <f>+J22/J24</f>
        <v>0.28659902768970613</v>
      </c>
      <c r="K23" s="4">
        <f>+K22/K24</f>
        <v>0.23665048543689315</v>
      </c>
      <c r="L23" s="4">
        <f>+L22/L24</f>
        <v>0.17600998762498227</v>
      </c>
      <c r="M23" s="4">
        <f>+M22/M24</f>
        <v>0.23653108211818874</v>
      </c>
      <c r="N23" s="4">
        <f>+N22/N24</f>
        <v>0.26709229390681022</v>
      </c>
      <c r="O23" s="4">
        <f>+O22/O24</f>
        <v>0.20925593904078865</v>
      </c>
      <c r="P23" s="4">
        <f>+P22/P24</f>
        <v>0.26591278060796053</v>
      </c>
    </row>
    <row r="24" spans="2:24" x14ac:dyDescent="0.2">
      <c r="B24" t="s">
        <v>1</v>
      </c>
      <c r="H24" s="8">
        <v>114.75</v>
      </c>
      <c r="I24" s="8">
        <v>113.97</v>
      </c>
      <c r="J24" s="8">
        <v>94.62</v>
      </c>
      <c r="K24" s="8">
        <v>90.64</v>
      </c>
      <c r="L24" s="8">
        <v>91.313000000000002</v>
      </c>
      <c r="M24" s="8">
        <v>91.21</v>
      </c>
      <c r="N24" s="10">
        <v>89.28</v>
      </c>
      <c r="O24" s="10">
        <v>89.24</v>
      </c>
      <c r="P24" s="10">
        <v>89.314999999999998</v>
      </c>
    </row>
    <row r="27" spans="2:24" x14ac:dyDescent="0.2">
      <c r="B27" t="s">
        <v>33</v>
      </c>
      <c r="L27" s="11">
        <f>+L10/H10-1</f>
        <v>0.20942004779402312</v>
      </c>
      <c r="M27" s="11">
        <f>+M10/I10-1</f>
        <v>0.20260817603430703</v>
      </c>
      <c r="N27" s="11">
        <f>+N10/J10-1</f>
        <v>0.17379923549941823</v>
      </c>
      <c r="O27" s="11">
        <f>+O10/K10-1</f>
        <v>0.17024502877623449</v>
      </c>
      <c r="P27" s="11">
        <f>+P10/L10-1</f>
        <v>0.1657212059404678</v>
      </c>
      <c r="U27" s="12">
        <f>U10/T10-1</f>
        <v>0.5206414792555254</v>
      </c>
      <c r="V27" s="12">
        <f>V10/U10-1</f>
        <v>0.30507468395281112</v>
      </c>
      <c r="W27" s="12">
        <f>W10/V10-1</f>
        <v>0.2114592046696504</v>
      </c>
      <c r="X27" s="12">
        <f>X10/W10-1</f>
        <v>0.13099957664277717</v>
      </c>
    </row>
    <row r="31" spans="2:24" s="7" customFormat="1" x14ac:dyDescent="0.2">
      <c r="B31" s="7" t="s">
        <v>34</v>
      </c>
      <c r="C31" s="8"/>
      <c r="D31" s="8"/>
      <c r="E31" s="8"/>
      <c r="F31" s="8"/>
      <c r="G31" s="8"/>
      <c r="H31" s="8">
        <v>1.6240000000000001</v>
      </c>
      <c r="I31" s="8">
        <v>16.233000000000001</v>
      </c>
      <c r="J31" s="8">
        <v>25.283999999999999</v>
      </c>
      <c r="K31" s="8">
        <v>31.021999999999998</v>
      </c>
      <c r="L31" s="8">
        <v>15.516999999999999</v>
      </c>
      <c r="M31" s="8">
        <v>18.032</v>
      </c>
      <c r="N31" s="8">
        <v>23.542000000000002</v>
      </c>
      <c r="O31" s="8">
        <v>25.727</v>
      </c>
      <c r="P31" s="8">
        <v>17.416</v>
      </c>
      <c r="Q31" s="8"/>
      <c r="R31" s="8"/>
    </row>
    <row r="32" spans="2:24" s="7" customFormat="1" x14ac:dyDescent="0.2">
      <c r="B32" s="7" t="s">
        <v>35</v>
      </c>
      <c r="C32" s="8"/>
      <c r="D32" s="8"/>
      <c r="E32" s="8"/>
      <c r="F32" s="8"/>
      <c r="G32" s="8"/>
      <c r="H32" s="8">
        <v>2.4769999999999999</v>
      </c>
      <c r="I32" s="8">
        <v>0.74099999999999999</v>
      </c>
      <c r="J32" s="8">
        <v>0.59399999999999997</v>
      </c>
      <c r="K32" s="8">
        <v>0.318</v>
      </c>
      <c r="L32" s="8">
        <v>0.219</v>
      </c>
      <c r="M32" s="8">
        <v>0.16500000000000001</v>
      </c>
      <c r="N32" s="8">
        <v>0.42899999999999999</v>
      </c>
      <c r="O32" s="8">
        <v>20.234000000000002</v>
      </c>
      <c r="P32" s="8">
        <v>1.232</v>
      </c>
      <c r="Q32" s="8"/>
      <c r="R32" s="8"/>
    </row>
    <row r="33" spans="2:18" s="7" customFormat="1" x14ac:dyDescent="0.2">
      <c r="B33" s="7" t="s">
        <v>38</v>
      </c>
      <c r="C33" s="8"/>
      <c r="D33" s="8"/>
      <c r="E33" s="8"/>
      <c r="F33" s="8"/>
      <c r="G33" s="8"/>
      <c r="H33" s="8">
        <v>2.081</v>
      </c>
      <c r="I33" s="8">
        <v>1.1890000000000001</v>
      </c>
      <c r="J33" s="8">
        <v>0.97699999999999998</v>
      </c>
      <c r="K33" s="8">
        <v>1.0660000000000001</v>
      </c>
      <c r="L33" s="8">
        <v>1.048</v>
      </c>
      <c r="M33" s="8">
        <v>1.988</v>
      </c>
      <c r="N33" s="8">
        <v>1.8779999999999999</v>
      </c>
      <c r="O33" s="8">
        <v>1.39</v>
      </c>
      <c r="P33" s="8">
        <v>1.7290000000000001</v>
      </c>
      <c r="Q33" s="8"/>
      <c r="R33" s="8"/>
    </row>
    <row r="34" spans="2:18" s="7" customFormat="1" x14ac:dyDescent="0.2">
      <c r="B34" s="7" t="s">
        <v>36</v>
      </c>
      <c r="C34" s="8"/>
      <c r="D34" s="8"/>
      <c r="E34" s="8"/>
      <c r="F34" s="8"/>
      <c r="G34" s="8"/>
      <c r="H34" s="8">
        <f>+H31-H32-H33</f>
        <v>-2.9339999999999997</v>
      </c>
      <c r="I34" s="8">
        <f>+I31-I32-I33</f>
        <v>14.303000000000001</v>
      </c>
      <c r="J34" s="8">
        <f>+J31-J32-J33</f>
        <v>23.712999999999997</v>
      </c>
      <c r="K34" s="8">
        <f>+K31-K32-K33</f>
        <v>29.637999999999998</v>
      </c>
      <c r="L34" s="8">
        <f>+L31-L32-L33</f>
        <v>14.25</v>
      </c>
      <c r="M34" s="8">
        <f>+M31-M32-M33</f>
        <v>15.879000000000001</v>
      </c>
      <c r="N34" s="8">
        <f>+N31-N32-N33</f>
        <v>21.235000000000003</v>
      </c>
      <c r="O34" s="8">
        <f>+O31-O32-O33</f>
        <v>4.1029999999999989</v>
      </c>
      <c r="P34" s="8">
        <f>+P31-P32-P33</f>
        <v>14.455000000000002</v>
      </c>
      <c r="Q34" s="8"/>
      <c r="R34" s="8"/>
    </row>
  </sheetData>
  <hyperlinks>
    <hyperlink ref="A1" location="Main!A1" display="Main" xr:uid="{13374652-6028-46CC-A8FE-5FA4B18CA59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2024-09-11T16:51:10Z</dcterms:created>
  <dcterms:modified xsi:type="dcterms:W3CDTF">2024-09-11T17:54:08Z</dcterms:modified>
</cp:coreProperties>
</file>