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C6B0BC3-1CD2-4E87-946D-73AC3C524D6B}" xr6:coauthVersionLast="47" xr6:coauthVersionMax="47" xr10:uidLastSave="{00000000-0000-0000-0000-000000000000}"/>
  <bookViews>
    <workbookView xWindow="-26700" yWindow="540" windowWidth="26490" windowHeight="19650" xr2:uid="{A54D3B08-E225-4A58-B8D9-88B8FEFFB1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2" l="1"/>
  <c r="S42" i="2"/>
  <c r="S43" i="2"/>
  <c r="S44" i="2"/>
  <c r="S47" i="2" s="1"/>
  <c r="S32" i="2"/>
  <c r="S30" i="2"/>
  <c r="S29" i="2"/>
  <c r="S31" i="2"/>
  <c r="S35" i="2"/>
  <c r="S26" i="2"/>
  <c r="S21" i="2"/>
  <c r="O21" i="2"/>
  <c r="S19" i="2"/>
  <c r="O19" i="2"/>
  <c r="O16" i="2"/>
  <c r="O27" i="2" s="1"/>
  <c r="S16" i="2"/>
  <c r="S27" i="2" s="1"/>
  <c r="R2" i="2"/>
  <c r="V2" i="2" s="1"/>
  <c r="Q2" i="2"/>
  <c r="U2" i="2" s="1"/>
  <c r="P2" i="2"/>
  <c r="T2" i="2" s="1"/>
  <c r="O2" i="2"/>
  <c r="S2" i="2" s="1"/>
  <c r="O20" i="2" l="1"/>
  <c r="O22" i="2" s="1"/>
  <c r="O24" i="2" s="1"/>
  <c r="S20" i="2"/>
  <c r="S22" i="2" s="1"/>
  <c r="S24" i="2" s="1"/>
  <c r="S37" i="2"/>
  <c r="M41" i="2" l="1"/>
  <c r="M47" i="2"/>
  <c r="M35" i="2"/>
  <c r="M29" i="2"/>
  <c r="M37" i="2"/>
  <c r="M18" i="2"/>
  <c r="M17" i="2"/>
  <c r="M15" i="2"/>
  <c r="M14" i="2"/>
  <c r="K4" i="1"/>
  <c r="K26" i="2"/>
  <c r="H23" i="2"/>
  <c r="I23" i="2" s="1"/>
  <c r="G21" i="2"/>
  <c r="G19" i="2"/>
  <c r="H17" i="2"/>
  <c r="I17" i="2" s="1"/>
  <c r="H18" i="2"/>
  <c r="I18" i="2" s="1"/>
  <c r="G16" i="2"/>
  <c r="G20" i="2" s="1"/>
  <c r="H15" i="2"/>
  <c r="I15" i="2" s="1"/>
  <c r="H14" i="2"/>
  <c r="I14" i="2" s="1"/>
  <c r="I16" i="2" s="1"/>
  <c r="L23" i="2"/>
  <c r="M23" i="2" s="1"/>
  <c r="K21" i="2"/>
  <c r="L21" i="2" s="1"/>
  <c r="K19" i="2"/>
  <c r="L17" i="2"/>
  <c r="L18" i="2"/>
  <c r="L15" i="2"/>
  <c r="L14" i="2"/>
  <c r="K16" i="2"/>
  <c r="K27" i="2" s="1"/>
  <c r="L12" i="2"/>
  <c r="L11" i="2"/>
  <c r="L10" i="2"/>
  <c r="L9" i="2"/>
  <c r="L5" i="2"/>
  <c r="L4" i="2"/>
  <c r="L45" i="2"/>
  <c r="L43" i="2"/>
  <c r="L42" i="2"/>
  <c r="L41" i="2"/>
  <c r="L35" i="2"/>
  <c r="L32" i="2"/>
  <c r="L29" i="2"/>
  <c r="L31" i="2"/>
  <c r="H19" i="2"/>
  <c r="L19" i="2"/>
  <c r="M19" i="2" l="1"/>
  <c r="K20" i="2"/>
  <c r="K22" i="2" s="1"/>
  <c r="K24" i="2" s="1"/>
  <c r="L26" i="2"/>
  <c r="L16" i="2"/>
  <c r="K7" i="1"/>
  <c r="I27" i="2"/>
  <c r="I19" i="2"/>
  <c r="I20" i="2" s="1"/>
  <c r="I22" i="2" s="1"/>
  <c r="I24" i="2" s="1"/>
  <c r="M26" i="2"/>
  <c r="M16" i="2"/>
  <c r="G22" i="2"/>
  <c r="G24" i="2" s="1"/>
  <c r="G27" i="2"/>
  <c r="H16" i="2"/>
  <c r="H21" i="2"/>
  <c r="L20" i="2"/>
  <c r="L22" i="2" s="1"/>
  <c r="L24" i="2" s="1"/>
  <c r="H20" i="2"/>
  <c r="H22" i="2" s="1"/>
  <c r="H24" i="2" s="1"/>
  <c r="L47" i="2"/>
  <c r="L37" i="2"/>
  <c r="L27" i="2"/>
  <c r="H27" i="2"/>
  <c r="M27" i="2" l="1"/>
  <c r="M20" i="2"/>
  <c r="M22" i="2" s="1"/>
  <c r="M24" i="2" s="1"/>
</calcChain>
</file>

<file path=xl/sharedStrings.xml><?xml version="1.0" encoding="utf-8"?>
<sst xmlns="http://schemas.openxmlformats.org/spreadsheetml/2006/main" count="95" uniqueCount="90">
  <si>
    <t>Price JPY</t>
  </si>
  <si>
    <t>Shares</t>
  </si>
  <si>
    <t>MC JPY</t>
  </si>
  <si>
    <t>Cash JPY</t>
  </si>
  <si>
    <t>Debt JPY</t>
  </si>
  <si>
    <t>EV JPY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</si>
  <si>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</si>
  <si>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</si>
  <si>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</si>
  <si>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</si>
  <si>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</si>
  <si>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</si>
  <si>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</si>
  <si>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</si>
  <si>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</si>
  <si>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</si>
  <si>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</si>
  <si>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</si>
  <si>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</si>
  <si>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</si>
  <si>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</si>
  <si>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</si>
  <si>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SG&amp;A</t>
  </si>
  <si>
    <t>R&amp;D</t>
  </si>
  <si>
    <t>OpEx</t>
  </si>
  <si>
    <t>OpInc</t>
  </si>
  <si>
    <t>Other</t>
  </si>
  <si>
    <t>Pretax</t>
  </si>
  <si>
    <t>Taxes</t>
  </si>
  <si>
    <t>Net Income</t>
  </si>
  <si>
    <t>Cash</t>
  </si>
  <si>
    <t>OCA</t>
  </si>
  <si>
    <t>Inventory</t>
  </si>
  <si>
    <t>AR</t>
  </si>
  <si>
    <t>Tax</t>
  </si>
  <si>
    <t>ONCA</t>
  </si>
  <si>
    <t>Assets</t>
  </si>
  <si>
    <t>Goodwill</t>
  </si>
  <si>
    <t>PP&amp;E</t>
  </si>
  <si>
    <t>OCL</t>
  </si>
  <si>
    <t>S/E</t>
  </si>
  <si>
    <t>Debt</t>
  </si>
  <si>
    <t>Provisions</t>
  </si>
  <si>
    <t>AP</t>
  </si>
  <si>
    <t>ONCL</t>
  </si>
  <si>
    <t>L+SE</t>
  </si>
  <si>
    <t>Pension</t>
  </si>
  <si>
    <t>Revenue y/y</t>
  </si>
  <si>
    <t>Gross Margin</t>
  </si>
  <si>
    <t>Xtandi</t>
  </si>
  <si>
    <t>Padcev</t>
  </si>
  <si>
    <t>Xospata</t>
  </si>
  <si>
    <t>Evrenzo</t>
  </si>
  <si>
    <t>Prograf</t>
  </si>
  <si>
    <t>Betanis</t>
  </si>
  <si>
    <t>ASP3082</t>
  </si>
  <si>
    <t>KRAS G12D PROTAC</t>
  </si>
  <si>
    <t>Name</t>
  </si>
  <si>
    <t>Xtandi (enzalutamide)</t>
  </si>
  <si>
    <t>Indication</t>
  </si>
  <si>
    <t>CRPC</t>
  </si>
  <si>
    <t>Economics</t>
  </si>
  <si>
    <t>PFE</t>
  </si>
  <si>
    <t>CEO: Naoki Okamura replacing Kenji Yasukawa</t>
  </si>
  <si>
    <t>Betanis/Myrbetriq/Betmiga</t>
  </si>
  <si>
    <t>Repatha</t>
  </si>
  <si>
    <t>Linzess</t>
  </si>
  <si>
    <t>Blincyto</t>
  </si>
  <si>
    <t>Evenity</t>
  </si>
  <si>
    <t>Cimzia</t>
  </si>
  <si>
    <t>Padcev (efortumab vedotin)</t>
  </si>
  <si>
    <t>Xospata (gilteritinib)</t>
  </si>
  <si>
    <t>SGEN</t>
  </si>
  <si>
    <t>Evrenzo (roxadustat)</t>
  </si>
  <si>
    <t>FGEN</t>
  </si>
  <si>
    <t>AT845</t>
  </si>
  <si>
    <t>Pompe</t>
  </si>
  <si>
    <t>AT132</t>
  </si>
  <si>
    <t>XLMTM</t>
  </si>
  <si>
    <t>Q123</t>
  </si>
  <si>
    <t>Q223</t>
  </si>
  <si>
    <t>Q323</t>
  </si>
  <si>
    <t>Q423</t>
  </si>
  <si>
    <t>Q124</t>
  </si>
  <si>
    <t>Q224</t>
  </si>
  <si>
    <t>Q324</t>
  </si>
  <si>
    <t>Q424</t>
  </si>
  <si>
    <t>Izervay</t>
  </si>
  <si>
    <t>Veozah</t>
  </si>
  <si>
    <t>Vyloy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</si>
</sst>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8634D8F-39B6-4BE4-B257-BA66D5F62B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3216</xdr:colOff>
      <xdr:row>0</xdr:row>
      <xdr:rowOff>0</xdr:rowOff>
    </xdr:from>
    <xdr:to>
      <xdr:col>13</xdr:col>
      <xdr:colOff>3216</xdr:colOff>
      <xdr:row>51</xdr:row>
      <xdr:rowOff>43296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BA3083-2871-715C-634B-1807AD7FEA07}"/>
            </a:ext>
          </a:extLst>
        </xdr:cNvPr>
        <xdr:cNvCxnSpPr/>
      </xdr:nvCxnSpPr>
      <xdr:spPr>
        <a:xfrm>
          <a:off x="8058645" y="0"/>
          <a:ext cx="0" cy="7881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F844-253E-42C7-896B-9951B83D0D9E}">
  <dimension ref="B2:L23"/>
  <sheetViews>
    <sheetView tabSelected="1" zoomScale="160" zoomScaleNormal="160" workbookViewId="0">
      <selection activeCell="K6" sqref="K6"/>
    </sheetView>
  </sheetViews>
  <sheetFormatPr defaultRowHeight="12.75" x14ac:dyDescent="0.2"/>
  <cols>
    <col min="1" max="1" width="4" customWidth="1"/>
    <col min="2" max="2" width="20.28515625" customWidth="1"/>
    <col min="3" max="3" width="11" customWidth="1"/>
    <col min="4" max="4" width="10.7109375" customWidth="1"/>
    <col min="10" max="10" width="9.85546875" customWidth="1"/>
    <col min="11" max="11" width="9.7109375" customWidth="1"/>
  </cols>
  <sheetData>
    <row r="2" spans="2:12" x14ac:dyDescent="0.2">
      <c r="B2" s="10" t="s">
        <v>57</v>
      </c>
      <c r="C2" s="13" t="s">
        <v>59</v>
      </c>
      <c r="D2" s="13" t="s">
        <v>61</v>
      </c>
      <c r="E2" s="13"/>
      <c r="F2" s="13"/>
      <c r="G2" s="13"/>
      <c r="H2" s="14"/>
      <c r="J2" t="s">
        <v>0</v>
      </c>
      <c r="K2" s="1">
        <v>1792</v>
      </c>
    </row>
    <row r="3" spans="2:12" x14ac:dyDescent="0.2">
      <c r="B3" s="5" t="s">
        <v>58</v>
      </c>
      <c r="C3" s="15" t="s">
        <v>60</v>
      </c>
      <c r="D3" s="15" t="s">
        <v>62</v>
      </c>
      <c r="E3" s="15"/>
      <c r="F3" s="15"/>
      <c r="G3" s="15"/>
      <c r="H3" s="16"/>
      <c r="J3" t="s">
        <v>1</v>
      </c>
      <c r="K3" s="1">
        <v>1822.6130000000001</v>
      </c>
      <c r="L3" s="2" t="s">
        <v>84</v>
      </c>
    </row>
    <row r="4" spans="2:12" x14ac:dyDescent="0.2">
      <c r="B4" s="5" t="s">
        <v>70</v>
      </c>
      <c r="C4" s="15"/>
      <c r="D4" s="15" t="s">
        <v>72</v>
      </c>
      <c r="E4" s="15"/>
      <c r="F4" s="15"/>
      <c r="G4" s="15"/>
      <c r="H4" s="16"/>
      <c r="J4" t="s">
        <v>2</v>
      </c>
      <c r="K4" s="1">
        <f>+K2*K3</f>
        <v>3266122.4960000003</v>
      </c>
      <c r="L4" s="2"/>
    </row>
    <row r="5" spans="2:12" x14ac:dyDescent="0.2">
      <c r="B5" s="5" t="s">
        <v>71</v>
      </c>
      <c r="C5" s="15"/>
      <c r="D5" s="15"/>
      <c r="E5" s="15"/>
      <c r="F5" s="15"/>
      <c r="G5" s="15"/>
      <c r="H5" s="16"/>
      <c r="J5" t="s">
        <v>3</v>
      </c>
      <c r="K5" s="1">
        <v>471543</v>
      </c>
      <c r="L5" s="2" t="s">
        <v>84</v>
      </c>
    </row>
    <row r="6" spans="2:12" x14ac:dyDescent="0.2">
      <c r="B6" s="5" t="s">
        <v>73</v>
      </c>
      <c r="C6" s="15"/>
      <c r="D6" s="15" t="s">
        <v>74</v>
      </c>
      <c r="E6" s="15"/>
      <c r="F6" s="15"/>
      <c r="G6" s="15"/>
      <c r="H6" s="16"/>
      <c r="J6" t="s">
        <v>4</v>
      </c>
      <c r="K6" s="1">
        <v>1202652</v>
      </c>
      <c r="L6" s="2" t="s">
        <v>84</v>
      </c>
    </row>
    <row r="7" spans="2:12" x14ac:dyDescent="0.2">
      <c r="B7" s="5" t="s">
        <v>53</v>
      </c>
      <c r="C7" s="15"/>
      <c r="D7" s="15"/>
      <c r="E7" s="15"/>
      <c r="F7" s="15"/>
      <c r="G7" s="15"/>
      <c r="H7" s="16"/>
      <c r="J7" t="s">
        <v>5</v>
      </c>
      <c r="K7" s="1">
        <f>+K4-K5+K6</f>
        <v>3997231.4960000003</v>
      </c>
    </row>
    <row r="8" spans="2:12" x14ac:dyDescent="0.2">
      <c r="B8" s="5" t="s">
        <v>65</v>
      </c>
      <c r="C8" s="15"/>
      <c r="D8" s="15"/>
      <c r="E8" s="15"/>
      <c r="F8" s="15"/>
      <c r="G8" s="15"/>
      <c r="H8" s="16"/>
      <c r="K8" s="1"/>
    </row>
    <row r="9" spans="2:12" x14ac:dyDescent="0.2">
      <c r="B9" s="5" t="s">
        <v>66</v>
      </c>
      <c r="C9" s="15"/>
      <c r="D9" s="15"/>
      <c r="E9" s="15"/>
      <c r="F9" s="15"/>
      <c r="G9" s="15"/>
      <c r="H9" s="16"/>
      <c r="K9" s="1"/>
    </row>
    <row r="10" spans="2:12" x14ac:dyDescent="0.2">
      <c r="B10" s="5" t="s">
        <v>67</v>
      </c>
      <c r="C10" s="15"/>
      <c r="D10" s="15"/>
      <c r="E10" s="15"/>
      <c r="F10" s="15"/>
      <c r="G10" s="15"/>
      <c r="H10" s="16"/>
      <c r="K10" s="1"/>
    </row>
    <row r="11" spans="2:12" x14ac:dyDescent="0.2">
      <c r="B11" s="5" t="s">
        <v>68</v>
      </c>
      <c r="C11" s="15"/>
      <c r="D11" s="15"/>
      <c r="E11" s="15"/>
      <c r="F11" s="15"/>
      <c r="G11" s="15"/>
      <c r="H11" s="16"/>
      <c r="K11" s="1"/>
    </row>
    <row r="12" spans="2:12" x14ac:dyDescent="0.2">
      <c r="B12" s="5" t="s">
        <v>69</v>
      </c>
      <c r="C12" s="15"/>
      <c r="D12" s="15"/>
      <c r="E12" s="15"/>
      <c r="F12" s="15"/>
      <c r="G12" s="15"/>
      <c r="H12" s="16"/>
      <c r="K12" s="1"/>
    </row>
    <row r="13" spans="2:12" x14ac:dyDescent="0.2">
      <c r="B13" s="7" t="s">
        <v>64</v>
      </c>
      <c r="C13" s="17"/>
      <c r="D13" s="17"/>
      <c r="E13" s="17"/>
      <c r="F13" s="17"/>
      <c r="G13" s="17"/>
      <c r="H13" s="18"/>
    </row>
    <row r="14" spans="2:12" x14ac:dyDescent="0.2">
      <c r="B14" s="10"/>
      <c r="C14" s="11"/>
      <c r="D14" s="11"/>
      <c r="E14" s="11"/>
      <c r="F14" s="11"/>
      <c r="G14" s="11"/>
      <c r="H14" s="12"/>
    </row>
    <row r="15" spans="2:12" x14ac:dyDescent="0.2">
      <c r="B15" s="5" t="s">
        <v>75</v>
      </c>
      <c r="C15" t="s">
        <v>76</v>
      </c>
      <c r="H15" s="6"/>
      <c r="J15" t="s">
        <v>63</v>
      </c>
    </row>
    <row r="16" spans="2:12" x14ac:dyDescent="0.2">
      <c r="B16" s="5" t="s">
        <v>77</v>
      </c>
      <c r="C16" t="s">
        <v>78</v>
      </c>
      <c r="H16" s="6"/>
    </row>
    <row r="17" spans="2:8" x14ac:dyDescent="0.2">
      <c r="B17" s="5"/>
      <c r="H17" s="6"/>
    </row>
    <row r="18" spans="2:8" x14ac:dyDescent="0.2">
      <c r="B18" s="5" t="s">
        <v>55</v>
      </c>
      <c r="C18" t="s">
        <v>56</v>
      </c>
      <c r="H18" s="6"/>
    </row>
    <row r="19" spans="2:8" x14ac:dyDescent="0.2">
      <c r="B19" s="5"/>
      <c r="H19" s="6"/>
    </row>
    <row r="20" spans="2:8" x14ac:dyDescent="0.2">
      <c r="B20" s="5"/>
      <c r="H20" s="6"/>
    </row>
    <row r="21" spans="2:8" x14ac:dyDescent="0.2">
      <c r="B21" s="5"/>
      <c r="H21" s="6"/>
    </row>
    <row r="22" spans="2:8" x14ac:dyDescent="0.2">
      <c r="B22" s="5"/>
      <c r="H22" s="6"/>
    </row>
    <row r="23" spans="2:8" x14ac:dyDescent="0.2">
      <c r="B23" s="7"/>
      <c r="C23" s="8"/>
      <c r="D23" s="8"/>
      <c r="E23" s="8"/>
      <c r="F23" s="8"/>
      <c r="G23" s="8"/>
      <c r="H23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DD14-34D2-4EF9-B844-A3F2BC725485}">
  <dimension ref="A1:V47"/>
  <sheetViews>
    <sheetView zoomScale="175" zoomScaleNormal="175" workbookViewId="0">
      <pane xSplit="2" ySplit="3" topLeftCell="L4" activePane="bottomRight" state="frozen"/>
      <selection pane="topRight" activeCell="C1" sqref="C1"/>
      <selection pane="bottomLeft" activeCell="A3" sqref="A3"/>
      <selection pane="bottomRight" activeCell="U18" sqref="U18"/>
    </sheetView>
  </sheetViews>
  <sheetFormatPr defaultRowHeight="12.75" x14ac:dyDescent="0.2"/>
  <cols>
    <col min="1" max="1" width="5" bestFit="1" customWidth="1"/>
    <col min="2" max="2" width="12.28515625" customWidth="1"/>
    <col min="3" max="4" width="9.140625" style="2"/>
    <col min="5" max="5" width="10.140625" style="2" bestFit="1" customWidth="1"/>
    <col min="6" max="8" width="9.140625" style="2"/>
    <col min="9" max="9" width="10.140625" style="2" bestFit="1" customWidth="1"/>
    <col min="10" max="10" width="9.140625" style="2"/>
    <col min="13" max="13" width="10.140625" bestFit="1" customWidth="1"/>
    <col min="15" max="22" width="9.5703125" customWidth="1"/>
  </cols>
  <sheetData>
    <row r="1" spans="1:22" x14ac:dyDescent="0.2">
      <c r="A1" s="23" t="s">
        <v>6</v>
      </c>
    </row>
    <row r="2" spans="1:22" s="19" customFormat="1" x14ac:dyDescent="0.2">
      <c r="C2" s="20">
        <v>44012</v>
      </c>
      <c r="D2" s="20">
        <v>44104</v>
      </c>
      <c r="E2" s="20">
        <v>44196</v>
      </c>
      <c r="F2" s="20">
        <v>44286</v>
      </c>
      <c r="G2" s="20">
        <v>44377</v>
      </c>
      <c r="H2" s="20">
        <v>44469</v>
      </c>
      <c r="I2" s="20">
        <v>44561</v>
      </c>
      <c r="J2" s="20">
        <v>44651</v>
      </c>
      <c r="K2" s="19">
        <v>44742</v>
      </c>
      <c r="L2" s="19">
        <v>44834</v>
      </c>
      <c r="M2" s="19">
        <v>44926</v>
      </c>
      <c r="N2" s="19">
        <v>45016</v>
      </c>
      <c r="O2" s="19">
        <f>+K2+365</f>
        <v>45107</v>
      </c>
      <c r="P2" s="19">
        <f>+L2+365</f>
        <v>45199</v>
      </c>
      <c r="Q2" s="19">
        <f>+M2+365</f>
        <v>45291</v>
      </c>
      <c r="R2" s="19">
        <f>+N2+366</f>
        <v>45382</v>
      </c>
      <c r="S2" s="19">
        <f>+O2+366</f>
        <v>45473</v>
      </c>
      <c r="T2" s="19">
        <f>+P2+366</f>
        <v>45565</v>
      </c>
      <c r="U2" s="19">
        <f>+Q2+366</f>
        <v>45657</v>
      </c>
      <c r="V2" s="19">
        <f>+R2+365</f>
        <v>45747</v>
      </c>
    </row>
    <row r="3" spans="1:22" x14ac:dyDescent="0.2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79</v>
      </c>
      <c r="P3" s="2" t="s">
        <v>80</v>
      </c>
      <c r="Q3" s="2" t="s">
        <v>81</v>
      </c>
      <c r="R3" s="2" t="s">
        <v>82</v>
      </c>
      <c r="S3" s="2" t="s">
        <v>83</v>
      </c>
      <c r="T3" s="2" t="s">
        <v>84</v>
      </c>
      <c r="U3" s="2" t="s">
        <v>85</v>
      </c>
      <c r="V3" s="2" t="s">
        <v>86</v>
      </c>
    </row>
    <row r="4" spans="1:22" s="1" customFormat="1" x14ac:dyDescent="0.2">
      <c r="B4" s="1" t="s">
        <v>49</v>
      </c>
      <c r="C4" s="3"/>
      <c r="D4" s="3"/>
      <c r="E4" s="3"/>
      <c r="F4" s="3"/>
      <c r="G4" s="3"/>
      <c r="H4" s="3"/>
      <c r="I4" s="3"/>
      <c r="J4" s="3"/>
      <c r="K4" s="3">
        <v>162400</v>
      </c>
      <c r="L4" s="3">
        <f>332000-K4</f>
        <v>169600</v>
      </c>
      <c r="M4" s="3">
        <v>179800</v>
      </c>
      <c r="N4" s="3"/>
      <c r="O4" s="1">
        <v>174100</v>
      </c>
      <c r="S4" s="1">
        <v>224200</v>
      </c>
    </row>
    <row r="5" spans="1:22" s="1" customFormat="1" x14ac:dyDescent="0.2">
      <c r="B5" s="1" t="s">
        <v>50</v>
      </c>
      <c r="C5" s="3"/>
      <c r="D5" s="3"/>
      <c r="E5" s="3"/>
      <c r="F5" s="3"/>
      <c r="G5" s="3"/>
      <c r="H5" s="3"/>
      <c r="I5" s="3"/>
      <c r="J5" s="3"/>
      <c r="K5" s="3">
        <v>10600</v>
      </c>
      <c r="L5" s="3">
        <f>20800-K5</f>
        <v>10200</v>
      </c>
      <c r="M5" s="3">
        <v>12300</v>
      </c>
      <c r="N5" s="3"/>
      <c r="O5" s="1">
        <v>15200</v>
      </c>
      <c r="S5" s="1">
        <v>38400</v>
      </c>
    </row>
    <row r="6" spans="1:22" s="1" customFormat="1" x14ac:dyDescent="0.2">
      <c r="B6" s="1" t="s">
        <v>87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>
        <v>0</v>
      </c>
      <c r="S6" s="1">
        <v>12700</v>
      </c>
    </row>
    <row r="7" spans="1:22" s="1" customFormat="1" x14ac:dyDescent="0.2">
      <c r="B7" s="1" t="s">
        <v>88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>
        <v>600</v>
      </c>
      <c r="S7" s="1">
        <v>6600</v>
      </c>
    </row>
    <row r="8" spans="1:22" s="1" customFormat="1" x14ac:dyDescent="0.2">
      <c r="B8" s="1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0</v>
      </c>
      <c r="S8" s="1">
        <v>300</v>
      </c>
    </row>
    <row r="9" spans="1:22" s="1" customFormat="1" x14ac:dyDescent="0.2">
      <c r="B9" s="1" t="s">
        <v>51</v>
      </c>
      <c r="C9" s="3"/>
      <c r="D9" s="3"/>
      <c r="E9" s="3"/>
      <c r="F9" s="3"/>
      <c r="G9" s="3"/>
      <c r="H9" s="3"/>
      <c r="I9" s="3"/>
      <c r="J9" s="3"/>
      <c r="K9" s="3">
        <v>10500</v>
      </c>
      <c r="L9" s="3">
        <f>23500-K9</f>
        <v>13000</v>
      </c>
      <c r="M9" s="3">
        <v>12800</v>
      </c>
      <c r="N9" s="3"/>
      <c r="O9" s="1">
        <v>13000</v>
      </c>
      <c r="S9" s="1">
        <v>17300</v>
      </c>
    </row>
    <row r="10" spans="1:22" s="1" customFormat="1" x14ac:dyDescent="0.2">
      <c r="B10" s="1" t="s">
        <v>52</v>
      </c>
      <c r="C10" s="3"/>
      <c r="D10" s="3"/>
      <c r="E10" s="3"/>
      <c r="F10" s="3"/>
      <c r="G10" s="3"/>
      <c r="H10" s="3"/>
      <c r="I10" s="3"/>
      <c r="J10" s="3"/>
      <c r="K10" s="3">
        <v>700</v>
      </c>
      <c r="L10" s="3">
        <f>1500-K10</f>
        <v>800</v>
      </c>
      <c r="M10" s="3">
        <v>900</v>
      </c>
      <c r="N10" s="3"/>
    </row>
    <row r="11" spans="1:22" s="1" customFormat="1" x14ac:dyDescent="0.2">
      <c r="B11" s="1" t="s">
        <v>53</v>
      </c>
      <c r="C11" s="3"/>
      <c r="D11" s="3"/>
      <c r="E11" s="3"/>
      <c r="F11" s="3"/>
      <c r="G11" s="3"/>
      <c r="H11" s="3"/>
      <c r="I11" s="3"/>
      <c r="J11" s="3"/>
      <c r="K11" s="3">
        <v>47900</v>
      </c>
      <c r="L11" s="3">
        <f>100400-K11</f>
        <v>52500</v>
      </c>
      <c r="M11" s="3">
        <v>51300</v>
      </c>
      <c r="N11" s="3"/>
      <c r="O11" s="1">
        <v>49100</v>
      </c>
      <c r="S11" s="1">
        <v>53900</v>
      </c>
    </row>
    <row r="12" spans="1:22" s="1" customFormat="1" x14ac:dyDescent="0.2">
      <c r="B12" s="1" t="s">
        <v>54</v>
      </c>
      <c r="C12" s="3"/>
      <c r="D12" s="3"/>
      <c r="E12" s="3"/>
      <c r="F12" s="3"/>
      <c r="G12" s="3"/>
      <c r="H12" s="3"/>
      <c r="I12" s="3"/>
      <c r="J12" s="3"/>
      <c r="K12" s="3">
        <v>51800</v>
      </c>
      <c r="L12" s="3">
        <f>93400-K12</f>
        <v>41600</v>
      </c>
      <c r="M12" s="3">
        <v>47700</v>
      </c>
      <c r="N12" s="3"/>
      <c r="O12" s="1">
        <v>49200</v>
      </c>
      <c r="S12" s="1">
        <v>46100</v>
      </c>
    </row>
    <row r="13" spans="1:22" x14ac:dyDescent="0.2">
      <c r="K13" s="2"/>
      <c r="L13" s="2"/>
      <c r="M13" s="2"/>
      <c r="N13" s="2"/>
    </row>
    <row r="14" spans="1:22" s="21" customFormat="1" x14ac:dyDescent="0.2">
      <c r="B14" s="21" t="s">
        <v>7</v>
      </c>
      <c r="C14" s="22"/>
      <c r="D14" s="22"/>
      <c r="E14" s="22"/>
      <c r="F14" s="22"/>
      <c r="G14" s="21">
        <v>326143</v>
      </c>
      <c r="H14" s="21">
        <f>651666-G14</f>
        <v>325523</v>
      </c>
      <c r="I14" s="22">
        <f>992293-H14-G14</f>
        <v>340627</v>
      </c>
      <c r="J14" s="22"/>
      <c r="K14" s="21">
        <v>381791</v>
      </c>
      <c r="L14" s="21">
        <f>762185-K14</f>
        <v>380394</v>
      </c>
      <c r="M14" s="21">
        <f>1164365-L14-K14</f>
        <v>402180</v>
      </c>
      <c r="O14" s="21">
        <v>374990</v>
      </c>
      <c r="S14" s="21">
        <v>473124</v>
      </c>
    </row>
    <row r="15" spans="1:22" s="1" customFormat="1" x14ac:dyDescent="0.2">
      <c r="B15" s="1" t="s">
        <v>20</v>
      </c>
      <c r="C15" s="3"/>
      <c r="D15" s="3"/>
      <c r="E15" s="3"/>
      <c r="F15" s="3"/>
      <c r="G15" s="1">
        <v>62231</v>
      </c>
      <c r="H15" s="1">
        <f>124736-G15</f>
        <v>62505</v>
      </c>
      <c r="I15" s="3">
        <f>194094-H15-G15</f>
        <v>69358</v>
      </c>
      <c r="J15" s="3"/>
      <c r="K15" s="1">
        <v>88870</v>
      </c>
      <c r="L15" s="1">
        <f>151651-K15</f>
        <v>62781</v>
      </c>
      <c r="M15" s="1">
        <f>226073-L15-K15</f>
        <v>74422</v>
      </c>
      <c r="O15" s="1">
        <v>68947</v>
      </c>
      <c r="S15" s="1">
        <v>91136</v>
      </c>
    </row>
    <row r="16" spans="1:22" s="1" customFormat="1" x14ac:dyDescent="0.2">
      <c r="B16" s="1" t="s">
        <v>21</v>
      </c>
      <c r="C16" s="3"/>
      <c r="D16" s="3"/>
      <c r="E16" s="3"/>
      <c r="F16" s="3"/>
      <c r="G16" s="1">
        <f>+G14-G15</f>
        <v>263912</v>
      </c>
      <c r="H16" s="1">
        <f>+H14-H15</f>
        <v>263018</v>
      </c>
      <c r="I16" s="1">
        <f>+I14-I15</f>
        <v>271269</v>
      </c>
      <c r="J16" s="3"/>
      <c r="K16" s="1">
        <f>+K14-K15</f>
        <v>292921</v>
      </c>
      <c r="L16" s="1">
        <f>+L14-L15</f>
        <v>317613</v>
      </c>
      <c r="M16" s="1">
        <f>+M14-M15</f>
        <v>327758</v>
      </c>
      <c r="O16" s="1">
        <f>+O14-O15</f>
        <v>306043</v>
      </c>
      <c r="S16" s="1">
        <f>+S14-S15</f>
        <v>381988</v>
      </c>
    </row>
    <row r="17" spans="2:19" s="1" customFormat="1" x14ac:dyDescent="0.2">
      <c r="B17" s="1" t="s">
        <v>22</v>
      </c>
      <c r="C17" s="3"/>
      <c r="D17" s="3"/>
      <c r="E17" s="3"/>
      <c r="F17" s="3"/>
      <c r="G17" s="1">
        <v>137109</v>
      </c>
      <c r="H17" s="1">
        <f>270506-G17</f>
        <v>133397</v>
      </c>
      <c r="I17" s="3">
        <f>406420-H17-G17</f>
        <v>135914</v>
      </c>
      <c r="J17" s="3"/>
      <c r="K17" s="1">
        <v>153396</v>
      </c>
      <c r="L17" s="1">
        <f>307956-K17</f>
        <v>154560</v>
      </c>
      <c r="M17" s="1">
        <f>470977-L17-K17</f>
        <v>163021</v>
      </c>
      <c r="O17" s="1">
        <v>168182</v>
      </c>
      <c r="S17" s="1">
        <v>206877</v>
      </c>
    </row>
    <row r="18" spans="2:19" s="1" customFormat="1" x14ac:dyDescent="0.2">
      <c r="B18" s="1" t="s">
        <v>23</v>
      </c>
      <c r="C18" s="3"/>
      <c r="D18" s="3"/>
      <c r="E18" s="3"/>
      <c r="F18" s="3"/>
      <c r="G18" s="1">
        <v>58313</v>
      </c>
      <c r="H18" s="1">
        <f>119060-G18</f>
        <v>60747</v>
      </c>
      <c r="I18" s="3">
        <f>177648-H18-G18</f>
        <v>58588</v>
      </c>
      <c r="J18" s="3"/>
      <c r="K18" s="1">
        <v>74007</v>
      </c>
      <c r="L18" s="1">
        <f>139177-K18</f>
        <v>65170</v>
      </c>
      <c r="M18" s="1">
        <f>206052-L18-K18</f>
        <v>66875</v>
      </c>
      <c r="O18" s="1">
        <v>64592</v>
      </c>
      <c r="S18" s="1">
        <v>86821</v>
      </c>
    </row>
    <row r="19" spans="2:19" s="1" customFormat="1" x14ac:dyDescent="0.2">
      <c r="B19" s="1" t="s">
        <v>24</v>
      </c>
      <c r="C19" s="3"/>
      <c r="D19" s="3"/>
      <c r="E19" s="3"/>
      <c r="F19" s="3"/>
      <c r="G19" s="1">
        <f>+G17+G18</f>
        <v>195422</v>
      </c>
      <c r="H19" s="1">
        <f>+H17+H18</f>
        <v>194144</v>
      </c>
      <c r="I19" s="1">
        <f>+I17+I18</f>
        <v>194502</v>
      </c>
      <c r="J19" s="3"/>
      <c r="K19" s="1">
        <f t="shared" ref="K19" si="0">+K17+K18</f>
        <v>227403</v>
      </c>
      <c r="L19" s="1">
        <f>+L17+L18</f>
        <v>219730</v>
      </c>
      <c r="M19" s="1">
        <f>+M17+M18</f>
        <v>229896</v>
      </c>
      <c r="O19" s="1">
        <f>+O17+O18</f>
        <v>232774</v>
      </c>
      <c r="S19" s="1">
        <f t="shared" ref="P19:S19" si="1">+S17+S18</f>
        <v>293698</v>
      </c>
    </row>
    <row r="20" spans="2:19" s="1" customFormat="1" x14ac:dyDescent="0.2">
      <c r="B20" s="1" t="s">
        <v>25</v>
      </c>
      <c r="C20" s="3"/>
      <c r="D20" s="3"/>
      <c r="E20" s="3"/>
      <c r="F20" s="3"/>
      <c r="G20" s="1">
        <f>+G16-G19</f>
        <v>68490</v>
      </c>
      <c r="H20" s="1">
        <f>+H16-H19</f>
        <v>68874</v>
      </c>
      <c r="I20" s="1">
        <f>+I16-I19</f>
        <v>76767</v>
      </c>
      <c r="J20" s="3"/>
      <c r="K20" s="1">
        <f t="shared" ref="K20" si="2">+K16-K19</f>
        <v>65518</v>
      </c>
      <c r="L20" s="1">
        <f>+L16-L19</f>
        <v>97883</v>
      </c>
      <c r="M20" s="1">
        <f>+M16-M19</f>
        <v>97862</v>
      </c>
      <c r="O20" s="1">
        <f>+O16-O19</f>
        <v>73269</v>
      </c>
      <c r="S20" s="1">
        <f t="shared" ref="P20:S20" si="3">+S16-S19</f>
        <v>88290</v>
      </c>
    </row>
    <row r="21" spans="2:19" s="1" customFormat="1" x14ac:dyDescent="0.2">
      <c r="B21" s="1" t="s">
        <v>26</v>
      </c>
      <c r="C21" s="3"/>
      <c r="D21" s="3"/>
      <c r="E21" s="3"/>
      <c r="F21" s="3"/>
      <c r="G21" s="3">
        <f>403-27133+1457-1717+292</f>
        <v>-26698</v>
      </c>
      <c r="H21" s="3">
        <f>2847-37972+1888-2972+308-G21</f>
        <v>-9203</v>
      </c>
      <c r="I21" s="3"/>
      <c r="J21" s="3"/>
      <c r="K21" s="1">
        <f>350+16291-38436+927-2396</f>
        <v>-23264</v>
      </c>
      <c r="L21" s="3">
        <f>16250-41743+4493-3904+1779-K21</f>
        <v>139</v>
      </c>
      <c r="O21" s="1">
        <f>4333-4495</f>
        <v>-162</v>
      </c>
      <c r="S21" s="1">
        <f>3776-2720</f>
        <v>1056</v>
      </c>
    </row>
    <row r="22" spans="2:19" s="1" customFormat="1" x14ac:dyDescent="0.2">
      <c r="B22" s="1" t="s">
        <v>27</v>
      </c>
      <c r="C22" s="3"/>
      <c r="D22" s="3"/>
      <c r="E22" s="3"/>
      <c r="F22" s="3"/>
      <c r="G22" s="3">
        <f>+G20+G21</f>
        <v>41792</v>
      </c>
      <c r="H22" s="3">
        <f>+H20+H21</f>
        <v>59671</v>
      </c>
      <c r="I22" s="3">
        <f>+I20+I21</f>
        <v>76767</v>
      </c>
      <c r="J22" s="3"/>
      <c r="K22" s="3">
        <f>+K20+K21</f>
        <v>42254</v>
      </c>
      <c r="L22" s="3">
        <f>+L20+L21</f>
        <v>98022</v>
      </c>
      <c r="M22" s="3">
        <f>+M20+M21</f>
        <v>97862</v>
      </c>
      <c r="O22" s="1">
        <f>+O20+O21</f>
        <v>73107</v>
      </c>
      <c r="S22" s="1">
        <f t="shared" ref="P22:S22" si="4">+S20+S21</f>
        <v>89346</v>
      </c>
    </row>
    <row r="23" spans="2:19" s="1" customFormat="1" x14ac:dyDescent="0.2">
      <c r="B23" s="1" t="s">
        <v>28</v>
      </c>
      <c r="C23" s="3"/>
      <c r="D23" s="3"/>
      <c r="E23" s="3"/>
      <c r="F23" s="3"/>
      <c r="G23" s="3">
        <v>5144</v>
      </c>
      <c r="H23" s="3">
        <f>17476-G23</f>
        <v>12332</v>
      </c>
      <c r="I23" s="3">
        <f>34908-H23-G23</f>
        <v>17432</v>
      </c>
      <c r="J23" s="3"/>
      <c r="K23" s="1">
        <v>6867</v>
      </c>
      <c r="L23" s="3">
        <f>24046-K23</f>
        <v>17179</v>
      </c>
      <c r="M23" s="1">
        <f>35399-L23-K23</f>
        <v>11353</v>
      </c>
      <c r="O23" s="1">
        <v>12892</v>
      </c>
      <c r="S23" s="1">
        <v>13721</v>
      </c>
    </row>
    <row r="24" spans="2:19" s="1" customFormat="1" x14ac:dyDescent="0.2">
      <c r="B24" s="1" t="s">
        <v>29</v>
      </c>
      <c r="C24" s="3"/>
      <c r="D24" s="3"/>
      <c r="E24" s="3"/>
      <c r="F24" s="3"/>
      <c r="G24" s="3">
        <f>+G22-G23</f>
        <v>36648</v>
      </c>
      <c r="H24" s="3">
        <f>+H22-H23</f>
        <v>47339</v>
      </c>
      <c r="I24" s="3">
        <f>+I22-I23</f>
        <v>59335</v>
      </c>
      <c r="J24" s="3"/>
      <c r="K24" s="3">
        <f>+K22-K23</f>
        <v>35387</v>
      </c>
      <c r="L24" s="3">
        <f>+L22-L23</f>
        <v>80843</v>
      </c>
      <c r="M24" s="3">
        <f>+M22-M23</f>
        <v>86509</v>
      </c>
      <c r="O24" s="1">
        <f>+O22-O23</f>
        <v>60215</v>
      </c>
      <c r="S24" s="1">
        <f>+S22-S23</f>
        <v>75625</v>
      </c>
    </row>
    <row r="26" spans="2:19" x14ac:dyDescent="0.2">
      <c r="B26" s="1" t="s">
        <v>47</v>
      </c>
      <c r="K26" s="4">
        <f>+K14/G14-1</f>
        <v>0.17062454199538246</v>
      </c>
      <c r="L26" s="4">
        <f>+L14/H14-1</f>
        <v>0.1685625900474006</v>
      </c>
      <c r="M26" s="4">
        <f>+M14/I14-1</f>
        <v>0.18070499402572304</v>
      </c>
      <c r="S26" s="4">
        <f>+S14/O14-1</f>
        <v>0.26169764527054062</v>
      </c>
    </row>
    <row r="27" spans="2:19" x14ac:dyDescent="0.2">
      <c r="B27" s="1" t="s">
        <v>48</v>
      </c>
      <c r="G27" s="4">
        <f>+G16/G14</f>
        <v>0.8091910603630923</v>
      </c>
      <c r="H27" s="4">
        <f>+H16/H14</f>
        <v>0.8079859180457295</v>
      </c>
      <c r="I27" s="4">
        <f>+I16/I14</f>
        <v>0.79638137904511386</v>
      </c>
      <c r="K27" s="4">
        <f>+K16/K14</f>
        <v>0.76722866699319781</v>
      </c>
      <c r="L27" s="4">
        <f>+L16/L14</f>
        <v>0.83495796463666616</v>
      </c>
      <c r="M27" s="4">
        <f>+M16/M14</f>
        <v>0.81495350340643491</v>
      </c>
      <c r="O27" s="4">
        <f>+O16/O14</f>
        <v>0.81613643030480809</v>
      </c>
      <c r="S27" s="4">
        <f>+S16/S14</f>
        <v>0.80737396538750938</v>
      </c>
    </row>
    <row r="29" spans="2:19" s="1" customFormat="1" x14ac:dyDescent="0.2">
      <c r="B29" s="1" t="s">
        <v>30</v>
      </c>
      <c r="C29" s="3"/>
      <c r="D29" s="3"/>
      <c r="E29" s="3"/>
      <c r="F29" s="3"/>
      <c r="G29" s="3"/>
      <c r="H29" s="3"/>
      <c r="I29" s="3"/>
      <c r="J29" s="3"/>
      <c r="L29" s="1">
        <f>361073+31947+87952+14316</f>
        <v>495288</v>
      </c>
      <c r="M29" s="1">
        <f>381816+31480</f>
        <v>413296</v>
      </c>
      <c r="S29" s="1">
        <f>302928+35717+113422+19476</f>
        <v>471543</v>
      </c>
    </row>
    <row r="30" spans="2:19" s="1" customFormat="1" x14ac:dyDescent="0.2">
      <c r="B30" s="1" t="s">
        <v>31</v>
      </c>
      <c r="C30" s="3"/>
      <c r="D30" s="3"/>
      <c r="E30" s="3"/>
      <c r="F30" s="3"/>
      <c r="G30" s="3"/>
      <c r="H30" s="3"/>
      <c r="I30" s="3"/>
      <c r="J30" s="3"/>
      <c r="L30" s="1">
        <v>33981</v>
      </c>
      <c r="M30" s="1">
        <v>31864</v>
      </c>
      <c r="S30" s="1">
        <f>45972</f>
        <v>45972</v>
      </c>
    </row>
    <row r="31" spans="2:19" s="1" customFormat="1" x14ac:dyDescent="0.2">
      <c r="B31" s="1" t="s">
        <v>34</v>
      </c>
      <c r="C31" s="3"/>
      <c r="D31" s="3"/>
      <c r="E31" s="3"/>
      <c r="F31" s="3"/>
      <c r="G31" s="3"/>
      <c r="H31" s="3"/>
      <c r="I31" s="3"/>
      <c r="J31" s="3"/>
      <c r="L31" s="1">
        <f>11022+96461</f>
        <v>107483</v>
      </c>
      <c r="M31" s="1">
        <v>93225</v>
      </c>
      <c r="S31" s="1">
        <f>12336+54179</f>
        <v>66515</v>
      </c>
    </row>
    <row r="32" spans="2:19" s="1" customFormat="1" x14ac:dyDescent="0.2">
      <c r="B32" s="1" t="s">
        <v>33</v>
      </c>
      <c r="C32" s="3"/>
      <c r="D32" s="3"/>
      <c r="E32" s="3"/>
      <c r="F32" s="3"/>
      <c r="G32" s="3"/>
      <c r="H32" s="3"/>
      <c r="I32" s="3"/>
      <c r="J32" s="3"/>
      <c r="L32" s="1">
        <f>452485+26688</f>
        <v>479173</v>
      </c>
      <c r="M32" s="1">
        <v>451275</v>
      </c>
      <c r="S32" s="1">
        <f>587667+22041</f>
        <v>609708</v>
      </c>
    </row>
    <row r="33" spans="2:19" s="1" customFormat="1" x14ac:dyDescent="0.2">
      <c r="B33" s="1" t="s">
        <v>32</v>
      </c>
      <c r="C33" s="3"/>
      <c r="D33" s="3"/>
      <c r="E33" s="3"/>
      <c r="F33" s="3"/>
      <c r="G33" s="3"/>
      <c r="H33" s="3"/>
      <c r="I33" s="3"/>
      <c r="J33" s="3"/>
      <c r="L33" s="1">
        <v>168636</v>
      </c>
      <c r="M33" s="1">
        <v>163221</v>
      </c>
      <c r="S33" s="1">
        <v>256045</v>
      </c>
    </row>
    <row r="34" spans="2:19" s="1" customFormat="1" x14ac:dyDescent="0.2">
      <c r="B34" s="1" t="s">
        <v>35</v>
      </c>
      <c r="C34" s="3"/>
      <c r="D34" s="3"/>
      <c r="E34" s="3"/>
      <c r="F34" s="3"/>
      <c r="G34" s="3"/>
      <c r="H34" s="3"/>
      <c r="I34" s="3"/>
      <c r="J34" s="3"/>
      <c r="L34" s="1">
        <v>11823</v>
      </c>
      <c r="M34" s="1">
        <v>10910</v>
      </c>
      <c r="S34" s="1">
        <v>29214</v>
      </c>
    </row>
    <row r="35" spans="2:19" s="1" customFormat="1" x14ac:dyDescent="0.2">
      <c r="B35" s="1" t="s">
        <v>37</v>
      </c>
      <c r="C35" s="3"/>
      <c r="D35" s="3"/>
      <c r="E35" s="3"/>
      <c r="F35" s="3"/>
      <c r="G35" s="3"/>
      <c r="H35" s="3"/>
      <c r="I35" s="3"/>
      <c r="J35" s="3"/>
      <c r="L35" s="1">
        <f>653629+353095</f>
        <v>1006724</v>
      </c>
      <c r="M35" s="1">
        <f>324068+616538</f>
        <v>940606</v>
      </c>
      <c r="S35" s="1">
        <f>443674+1503157</f>
        <v>1946831</v>
      </c>
    </row>
    <row r="36" spans="2:19" s="1" customFormat="1" x14ac:dyDescent="0.2">
      <c r="B36" s="1" t="s">
        <v>38</v>
      </c>
      <c r="C36" s="3"/>
      <c r="D36" s="3"/>
      <c r="E36" s="3"/>
      <c r="F36" s="3"/>
      <c r="G36" s="3"/>
      <c r="H36" s="3"/>
      <c r="I36" s="3"/>
      <c r="J36" s="3"/>
      <c r="L36" s="1">
        <v>280552</v>
      </c>
      <c r="M36" s="1">
        <v>269106</v>
      </c>
      <c r="S36" s="1">
        <v>309686</v>
      </c>
    </row>
    <row r="37" spans="2:19" x14ac:dyDescent="0.2">
      <c r="B37" s="1" t="s">
        <v>36</v>
      </c>
      <c r="L37" s="1">
        <f>SUM(L29:L36)</f>
        <v>2583660</v>
      </c>
      <c r="M37" s="1">
        <f>SUM(M29:M36)</f>
        <v>2373503</v>
      </c>
      <c r="S37" s="1">
        <f>SUM(S29:S36)</f>
        <v>3735514</v>
      </c>
    </row>
    <row r="39" spans="2:19" x14ac:dyDescent="0.2">
      <c r="B39" s="1" t="s">
        <v>40</v>
      </c>
      <c r="L39" s="1">
        <v>1649518</v>
      </c>
      <c r="M39" s="1">
        <v>1570424</v>
      </c>
      <c r="S39" s="1">
        <v>1676442</v>
      </c>
    </row>
    <row r="40" spans="2:19" x14ac:dyDescent="0.2">
      <c r="B40" s="1" t="s">
        <v>39</v>
      </c>
      <c r="L40" s="1">
        <v>369011</v>
      </c>
      <c r="M40" s="1">
        <v>360196</v>
      </c>
      <c r="S40" s="1">
        <v>503002</v>
      </c>
    </row>
    <row r="41" spans="2:19" x14ac:dyDescent="0.2">
      <c r="B41" s="1" t="s">
        <v>41</v>
      </c>
      <c r="L41" s="1">
        <f>205611+82391</f>
        <v>288002</v>
      </c>
      <c r="M41" s="1">
        <f>148738+180413</f>
        <v>329151</v>
      </c>
      <c r="S41" s="1">
        <f>549596+105756+443061+104239</f>
        <v>1202652</v>
      </c>
    </row>
    <row r="42" spans="2:19" x14ac:dyDescent="0.2">
      <c r="B42" s="1" t="s">
        <v>42</v>
      </c>
      <c r="L42" s="1">
        <f>14012+3653</f>
        <v>17665</v>
      </c>
      <c r="M42" s="1"/>
      <c r="S42" s="1">
        <f>14140+9986</f>
        <v>24126</v>
      </c>
    </row>
    <row r="43" spans="2:19" x14ac:dyDescent="0.2">
      <c r="B43" s="1" t="s">
        <v>28</v>
      </c>
      <c r="L43" s="1">
        <f>26246+6104</f>
        <v>32350</v>
      </c>
      <c r="M43" s="1"/>
      <c r="S43" s="1">
        <f>29687+222+45068</f>
        <v>74977</v>
      </c>
    </row>
    <row r="44" spans="2:19" x14ac:dyDescent="0.2">
      <c r="B44" s="1" t="s">
        <v>43</v>
      </c>
      <c r="L44" s="1">
        <v>146533</v>
      </c>
      <c r="M44" s="1"/>
      <c r="S44" s="1">
        <f>173146+8466</f>
        <v>181612</v>
      </c>
    </row>
    <row r="45" spans="2:19" x14ac:dyDescent="0.2">
      <c r="B45" s="1" t="s">
        <v>44</v>
      </c>
      <c r="L45" s="1">
        <f>38641+5023</f>
        <v>43664</v>
      </c>
      <c r="M45" s="1">
        <v>37337</v>
      </c>
      <c r="S45" s="1">
        <v>47327</v>
      </c>
    </row>
    <row r="46" spans="2:19" x14ac:dyDescent="0.2">
      <c r="B46" s="1" t="s">
        <v>46</v>
      </c>
      <c r="L46" s="1">
        <v>36918</v>
      </c>
      <c r="M46" s="1">
        <v>37092</v>
      </c>
      <c r="S46" s="1">
        <v>25377</v>
      </c>
    </row>
    <row r="47" spans="2:19" x14ac:dyDescent="0.2">
      <c r="B47" s="1" t="s">
        <v>45</v>
      </c>
      <c r="L47" s="1">
        <f>SUM(L39:L46)</f>
        <v>2583661</v>
      </c>
      <c r="M47" s="1">
        <f>SUM(M39:M46)</f>
        <v>2334200</v>
      </c>
      <c r="S47" s="1">
        <f>SUM(S39:S46)</f>
        <v>3735515</v>
      </c>
    </row>
  </sheetData>
  <hyperlinks>
    <hyperlink ref="A1" location="Main!A1" display="Main" xr:uid="{77393FF7-B448-4983-8B80-5E08ED6F4DCD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2022-11-05T12:41:04Z</dcterms:created>
  <dcterms:modified xsi:type="dcterms:W3CDTF">2024-09-02T19:07:20Z</dcterms:modified>
</cp:coreProperties>
</file>