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CF52D65-2336-49D0-8B39-7F486532C249}" xr6:coauthVersionLast="47" xr6:coauthVersionMax="47" xr10:uidLastSave="{00000000-0000-0000-0000-000000000000}"/>
  <bookViews>
    <workbookView xWindow="-21750" yWindow="825" windowWidth="21105" windowHeight="18525" activeTab="1" xr2:uid="{D043BADF-5FB4-419E-85DA-C93894112E8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5" i="2" l="1"/>
  <c r="P46" i="2"/>
  <c r="N45" i="2"/>
  <c r="L45" i="2"/>
  <c r="O43" i="2"/>
  <c r="O46" i="2" s="1"/>
  <c r="N43" i="2"/>
  <c r="N46" i="2" s="1"/>
  <c r="M43" i="2"/>
  <c r="M46" i="2" s="1"/>
  <c r="L15" i="2"/>
  <c r="P8" i="2"/>
  <c r="O8" i="2"/>
  <c r="N8" i="2"/>
  <c r="M8" i="2"/>
  <c r="L8" i="2"/>
  <c r="P27" i="2"/>
  <c r="O27" i="2"/>
  <c r="N27" i="2"/>
  <c r="M27" i="2"/>
  <c r="L27" i="2"/>
  <c r="P15" i="2"/>
  <c r="O15" i="2"/>
  <c r="N15" i="2"/>
  <c r="M15" i="2"/>
  <c r="L43" i="2"/>
  <c r="L46" i="2" s="1"/>
  <c r="P43" i="2"/>
  <c r="P51" i="2"/>
  <c r="L51" i="2"/>
  <c r="S3" i="2"/>
  <c r="R3" i="2"/>
  <c r="Q3" i="2"/>
  <c r="P3" i="2"/>
  <c r="M6" i="1"/>
  <c r="M5" i="1"/>
  <c r="Z53" i="2"/>
  <c r="Y53" i="2"/>
  <c r="Z51" i="2"/>
  <c r="Z48" i="2"/>
  <c r="Z52" i="2" s="1"/>
  <c r="Z54" i="2" s="1"/>
  <c r="Z56" i="2" s="1"/>
  <c r="Y51" i="2"/>
  <c r="Y48" i="2"/>
  <c r="Y52" i="2" s="1"/>
  <c r="AA3" i="2"/>
  <c r="AB3" i="2" s="1"/>
  <c r="AC3" i="2" s="1"/>
  <c r="AD3" i="2" s="1"/>
  <c r="AE3" i="2" s="1"/>
  <c r="AF3" i="2" s="1"/>
  <c r="AG3" i="2" s="1"/>
  <c r="AH3" i="2" s="1"/>
  <c r="AI3" i="2" s="1"/>
  <c r="I50" i="2"/>
  <c r="I49" i="2"/>
  <c r="I51" i="2" s="1"/>
  <c r="I47" i="2"/>
  <c r="I46" i="2"/>
  <c r="J48" i="2"/>
  <c r="H15" i="2"/>
  <c r="G15" i="2"/>
  <c r="F15" i="2"/>
  <c r="E15" i="2"/>
  <c r="D15" i="2"/>
  <c r="G8" i="2"/>
  <c r="F8" i="2"/>
  <c r="E8" i="2"/>
  <c r="D8" i="2"/>
  <c r="H8" i="2"/>
  <c r="G51" i="2"/>
  <c r="F51" i="2"/>
  <c r="E51" i="2"/>
  <c r="D51" i="2"/>
  <c r="G48" i="2"/>
  <c r="G60" i="2" s="1"/>
  <c r="F48" i="2"/>
  <c r="F60" i="2" s="1"/>
  <c r="E48" i="2"/>
  <c r="E60" i="2" s="1"/>
  <c r="D48" i="2"/>
  <c r="D60" i="2" s="1"/>
  <c r="H53" i="2"/>
  <c r="D53" i="2"/>
  <c r="H51" i="2"/>
  <c r="H48" i="2"/>
  <c r="H60" i="2" s="1"/>
  <c r="M4" i="1"/>
  <c r="P48" i="2" l="1"/>
  <c r="P52" i="2" s="1"/>
  <c r="P54" i="2" s="1"/>
  <c r="P56" i="2" s="1"/>
  <c r="L48" i="2"/>
  <c r="L52" i="2" s="1"/>
  <c r="L54" i="2" s="1"/>
  <c r="L56" i="2" s="1"/>
  <c r="Y54" i="2"/>
  <c r="Y56" i="2" s="1"/>
  <c r="M7" i="1"/>
  <c r="I48" i="2"/>
  <c r="I52" i="2" s="1"/>
  <c r="E52" i="2"/>
  <c r="E54" i="2" s="1"/>
  <c r="E56" i="2" s="1"/>
  <c r="D52" i="2"/>
  <c r="D54" i="2" s="1"/>
  <c r="D56" i="2" s="1"/>
  <c r="F52" i="2"/>
  <c r="F54" i="2" s="1"/>
  <c r="F56" i="2" s="1"/>
  <c r="G52" i="2"/>
  <c r="G54" i="2" s="1"/>
  <c r="G56" i="2" s="1"/>
  <c r="H52" i="2"/>
  <c r="H54" i="2" s="1"/>
  <c r="H5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tc={BD38DEB3-135F-4788-B545-92FF04718AFE}</author>
  </authors>
  <commentList>
    <comment ref="Z11" authorId="0" shapeId="0" xr:uid="{BD38DEB3-135F-4788-B545-92FF04718AFE}">
      <text>
        <t>[Threaded comment]
Your version of Excel allows you to read this threaded comment; however, any edits to it will get removed if the file is opened in a newer version of Excel. Learn more: https://go.microsoft.com/fwlink/?linkid=870924
Comment:
    forecast</t>
      </text>
    </comment>
  </commentList>
</comments>
</file>

<file path=xl/sharedStrings.xml><?xml version="1.0" encoding="utf-8"?>
<sst xmlns="http://schemas.openxmlformats.org/spreadsheetml/2006/main" count="94" uniqueCount="90">
  <si>
    <t>Price JPY</t>
  </si>
  <si>
    <t>Shares</t>
  </si>
  <si>
    <t>MC JPY</t>
  </si>
  <si>
    <t>Cash JPY</t>
  </si>
  <si>
    <t>Debt JPY</t>
  </si>
  <si>
    <t>EV JPY</t>
  </si>
  <si>
    <t>Brand</t>
  </si>
  <si>
    <t>Indication</t>
  </si>
  <si>
    <t>Economics</t>
  </si>
  <si>
    <t>MOA</t>
  </si>
  <si>
    <t>Approved</t>
  </si>
  <si>
    <t>IP</t>
  </si>
  <si>
    <t>Phase</t>
  </si>
  <si>
    <t>Q222</t>
  </si>
  <si>
    <t>Main</t>
  </si>
  <si>
    <t>Revenue</t>
  </si>
  <si>
    <t>Gross Profit</t>
  </si>
  <si>
    <t>COGS</t>
  </si>
  <si>
    <t>Yen (B)</t>
  </si>
  <si>
    <t>Net Income</t>
  </si>
  <si>
    <t>Taxes</t>
  </si>
  <si>
    <t>Pretax Income</t>
  </si>
  <si>
    <t>Interest Income</t>
  </si>
  <si>
    <t>Operating Income</t>
  </si>
  <si>
    <t>Operating Expenses</t>
  </si>
  <si>
    <t>SG&amp;A</t>
  </si>
  <si>
    <t>R&amp;D</t>
  </si>
  <si>
    <t>Japan</t>
  </si>
  <si>
    <t>Lixiana</t>
  </si>
  <si>
    <t>Tarlige</t>
  </si>
  <si>
    <t>Pralia</t>
  </si>
  <si>
    <t>Efient</t>
  </si>
  <si>
    <t>Tenelia</t>
  </si>
  <si>
    <t>Vimpat</t>
  </si>
  <si>
    <t>Ranmark</t>
  </si>
  <si>
    <t>Canalia</t>
  </si>
  <si>
    <t>Loxonin</t>
  </si>
  <si>
    <t>Enhertu</t>
  </si>
  <si>
    <t>Emgality</t>
  </si>
  <si>
    <t>Espha</t>
  </si>
  <si>
    <t>Vaccines</t>
  </si>
  <si>
    <t>HC</t>
  </si>
  <si>
    <t>Enhertu US</t>
  </si>
  <si>
    <t>Enhertu EU</t>
  </si>
  <si>
    <t>Turalio</t>
  </si>
  <si>
    <t>Injectafer</t>
  </si>
  <si>
    <t>Venofer</t>
  </si>
  <si>
    <t>EU Lixiana</t>
  </si>
  <si>
    <t>EU Nilemdo/Nustendi</t>
  </si>
  <si>
    <t>EU Olmesartan</t>
  </si>
  <si>
    <t>ASCA</t>
  </si>
  <si>
    <t>Headcount</t>
  </si>
  <si>
    <t>Tarlige (mirogabalin)</t>
  </si>
  <si>
    <t>Pralia (denosumab)</t>
  </si>
  <si>
    <t>AMGN</t>
  </si>
  <si>
    <t>Efient (prasugrel)</t>
  </si>
  <si>
    <t>Tenelia (teneligliptin)</t>
  </si>
  <si>
    <t>T2D</t>
  </si>
  <si>
    <t>Osteoporosis</t>
  </si>
  <si>
    <t>Pain</t>
  </si>
  <si>
    <t>Enhertu JP</t>
  </si>
  <si>
    <t>Savaysa/Lixiana (edoxaban)</t>
  </si>
  <si>
    <t>Savaysa</t>
  </si>
  <si>
    <t>Lixiana EU</t>
  </si>
  <si>
    <t>Lixiana JP</t>
  </si>
  <si>
    <t>Other</t>
  </si>
  <si>
    <t>Enhertu Other</t>
  </si>
  <si>
    <t>Gross Margin</t>
  </si>
  <si>
    <t>Q322</t>
  </si>
  <si>
    <t>Q122</t>
  </si>
  <si>
    <t>Q422</t>
  </si>
  <si>
    <t>Q123</t>
  </si>
  <si>
    <t>Q223</t>
  </si>
  <si>
    <t>Q323</t>
  </si>
  <si>
    <t>Q423</t>
  </si>
  <si>
    <t>Q224</t>
  </si>
  <si>
    <t>Q124</t>
  </si>
  <si>
    <t>Q324</t>
  </si>
  <si>
    <t>Q424</t>
  </si>
  <si>
    <t>GE Injectables</t>
  </si>
  <si>
    <t>Enhertu ex-JP</t>
  </si>
  <si>
    <t>Edoxaban ex-JP</t>
  </si>
  <si>
    <t>5.3</t>
  </si>
  <si>
    <t>5.8</t>
  </si>
  <si>
    <t>6.2</t>
  </si>
  <si>
    <t>7.0</t>
  </si>
  <si>
    <t>Datopotamab deruxtecan</t>
  </si>
  <si>
    <t>Vanflyta</t>
  </si>
  <si>
    <t>Minnebro</t>
  </si>
  <si>
    <t>Other/Trueup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</si>
</sst>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/d/yy;@"/>
    <numFmt numFmtId="165" formatCode="0.0"/>
    <numFmt numFmtId="166" formatCode="#,##0.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3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right"/>
    </xf>
    <xf numFmtId="0" fontId="2" fillId="0" borderId="0" xfId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1" fillId="0" borderId="0" xfId="0" applyNumberFormat="1" applyFont="1"/>
    <xf numFmtId="9" fontId="0" fillId="0" borderId="0" xfId="0" applyNumberFormat="1"/>
    <xf numFmtId="164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166" fontId="1" fillId="0" borderId="0" xfId="0" applyNumberFormat="1" applyFont="1"/>
    <xf numFmtId="166" fontId="1" fillId="0" borderId="0" xfId="0" applyNumberFormat="1" applyFont="1" applyAlignment="1">
      <alignment horizontal="right"/>
    </xf>
    <xf numFmtId="165" fontId="0" fillId="0" borderId="0" xfId="0" quotePrefix="1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1B051B5-FF31-4666-ABA5-536516EBE3C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36635</xdr:colOff>
      <xdr:row>0</xdr:row>
      <xdr:rowOff>0</xdr:rowOff>
    </xdr:from>
    <xdr:to>
      <xdr:col>16</xdr:col>
      <xdr:colOff>36635</xdr:colOff>
      <xdr:row>69</xdr:row>
      <xdr:rowOff>58615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3014F26-274D-D0C5-D7E1-49E5073301CB}"/>
            </a:ext>
          </a:extLst>
        </xdr:cNvPr>
        <xdr:cNvCxnSpPr/>
      </xdr:nvCxnSpPr>
      <xdr:spPr>
        <a:xfrm>
          <a:off x="10191750" y="0"/>
          <a:ext cx="0" cy="1118088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4A0968E0-6878-4AA6-AE96-A25A3E739BA9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11" dT="2023-06-10T03:55:34.71" personId="{4A0968E0-6878-4AA6-AE96-A25A3E739BA9}" id="{BD38DEB3-135F-4788-B545-92FF04718AFE}">
    <text>forecast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FBF67-5934-4EC1-85D7-91280292AF8D}">
  <dimension ref="B2:N12"/>
  <sheetViews>
    <sheetView zoomScale="130" zoomScaleNormal="130" workbookViewId="0">
      <selection activeCell="M5" sqref="M5"/>
    </sheetView>
  </sheetViews>
  <sheetFormatPr defaultRowHeight="12.75" x14ac:dyDescent="0.2"/>
  <cols>
    <col min="1" max="1" width="3.42578125" customWidth="1"/>
    <col min="2" max="2" width="18.5703125" customWidth="1"/>
    <col min="3" max="3" width="13" customWidth="1"/>
    <col min="4" max="4" width="11.5703125" customWidth="1"/>
    <col min="12" max="12" width="9.7109375" customWidth="1"/>
  </cols>
  <sheetData>
    <row r="2" spans="2:14" x14ac:dyDescent="0.2">
      <c r="B2" s="4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6" t="s">
        <v>11</v>
      </c>
      <c r="L2" t="s">
        <v>0</v>
      </c>
      <c r="M2" s="1">
        <v>6100</v>
      </c>
    </row>
    <row r="3" spans="2:14" x14ac:dyDescent="0.2">
      <c r="B3" s="2" t="s">
        <v>61</v>
      </c>
      <c r="C3" s="7"/>
      <c r="D3" s="7"/>
      <c r="E3" s="7"/>
      <c r="F3" s="7"/>
      <c r="G3" s="8"/>
      <c r="L3" t="s">
        <v>1</v>
      </c>
      <c r="M3" s="1">
        <v>1914.36284</v>
      </c>
      <c r="N3" s="11" t="s">
        <v>75</v>
      </c>
    </row>
    <row r="4" spans="2:14" x14ac:dyDescent="0.2">
      <c r="B4" s="2" t="s">
        <v>52</v>
      </c>
      <c r="C4" s="7" t="s">
        <v>59</v>
      </c>
      <c r="D4" s="7"/>
      <c r="E4" s="7"/>
      <c r="F4" s="7"/>
      <c r="G4" s="8"/>
      <c r="L4" t="s">
        <v>2</v>
      </c>
      <c r="M4" s="1">
        <f>+M2*M3/1000</f>
        <v>11677.613324000002</v>
      </c>
    </row>
    <row r="5" spans="2:14" x14ac:dyDescent="0.2">
      <c r="B5" s="2" t="s">
        <v>53</v>
      </c>
      <c r="C5" s="7" t="s">
        <v>58</v>
      </c>
      <c r="D5" s="7" t="s">
        <v>54</v>
      </c>
      <c r="E5" s="7"/>
      <c r="F5" s="7"/>
      <c r="G5" s="8"/>
      <c r="L5" t="s">
        <v>3</v>
      </c>
      <c r="M5" s="1">
        <f>805.259+204.096+159.374+0.634</f>
        <v>1169.3630000000001</v>
      </c>
      <c r="N5" s="11" t="s">
        <v>75</v>
      </c>
    </row>
    <row r="6" spans="2:14" x14ac:dyDescent="0.2">
      <c r="B6" s="2" t="s">
        <v>55</v>
      </c>
      <c r="C6" s="7"/>
      <c r="D6" s="7"/>
      <c r="E6" s="7"/>
      <c r="F6" s="7"/>
      <c r="G6" s="8"/>
      <c r="L6" t="s">
        <v>4</v>
      </c>
      <c r="M6" s="1">
        <f>101.218+0.399+13.8+49.577</f>
        <v>164.994</v>
      </c>
      <c r="N6" s="11" t="s">
        <v>75</v>
      </c>
    </row>
    <row r="7" spans="2:14" x14ac:dyDescent="0.2">
      <c r="B7" s="3" t="s">
        <v>56</v>
      </c>
      <c r="C7" s="9" t="s">
        <v>57</v>
      </c>
      <c r="D7" s="9"/>
      <c r="E7" s="9"/>
      <c r="F7" s="9"/>
      <c r="G7" s="10"/>
      <c r="L7" t="s">
        <v>5</v>
      </c>
      <c r="M7" s="1">
        <f>+M4-M5+M6</f>
        <v>10673.244324000003</v>
      </c>
    </row>
    <row r="8" spans="2:14" x14ac:dyDescent="0.2">
      <c r="B8" s="3"/>
      <c r="C8" s="9"/>
      <c r="D8" s="9"/>
      <c r="E8" s="9"/>
      <c r="F8" s="9" t="s">
        <v>12</v>
      </c>
      <c r="G8" s="10"/>
    </row>
    <row r="9" spans="2:14" x14ac:dyDescent="0.2">
      <c r="B9" s="2"/>
      <c r="C9" s="7"/>
      <c r="D9" s="7"/>
      <c r="E9" s="7"/>
      <c r="F9" s="7"/>
      <c r="G9" s="8"/>
    </row>
    <row r="10" spans="2:14" x14ac:dyDescent="0.2">
      <c r="B10" s="2"/>
      <c r="C10" s="7"/>
      <c r="D10" s="7"/>
      <c r="E10" s="7"/>
      <c r="F10" s="7"/>
      <c r="G10" s="8"/>
    </row>
    <row r="11" spans="2:14" x14ac:dyDescent="0.2">
      <c r="B11" s="2"/>
      <c r="C11" s="7"/>
      <c r="D11" s="7"/>
      <c r="E11" s="7"/>
      <c r="F11" s="7"/>
      <c r="G11" s="8"/>
    </row>
    <row r="12" spans="2:14" x14ac:dyDescent="0.2">
      <c r="B12" s="3"/>
      <c r="C12" s="9"/>
      <c r="D12" s="9"/>
      <c r="E12" s="9"/>
      <c r="F12" s="9"/>
      <c r="G12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F968C-0A99-4EB6-8B10-E503E69B2E33}">
  <dimension ref="A1:AI61"/>
  <sheetViews>
    <sheetView tabSelected="1" zoomScale="130" zoomScaleNormal="130" workbookViewId="0">
      <pane xSplit="2" ySplit="3" topLeftCell="D12" activePane="bottomRight" state="frozen"/>
      <selection pane="topRight" activeCell="C1" sqref="C1"/>
      <selection pane="bottomLeft" activeCell="A3" sqref="A3"/>
      <selection pane="bottomRight" activeCell="K21" sqref="K21"/>
    </sheetView>
  </sheetViews>
  <sheetFormatPr defaultRowHeight="12.75" x14ac:dyDescent="0.2"/>
  <cols>
    <col min="1" max="1" width="5" bestFit="1" customWidth="1"/>
    <col min="2" max="2" width="18.140625" bestFit="1" customWidth="1"/>
    <col min="3" max="3" width="10.5703125" customWidth="1"/>
    <col min="4" max="7" width="9.140625" customWidth="1"/>
    <col min="8" max="20" width="9.140625" style="11" customWidth="1"/>
  </cols>
  <sheetData>
    <row r="1" spans="1:35" x14ac:dyDescent="0.2">
      <c r="A1" s="12" t="s">
        <v>14</v>
      </c>
    </row>
    <row r="2" spans="1:35" x14ac:dyDescent="0.2">
      <c r="H2" s="11" t="s">
        <v>69</v>
      </c>
      <c r="I2" s="11" t="s">
        <v>13</v>
      </c>
      <c r="J2" s="11" t="s">
        <v>68</v>
      </c>
      <c r="K2" s="11" t="s">
        <v>70</v>
      </c>
      <c r="L2" s="11" t="s">
        <v>71</v>
      </c>
      <c r="M2" s="11" t="s">
        <v>72</v>
      </c>
      <c r="N2" s="11" t="s">
        <v>73</v>
      </c>
      <c r="O2" s="11" t="s">
        <v>74</v>
      </c>
      <c r="P2" s="11" t="s">
        <v>76</v>
      </c>
      <c r="Q2" s="11" t="s">
        <v>75</v>
      </c>
      <c r="R2" s="11" t="s">
        <v>77</v>
      </c>
      <c r="S2" s="11" t="s">
        <v>78</v>
      </c>
    </row>
    <row r="3" spans="1:35" s="13" customFormat="1" x14ac:dyDescent="0.2">
      <c r="B3" s="13" t="s">
        <v>18</v>
      </c>
      <c r="C3" s="13">
        <v>44286</v>
      </c>
      <c r="D3" s="13">
        <v>44377</v>
      </c>
      <c r="E3" s="13">
        <v>44469</v>
      </c>
      <c r="F3" s="13">
        <v>44561</v>
      </c>
      <c r="G3" s="13">
        <v>44651</v>
      </c>
      <c r="H3" s="18">
        <v>44742</v>
      </c>
      <c r="I3" s="18">
        <v>44834</v>
      </c>
      <c r="J3" s="18">
        <v>44926</v>
      </c>
      <c r="K3" s="18">
        <v>45016</v>
      </c>
      <c r="L3" s="18">
        <v>45107</v>
      </c>
      <c r="M3" s="18">
        <v>45199</v>
      </c>
      <c r="N3" s="18">
        <v>45291</v>
      </c>
      <c r="O3" s="18">
        <v>45382</v>
      </c>
      <c r="P3" s="18">
        <f>+L3+366</f>
        <v>45473</v>
      </c>
      <c r="Q3" s="18">
        <f>+M3+366</f>
        <v>45565</v>
      </c>
      <c r="R3" s="18">
        <f>+N3+366</f>
        <v>45657</v>
      </c>
      <c r="S3" s="18">
        <f>+O3+365</f>
        <v>45747</v>
      </c>
      <c r="T3" s="18"/>
      <c r="V3" s="13">
        <v>43555</v>
      </c>
      <c r="W3" s="13">
        <v>43921</v>
      </c>
      <c r="X3" s="13">
        <v>44286</v>
      </c>
      <c r="Y3" s="13">
        <v>44651</v>
      </c>
      <c r="Z3" s="13">
        <v>45016</v>
      </c>
      <c r="AA3" s="13">
        <f>+Z3+366</f>
        <v>45382</v>
      </c>
      <c r="AB3" s="13">
        <f>+AA3+365</f>
        <v>45747</v>
      </c>
      <c r="AC3" s="13">
        <f>+AB3+365</f>
        <v>46112</v>
      </c>
      <c r="AD3" s="13">
        <f>+AC3+365</f>
        <v>46477</v>
      </c>
      <c r="AE3" s="13">
        <f>+AD3+366</f>
        <v>46843</v>
      </c>
      <c r="AF3" s="13">
        <f>+AE3+365</f>
        <v>47208</v>
      </c>
      <c r="AG3" s="13">
        <f>+AF3+365</f>
        <v>47573</v>
      </c>
      <c r="AH3" s="13">
        <f>+AG3+365</f>
        <v>47938</v>
      </c>
      <c r="AI3" s="13">
        <f>+AH3+366</f>
        <v>48304</v>
      </c>
    </row>
    <row r="4" spans="1:35" s="15" customFormat="1" x14ac:dyDescent="0.2">
      <c r="B4" s="15" t="s">
        <v>64</v>
      </c>
      <c r="D4" s="15">
        <v>22.9</v>
      </c>
      <c r="E4" s="15">
        <v>21.9</v>
      </c>
      <c r="F4" s="15">
        <v>25.6</v>
      </c>
      <c r="G4" s="15">
        <v>22</v>
      </c>
      <c r="H4" s="19">
        <v>25.1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</row>
    <row r="5" spans="1:35" s="13" customFormat="1" x14ac:dyDescent="0.2">
      <c r="B5" s="13" t="s">
        <v>62</v>
      </c>
      <c r="D5" s="15">
        <v>0.5</v>
      </c>
      <c r="E5" s="15">
        <v>0.5</v>
      </c>
      <c r="F5" s="15">
        <v>0.4</v>
      </c>
      <c r="G5" s="15">
        <v>0.5</v>
      </c>
      <c r="H5" s="19">
        <v>0.6</v>
      </c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</row>
    <row r="6" spans="1:35" s="13" customFormat="1" x14ac:dyDescent="0.2">
      <c r="B6" s="13" t="s">
        <v>63</v>
      </c>
      <c r="D6" s="15">
        <v>23.4</v>
      </c>
      <c r="E6" s="15">
        <v>23.7</v>
      </c>
      <c r="F6" s="15">
        <v>27.2</v>
      </c>
      <c r="G6" s="15">
        <v>22.6</v>
      </c>
      <c r="H6" s="19">
        <v>28.6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</row>
    <row r="7" spans="1:35" s="13" customFormat="1" x14ac:dyDescent="0.2">
      <c r="B7" s="13" t="s">
        <v>65</v>
      </c>
      <c r="D7" s="15">
        <v>2.7</v>
      </c>
      <c r="E7" s="15">
        <v>3.6</v>
      </c>
      <c r="F7" s="15">
        <v>3.8</v>
      </c>
      <c r="G7" s="15">
        <v>4.2</v>
      </c>
      <c r="H7" s="19">
        <v>4.5999999999999996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</row>
    <row r="8" spans="1:35" s="16" customFormat="1" x14ac:dyDescent="0.2">
      <c r="B8" s="16" t="s">
        <v>81</v>
      </c>
      <c r="D8" s="16">
        <f t="shared" ref="D8:G8" si="0">SUM(D4:D7)</f>
        <v>49.5</v>
      </c>
      <c r="E8" s="16">
        <f t="shared" si="0"/>
        <v>49.699999999999996</v>
      </c>
      <c r="F8" s="16">
        <f t="shared" si="0"/>
        <v>57</v>
      </c>
      <c r="G8" s="16">
        <f t="shared" si="0"/>
        <v>49.300000000000004</v>
      </c>
      <c r="H8" s="20">
        <f>SUM(H4:H7)</f>
        <v>58.900000000000006</v>
      </c>
      <c r="I8" s="20">
        <v>58.4</v>
      </c>
      <c r="J8" s="20">
        <v>65.900000000000006</v>
      </c>
      <c r="K8" s="20">
        <v>60.8</v>
      </c>
      <c r="L8" s="20">
        <f>66-L29-L24</f>
        <v>5.8000000000000043</v>
      </c>
      <c r="M8" s="20">
        <f>71.7-M29-M24</f>
        <v>6.8000000000000043</v>
      </c>
      <c r="N8" s="20">
        <f>78.5-N29-N24</f>
        <v>6.7000000000000028</v>
      </c>
      <c r="O8" s="20">
        <f>71.6-O29-O24</f>
        <v>6.5999999999999943</v>
      </c>
      <c r="P8" s="20">
        <f>88.3-P29-P24</f>
        <v>8</v>
      </c>
      <c r="Q8" s="20"/>
      <c r="R8" s="20"/>
      <c r="S8" s="20"/>
      <c r="T8" s="20"/>
      <c r="X8" s="16">
        <v>205.6</v>
      </c>
      <c r="Y8" s="16">
        <v>244</v>
      </c>
      <c r="Z8" s="16">
        <v>287.7</v>
      </c>
    </row>
    <row r="9" spans="1:35" s="14" customFormat="1" x14ac:dyDescent="0.2"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</row>
    <row r="10" spans="1:35" s="14" customFormat="1" x14ac:dyDescent="0.2"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</row>
    <row r="11" spans="1:35" s="14" customFormat="1" x14ac:dyDescent="0.2">
      <c r="B11" s="14" t="s">
        <v>42</v>
      </c>
      <c r="D11" s="14">
        <v>9.6</v>
      </c>
      <c r="E11" s="14">
        <v>10.1</v>
      </c>
      <c r="F11" s="14">
        <v>11.9</v>
      </c>
      <c r="G11" s="14">
        <v>13.8</v>
      </c>
      <c r="H11" s="21">
        <v>20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X11" s="14">
        <v>45.4</v>
      </c>
      <c r="Y11" s="14">
        <v>144.6</v>
      </c>
      <c r="Z11" s="14">
        <v>225.5</v>
      </c>
    </row>
    <row r="12" spans="1:35" s="14" customFormat="1" x14ac:dyDescent="0.2">
      <c r="B12" s="14" t="s">
        <v>43</v>
      </c>
      <c r="D12" s="14">
        <v>1.2</v>
      </c>
      <c r="E12" s="14">
        <v>1.4</v>
      </c>
      <c r="F12" s="14">
        <v>2.2999999999999998</v>
      </c>
      <c r="G12" s="14">
        <v>4.0999999999999996</v>
      </c>
      <c r="H12" s="21">
        <v>6.7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Y12" s="14">
        <v>37.1</v>
      </c>
      <c r="Z12" s="14">
        <v>101.9</v>
      </c>
    </row>
    <row r="13" spans="1:35" s="14" customFormat="1" x14ac:dyDescent="0.2">
      <c r="B13" s="14" t="s">
        <v>60</v>
      </c>
      <c r="D13" s="14">
        <v>2.2000000000000002</v>
      </c>
      <c r="E13" s="14">
        <v>2.2000000000000002</v>
      </c>
      <c r="F13" s="14">
        <v>2.6</v>
      </c>
      <c r="G13" s="14">
        <v>2.6</v>
      </c>
      <c r="H13" s="21">
        <v>2.4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Y13" s="14">
        <v>11.7</v>
      </c>
      <c r="Z13" s="14">
        <v>23.9</v>
      </c>
    </row>
    <row r="14" spans="1:35" s="14" customFormat="1" x14ac:dyDescent="0.2">
      <c r="B14" s="14" t="s">
        <v>66</v>
      </c>
      <c r="D14" s="14">
        <v>0</v>
      </c>
      <c r="E14" s="14">
        <v>0</v>
      </c>
      <c r="F14" s="14">
        <v>0</v>
      </c>
      <c r="G14" s="14">
        <v>1.4</v>
      </c>
      <c r="H14" s="21">
        <v>2.2000000000000002</v>
      </c>
      <c r="I14" s="21"/>
      <c r="J14" s="21"/>
      <c r="K14" s="21"/>
      <c r="L14" s="27" t="s">
        <v>82</v>
      </c>
      <c r="M14" s="27" t="s">
        <v>83</v>
      </c>
      <c r="N14" s="27" t="s">
        <v>84</v>
      </c>
      <c r="O14" s="27" t="s">
        <v>84</v>
      </c>
      <c r="P14" s="27" t="s">
        <v>85</v>
      </c>
      <c r="Q14" s="21"/>
      <c r="R14" s="21"/>
      <c r="S14" s="21"/>
      <c r="T14" s="21"/>
      <c r="Y14" s="14">
        <v>14.2</v>
      </c>
      <c r="Z14" s="14">
        <v>44.6</v>
      </c>
    </row>
    <row r="15" spans="1:35" s="16" customFormat="1" x14ac:dyDescent="0.2">
      <c r="B15" s="16" t="s">
        <v>80</v>
      </c>
      <c r="D15" s="16">
        <f>SUM(D11:D14)</f>
        <v>13</v>
      </c>
      <c r="E15" s="16">
        <f>SUM(E11:E14)</f>
        <v>13.7</v>
      </c>
      <c r="F15" s="16">
        <f>SUM(F11:F14)</f>
        <v>16.8</v>
      </c>
      <c r="G15" s="16">
        <f>SUM(G11:G14)</f>
        <v>21.9</v>
      </c>
      <c r="H15" s="20">
        <f>SUM(H11:H14)</f>
        <v>31.299999999999997</v>
      </c>
      <c r="I15" s="20">
        <v>48.2</v>
      </c>
      <c r="J15" s="20">
        <v>60.2</v>
      </c>
      <c r="K15" s="20">
        <v>67.8</v>
      </c>
      <c r="L15" s="20">
        <f>86.6-L38</f>
        <v>82.199999999999989</v>
      </c>
      <c r="M15" s="20">
        <f>96.5-M38</f>
        <v>90.5</v>
      </c>
      <c r="N15" s="20">
        <f>111.4-N38</f>
        <v>104.10000000000001</v>
      </c>
      <c r="O15" s="20">
        <f>154.8-O38</f>
        <v>148.60000000000002</v>
      </c>
      <c r="P15" s="20">
        <f>134.8-P38</f>
        <v>127.00000000000001</v>
      </c>
      <c r="Q15" s="20"/>
      <c r="R15" s="20"/>
      <c r="S15" s="20"/>
      <c r="T15" s="20"/>
      <c r="X15" s="16">
        <v>80.8</v>
      </c>
      <c r="Y15" s="16">
        <v>258.39999999999998</v>
      </c>
      <c r="Z15" s="16">
        <v>449.2</v>
      </c>
      <c r="AA15" s="16">
        <f>SUM(L15:O15)</f>
        <v>425.40000000000003</v>
      </c>
    </row>
    <row r="16" spans="1:35" s="14" customFormat="1" x14ac:dyDescent="0.2"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</row>
    <row r="17" spans="2:26" s="14" customFormat="1" x14ac:dyDescent="0.2">
      <c r="B17" s="14" t="s">
        <v>86</v>
      </c>
      <c r="H17" s="21">
        <v>1.5</v>
      </c>
      <c r="I17" s="21">
        <v>2.4</v>
      </c>
      <c r="J17" s="21">
        <v>1.6</v>
      </c>
      <c r="K17" s="21">
        <v>1.6</v>
      </c>
      <c r="L17" s="21">
        <v>1.6</v>
      </c>
      <c r="M17" s="21">
        <v>1.6</v>
      </c>
      <c r="N17" s="21">
        <v>1.6</v>
      </c>
      <c r="O17" s="21">
        <v>1.6</v>
      </c>
      <c r="P17" s="21">
        <v>1.6</v>
      </c>
      <c r="Q17" s="21"/>
      <c r="R17" s="21"/>
      <c r="S17" s="21"/>
      <c r="T17" s="21"/>
      <c r="Y17" s="14">
        <v>7.1</v>
      </c>
      <c r="Z17" s="14">
        <v>6.4</v>
      </c>
    </row>
    <row r="18" spans="2:26" s="14" customFormat="1" x14ac:dyDescent="0.2">
      <c r="B18" s="14" t="s">
        <v>87</v>
      </c>
      <c r="H18" s="21"/>
      <c r="I18" s="21"/>
      <c r="J18" s="21"/>
      <c r="K18" s="21"/>
      <c r="L18" s="21">
        <v>0</v>
      </c>
      <c r="M18" s="21">
        <v>1.1000000000000001</v>
      </c>
      <c r="N18" s="21">
        <v>0.2</v>
      </c>
      <c r="O18" s="21">
        <v>0.5</v>
      </c>
      <c r="P18" s="21">
        <v>0.9</v>
      </c>
      <c r="Q18" s="21"/>
      <c r="R18" s="21"/>
      <c r="S18" s="21"/>
      <c r="T18" s="21"/>
    </row>
    <row r="19" spans="2:26" s="14" customFormat="1" x14ac:dyDescent="0.2"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</row>
    <row r="20" spans="2:26" s="14" customFormat="1" x14ac:dyDescent="0.2">
      <c r="B20" s="14" t="s">
        <v>44</v>
      </c>
      <c r="D20" s="14">
        <v>0.6</v>
      </c>
      <c r="H20" s="21">
        <v>0.8</v>
      </c>
      <c r="I20" s="21">
        <v>0.9</v>
      </c>
      <c r="J20" s="21">
        <v>0.9</v>
      </c>
      <c r="K20" s="21">
        <v>1.1000000000000001</v>
      </c>
      <c r="L20" s="21">
        <v>1.2</v>
      </c>
      <c r="M20" s="21">
        <v>1.4</v>
      </c>
      <c r="N20" s="21">
        <v>1.5</v>
      </c>
      <c r="O20" s="21">
        <v>1.2</v>
      </c>
      <c r="P20" s="21">
        <v>1.5</v>
      </c>
      <c r="Q20" s="21"/>
      <c r="R20" s="21"/>
      <c r="S20" s="21"/>
      <c r="T20" s="21"/>
      <c r="Y20" s="14">
        <v>3.8</v>
      </c>
      <c r="Z20" s="14">
        <v>5.3</v>
      </c>
    </row>
    <row r="21" spans="2:26" s="14" customFormat="1" x14ac:dyDescent="0.2">
      <c r="B21" s="14" t="s">
        <v>79</v>
      </c>
      <c r="H21" s="21">
        <v>17.600000000000001</v>
      </c>
      <c r="I21" s="21">
        <v>18.8</v>
      </c>
      <c r="J21" s="21">
        <v>19.2</v>
      </c>
      <c r="K21" s="21">
        <v>16</v>
      </c>
      <c r="L21" s="21">
        <v>18.3</v>
      </c>
      <c r="M21" s="21">
        <v>19</v>
      </c>
      <c r="N21" s="21">
        <v>21.8</v>
      </c>
      <c r="O21" s="21">
        <v>21.9</v>
      </c>
      <c r="P21" s="21">
        <v>20.6</v>
      </c>
      <c r="Q21" s="21"/>
      <c r="R21" s="21"/>
      <c r="S21" s="21"/>
      <c r="T21" s="21"/>
      <c r="Y21" s="14">
        <v>71.599999999999994</v>
      </c>
      <c r="Z21" s="14">
        <v>81</v>
      </c>
    </row>
    <row r="22" spans="2:26" s="14" customFormat="1" x14ac:dyDescent="0.2">
      <c r="B22" s="14" t="s">
        <v>45</v>
      </c>
      <c r="D22" s="14">
        <v>14.9</v>
      </c>
      <c r="H22" s="21">
        <v>14.1</v>
      </c>
      <c r="I22" s="21">
        <v>13.3</v>
      </c>
      <c r="J22" s="21">
        <v>14.4</v>
      </c>
      <c r="K22" s="21">
        <v>12.1</v>
      </c>
      <c r="L22" s="21">
        <v>13.2</v>
      </c>
      <c r="M22" s="21">
        <v>12.5</v>
      </c>
      <c r="N22" s="21">
        <v>12.3</v>
      </c>
      <c r="O22" s="21">
        <v>12</v>
      </c>
      <c r="P22" s="21">
        <v>15.8</v>
      </c>
      <c r="Q22" s="21"/>
      <c r="R22" s="21"/>
      <c r="S22" s="21"/>
      <c r="T22" s="21"/>
      <c r="Y22" s="14">
        <v>54</v>
      </c>
      <c r="Z22" s="14">
        <v>50.1</v>
      </c>
    </row>
    <row r="23" spans="2:26" s="14" customFormat="1" x14ac:dyDescent="0.2">
      <c r="B23" s="14" t="s">
        <v>46</v>
      </c>
      <c r="D23" s="14">
        <v>7.9</v>
      </c>
      <c r="H23" s="21">
        <v>12.4</v>
      </c>
      <c r="I23" s="21">
        <v>12.6</v>
      </c>
      <c r="J23" s="21">
        <v>13.1</v>
      </c>
      <c r="K23" s="21">
        <v>13.1</v>
      </c>
      <c r="L23" s="21">
        <v>15.8</v>
      </c>
      <c r="M23" s="21">
        <v>13.3</v>
      </c>
      <c r="N23" s="21">
        <v>16.100000000000001</v>
      </c>
      <c r="O23" s="21">
        <v>15.7</v>
      </c>
      <c r="P23" s="21">
        <v>16.3</v>
      </c>
      <c r="Q23" s="21"/>
      <c r="R23" s="21"/>
      <c r="S23" s="21"/>
      <c r="T23" s="21"/>
      <c r="Y23" s="14">
        <v>51.3</v>
      </c>
      <c r="Z23" s="14">
        <v>60.9</v>
      </c>
    </row>
    <row r="24" spans="2:26" s="14" customFormat="1" x14ac:dyDescent="0.2">
      <c r="B24" s="14" t="s">
        <v>47</v>
      </c>
      <c r="D24" s="14">
        <v>23.4</v>
      </c>
      <c r="H24" s="21">
        <v>28.6</v>
      </c>
      <c r="I24" s="21">
        <v>27.2</v>
      </c>
      <c r="J24" s="21">
        <v>32</v>
      </c>
      <c r="K24" s="21">
        <v>29.3</v>
      </c>
      <c r="L24" s="21">
        <v>32.299999999999997</v>
      </c>
      <c r="M24" s="21">
        <v>35.6</v>
      </c>
      <c r="N24" s="21">
        <v>39.4</v>
      </c>
      <c r="O24" s="21">
        <v>38.9</v>
      </c>
      <c r="P24" s="21">
        <v>45.4</v>
      </c>
      <c r="Q24" s="21"/>
      <c r="R24" s="21"/>
      <c r="S24" s="21"/>
      <c r="T24" s="21"/>
    </row>
    <row r="25" spans="2:26" s="14" customFormat="1" x14ac:dyDescent="0.2">
      <c r="B25" s="14" t="s">
        <v>48</v>
      </c>
      <c r="D25" s="14">
        <v>0.7</v>
      </c>
      <c r="H25" s="21">
        <v>1.3</v>
      </c>
      <c r="I25" s="21">
        <v>1.5</v>
      </c>
      <c r="J25" s="21">
        <v>2.1</v>
      </c>
      <c r="K25" s="21">
        <v>2.2000000000000002</v>
      </c>
      <c r="L25" s="21">
        <v>3</v>
      </c>
      <c r="M25" s="21">
        <v>3.8</v>
      </c>
      <c r="N25" s="21">
        <v>5.2</v>
      </c>
      <c r="O25" s="21">
        <v>6.4</v>
      </c>
      <c r="P25" s="21">
        <v>7.8</v>
      </c>
      <c r="Q25" s="21"/>
      <c r="R25" s="21"/>
      <c r="S25" s="21"/>
      <c r="T25" s="21"/>
    </row>
    <row r="26" spans="2:26" s="14" customFormat="1" x14ac:dyDescent="0.2">
      <c r="B26" s="14" t="s">
        <v>49</v>
      </c>
      <c r="D26" s="14">
        <v>5.6</v>
      </c>
      <c r="H26" s="21">
        <v>5.4</v>
      </c>
      <c r="I26" s="21">
        <v>4.4000000000000004</v>
      </c>
      <c r="J26" s="21">
        <v>5</v>
      </c>
      <c r="K26" s="21">
        <v>5.2</v>
      </c>
      <c r="L26" s="21">
        <v>4.7</v>
      </c>
      <c r="M26" s="21">
        <v>4.5</v>
      </c>
      <c r="N26" s="21">
        <v>5.3</v>
      </c>
      <c r="O26" s="21">
        <v>5.0999999999999996</v>
      </c>
      <c r="P26" s="21">
        <v>5.3</v>
      </c>
      <c r="Q26" s="21"/>
      <c r="R26" s="21"/>
      <c r="S26" s="21"/>
      <c r="T26" s="21"/>
    </row>
    <row r="27" spans="2:26" s="14" customFormat="1" x14ac:dyDescent="0.2">
      <c r="B27" s="14" t="s">
        <v>50</v>
      </c>
      <c r="D27" s="14">
        <v>26.5</v>
      </c>
      <c r="H27" s="21">
        <v>31.9</v>
      </c>
      <c r="I27" s="21">
        <v>37.9</v>
      </c>
      <c r="J27" s="21">
        <v>36.6</v>
      </c>
      <c r="K27" s="21">
        <v>36.299999999999997</v>
      </c>
      <c r="L27" s="21">
        <f>39.5-5.3</f>
        <v>34.200000000000003</v>
      </c>
      <c r="M27" s="21">
        <f>43.6-5.8</f>
        <v>37.800000000000004</v>
      </c>
      <c r="N27" s="21">
        <f>48.7-6.2</f>
        <v>42.5</v>
      </c>
      <c r="O27" s="21">
        <f>52.3-6.2</f>
        <v>46.099999999999994</v>
      </c>
      <c r="P27" s="21">
        <f>48.7-7</f>
        <v>41.7</v>
      </c>
      <c r="Q27" s="21"/>
      <c r="R27" s="21"/>
      <c r="S27" s="21"/>
      <c r="T27" s="21"/>
      <c r="Y27" s="14">
        <v>142.80000000000001</v>
      </c>
      <c r="Z27" s="14">
        <v>184.1</v>
      </c>
    </row>
    <row r="28" spans="2:26" s="14" customFormat="1" x14ac:dyDescent="0.2"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</row>
    <row r="29" spans="2:26" s="14" customFormat="1" x14ac:dyDescent="0.2">
      <c r="B29" s="14" t="s">
        <v>28</v>
      </c>
      <c r="D29" s="14">
        <v>22.9</v>
      </c>
      <c r="E29" s="14">
        <v>21.9</v>
      </c>
      <c r="F29" s="14">
        <v>25.6</v>
      </c>
      <c r="G29" s="14">
        <v>22</v>
      </c>
      <c r="H29" s="21">
        <v>25.1</v>
      </c>
      <c r="I29" s="21">
        <v>25.6</v>
      </c>
      <c r="J29" s="21">
        <v>28.8</v>
      </c>
      <c r="K29" s="21">
        <v>25.6</v>
      </c>
      <c r="L29" s="21">
        <v>27.9</v>
      </c>
      <c r="M29" s="21">
        <v>29.3</v>
      </c>
      <c r="N29" s="21">
        <v>32.4</v>
      </c>
      <c r="O29" s="21">
        <v>26.1</v>
      </c>
      <c r="P29" s="21">
        <v>34.9</v>
      </c>
      <c r="Q29" s="21"/>
      <c r="R29" s="21"/>
      <c r="S29" s="21"/>
      <c r="T29" s="21"/>
    </row>
    <row r="30" spans="2:26" s="14" customFormat="1" x14ac:dyDescent="0.2">
      <c r="B30" s="14" t="s">
        <v>29</v>
      </c>
      <c r="D30" s="14">
        <v>7.1</v>
      </c>
      <c r="E30" s="14">
        <v>7.1</v>
      </c>
      <c r="F30" s="14">
        <v>8.6999999999999993</v>
      </c>
      <c r="G30" s="14">
        <v>7.3</v>
      </c>
      <c r="H30" s="21">
        <v>8.9</v>
      </c>
      <c r="I30" s="21">
        <v>9.4</v>
      </c>
      <c r="J30" s="21">
        <v>10.8</v>
      </c>
      <c r="K30" s="21">
        <v>9.4</v>
      </c>
      <c r="L30" s="21">
        <v>11.7</v>
      </c>
      <c r="M30" s="21">
        <v>11</v>
      </c>
      <c r="N30" s="21">
        <v>12.6</v>
      </c>
      <c r="O30" s="21">
        <v>10.3</v>
      </c>
      <c r="P30" s="21">
        <v>14.2</v>
      </c>
      <c r="Q30" s="21"/>
      <c r="R30" s="21"/>
      <c r="S30" s="21"/>
      <c r="T30" s="21"/>
    </row>
    <row r="31" spans="2:26" s="14" customFormat="1" x14ac:dyDescent="0.2">
      <c r="B31" s="14" t="s">
        <v>30</v>
      </c>
      <c r="D31" s="14">
        <v>9.1999999999999993</v>
      </c>
      <c r="E31" s="14">
        <v>9.3000000000000007</v>
      </c>
      <c r="F31" s="14">
        <v>10.3</v>
      </c>
      <c r="G31" s="14">
        <v>9.1999999999999993</v>
      </c>
      <c r="H31" s="21">
        <v>9.9</v>
      </c>
      <c r="I31" s="21">
        <v>9.4</v>
      </c>
      <c r="J31" s="21">
        <v>11.1</v>
      </c>
      <c r="K31" s="21">
        <v>9.8000000000000007</v>
      </c>
      <c r="L31" s="21">
        <v>10.7</v>
      </c>
      <c r="M31" s="21">
        <v>10.4</v>
      </c>
      <c r="N31" s="21">
        <v>12.2</v>
      </c>
      <c r="O31" s="21">
        <v>9.5</v>
      </c>
      <c r="P31" s="21">
        <v>11.1</v>
      </c>
      <c r="Q31" s="21"/>
      <c r="R31" s="21"/>
      <c r="S31" s="21"/>
      <c r="T31" s="21"/>
    </row>
    <row r="32" spans="2:26" s="14" customFormat="1" x14ac:dyDescent="0.2">
      <c r="B32" s="14" t="s">
        <v>31</v>
      </c>
      <c r="D32" s="14">
        <v>4.0999999999999996</v>
      </c>
      <c r="E32" s="14">
        <v>3.9</v>
      </c>
      <c r="F32" s="14">
        <v>4.7</v>
      </c>
      <c r="G32" s="14">
        <v>4</v>
      </c>
      <c r="H32" s="21">
        <v>4.9000000000000004</v>
      </c>
      <c r="I32" s="21">
        <v>5</v>
      </c>
      <c r="J32" s="21">
        <v>5.8</v>
      </c>
      <c r="K32" s="21">
        <v>5.2</v>
      </c>
      <c r="L32" s="21">
        <v>6.1</v>
      </c>
      <c r="M32" s="21">
        <v>6.3</v>
      </c>
      <c r="N32" s="21">
        <v>7.3</v>
      </c>
      <c r="O32" s="21">
        <v>5.9</v>
      </c>
      <c r="P32" s="21">
        <v>8.1</v>
      </c>
      <c r="Q32" s="21"/>
      <c r="R32" s="21"/>
      <c r="S32" s="21"/>
      <c r="T32" s="21"/>
    </row>
    <row r="33" spans="2:26" s="14" customFormat="1" x14ac:dyDescent="0.2">
      <c r="B33" s="14" t="s">
        <v>32</v>
      </c>
      <c r="D33" s="14">
        <v>6.4</v>
      </c>
      <c r="E33" s="14">
        <v>5.7</v>
      </c>
      <c r="F33" s="14">
        <v>6.5</v>
      </c>
      <c r="G33" s="14">
        <v>5.0999999999999996</v>
      </c>
      <c r="H33" s="21">
        <v>5.6</v>
      </c>
      <c r="I33" s="21">
        <v>5.4</v>
      </c>
      <c r="J33" s="21">
        <v>6</v>
      </c>
      <c r="K33" s="21">
        <v>4.9000000000000004</v>
      </c>
      <c r="L33" s="21">
        <v>5.3</v>
      </c>
      <c r="M33" s="21">
        <v>5.0999999999999996</v>
      </c>
      <c r="N33" s="21">
        <v>5.7</v>
      </c>
      <c r="O33" s="21">
        <v>4.3</v>
      </c>
      <c r="P33" s="21"/>
      <c r="Q33" s="21"/>
      <c r="R33" s="21"/>
      <c r="S33" s="21"/>
      <c r="T33" s="21"/>
    </row>
    <row r="34" spans="2:26" s="14" customFormat="1" x14ac:dyDescent="0.2">
      <c r="B34" s="14" t="s">
        <v>33</v>
      </c>
      <c r="D34" s="14">
        <v>4.5</v>
      </c>
      <c r="E34" s="14">
        <v>4.4000000000000004</v>
      </c>
      <c r="F34" s="14">
        <v>5.0999999999999996</v>
      </c>
      <c r="G34" s="14">
        <v>4.3</v>
      </c>
      <c r="H34" s="21">
        <v>5.3</v>
      </c>
      <c r="I34" s="21">
        <v>5.3</v>
      </c>
      <c r="J34" s="21">
        <v>6.1</v>
      </c>
      <c r="K34" s="21">
        <v>5.2</v>
      </c>
      <c r="L34" s="21">
        <v>6.4</v>
      </c>
      <c r="M34" s="21">
        <v>6.3</v>
      </c>
      <c r="N34" s="21">
        <v>7.2</v>
      </c>
      <c r="O34" s="21">
        <v>5.8</v>
      </c>
      <c r="P34" s="21">
        <v>8.1</v>
      </c>
      <c r="Q34" s="21"/>
      <c r="R34" s="21"/>
      <c r="S34" s="21"/>
      <c r="T34" s="21"/>
    </row>
    <row r="35" spans="2:26" s="14" customFormat="1" x14ac:dyDescent="0.2">
      <c r="B35" s="14" t="s">
        <v>34</v>
      </c>
      <c r="D35" s="14">
        <v>5.0999999999999996</v>
      </c>
      <c r="E35" s="14">
        <v>5</v>
      </c>
      <c r="F35" s="14">
        <v>5.5</v>
      </c>
      <c r="G35" s="14">
        <v>4.8</v>
      </c>
      <c r="H35" s="21">
        <v>4.9000000000000004</v>
      </c>
      <c r="I35" s="21">
        <v>5.0999999999999996</v>
      </c>
      <c r="J35" s="21">
        <v>5.5</v>
      </c>
      <c r="K35" s="21">
        <v>4.8</v>
      </c>
      <c r="L35" s="21">
        <v>5</v>
      </c>
      <c r="M35" s="21">
        <v>5.3</v>
      </c>
      <c r="N35" s="21">
        <v>5.6</v>
      </c>
      <c r="O35" s="21">
        <v>4.5</v>
      </c>
      <c r="P35" s="21">
        <v>5.4</v>
      </c>
      <c r="Q35" s="21"/>
      <c r="R35" s="21"/>
      <c r="S35" s="21"/>
      <c r="T35" s="21"/>
    </row>
    <row r="36" spans="2:26" s="14" customFormat="1" x14ac:dyDescent="0.2">
      <c r="B36" s="14" t="s">
        <v>35</v>
      </c>
      <c r="D36" s="14">
        <v>4.3</v>
      </c>
      <c r="E36" s="14">
        <v>4</v>
      </c>
      <c r="F36" s="14">
        <v>4.7</v>
      </c>
      <c r="G36" s="14">
        <v>3.8</v>
      </c>
      <c r="H36" s="21">
        <v>4.0999999999999996</v>
      </c>
      <c r="I36" s="21">
        <v>4</v>
      </c>
      <c r="J36" s="21">
        <v>4.4000000000000004</v>
      </c>
      <c r="K36" s="21">
        <v>3.8</v>
      </c>
      <c r="L36" s="21">
        <v>4.0999999999999996</v>
      </c>
      <c r="M36" s="21">
        <v>4</v>
      </c>
      <c r="N36" s="21">
        <v>4.3</v>
      </c>
      <c r="O36" s="21">
        <v>3.4</v>
      </c>
      <c r="P36" s="21">
        <v>4.3</v>
      </c>
      <c r="Q36" s="21"/>
      <c r="R36" s="21"/>
      <c r="S36" s="21"/>
      <c r="T36" s="21"/>
    </row>
    <row r="37" spans="2:26" s="14" customFormat="1" x14ac:dyDescent="0.2">
      <c r="B37" s="14" t="s">
        <v>36</v>
      </c>
      <c r="D37" s="14">
        <v>5.8</v>
      </c>
      <c r="E37" s="14">
        <v>5.5</v>
      </c>
      <c r="F37" s="14">
        <v>6.3</v>
      </c>
      <c r="G37" s="14">
        <v>4.5999999999999996</v>
      </c>
      <c r="H37" s="21">
        <v>4.5999999999999996</v>
      </c>
      <c r="I37" s="21">
        <v>4.8</v>
      </c>
      <c r="J37" s="21">
        <v>5.3</v>
      </c>
      <c r="K37" s="21">
        <v>3.8</v>
      </c>
      <c r="L37" s="21">
        <v>4</v>
      </c>
      <c r="M37" s="21">
        <v>4</v>
      </c>
      <c r="N37" s="21">
        <v>4.5</v>
      </c>
      <c r="O37" s="21">
        <v>3.1</v>
      </c>
      <c r="P37" s="21">
        <v>3.5</v>
      </c>
      <c r="Q37" s="21"/>
      <c r="R37" s="21"/>
      <c r="S37" s="21"/>
      <c r="T37" s="21"/>
    </row>
    <row r="38" spans="2:26" s="14" customFormat="1" x14ac:dyDescent="0.2">
      <c r="B38" s="14" t="s">
        <v>37</v>
      </c>
      <c r="D38" s="14">
        <v>2.2000000000000002</v>
      </c>
      <c r="E38" s="14">
        <v>2.2000000000000002</v>
      </c>
      <c r="F38" s="14">
        <v>2.6</v>
      </c>
      <c r="G38" s="14">
        <v>2.6</v>
      </c>
      <c r="H38" s="21">
        <v>2.4</v>
      </c>
      <c r="I38" s="21">
        <v>2.8</v>
      </c>
      <c r="J38" s="21">
        <v>3.3</v>
      </c>
      <c r="K38" s="21">
        <v>3.2</v>
      </c>
      <c r="L38" s="21">
        <v>4.4000000000000004</v>
      </c>
      <c r="M38" s="21">
        <v>6</v>
      </c>
      <c r="N38" s="21">
        <v>7.3</v>
      </c>
      <c r="O38" s="21">
        <v>6.2</v>
      </c>
      <c r="P38" s="21">
        <v>7.8</v>
      </c>
      <c r="Q38" s="21"/>
      <c r="R38" s="21"/>
      <c r="S38" s="21"/>
      <c r="T38" s="21"/>
    </row>
    <row r="39" spans="2:26" s="14" customFormat="1" x14ac:dyDescent="0.2">
      <c r="B39" s="14" t="s">
        <v>88</v>
      </c>
      <c r="H39" s="21"/>
      <c r="I39" s="21"/>
      <c r="J39" s="21"/>
      <c r="K39" s="21"/>
      <c r="L39" s="21">
        <v>2.1</v>
      </c>
      <c r="M39" s="21"/>
      <c r="N39" s="21"/>
      <c r="O39" s="21"/>
      <c r="P39" s="21">
        <v>2.6</v>
      </c>
      <c r="Q39" s="21"/>
      <c r="R39" s="21"/>
      <c r="S39" s="21"/>
      <c r="T39" s="21"/>
    </row>
    <row r="40" spans="2:26" s="14" customFormat="1" x14ac:dyDescent="0.2">
      <c r="B40" s="14" t="s">
        <v>38</v>
      </c>
      <c r="D40" s="14">
        <v>0.9</v>
      </c>
      <c r="E40" s="14">
        <v>1.2</v>
      </c>
      <c r="F40" s="14">
        <v>1.3</v>
      </c>
      <c r="G40" s="14">
        <v>1.2</v>
      </c>
      <c r="H40" s="21">
        <v>1.4</v>
      </c>
      <c r="I40" s="21">
        <v>1.6</v>
      </c>
      <c r="J40" s="21">
        <v>1.7</v>
      </c>
      <c r="K40" s="21">
        <v>1.5</v>
      </c>
      <c r="L40" s="21">
        <v>1.7</v>
      </c>
      <c r="M40" s="21">
        <v>1.8</v>
      </c>
      <c r="N40" s="21">
        <v>2.1</v>
      </c>
      <c r="O40" s="21">
        <v>1.9</v>
      </c>
      <c r="P40" s="21"/>
      <c r="Q40" s="21"/>
      <c r="R40" s="21"/>
      <c r="S40" s="21"/>
      <c r="T40" s="21"/>
    </row>
    <row r="41" spans="2:26" s="14" customFormat="1" x14ac:dyDescent="0.2">
      <c r="B41" s="14" t="s">
        <v>39</v>
      </c>
      <c r="D41" s="14">
        <v>20</v>
      </c>
      <c r="E41" s="14">
        <v>19.8</v>
      </c>
      <c r="F41" s="14">
        <v>24.2</v>
      </c>
      <c r="G41" s="14">
        <v>18.8</v>
      </c>
      <c r="H41" s="21">
        <v>21</v>
      </c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</row>
    <row r="42" spans="2:26" s="14" customFormat="1" x14ac:dyDescent="0.2">
      <c r="B42" s="14" t="s">
        <v>40</v>
      </c>
      <c r="D42" s="14">
        <v>1.4</v>
      </c>
      <c r="E42" s="14">
        <v>4</v>
      </c>
      <c r="F42" s="14">
        <v>12.3</v>
      </c>
      <c r="G42" s="14">
        <v>-2.9</v>
      </c>
      <c r="H42" s="21">
        <v>0.5</v>
      </c>
      <c r="I42" s="21">
        <v>8.1</v>
      </c>
      <c r="J42" s="21">
        <v>7.5</v>
      </c>
      <c r="K42" s="21">
        <v>-2.7</v>
      </c>
      <c r="L42" s="21">
        <v>0.7</v>
      </c>
      <c r="M42" s="21">
        <v>7.5</v>
      </c>
      <c r="N42" s="21">
        <v>20</v>
      </c>
      <c r="O42" s="21">
        <v>-0.5</v>
      </c>
      <c r="P42" s="21">
        <v>0.7</v>
      </c>
      <c r="Q42" s="21"/>
      <c r="R42" s="21"/>
      <c r="S42" s="21"/>
      <c r="T42" s="21"/>
    </row>
    <row r="43" spans="2:26" s="14" customFormat="1" x14ac:dyDescent="0.2">
      <c r="B43" s="14" t="s">
        <v>27</v>
      </c>
      <c r="D43" s="14">
        <v>129.1</v>
      </c>
      <c r="E43" s="14">
        <v>126.5</v>
      </c>
      <c r="F43" s="14">
        <v>138.1</v>
      </c>
      <c r="G43" s="14">
        <v>95.8</v>
      </c>
      <c r="H43" s="21">
        <v>109</v>
      </c>
      <c r="I43" s="21">
        <v>116</v>
      </c>
      <c r="J43" s="21">
        <v>131.30000000000001</v>
      </c>
      <c r="K43" s="21">
        <v>101.5</v>
      </c>
      <c r="L43" s="21">
        <f>119-SUM(L29:L42)</f>
        <v>28.900000000000006</v>
      </c>
      <c r="M43" s="21">
        <f>127.8-SUM(M29:M42)</f>
        <v>30.800000000000011</v>
      </c>
      <c r="N43" s="21">
        <f>165.5-SUM(N29:N42)</f>
        <v>44.300000000000011</v>
      </c>
      <c r="O43" s="21">
        <f>106.6-SUM(O29:O42)</f>
        <v>26.09999999999998</v>
      </c>
      <c r="P43" s="21">
        <f>117.7-SUM(P29:P42)</f>
        <v>17.000000000000014</v>
      </c>
      <c r="Q43" s="21"/>
      <c r="R43" s="21"/>
      <c r="S43" s="21"/>
      <c r="T43" s="21"/>
      <c r="Y43" s="14">
        <v>457.9</v>
      </c>
      <c r="Z43" s="14">
        <v>518.9</v>
      </c>
    </row>
    <row r="44" spans="2:26" s="14" customFormat="1" x14ac:dyDescent="0.2">
      <c r="B44" s="14" t="s">
        <v>41</v>
      </c>
      <c r="D44" s="14">
        <v>15.4</v>
      </c>
      <c r="E44" s="14">
        <v>18.399999999999999</v>
      </c>
      <c r="F44" s="14">
        <v>15.9</v>
      </c>
      <c r="G44" s="14">
        <v>15</v>
      </c>
      <c r="H44" s="21">
        <v>15.3</v>
      </c>
      <c r="I44" s="21">
        <v>18.399999999999999</v>
      </c>
      <c r="J44" s="21">
        <v>21.2</v>
      </c>
      <c r="K44" s="21">
        <v>15.6</v>
      </c>
      <c r="L44" s="21">
        <v>17.100000000000001</v>
      </c>
      <c r="M44" s="21">
        <v>20.3</v>
      </c>
      <c r="N44" s="21">
        <v>22.5</v>
      </c>
      <c r="O44" s="21">
        <v>16</v>
      </c>
      <c r="P44" s="21">
        <v>20</v>
      </c>
      <c r="Q44" s="21"/>
      <c r="R44" s="21"/>
      <c r="S44" s="21"/>
      <c r="T44" s="21"/>
      <c r="Y44" s="14">
        <v>70.3</v>
      </c>
      <c r="Z44" s="14">
        <v>76</v>
      </c>
    </row>
    <row r="45" spans="2:26" s="13" customFormat="1" x14ac:dyDescent="0.2">
      <c r="B45" s="13" t="s">
        <v>89</v>
      </c>
      <c r="H45" s="18"/>
      <c r="I45" s="18"/>
      <c r="J45" s="18"/>
      <c r="K45" s="18"/>
      <c r="L45" s="19">
        <f>350.8-348.4</f>
        <v>2.4000000000000341</v>
      </c>
      <c r="M45" s="19">
        <v>-0.5</v>
      </c>
      <c r="N45" s="19">
        <f>446.9-444.7</f>
        <v>2.1999999999999886</v>
      </c>
      <c r="O45" s="19">
        <v>1.2</v>
      </c>
      <c r="P45" s="19">
        <v>6.6</v>
      </c>
      <c r="Q45" s="18"/>
      <c r="R45" s="18"/>
      <c r="S45" s="18"/>
      <c r="T45" s="18"/>
    </row>
    <row r="46" spans="2:26" s="24" customFormat="1" x14ac:dyDescent="0.2">
      <c r="B46" s="24" t="s">
        <v>15</v>
      </c>
      <c r="D46" s="25">
        <v>264.06900000000002</v>
      </c>
      <c r="E46" s="25">
        <v>265.89999999999998</v>
      </c>
      <c r="F46" s="25">
        <v>281</v>
      </c>
      <c r="G46" s="25">
        <v>233.9</v>
      </c>
      <c r="H46" s="26">
        <v>280.31700000000001</v>
      </c>
      <c r="I46" s="26">
        <f>607.797-H46</f>
        <v>327.48</v>
      </c>
      <c r="J46" s="26">
        <v>340.5</v>
      </c>
      <c r="K46" s="26">
        <v>330.2</v>
      </c>
      <c r="L46" s="26">
        <f>SUM(L4:L45)</f>
        <v>350.8</v>
      </c>
      <c r="M46" s="26">
        <f>SUM(M4:M45)</f>
        <v>375.50000000000011</v>
      </c>
      <c r="N46" s="26">
        <f>SUM(N4:N45)</f>
        <v>446.90000000000009</v>
      </c>
      <c r="O46" s="26">
        <f>SUM(O4:O45)</f>
        <v>428.4</v>
      </c>
      <c r="P46" s="26">
        <f>SUM(P4:P45)</f>
        <v>436.2000000000001</v>
      </c>
      <c r="Q46" s="26"/>
      <c r="R46" s="26"/>
      <c r="S46" s="26"/>
      <c r="T46" s="26"/>
      <c r="U46" s="25"/>
      <c r="V46" s="25"/>
      <c r="W46" s="25"/>
      <c r="X46" s="25"/>
      <c r="Y46" s="25">
        <v>1044.8920000000001</v>
      </c>
      <c r="Z46" s="25">
        <v>1278.4780000000001</v>
      </c>
    </row>
    <row r="47" spans="2:26" s="14" customFormat="1" x14ac:dyDescent="0.2">
      <c r="B47" s="14" t="s">
        <v>17</v>
      </c>
      <c r="D47" s="14">
        <v>85.227999999999994</v>
      </c>
      <c r="E47" s="14">
        <v>87.4</v>
      </c>
      <c r="F47" s="14">
        <v>90.6</v>
      </c>
      <c r="G47" s="14">
        <v>84.8</v>
      </c>
      <c r="H47" s="21">
        <v>74.798000000000002</v>
      </c>
      <c r="I47" s="21">
        <f>159.567-H47</f>
        <v>84.769000000000005</v>
      </c>
      <c r="J47" s="21"/>
      <c r="K47" s="21"/>
      <c r="L47" s="21">
        <v>93.6</v>
      </c>
      <c r="M47" s="21"/>
      <c r="N47" s="21"/>
      <c r="O47" s="21"/>
      <c r="P47" s="21">
        <v>95</v>
      </c>
      <c r="Q47" s="21"/>
      <c r="R47" s="21"/>
      <c r="S47" s="21"/>
      <c r="T47" s="21"/>
      <c r="Y47" s="14">
        <v>353.4</v>
      </c>
      <c r="Z47" s="14">
        <v>363.52499999999998</v>
      </c>
    </row>
    <row r="48" spans="2:26" s="14" customFormat="1" x14ac:dyDescent="0.2">
      <c r="B48" s="14" t="s">
        <v>16</v>
      </c>
      <c r="D48" s="14">
        <f t="shared" ref="D48:G48" si="1">+D46-D47</f>
        <v>178.84100000000001</v>
      </c>
      <c r="E48" s="14">
        <f t="shared" si="1"/>
        <v>178.49999999999997</v>
      </c>
      <c r="F48" s="14">
        <f t="shared" si="1"/>
        <v>190.4</v>
      </c>
      <c r="G48" s="14">
        <f t="shared" si="1"/>
        <v>149.10000000000002</v>
      </c>
      <c r="H48" s="21">
        <f>+H46-H47</f>
        <v>205.51900000000001</v>
      </c>
      <c r="I48" s="21">
        <f t="shared" ref="I48:J48" si="2">+I46-I47</f>
        <v>242.71100000000001</v>
      </c>
      <c r="J48" s="21">
        <f t="shared" si="2"/>
        <v>340.5</v>
      </c>
      <c r="K48" s="21"/>
      <c r="L48" s="21">
        <f>+L46-L47</f>
        <v>257.20000000000005</v>
      </c>
      <c r="M48" s="21"/>
      <c r="N48" s="21"/>
      <c r="O48" s="21"/>
      <c r="P48" s="21">
        <f>+P46-P47</f>
        <v>341.2000000000001</v>
      </c>
      <c r="Q48" s="21"/>
      <c r="R48" s="21"/>
      <c r="S48" s="21"/>
      <c r="T48" s="21"/>
      <c r="Y48" s="14">
        <f>+Y46-Y47</f>
        <v>691.49200000000008</v>
      </c>
      <c r="Z48" s="14">
        <f>+Z46-Z47</f>
        <v>914.95300000000009</v>
      </c>
    </row>
    <row r="49" spans="2:26" s="14" customFormat="1" x14ac:dyDescent="0.2">
      <c r="B49" s="14" t="s">
        <v>25</v>
      </c>
      <c r="D49" s="14">
        <v>81.257999999999996</v>
      </c>
      <c r="E49" s="14">
        <v>84.5</v>
      </c>
      <c r="F49" s="14">
        <v>90</v>
      </c>
      <c r="G49" s="14">
        <v>96.4</v>
      </c>
      <c r="H49" s="21">
        <v>96.373000000000005</v>
      </c>
      <c r="I49" s="21">
        <f>209.859-H49</f>
        <v>113.486</v>
      </c>
      <c r="J49" s="21"/>
      <c r="K49" s="21"/>
      <c r="L49" s="21">
        <v>135.6</v>
      </c>
      <c r="M49" s="21"/>
      <c r="N49" s="21"/>
      <c r="O49" s="21"/>
      <c r="P49" s="21">
        <v>167.6</v>
      </c>
      <c r="Q49" s="21"/>
      <c r="R49" s="21"/>
      <c r="S49" s="21"/>
      <c r="T49" s="21"/>
      <c r="Y49" s="14">
        <v>362.45600000000002</v>
      </c>
      <c r="Z49" s="14">
        <v>471.221</v>
      </c>
    </row>
    <row r="50" spans="2:26" s="14" customFormat="1" x14ac:dyDescent="0.2">
      <c r="B50" s="14" t="s">
        <v>26</v>
      </c>
      <c r="D50" s="14">
        <v>54.037999999999997</v>
      </c>
      <c r="E50" s="14">
        <v>55</v>
      </c>
      <c r="F50" s="14">
        <v>60.1</v>
      </c>
      <c r="G50" s="14">
        <v>85</v>
      </c>
      <c r="H50" s="21">
        <v>74.930999999999997</v>
      </c>
      <c r="I50" s="21">
        <f>150.654-H50</f>
        <v>75.722999999999999</v>
      </c>
      <c r="J50" s="21"/>
      <c r="K50" s="21"/>
      <c r="L50" s="21">
        <v>77.2</v>
      </c>
      <c r="M50" s="21"/>
      <c r="N50" s="21"/>
      <c r="O50" s="21"/>
      <c r="P50" s="21">
        <v>56.8</v>
      </c>
      <c r="Q50" s="21"/>
      <c r="R50" s="21"/>
      <c r="S50" s="21"/>
      <c r="T50" s="21"/>
      <c r="Y50" s="14">
        <v>260.32600000000002</v>
      </c>
      <c r="Z50" s="14">
        <v>341.57</v>
      </c>
    </row>
    <row r="51" spans="2:26" s="14" customFormat="1" x14ac:dyDescent="0.2">
      <c r="B51" s="14" t="s">
        <v>24</v>
      </c>
      <c r="D51" s="14">
        <f t="shared" ref="D51:G51" si="3">+D49+D50</f>
        <v>135.29599999999999</v>
      </c>
      <c r="E51" s="14">
        <f t="shared" si="3"/>
        <v>139.5</v>
      </c>
      <c r="F51" s="14">
        <f t="shared" si="3"/>
        <v>150.1</v>
      </c>
      <c r="G51" s="14">
        <f t="shared" si="3"/>
        <v>181.4</v>
      </c>
      <c r="H51" s="21">
        <f>+H49+H50</f>
        <v>171.304</v>
      </c>
      <c r="I51" s="21">
        <f>+I49+I50</f>
        <v>189.209</v>
      </c>
      <c r="J51" s="21"/>
      <c r="K51" s="21"/>
      <c r="L51" s="21">
        <f>+L49+L50</f>
        <v>212.8</v>
      </c>
      <c r="M51" s="21"/>
      <c r="N51" s="21"/>
      <c r="O51" s="21"/>
      <c r="P51" s="21">
        <f>+P50+P49</f>
        <v>224.39999999999998</v>
      </c>
      <c r="Q51" s="21"/>
      <c r="R51" s="21"/>
      <c r="S51" s="21"/>
      <c r="T51" s="21"/>
      <c r="Y51" s="14">
        <f>+Y49+Y50</f>
        <v>622.78200000000004</v>
      </c>
      <c r="Z51" s="14">
        <f>+Z49+Z50</f>
        <v>812.79099999999994</v>
      </c>
    </row>
    <row r="52" spans="2:26" s="14" customFormat="1" x14ac:dyDescent="0.2">
      <c r="B52" s="14" t="s">
        <v>23</v>
      </c>
      <c r="D52" s="14">
        <f t="shared" ref="D52:G52" si="4">+D48-D51</f>
        <v>43.545000000000016</v>
      </c>
      <c r="E52" s="14">
        <f t="shared" si="4"/>
        <v>38.999999999999972</v>
      </c>
      <c r="F52" s="14">
        <f t="shared" si="4"/>
        <v>40.300000000000011</v>
      </c>
      <c r="G52" s="14">
        <f t="shared" si="4"/>
        <v>-32.299999999999983</v>
      </c>
      <c r="H52" s="21">
        <f>+H48-H51</f>
        <v>34.215000000000003</v>
      </c>
      <c r="I52" s="21">
        <f>+I48-I51</f>
        <v>53.50200000000001</v>
      </c>
      <c r="J52" s="21"/>
      <c r="K52" s="21"/>
      <c r="L52" s="21">
        <f>+L48-L51</f>
        <v>44.400000000000034</v>
      </c>
      <c r="M52" s="21"/>
      <c r="N52" s="21"/>
      <c r="O52" s="21"/>
      <c r="P52" s="21">
        <f>+P48-P51</f>
        <v>116.80000000000013</v>
      </c>
      <c r="Q52" s="21"/>
      <c r="R52" s="21"/>
      <c r="S52" s="21"/>
      <c r="T52" s="21"/>
      <c r="Y52" s="14">
        <f>+Y48-Y51</f>
        <v>68.710000000000036</v>
      </c>
      <c r="Z52" s="14">
        <f>+Z48-Z51</f>
        <v>102.16200000000015</v>
      </c>
    </row>
    <row r="53" spans="2:26" s="14" customFormat="1" x14ac:dyDescent="0.2">
      <c r="B53" s="14" t="s">
        <v>22</v>
      </c>
      <c r="D53" s="14">
        <f>2.225+2.055-0.759-0.002</f>
        <v>3.5190000000000006</v>
      </c>
      <c r="H53" s="21">
        <f>0.168+1.562-6.507-0.021</f>
        <v>-4.7979999999999992</v>
      </c>
      <c r="I53" s="21"/>
      <c r="J53" s="21"/>
      <c r="K53" s="21"/>
      <c r="L53" s="21">
        <v>8.1</v>
      </c>
      <c r="M53" s="21"/>
      <c r="N53" s="21"/>
      <c r="O53" s="21"/>
      <c r="P53" s="21">
        <v>17.2</v>
      </c>
      <c r="Q53" s="21"/>
      <c r="R53" s="21"/>
      <c r="S53" s="21"/>
      <c r="T53" s="21"/>
      <c r="Y53" s="14">
        <f>4.321-0.003+0.5</f>
        <v>4.8179999999999996</v>
      </c>
      <c r="Z53" s="14">
        <f>19.101-0.68+6.3</f>
        <v>24.721</v>
      </c>
    </row>
    <row r="54" spans="2:26" s="14" customFormat="1" x14ac:dyDescent="0.2">
      <c r="B54" s="14" t="s">
        <v>21</v>
      </c>
      <c r="D54" s="14">
        <f>+D52+D53</f>
        <v>47.064000000000014</v>
      </c>
      <c r="E54" s="14">
        <f t="shared" ref="E54:H54" si="5">+E52+E53</f>
        <v>38.999999999999972</v>
      </c>
      <c r="F54" s="14">
        <f t="shared" si="5"/>
        <v>40.300000000000011</v>
      </c>
      <c r="G54" s="14">
        <f t="shared" si="5"/>
        <v>-32.299999999999983</v>
      </c>
      <c r="H54" s="21">
        <f t="shared" si="5"/>
        <v>29.417000000000005</v>
      </c>
      <c r="I54" s="21"/>
      <c r="J54" s="21"/>
      <c r="K54" s="21"/>
      <c r="L54" s="21">
        <f>+L52+L53</f>
        <v>52.500000000000036</v>
      </c>
      <c r="M54" s="21"/>
      <c r="N54" s="21"/>
      <c r="O54" s="21"/>
      <c r="P54" s="21">
        <f>+P52+P53</f>
        <v>134.00000000000011</v>
      </c>
      <c r="Q54" s="21"/>
      <c r="R54" s="21"/>
      <c r="S54" s="21"/>
      <c r="T54" s="21"/>
      <c r="Y54" s="14">
        <f>+Y52+Y53</f>
        <v>73.528000000000034</v>
      </c>
      <c r="Z54" s="14">
        <f>+Z52+Z53</f>
        <v>126.88300000000015</v>
      </c>
    </row>
    <row r="55" spans="2:26" s="14" customFormat="1" x14ac:dyDescent="0.2">
      <c r="B55" s="14" t="s">
        <v>20</v>
      </c>
      <c r="D55" s="14">
        <v>11.842000000000001</v>
      </c>
      <c r="H55" s="21">
        <v>10.563000000000001</v>
      </c>
      <c r="I55" s="21"/>
      <c r="J55" s="21"/>
      <c r="K55" s="21"/>
      <c r="L55" s="21">
        <v>4.9000000000000004</v>
      </c>
      <c r="M55" s="21"/>
      <c r="N55" s="21"/>
      <c r="O55" s="21"/>
      <c r="P55" s="21">
        <v>24.8</v>
      </c>
      <c r="Q55" s="21"/>
      <c r="R55" s="21"/>
      <c r="S55" s="21"/>
      <c r="T55" s="21"/>
      <c r="Y55" s="15">
        <v>6.5430000000000001</v>
      </c>
      <c r="Z55" s="14">
        <v>17.7</v>
      </c>
    </row>
    <row r="56" spans="2:26" s="14" customFormat="1" x14ac:dyDescent="0.2">
      <c r="B56" s="14" t="s">
        <v>19</v>
      </c>
      <c r="D56" s="14">
        <f>+D54-D55</f>
        <v>35.222000000000016</v>
      </c>
      <c r="E56" s="14">
        <f t="shared" ref="E56:H56" si="6">+E54-E55</f>
        <v>38.999999999999972</v>
      </c>
      <c r="F56" s="14">
        <f t="shared" si="6"/>
        <v>40.300000000000011</v>
      </c>
      <c r="G56" s="14">
        <f t="shared" si="6"/>
        <v>-32.299999999999983</v>
      </c>
      <c r="H56" s="21">
        <f t="shared" si="6"/>
        <v>18.854000000000006</v>
      </c>
      <c r="I56" s="21"/>
      <c r="J56" s="21"/>
      <c r="K56" s="21"/>
      <c r="L56" s="21">
        <f>+L54-L55</f>
        <v>47.600000000000037</v>
      </c>
      <c r="M56" s="21"/>
      <c r="N56" s="21"/>
      <c r="O56" s="21"/>
      <c r="P56" s="21">
        <f>+P54-P55</f>
        <v>109.20000000000012</v>
      </c>
      <c r="Q56" s="21"/>
      <c r="R56" s="21"/>
      <c r="S56" s="21"/>
      <c r="T56" s="21"/>
      <c r="Y56" s="14">
        <f>+Y54-Y55</f>
        <v>66.985000000000028</v>
      </c>
      <c r="Z56" s="14">
        <f>+Z54-Z55</f>
        <v>109.18300000000015</v>
      </c>
    </row>
    <row r="57" spans="2:26" x14ac:dyDescent="0.2">
      <c r="Y57" s="15"/>
      <c r="Z57" s="15"/>
    </row>
    <row r="58" spans="2:26" x14ac:dyDescent="0.2"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Y58" s="14"/>
      <c r="Z58" s="14"/>
    </row>
    <row r="60" spans="2:26" x14ac:dyDescent="0.2">
      <c r="B60" s="14" t="s">
        <v>67</v>
      </c>
      <c r="D60" s="17">
        <f>+D48/D46</f>
        <v>0.67725102151331662</v>
      </c>
      <c r="E60" s="17">
        <f>+E48/E46</f>
        <v>0.67130500188040609</v>
      </c>
      <c r="F60" s="17">
        <f>+F48/F46</f>
        <v>0.67758007117437724</v>
      </c>
      <c r="G60" s="17">
        <f>+G48/G46</f>
        <v>0.63745190252244555</v>
      </c>
      <c r="H60" s="22">
        <f>+H48/H46</f>
        <v>0.73316637949178964</v>
      </c>
    </row>
    <row r="61" spans="2:26" x14ac:dyDescent="0.2">
      <c r="B61" s="14" t="s">
        <v>51</v>
      </c>
      <c r="H61" s="23">
        <v>16739</v>
      </c>
    </row>
  </sheetData>
  <hyperlinks>
    <hyperlink ref="A1" location="Main!A1" display="Main" xr:uid="{67E039B0-57DC-4A4A-BF3B-490AD339C2EB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2022-10-13T19:58:48Z</dcterms:created>
  <dcterms:modified xsi:type="dcterms:W3CDTF">2024-09-01T03:48:40Z</dcterms:modified>
</cp:coreProperties>
</file>