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1EE3AEB-5D86-4D53-B490-EEC3D25FB819}" xr6:coauthVersionLast="47" xr6:coauthVersionMax="47" xr10:uidLastSave="{00000000-0000-0000-0000-000000000000}"/>
  <bookViews>
    <workbookView xWindow="-51720" yWindow="-120" windowWidth="51840" windowHeight="21120" activeTab="1" xr2:uid="{FDA61D46-91E7-4102-8A99-F00744CD4A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4" i="2" l="1"/>
  <c r="T21" i="2"/>
  <c r="T20" i="2"/>
  <c r="T18" i="2"/>
  <c r="T15" i="2"/>
  <c r="T16" i="2" s="1"/>
  <c r="T7" i="2"/>
  <c r="V24" i="2"/>
  <c r="U21" i="2"/>
  <c r="U20" i="2"/>
  <c r="U18" i="2"/>
  <c r="U15" i="2"/>
  <c r="U16" i="2" s="1"/>
  <c r="U7" i="2"/>
  <c r="M27" i="2"/>
  <c r="N19" i="2"/>
  <c r="N14" i="2"/>
  <c r="N13" i="2"/>
  <c r="N12" i="2"/>
  <c r="N11" i="2"/>
  <c r="N10" i="2"/>
  <c r="N9" i="2"/>
  <c r="N8" i="2"/>
  <c r="N15" i="2" s="1"/>
  <c r="N6" i="2"/>
  <c r="N5" i="2"/>
  <c r="N4" i="2"/>
  <c r="N3" i="2"/>
  <c r="AI7" i="2"/>
  <c r="AH7" i="2"/>
  <c r="AG7" i="2"/>
  <c r="AF7" i="2"/>
  <c r="AE7" i="2"/>
  <c r="AD7" i="2"/>
  <c r="AC7" i="2"/>
  <c r="AB7" i="2"/>
  <c r="AA7" i="2"/>
  <c r="Z7" i="2"/>
  <c r="Y7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M15" i="2"/>
  <c r="M7" i="2"/>
  <c r="M16" i="2" s="1"/>
  <c r="M18" i="2" s="1"/>
  <c r="M20" i="2" s="1"/>
  <c r="M21" i="2" s="1"/>
  <c r="M46" i="2"/>
  <c r="M45" i="2"/>
  <c r="M44" i="2"/>
  <c r="M41" i="2"/>
  <c r="M40" i="2"/>
  <c r="M49" i="2" s="1"/>
  <c r="M38" i="2"/>
  <c r="X15" i="2"/>
  <c r="X7" i="2"/>
  <c r="N46" i="2"/>
  <c r="N45" i="2"/>
  <c r="N44" i="2"/>
  <c r="N41" i="2"/>
  <c r="N40" i="2"/>
  <c r="N49" i="2" s="1"/>
  <c r="N38" i="2"/>
  <c r="J14" i="2"/>
  <c r="J13" i="2"/>
  <c r="J12" i="2"/>
  <c r="J11" i="2"/>
  <c r="J10" i="2"/>
  <c r="J9" i="2"/>
  <c r="J8" i="2"/>
  <c r="J6" i="2"/>
  <c r="J5" i="2"/>
  <c r="J4" i="2"/>
  <c r="J3" i="2"/>
  <c r="E17" i="2"/>
  <c r="E15" i="2"/>
  <c r="E7" i="2"/>
  <c r="I19" i="2"/>
  <c r="I17" i="2"/>
  <c r="I15" i="2"/>
  <c r="I7" i="2"/>
  <c r="M24" i="2" s="1"/>
  <c r="V17" i="2"/>
  <c r="V15" i="2"/>
  <c r="V7" i="2"/>
  <c r="W19" i="2"/>
  <c r="W17" i="2"/>
  <c r="W15" i="2"/>
  <c r="W7" i="2"/>
  <c r="G64" i="2"/>
  <c r="K57" i="2"/>
  <c r="K64" i="2" s="1"/>
  <c r="G17" i="2"/>
  <c r="G15" i="2"/>
  <c r="G7" i="2"/>
  <c r="K17" i="2"/>
  <c r="K15" i="2"/>
  <c r="K7" i="2"/>
  <c r="H64" i="2"/>
  <c r="L64" i="2"/>
  <c r="H17" i="2"/>
  <c r="L17" i="2"/>
  <c r="L15" i="2"/>
  <c r="H15" i="2"/>
  <c r="H7" i="2"/>
  <c r="L7" i="2"/>
  <c r="L24" i="2" s="1"/>
  <c r="O4" i="1"/>
  <c r="O7" i="1" s="1"/>
  <c r="N17" i="2" l="1"/>
  <c r="K24" i="2"/>
  <c r="X24" i="2"/>
  <c r="N7" i="2"/>
  <c r="N16" i="2" s="1"/>
  <c r="N18" i="2" s="1"/>
  <c r="N20" i="2" s="1"/>
  <c r="N21" i="2" s="1"/>
  <c r="X16" i="2"/>
  <c r="X18" i="2" s="1"/>
  <c r="X20" i="2" s="1"/>
  <c r="X21" i="2" s="1"/>
  <c r="N27" i="2"/>
  <c r="H16" i="2"/>
  <c r="J19" i="2"/>
  <c r="J17" i="2"/>
  <c r="J15" i="2"/>
  <c r="J7" i="2"/>
  <c r="N24" i="2" s="1"/>
  <c r="W24" i="2"/>
  <c r="E16" i="2"/>
  <c r="E18" i="2" s="1"/>
  <c r="E20" i="2" s="1"/>
  <c r="E21" i="2" s="1"/>
  <c r="I16" i="2"/>
  <c r="I18" i="2" s="1"/>
  <c r="I20" i="2" s="1"/>
  <c r="I21" i="2" s="1"/>
  <c r="V16" i="2"/>
  <c r="V18" i="2" s="1"/>
  <c r="V20" i="2" s="1"/>
  <c r="V21" i="2" s="1"/>
  <c r="W16" i="2"/>
  <c r="W18" i="2" s="1"/>
  <c r="W20" i="2" s="1"/>
  <c r="W21" i="2" s="1"/>
  <c r="G16" i="2"/>
  <c r="G18" i="2" s="1"/>
  <c r="G20" i="2" s="1"/>
  <c r="K16" i="2"/>
  <c r="K18" i="2" s="1"/>
  <c r="K20" i="2" s="1"/>
  <c r="L16" i="2"/>
  <c r="L18" i="2" s="1"/>
  <c r="L20" i="2" s="1"/>
  <c r="H18" i="2"/>
  <c r="H20" i="2" s="1"/>
  <c r="J16" i="2" l="1"/>
  <c r="J18" i="2" s="1"/>
  <c r="J20" i="2" s="1"/>
  <c r="J21" i="2" s="1"/>
  <c r="L51" i="2"/>
  <c r="L21" i="2"/>
  <c r="K21" i="2"/>
  <c r="K51" i="2"/>
  <c r="G21" i="2"/>
  <c r="G51" i="2"/>
  <c r="H51" i="2"/>
  <c r="H21" i="2"/>
</calcChain>
</file>

<file path=xl/sharedStrings.xml><?xml version="1.0" encoding="utf-8"?>
<sst xmlns="http://schemas.openxmlformats.org/spreadsheetml/2006/main" count="86" uniqueCount="74">
  <si>
    <t>Price CAD</t>
  </si>
  <si>
    <t>Shares</t>
  </si>
  <si>
    <t>MC CAD</t>
  </si>
  <si>
    <t>EV CAD</t>
  </si>
  <si>
    <t>Cash USD</t>
  </si>
  <si>
    <t>Debt USD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</si>
  <si>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</si>
  <si>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</si>
  <si>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</si>
  <si>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</si>
  <si>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</si>
  <si>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</si>
  <si>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</si>
  <si>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</si>
  <si>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</si>
  <si>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</si>
  <si>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</si>
  <si>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</si>
  <si>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</si>
  <si>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</si>
  <si>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License</t>
  </si>
  <si>
    <t>Services</t>
  </si>
  <si>
    <t>Hardware</t>
  </si>
  <si>
    <t>Maintenance</t>
  </si>
  <si>
    <t>Staff</t>
  </si>
  <si>
    <t>Licenses</t>
  </si>
  <si>
    <t>Occupancy</t>
  </si>
  <si>
    <t>Travel, Telecom</t>
  </si>
  <si>
    <t>Professional</t>
  </si>
  <si>
    <t>Other</t>
  </si>
  <si>
    <t>Operating Profit</t>
  </si>
  <si>
    <t>Operating Costs</t>
  </si>
  <si>
    <t>Finance Costs</t>
  </si>
  <si>
    <t>Pretax Income</t>
  </si>
  <si>
    <t>Taxes</t>
  </si>
  <si>
    <t>Net Income</t>
  </si>
  <si>
    <t>Model NI</t>
  </si>
  <si>
    <t>Reported NI</t>
  </si>
  <si>
    <t>CFFO</t>
  </si>
  <si>
    <t>Depreciation</t>
  </si>
  <si>
    <t>Amortization</t>
  </si>
  <si>
    <t>IGRA revaluation</t>
  </si>
  <si>
    <t>Finance</t>
  </si>
  <si>
    <t>Bargain/Impairment</t>
  </si>
  <si>
    <t>Preferred</t>
  </si>
  <si>
    <t>FX</t>
  </si>
  <si>
    <t>WC</t>
  </si>
  <si>
    <t>EPS</t>
  </si>
  <si>
    <t>Revenue y/y</t>
  </si>
  <si>
    <t>Q123</t>
  </si>
  <si>
    <t>Q223</t>
  </si>
  <si>
    <t>Q323</t>
  </si>
  <si>
    <t>Q423</t>
  </si>
  <si>
    <t>Organic y/y</t>
  </si>
  <si>
    <t>Cash</t>
  </si>
  <si>
    <t>A/R</t>
  </si>
  <si>
    <t>Unbilled</t>
  </si>
  <si>
    <t>Inventories</t>
  </si>
  <si>
    <t>PP&amp;E</t>
  </si>
  <si>
    <t>ROU</t>
  </si>
  <si>
    <t>DT</t>
  </si>
  <si>
    <t>Intangibles</t>
  </si>
  <si>
    <t>Assets</t>
  </si>
  <si>
    <t>Debt</t>
  </si>
  <si>
    <t>Dividends</t>
  </si>
  <si>
    <t>DR</t>
  </si>
  <si>
    <t>AP+Provisions</t>
  </si>
  <si>
    <t>Holdback</t>
  </si>
  <si>
    <t>Leases</t>
  </si>
  <si>
    <t>SE</t>
  </si>
  <si>
    <t>L+SE</t>
  </si>
  <si>
    <t>Topicus</t>
  </si>
  <si>
    <t>Altera - 72m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</si>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</sst>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17860</xdr:colOff>
      <xdr:row>0</xdr:row>
      <xdr:rowOff>65484</xdr:rowOff>
    </xdr:from>
    <xdr:to>
      <xdr:col>14</xdr:col>
      <xdr:colOff>17860</xdr:colOff>
      <xdr:row>68</xdr:row>
      <xdr:rowOff>53578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1520A1B-C785-CF41-986F-B02E0C68D9A7}"/>
            </a:ext>
          </a:extLst>
        </xdr:cNvPr>
        <xdr:cNvCxnSpPr/>
      </xdr:nvCxnSpPr>
      <xdr:spPr>
        <a:xfrm>
          <a:off x="8792766" y="65484"/>
          <a:ext cx="0" cy="7060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21432</xdr:colOff>
      <xdr:row>0</xdr:row>
      <xdr:rowOff>0</xdr:rowOff>
    </xdr:from>
    <xdr:to>
      <xdr:col>24</xdr:col>
      <xdr:colOff>21432</xdr:colOff>
      <xdr:row>67</xdr:row>
      <xdr:rowOff>148828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593C8A-6D1F-4F2C-BE7C-586D7FFFE942}"/>
            </a:ext>
          </a:extLst>
        </xdr:cNvPr>
        <xdr:cNvCxnSpPr/>
      </xdr:nvCxnSpPr>
      <xdr:spPr>
        <a:xfrm>
          <a:off x="13654088" y="0"/>
          <a:ext cx="0" cy="107572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1BD8-E4FD-4768-8AA5-DD22841FBF05}">
  <dimension ref="B2:P7"/>
  <sheetViews>
    <sheetView zoomScale="175" zoomScaleNormal="175" workbookViewId="0">
      <selection activeCell="O3" sqref="O3"/>
    </sheetView>
  </sheetViews>
  <sheetFormatPr defaultRowHeight="12.75" x14ac:dyDescent="0.2"/>
  <cols>
    <col min="14" max="14" width="9.7109375" bestFit="1" customWidth="1"/>
  </cols>
  <sheetData>
    <row r="2" spans="2:16" x14ac:dyDescent="0.2">
      <c r="B2" t="s">
        <v>71</v>
      </c>
      <c r="N2" t="s">
        <v>0</v>
      </c>
      <c r="O2">
        <v>2651.82</v>
      </c>
    </row>
    <row r="3" spans="2:16" x14ac:dyDescent="0.2">
      <c r="B3" t="s">
        <v>72</v>
      </c>
      <c r="N3" t="s">
        <v>1</v>
      </c>
      <c r="O3" s="2">
        <v>21.19153</v>
      </c>
      <c r="P3" s="1" t="s">
        <v>19</v>
      </c>
    </row>
    <row r="4" spans="2:16" x14ac:dyDescent="0.2">
      <c r="N4" t="s">
        <v>2</v>
      </c>
      <c r="O4" s="2">
        <f>+O2*O3</f>
        <v>56196.123084600003</v>
      </c>
    </row>
    <row r="5" spans="2:16" x14ac:dyDescent="0.2">
      <c r="N5" t="s">
        <v>4</v>
      </c>
      <c r="O5" s="2">
        <v>811</v>
      </c>
      <c r="P5" s="1" t="s">
        <v>19</v>
      </c>
    </row>
    <row r="6" spans="2:16" x14ac:dyDescent="0.2">
      <c r="N6" t="s">
        <v>5</v>
      </c>
      <c r="O6" s="2">
        <v>1974</v>
      </c>
      <c r="P6" s="1" t="s">
        <v>19</v>
      </c>
    </row>
    <row r="7" spans="2:16" x14ac:dyDescent="0.2">
      <c r="N7" t="s">
        <v>3</v>
      </c>
      <c r="O7" s="2">
        <f>+O4-O5+O6</f>
        <v>57359.123084600003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57C4-A57D-4C23-A569-5140111B21B9}">
  <dimension ref="A1:AI64"/>
  <sheetViews>
    <sheetView tabSelected="1" zoomScale="160" zoomScaleNormal="16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T22" sqref="T22"/>
    </sheetView>
  </sheetViews>
  <sheetFormatPr defaultRowHeight="12.75" x14ac:dyDescent="0.2"/>
  <cols>
    <col min="1" max="1" width="5" bestFit="1" customWidth="1"/>
    <col min="2" max="2" width="17.28515625" bestFit="1" customWidth="1"/>
    <col min="3" max="17" width="9.140625" style="1"/>
  </cols>
  <sheetData>
    <row r="1" spans="1:35" x14ac:dyDescent="0.2">
      <c r="A1" s="7" t="s">
        <v>7</v>
      </c>
    </row>
    <row r="2" spans="1:35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49</v>
      </c>
      <c r="P2" s="1" t="s">
        <v>50</v>
      </c>
      <c r="Q2" s="1" t="s">
        <v>51</v>
      </c>
      <c r="R2" s="1" t="s">
        <v>52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f>Y2+1</f>
        <v>2024</v>
      </c>
      <c r="AA2">
        <f t="shared" ref="AA2:AI2" si="0">Z2+1</f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</row>
    <row r="3" spans="1:35" s="2" customFormat="1" x14ac:dyDescent="0.2">
      <c r="B3" s="2" t="s">
        <v>20</v>
      </c>
      <c r="C3" s="3"/>
      <c r="D3" s="3"/>
      <c r="E3" s="3">
        <v>57</v>
      </c>
      <c r="F3" s="3"/>
      <c r="G3" s="3">
        <v>66</v>
      </c>
      <c r="H3" s="3">
        <v>71</v>
      </c>
      <c r="I3" s="3">
        <v>69</v>
      </c>
      <c r="J3" s="3">
        <f>+W3-I3-H3-G3</f>
        <v>81</v>
      </c>
      <c r="K3" s="3">
        <v>69</v>
      </c>
      <c r="L3" s="3">
        <v>72</v>
      </c>
      <c r="M3" s="3">
        <v>79</v>
      </c>
      <c r="N3" s="3">
        <f>X3-M3-L3-K3</f>
        <v>100</v>
      </c>
      <c r="O3" s="3"/>
      <c r="P3" s="3"/>
      <c r="Q3" s="3"/>
      <c r="T3" s="2">
        <v>198</v>
      </c>
      <c r="U3" s="2">
        <v>226</v>
      </c>
      <c r="V3" s="3">
        <v>234</v>
      </c>
      <c r="W3" s="3">
        <v>287</v>
      </c>
      <c r="X3" s="3">
        <v>320</v>
      </c>
    </row>
    <row r="4" spans="1:35" s="2" customFormat="1" x14ac:dyDescent="0.2">
      <c r="B4" s="2" t="s">
        <v>21</v>
      </c>
      <c r="C4" s="3"/>
      <c r="D4" s="3"/>
      <c r="E4" s="3">
        <v>187</v>
      </c>
      <c r="F4" s="3"/>
      <c r="G4" s="3">
        <v>237</v>
      </c>
      <c r="H4" s="3">
        <v>254</v>
      </c>
      <c r="I4" s="3">
        <v>256</v>
      </c>
      <c r="J4" s="3">
        <f t="shared" ref="J4:J14" si="1">+W4-I4-H4-G4</f>
        <v>286</v>
      </c>
      <c r="K4" s="3">
        <v>270</v>
      </c>
      <c r="L4" s="3">
        <v>340</v>
      </c>
      <c r="M4" s="3">
        <v>375</v>
      </c>
      <c r="N4" s="3">
        <f t="shared" ref="N4:N14" si="2">X4-M4-L4-K4</f>
        <v>396</v>
      </c>
      <c r="O4" s="3"/>
      <c r="P4" s="3"/>
      <c r="Q4" s="3"/>
      <c r="T4" s="2">
        <v>616</v>
      </c>
      <c r="U4" s="2">
        <v>673</v>
      </c>
      <c r="V4" s="3">
        <v>751</v>
      </c>
      <c r="W4" s="3">
        <v>1033</v>
      </c>
      <c r="X4" s="3">
        <v>1381</v>
      </c>
    </row>
    <row r="5" spans="1:35" s="2" customFormat="1" x14ac:dyDescent="0.2">
      <c r="B5" s="2" t="s">
        <v>22</v>
      </c>
      <c r="C5" s="3"/>
      <c r="D5" s="3"/>
      <c r="E5" s="3">
        <v>45</v>
      </c>
      <c r="F5" s="3"/>
      <c r="G5" s="3">
        <v>39</v>
      </c>
      <c r="H5" s="3">
        <v>43</v>
      </c>
      <c r="I5" s="3">
        <v>45</v>
      </c>
      <c r="J5" s="3">
        <f t="shared" si="1"/>
        <v>49</v>
      </c>
      <c r="K5" s="3">
        <v>47</v>
      </c>
      <c r="L5" s="3">
        <v>50</v>
      </c>
      <c r="M5" s="3">
        <v>54</v>
      </c>
      <c r="N5" s="3">
        <f t="shared" si="2"/>
        <v>82</v>
      </c>
      <c r="O5" s="3"/>
      <c r="P5" s="3"/>
      <c r="Q5" s="3"/>
      <c r="T5" s="2">
        <v>175</v>
      </c>
      <c r="U5" s="2">
        <v>173</v>
      </c>
      <c r="V5" s="3">
        <v>169</v>
      </c>
      <c r="W5" s="3">
        <v>176</v>
      </c>
      <c r="X5" s="3">
        <v>233</v>
      </c>
    </row>
    <row r="6" spans="1:35" s="2" customFormat="1" x14ac:dyDescent="0.2">
      <c r="B6" s="2" t="s">
        <v>23</v>
      </c>
      <c r="C6" s="3"/>
      <c r="D6" s="3"/>
      <c r="E6" s="3">
        <v>713</v>
      </c>
      <c r="F6" s="3"/>
      <c r="G6" s="3">
        <v>834</v>
      </c>
      <c r="H6" s="3">
        <v>880</v>
      </c>
      <c r="I6" s="3">
        <v>929</v>
      </c>
      <c r="J6" s="3">
        <f t="shared" si="1"/>
        <v>968</v>
      </c>
      <c r="K6" s="3">
        <v>1045</v>
      </c>
      <c r="L6" s="3">
        <v>1156</v>
      </c>
      <c r="M6" s="3">
        <v>1217</v>
      </c>
      <c r="N6" s="3">
        <f t="shared" si="2"/>
        <v>1270</v>
      </c>
      <c r="O6" s="3"/>
      <c r="P6" s="3"/>
      <c r="Q6" s="3"/>
      <c r="T6" s="2">
        <v>2072</v>
      </c>
      <c r="U6" s="2">
        <v>2417</v>
      </c>
      <c r="V6" s="3">
        <v>2815</v>
      </c>
      <c r="W6" s="3">
        <v>3611</v>
      </c>
      <c r="X6" s="3">
        <v>4688</v>
      </c>
    </row>
    <row r="7" spans="1:35" s="4" customFormat="1" x14ac:dyDescent="0.2">
      <c r="B7" s="4" t="s">
        <v>8</v>
      </c>
      <c r="C7" s="5"/>
      <c r="D7" s="5"/>
      <c r="E7" s="5">
        <f>SUM(E3:E6)</f>
        <v>1002</v>
      </c>
      <c r="F7" s="5"/>
      <c r="G7" s="5">
        <f t="shared" ref="G7:N7" si="3">SUM(G3:G6)</f>
        <v>1176</v>
      </c>
      <c r="H7" s="5">
        <f t="shared" si="3"/>
        <v>1248</v>
      </c>
      <c r="I7" s="5">
        <f t="shared" si="3"/>
        <v>1299</v>
      </c>
      <c r="J7" s="5">
        <f t="shared" si="3"/>
        <v>1384</v>
      </c>
      <c r="K7" s="5">
        <f t="shared" si="3"/>
        <v>1431</v>
      </c>
      <c r="L7" s="5">
        <f t="shared" si="3"/>
        <v>1618</v>
      </c>
      <c r="M7" s="5">
        <f t="shared" si="3"/>
        <v>1725</v>
      </c>
      <c r="N7" s="5">
        <f t="shared" si="3"/>
        <v>1848</v>
      </c>
      <c r="O7" s="5"/>
      <c r="P7" s="5"/>
      <c r="Q7" s="5"/>
      <c r="T7" s="5">
        <f>SUM(T3:T6)</f>
        <v>3061</v>
      </c>
      <c r="U7" s="5">
        <f>SUM(U3:U6)</f>
        <v>3489</v>
      </c>
      <c r="V7" s="5">
        <f>SUM(V3:V6)</f>
        <v>3969</v>
      </c>
      <c r="W7" s="5">
        <f>SUM(W3:W6)</f>
        <v>5107</v>
      </c>
      <c r="X7" s="5">
        <f>SUM(X3:X6)</f>
        <v>6622</v>
      </c>
      <c r="Y7" s="5">
        <f t="shared" ref="Y7:AI7" si="4">SUM(Y3:Y6)</f>
        <v>0</v>
      </c>
      <c r="Z7" s="5">
        <f t="shared" si="4"/>
        <v>0</v>
      </c>
      <c r="AA7" s="5">
        <f t="shared" si="4"/>
        <v>0</v>
      </c>
      <c r="AB7" s="5">
        <f t="shared" si="4"/>
        <v>0</v>
      </c>
      <c r="AC7" s="5">
        <f t="shared" si="4"/>
        <v>0</v>
      </c>
      <c r="AD7" s="5">
        <f t="shared" si="4"/>
        <v>0</v>
      </c>
      <c r="AE7" s="5">
        <f t="shared" si="4"/>
        <v>0</v>
      </c>
      <c r="AF7" s="5">
        <f t="shared" si="4"/>
        <v>0</v>
      </c>
      <c r="AG7" s="5">
        <f t="shared" si="4"/>
        <v>0</v>
      </c>
      <c r="AH7" s="5">
        <f t="shared" si="4"/>
        <v>0</v>
      </c>
      <c r="AI7" s="5">
        <f t="shared" si="4"/>
        <v>0</v>
      </c>
    </row>
    <row r="8" spans="1:35" s="2" customFormat="1" x14ac:dyDescent="0.2">
      <c r="B8" s="2" t="s">
        <v>24</v>
      </c>
      <c r="C8" s="3"/>
      <c r="D8" s="3"/>
      <c r="E8" s="3">
        <v>504</v>
      </c>
      <c r="F8" s="3"/>
      <c r="G8" s="3">
        <v>641</v>
      </c>
      <c r="H8" s="3">
        <v>665</v>
      </c>
      <c r="I8" s="3">
        <v>676</v>
      </c>
      <c r="J8" s="3">
        <f t="shared" si="1"/>
        <v>713</v>
      </c>
      <c r="K8" s="3">
        <v>783</v>
      </c>
      <c r="L8" s="3">
        <v>873</v>
      </c>
      <c r="M8" s="3">
        <v>925</v>
      </c>
      <c r="N8" s="3">
        <f t="shared" si="2"/>
        <v>958</v>
      </c>
      <c r="O8" s="3"/>
      <c r="P8" s="3"/>
      <c r="Q8" s="3"/>
      <c r="T8" s="2">
        <v>1565</v>
      </c>
      <c r="U8" s="2">
        <v>1797</v>
      </c>
      <c r="V8" s="3">
        <v>2050</v>
      </c>
      <c r="W8" s="3">
        <v>2695</v>
      </c>
      <c r="X8" s="3">
        <v>3539</v>
      </c>
    </row>
    <row r="9" spans="1:35" s="2" customFormat="1" x14ac:dyDescent="0.2">
      <c r="B9" s="2" t="s">
        <v>22</v>
      </c>
      <c r="C9" s="3"/>
      <c r="D9" s="3"/>
      <c r="E9" s="3">
        <v>25</v>
      </c>
      <c r="F9" s="3"/>
      <c r="G9" s="3">
        <v>22</v>
      </c>
      <c r="H9" s="3">
        <v>23</v>
      </c>
      <c r="I9" s="3">
        <v>25</v>
      </c>
      <c r="J9" s="3">
        <f t="shared" si="1"/>
        <v>29</v>
      </c>
      <c r="K9" s="3">
        <v>27</v>
      </c>
      <c r="L9" s="3">
        <v>29</v>
      </c>
      <c r="M9" s="3">
        <v>31</v>
      </c>
      <c r="N9" s="3">
        <f t="shared" si="2"/>
        <v>47</v>
      </c>
      <c r="O9" s="3"/>
      <c r="P9" s="3"/>
      <c r="Q9" s="3"/>
      <c r="T9" s="2">
        <v>96</v>
      </c>
      <c r="U9" s="2">
        <v>101</v>
      </c>
      <c r="V9" s="3">
        <v>97</v>
      </c>
      <c r="W9" s="3">
        <v>99</v>
      </c>
      <c r="X9" s="3">
        <v>134</v>
      </c>
    </row>
    <row r="10" spans="1:35" s="2" customFormat="1" x14ac:dyDescent="0.2">
      <c r="B10" s="2" t="s">
        <v>25</v>
      </c>
      <c r="C10" s="3"/>
      <c r="D10" s="3"/>
      <c r="E10" s="3">
        <v>82</v>
      </c>
      <c r="F10" s="3"/>
      <c r="G10" s="3">
        <v>96</v>
      </c>
      <c r="H10" s="3">
        <v>109</v>
      </c>
      <c r="I10" s="3">
        <v>113</v>
      </c>
      <c r="J10" s="3">
        <f t="shared" si="1"/>
        <v>115</v>
      </c>
      <c r="K10" s="3">
        <v>122</v>
      </c>
      <c r="L10" s="3">
        <v>153</v>
      </c>
      <c r="M10" s="3">
        <v>167</v>
      </c>
      <c r="N10" s="3">
        <f t="shared" si="2"/>
        <v>184</v>
      </c>
      <c r="O10" s="3"/>
      <c r="P10" s="3"/>
      <c r="Q10" s="3"/>
      <c r="T10" s="2">
        <v>265</v>
      </c>
      <c r="U10" s="2">
        <v>300</v>
      </c>
      <c r="V10" s="3">
        <v>330</v>
      </c>
      <c r="W10" s="3">
        <v>433</v>
      </c>
      <c r="X10" s="3">
        <v>626</v>
      </c>
    </row>
    <row r="11" spans="1:35" s="2" customFormat="1" x14ac:dyDescent="0.2">
      <c r="B11" s="2" t="s">
        <v>26</v>
      </c>
      <c r="C11" s="3"/>
      <c r="D11" s="3"/>
      <c r="E11" s="3">
        <v>9</v>
      </c>
      <c r="F11" s="3"/>
      <c r="G11" s="3">
        <v>9</v>
      </c>
      <c r="H11" s="3">
        <v>10</v>
      </c>
      <c r="I11" s="3">
        <v>10</v>
      </c>
      <c r="J11" s="3">
        <f t="shared" si="1"/>
        <v>11</v>
      </c>
      <c r="K11" s="3">
        <v>11</v>
      </c>
      <c r="L11" s="3">
        <v>12</v>
      </c>
      <c r="M11" s="3">
        <v>12</v>
      </c>
      <c r="N11" s="3">
        <f t="shared" si="2"/>
        <v>14</v>
      </c>
      <c r="O11" s="3"/>
      <c r="P11" s="3"/>
      <c r="Q11" s="3"/>
      <c r="T11" s="2">
        <v>78</v>
      </c>
      <c r="U11" s="2">
        <v>35</v>
      </c>
      <c r="V11" s="3">
        <v>35</v>
      </c>
      <c r="W11" s="3">
        <v>40</v>
      </c>
      <c r="X11" s="3">
        <v>49</v>
      </c>
    </row>
    <row r="12" spans="1:35" s="2" customFormat="1" x14ac:dyDescent="0.2">
      <c r="B12" s="2" t="s">
        <v>27</v>
      </c>
      <c r="C12" s="3"/>
      <c r="D12" s="3"/>
      <c r="E12" s="3">
        <v>32</v>
      </c>
      <c r="F12" s="3"/>
      <c r="G12" s="3">
        <v>39</v>
      </c>
      <c r="H12" s="3">
        <v>44</v>
      </c>
      <c r="I12" s="3">
        <v>46</v>
      </c>
      <c r="J12" s="3">
        <f t="shared" si="1"/>
        <v>57</v>
      </c>
      <c r="K12" s="3">
        <v>56</v>
      </c>
      <c r="L12" s="3">
        <v>80</v>
      </c>
      <c r="M12" s="3">
        <v>80</v>
      </c>
      <c r="N12" s="3">
        <f t="shared" si="2"/>
        <v>91</v>
      </c>
      <c r="O12" s="3"/>
      <c r="P12" s="3"/>
      <c r="Q12" s="3"/>
      <c r="T12" s="2">
        <v>181</v>
      </c>
      <c r="U12" s="2">
        <v>201</v>
      </c>
      <c r="V12" s="3">
        <v>152</v>
      </c>
      <c r="W12" s="3">
        <v>186</v>
      </c>
      <c r="X12" s="3">
        <v>307</v>
      </c>
    </row>
    <row r="13" spans="1:35" s="2" customFormat="1" x14ac:dyDescent="0.2">
      <c r="B13" s="2" t="s">
        <v>28</v>
      </c>
      <c r="C13" s="3"/>
      <c r="D13" s="3"/>
      <c r="E13" s="3">
        <v>15</v>
      </c>
      <c r="F13" s="3"/>
      <c r="G13" s="3">
        <v>15</v>
      </c>
      <c r="H13" s="3">
        <v>17</v>
      </c>
      <c r="I13" s="3">
        <v>21</v>
      </c>
      <c r="J13" s="3">
        <f t="shared" si="1"/>
        <v>26</v>
      </c>
      <c r="K13" s="3">
        <v>24</v>
      </c>
      <c r="L13" s="3">
        <v>28</v>
      </c>
      <c r="M13" s="3">
        <v>26</v>
      </c>
      <c r="N13" s="3">
        <f t="shared" si="2"/>
        <v>36</v>
      </c>
      <c r="O13" s="3"/>
      <c r="P13" s="3"/>
      <c r="Q13" s="3"/>
      <c r="T13" s="2">
        <v>39</v>
      </c>
      <c r="U13" s="2">
        <v>49</v>
      </c>
      <c r="V13" s="3">
        <v>60</v>
      </c>
      <c r="W13" s="3">
        <v>79</v>
      </c>
      <c r="X13" s="3">
        <v>114</v>
      </c>
    </row>
    <row r="14" spans="1:35" s="2" customFormat="1" x14ac:dyDescent="0.2">
      <c r="B14" s="2" t="s">
        <v>29</v>
      </c>
      <c r="C14" s="3"/>
      <c r="D14" s="3"/>
      <c r="E14" s="3">
        <v>5</v>
      </c>
      <c r="F14" s="3"/>
      <c r="G14" s="3">
        <v>5</v>
      </c>
      <c r="H14" s="3">
        <v>14</v>
      </c>
      <c r="I14" s="3">
        <v>21</v>
      </c>
      <c r="J14" s="3">
        <f t="shared" si="1"/>
        <v>22</v>
      </c>
      <c r="K14" s="3">
        <v>35</v>
      </c>
      <c r="L14" s="3">
        <v>32</v>
      </c>
      <c r="M14" s="3">
        <v>64</v>
      </c>
      <c r="N14" s="3">
        <f t="shared" si="2"/>
        <v>23</v>
      </c>
      <c r="O14" s="3"/>
      <c r="P14" s="3"/>
      <c r="Q14" s="3"/>
      <c r="T14" s="2">
        <v>52</v>
      </c>
      <c r="U14" s="2">
        <v>73</v>
      </c>
      <c r="V14" s="3">
        <v>13</v>
      </c>
      <c r="W14" s="3">
        <v>62</v>
      </c>
      <c r="X14" s="3">
        <v>154</v>
      </c>
    </row>
    <row r="15" spans="1:35" s="2" customFormat="1" x14ac:dyDescent="0.2">
      <c r="B15" s="2" t="s">
        <v>31</v>
      </c>
      <c r="C15" s="3"/>
      <c r="D15" s="3"/>
      <c r="E15" s="3">
        <f>SUM(E8:E14)</f>
        <v>672</v>
      </c>
      <c r="F15" s="3"/>
      <c r="G15" s="3">
        <f>SUM(G8:G14)</f>
        <v>827</v>
      </c>
      <c r="H15" s="3">
        <f>SUM(H8:H14)</f>
        <v>882</v>
      </c>
      <c r="I15" s="3">
        <f>SUM(I8:I14)</f>
        <v>912</v>
      </c>
      <c r="J15" s="3">
        <f t="shared" ref="J15" si="5">SUM(J8:J14)</f>
        <v>973</v>
      </c>
      <c r="K15" s="3">
        <f>SUM(K8:K14)</f>
        <v>1058</v>
      </c>
      <c r="L15" s="3">
        <f>SUM(L8:L14)</f>
        <v>1207</v>
      </c>
      <c r="M15" s="3">
        <f>SUM(M8:M14)</f>
        <v>1305</v>
      </c>
      <c r="N15" s="3">
        <f>SUM(N8:N14)</f>
        <v>1353</v>
      </c>
      <c r="O15" s="3"/>
      <c r="P15" s="3"/>
      <c r="Q15" s="3"/>
      <c r="T15" s="3">
        <f>SUM(T8:T14)</f>
        <v>2276</v>
      </c>
      <c r="U15" s="3">
        <f>SUM(U8:U14)</f>
        <v>2556</v>
      </c>
      <c r="V15" s="3">
        <f>SUM(V8:V14)</f>
        <v>2737</v>
      </c>
      <c r="W15" s="3">
        <f>SUM(W8:W14)</f>
        <v>3594</v>
      </c>
      <c r="X15" s="3">
        <f>SUM(X8:X14)</f>
        <v>4923</v>
      </c>
    </row>
    <row r="16" spans="1:35" s="2" customFormat="1" x14ac:dyDescent="0.2">
      <c r="B16" s="2" t="s">
        <v>30</v>
      </c>
      <c r="C16" s="3"/>
      <c r="D16" s="3"/>
      <c r="E16" s="3">
        <f>E7-E15</f>
        <v>330</v>
      </c>
      <c r="F16" s="3"/>
      <c r="G16" s="3">
        <f>G7-G15</f>
        <v>349</v>
      </c>
      <c r="H16" s="3">
        <f>H7-H15</f>
        <v>366</v>
      </c>
      <c r="I16" s="3">
        <f>I7-I15</f>
        <v>387</v>
      </c>
      <c r="J16" s="3">
        <f t="shared" ref="J16" si="6">J7-J15</f>
        <v>411</v>
      </c>
      <c r="K16" s="3">
        <f>K7-K15</f>
        <v>373</v>
      </c>
      <c r="L16" s="3">
        <f>L7-L15</f>
        <v>411</v>
      </c>
      <c r="M16" s="3">
        <f>M7-M15</f>
        <v>420</v>
      </c>
      <c r="N16" s="3">
        <f>N7-N15</f>
        <v>495</v>
      </c>
      <c r="O16" s="3"/>
      <c r="P16" s="3"/>
      <c r="Q16" s="3"/>
      <c r="T16" s="3">
        <f>T7-T15</f>
        <v>785</v>
      </c>
      <c r="U16" s="3">
        <f>U7-U15</f>
        <v>933</v>
      </c>
      <c r="V16" s="3">
        <f>V7-V15</f>
        <v>1232</v>
      </c>
      <c r="W16" s="3">
        <f>W7-W15</f>
        <v>1513</v>
      </c>
      <c r="X16" s="3">
        <f>X7-X15</f>
        <v>1699</v>
      </c>
    </row>
    <row r="17" spans="2:24" x14ac:dyDescent="0.2">
      <c r="B17" s="2" t="s">
        <v>32</v>
      </c>
      <c r="E17" s="1">
        <f>2-13</f>
        <v>-11</v>
      </c>
      <c r="G17" s="1">
        <f>2-15</f>
        <v>-13</v>
      </c>
      <c r="H17" s="1">
        <f>2-17</f>
        <v>-15</v>
      </c>
      <c r="I17" s="1">
        <f>4-18</f>
        <v>-14</v>
      </c>
      <c r="J17" s="3">
        <f t="shared" ref="J17:J19" si="7">+W17-I17-H17-G17</f>
        <v>-19</v>
      </c>
      <c r="K17" s="1">
        <f>2-19</f>
        <v>-17</v>
      </c>
      <c r="L17" s="1">
        <f>-18-25</f>
        <v>-43</v>
      </c>
      <c r="M17" s="1">
        <v>-29</v>
      </c>
      <c r="N17" s="3">
        <f t="shared" ref="N17:N19" si="8">X17-M17-L17-K17</f>
        <v>-21</v>
      </c>
      <c r="T17" s="2">
        <v>-26</v>
      </c>
      <c r="U17" s="2">
        <v>-42</v>
      </c>
      <c r="V17" s="1">
        <f>4-46</f>
        <v>-42</v>
      </c>
      <c r="W17" s="1">
        <f>7-68</f>
        <v>-61</v>
      </c>
      <c r="X17" s="1">
        <v>-110</v>
      </c>
    </row>
    <row r="18" spans="2:24" x14ac:dyDescent="0.2">
      <c r="B18" s="2" t="s">
        <v>33</v>
      </c>
      <c r="E18" s="3">
        <f>+E16+E17</f>
        <v>319</v>
      </c>
      <c r="G18" s="3">
        <f t="shared" ref="G18:N18" si="9">+G16+G17</f>
        <v>336</v>
      </c>
      <c r="H18" s="3">
        <f t="shared" si="9"/>
        <v>351</v>
      </c>
      <c r="I18" s="3">
        <f t="shared" si="9"/>
        <v>373</v>
      </c>
      <c r="J18" s="3">
        <f t="shared" si="9"/>
        <v>392</v>
      </c>
      <c r="K18" s="3">
        <f t="shared" si="9"/>
        <v>356</v>
      </c>
      <c r="L18" s="3">
        <f t="shared" si="9"/>
        <v>368</v>
      </c>
      <c r="M18" s="3">
        <f t="shared" si="9"/>
        <v>391</v>
      </c>
      <c r="N18" s="3">
        <f t="shared" si="9"/>
        <v>474</v>
      </c>
      <c r="T18" s="3">
        <f>+T16+T17</f>
        <v>759</v>
      </c>
      <c r="U18" s="3">
        <f>+U16+U17</f>
        <v>891</v>
      </c>
      <c r="V18" s="3">
        <f>+V16+V17</f>
        <v>1190</v>
      </c>
      <c r="W18" s="3">
        <f>+W16+W17</f>
        <v>1452</v>
      </c>
      <c r="X18" s="3">
        <f>+X16+X17</f>
        <v>1589</v>
      </c>
    </row>
    <row r="19" spans="2:24" x14ac:dyDescent="0.2">
      <c r="B19" s="2" t="s">
        <v>34</v>
      </c>
      <c r="E19" s="1">
        <v>46</v>
      </c>
      <c r="G19" s="1">
        <v>49</v>
      </c>
      <c r="H19" s="1">
        <v>50</v>
      </c>
      <c r="I19" s="1">
        <f>67+15</f>
        <v>82</v>
      </c>
      <c r="J19" s="3">
        <f t="shared" si="7"/>
        <v>462</v>
      </c>
      <c r="K19" s="1">
        <v>40</v>
      </c>
      <c r="L19" s="1">
        <v>43</v>
      </c>
      <c r="M19" s="1">
        <v>50</v>
      </c>
      <c r="N19" s="3">
        <f t="shared" si="8"/>
        <v>42</v>
      </c>
      <c r="T19">
        <v>106</v>
      </c>
      <c r="U19">
        <v>123</v>
      </c>
      <c r="V19" s="1">
        <v>167</v>
      </c>
      <c r="W19" s="1">
        <f>206+142+295</f>
        <v>643</v>
      </c>
      <c r="X19" s="1">
        <v>175</v>
      </c>
    </row>
    <row r="20" spans="2:24" x14ac:dyDescent="0.2">
      <c r="B20" s="2" t="s">
        <v>35</v>
      </c>
      <c r="E20" s="3">
        <f>+E18-E19</f>
        <v>273</v>
      </c>
      <c r="G20" s="3">
        <f t="shared" ref="G20:N20" si="10">+G18-G19</f>
        <v>287</v>
      </c>
      <c r="H20" s="3">
        <f t="shared" si="10"/>
        <v>301</v>
      </c>
      <c r="I20" s="3">
        <f t="shared" si="10"/>
        <v>291</v>
      </c>
      <c r="J20" s="3">
        <f t="shared" si="10"/>
        <v>-70</v>
      </c>
      <c r="K20" s="3">
        <f t="shared" si="10"/>
        <v>316</v>
      </c>
      <c r="L20" s="3">
        <f t="shared" si="10"/>
        <v>325</v>
      </c>
      <c r="M20" s="3">
        <f t="shared" si="10"/>
        <v>341</v>
      </c>
      <c r="N20" s="3">
        <f t="shared" si="10"/>
        <v>432</v>
      </c>
      <c r="T20" s="3">
        <f>+T18-T19</f>
        <v>653</v>
      </c>
      <c r="U20" s="3">
        <f>+U18-U19</f>
        <v>768</v>
      </c>
      <c r="V20" s="3">
        <f>+V18-V19</f>
        <v>1023</v>
      </c>
      <c r="W20" s="3">
        <f>+W18-W19</f>
        <v>809</v>
      </c>
      <c r="X20" s="3">
        <f>+X18-X19</f>
        <v>1414</v>
      </c>
    </row>
    <row r="21" spans="2:24" x14ac:dyDescent="0.2">
      <c r="B21" s="2" t="s">
        <v>47</v>
      </c>
      <c r="E21" s="6">
        <f>+E20/E22</f>
        <v>12.88250541607897</v>
      </c>
      <c r="G21" s="6">
        <f t="shared" ref="G21:N21" si="11">+G20/G22</f>
        <v>13.543146719467636</v>
      </c>
      <c r="H21" s="6">
        <f t="shared" si="11"/>
        <v>14.203788022856301</v>
      </c>
      <c r="I21" s="6">
        <f t="shared" si="11"/>
        <v>13.731901377578684</v>
      </c>
      <c r="J21" s="6">
        <f t="shared" si="11"/>
        <v>-3.3032065169433258</v>
      </c>
      <c r="K21" s="6">
        <f t="shared" si="11"/>
        <v>14.911617990772728</v>
      </c>
      <c r="L21" s="6">
        <f t="shared" si="11"/>
        <v>15.336315971522584</v>
      </c>
      <c r="M21" s="6">
        <f t="shared" si="11"/>
        <v>16.091334603966775</v>
      </c>
      <c r="N21" s="6">
        <f t="shared" si="11"/>
        <v>20.385503075993096</v>
      </c>
      <c r="T21" s="6">
        <f t="shared" ref="T21" si="12">+T20/T22</f>
        <v>30.814197936628453</v>
      </c>
      <c r="U21" s="6">
        <f>+U20/U22</f>
        <v>36.240894357321061</v>
      </c>
      <c r="V21" s="6">
        <f>+V20/V22</f>
        <v>48.274003811900322</v>
      </c>
      <c r="W21" s="6">
        <f>+W20/W22</f>
        <v>38.175629602959297</v>
      </c>
      <c r="X21" s="6">
        <f>+X20/X22</f>
        <v>66.724771642255178</v>
      </c>
    </row>
    <row r="22" spans="2:24" s="2" customFormat="1" x14ac:dyDescent="0.2">
      <c r="B22" s="2" t="s">
        <v>1</v>
      </c>
      <c r="C22" s="3"/>
      <c r="D22" s="3"/>
      <c r="E22" s="3">
        <v>21.19153</v>
      </c>
      <c r="F22" s="3"/>
      <c r="G22" s="3">
        <v>21.19153</v>
      </c>
      <c r="H22" s="3">
        <v>21.19153</v>
      </c>
      <c r="I22" s="3">
        <v>21.19153</v>
      </c>
      <c r="J22" s="3">
        <v>21.19153</v>
      </c>
      <c r="K22" s="3">
        <v>21.19153</v>
      </c>
      <c r="L22" s="3">
        <v>21.19153</v>
      </c>
      <c r="M22" s="3">
        <v>21.19153</v>
      </c>
      <c r="N22" s="3">
        <v>21.19153</v>
      </c>
      <c r="O22" s="3"/>
      <c r="P22" s="3"/>
      <c r="Q22" s="3"/>
      <c r="T22" s="3">
        <v>21.19153</v>
      </c>
      <c r="U22" s="3">
        <v>21.19153</v>
      </c>
      <c r="V22" s="3">
        <v>21.19153</v>
      </c>
      <c r="W22" s="3">
        <v>21.19153</v>
      </c>
      <c r="X22" s="3">
        <v>21.19153</v>
      </c>
    </row>
    <row r="23" spans="2:24" s="2" customFormat="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24" s="2" customFormat="1" x14ac:dyDescent="0.2">
      <c r="B24" s="2" t="s">
        <v>48</v>
      </c>
      <c r="C24" s="3"/>
      <c r="D24" s="3"/>
      <c r="E24" s="3"/>
      <c r="F24" s="3"/>
      <c r="G24" s="3"/>
      <c r="H24" s="3"/>
      <c r="I24" s="3"/>
      <c r="J24" s="3"/>
      <c r="K24" s="8">
        <f>K7/G7-1</f>
        <v>0.21683673469387754</v>
      </c>
      <c r="L24" s="8">
        <f>L7/H7-1</f>
        <v>0.29647435897435903</v>
      </c>
      <c r="M24" s="8">
        <f>M7/I7-1</f>
        <v>0.32794457274826794</v>
      </c>
      <c r="N24" s="8">
        <f>N7/J7-1</f>
        <v>0.33526011560693636</v>
      </c>
      <c r="O24" s="3"/>
      <c r="P24" s="3"/>
      <c r="Q24" s="3"/>
      <c r="U24" s="9">
        <f t="shared" ref="U24:V24" si="13">+U7/T7-1</f>
        <v>0.13982358706305131</v>
      </c>
      <c r="V24" s="9">
        <f>+V7/U7-1</f>
        <v>0.13757523645743763</v>
      </c>
      <c r="W24" s="9">
        <f>+W7/V7-1</f>
        <v>0.28672209624590583</v>
      </c>
      <c r="X24" s="9">
        <f>+X7/W7-1</f>
        <v>0.29665165459173681</v>
      </c>
    </row>
    <row r="25" spans="2:24" s="2" customFormat="1" x14ac:dyDescent="0.2">
      <c r="B25" s="2" t="s">
        <v>53</v>
      </c>
      <c r="C25" s="3"/>
      <c r="D25" s="3"/>
      <c r="E25" s="3"/>
      <c r="F25" s="3"/>
      <c r="G25" s="3"/>
      <c r="H25" s="3"/>
      <c r="I25" s="3"/>
      <c r="J25" s="3"/>
      <c r="K25" s="8"/>
      <c r="L25" s="8"/>
      <c r="M25" s="8">
        <v>-0.03</v>
      </c>
      <c r="N25" s="8">
        <v>-0.01</v>
      </c>
      <c r="O25" s="3"/>
      <c r="P25" s="3"/>
      <c r="Q25" s="3"/>
      <c r="W25" s="9"/>
    </row>
    <row r="26" spans="2:24" s="2" customFormat="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24" s="2" customFormat="1" x14ac:dyDescent="0.2">
      <c r="B27" s="2" t="s">
        <v>73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>M28-M40</f>
        <v>-1160</v>
      </c>
      <c r="N27" s="3">
        <f>N28-N40</f>
        <v>-1162.5999999999999</v>
      </c>
      <c r="O27" s="3"/>
      <c r="P27" s="3"/>
      <c r="Q27" s="3"/>
    </row>
    <row r="28" spans="2:24" s="2" customFormat="1" x14ac:dyDescent="0.2">
      <c r="B28" s="2" t="s">
        <v>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665</v>
      </c>
      <c r="N28" s="3">
        <v>811.4</v>
      </c>
      <c r="O28" s="3"/>
      <c r="P28" s="3"/>
      <c r="Q28" s="3"/>
    </row>
    <row r="29" spans="2:24" s="2" customFormat="1" x14ac:dyDescent="0.2">
      <c r="B29" s="2" t="s">
        <v>55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744</v>
      </c>
      <c r="N29" s="3">
        <v>876.4</v>
      </c>
      <c r="O29" s="3"/>
      <c r="P29" s="3"/>
      <c r="Q29" s="3"/>
    </row>
    <row r="30" spans="2:24" s="2" customFormat="1" x14ac:dyDescent="0.2">
      <c r="B30" s="2" t="s">
        <v>56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219</v>
      </c>
      <c r="N30" s="3">
        <v>230.4</v>
      </c>
      <c r="O30" s="3"/>
      <c r="P30" s="3"/>
      <c r="Q30" s="3"/>
    </row>
    <row r="31" spans="2:24" s="2" customFormat="1" x14ac:dyDescent="0.2">
      <c r="B31" s="2" t="s">
        <v>57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46</v>
      </c>
      <c r="N31" s="3">
        <v>43.4</v>
      </c>
      <c r="O31" s="3"/>
      <c r="P31" s="3"/>
      <c r="Q31" s="3"/>
    </row>
    <row r="32" spans="2:24" s="2" customFormat="1" x14ac:dyDescent="0.2">
      <c r="B32" s="2" t="s">
        <v>29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473</v>
      </c>
      <c r="N32" s="3">
        <v>496.4</v>
      </c>
      <c r="O32" s="3"/>
      <c r="P32" s="3"/>
      <c r="Q32" s="3"/>
    </row>
    <row r="33" spans="2:17" s="2" customFormat="1" x14ac:dyDescent="0.2">
      <c r="B33" s="2" t="s">
        <v>58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121</v>
      </c>
      <c r="N33" s="3">
        <v>128.4</v>
      </c>
      <c r="O33" s="3"/>
      <c r="P33" s="3"/>
      <c r="Q33" s="3"/>
    </row>
    <row r="34" spans="2:17" s="2" customFormat="1" x14ac:dyDescent="0.2">
      <c r="B34" s="2" t="s">
        <v>59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274</v>
      </c>
      <c r="N34" s="3">
        <v>283.39999999999998</v>
      </c>
      <c r="O34" s="3"/>
      <c r="P34" s="3"/>
      <c r="Q34" s="3"/>
    </row>
    <row r="35" spans="2:17" s="2" customFormat="1" x14ac:dyDescent="0.2">
      <c r="B35" s="2" t="s">
        <v>60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155</v>
      </c>
      <c r="N35" s="3">
        <v>160.4</v>
      </c>
      <c r="O35" s="3"/>
      <c r="P35" s="3"/>
      <c r="Q35" s="3"/>
    </row>
    <row r="36" spans="2:17" s="2" customFormat="1" x14ac:dyDescent="0.2">
      <c r="B36" s="2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159.6</v>
      </c>
      <c r="N36" s="3">
        <v>172.4</v>
      </c>
      <c r="O36" s="3"/>
      <c r="P36" s="3"/>
      <c r="Q36" s="3"/>
    </row>
    <row r="37" spans="2:17" s="2" customFormat="1" x14ac:dyDescent="0.2">
      <c r="B37" s="2" t="s">
        <v>61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4468.6000000000004</v>
      </c>
      <c r="N37" s="3">
        <v>4679</v>
      </c>
      <c r="O37" s="3"/>
      <c r="P37" s="3"/>
      <c r="Q37" s="3"/>
    </row>
    <row r="38" spans="2:17" s="2" customFormat="1" x14ac:dyDescent="0.2">
      <c r="B38" s="2" t="s">
        <v>62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f>SUM(M28:M37)</f>
        <v>7325.2000000000007</v>
      </c>
      <c r="N38" s="3">
        <f>SUM(N28:N37)</f>
        <v>7881.6</v>
      </c>
      <c r="O38" s="3"/>
      <c r="P38" s="3"/>
      <c r="Q38" s="3"/>
    </row>
    <row r="39" spans="2:17" s="2" customForma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17" s="2" customFormat="1" x14ac:dyDescent="0.2">
      <c r="B40" s="2" t="s">
        <v>63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f>364+234+522+705</f>
        <v>1825</v>
      </c>
      <c r="N40" s="3">
        <f>505+316+567+586</f>
        <v>1974</v>
      </c>
      <c r="O40" s="3"/>
      <c r="P40" s="3"/>
      <c r="Q40" s="3"/>
    </row>
    <row r="41" spans="2:17" s="2" customFormat="1" x14ac:dyDescent="0.2">
      <c r="B41" s="2" t="s">
        <v>66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>917+9</f>
        <v>926</v>
      </c>
      <c r="N41" s="3">
        <f>1080+11</f>
        <v>1091</v>
      </c>
      <c r="O41" s="3"/>
      <c r="P41" s="3"/>
      <c r="Q41" s="3"/>
    </row>
    <row r="42" spans="2:17" s="2" customFormat="1" x14ac:dyDescent="0.2">
      <c r="B42" s="2" t="s">
        <v>64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21</v>
      </c>
      <c r="N42" s="3">
        <v>21</v>
      </c>
      <c r="O42" s="3"/>
      <c r="P42" s="3"/>
      <c r="Q42" s="3"/>
    </row>
    <row r="43" spans="2:17" s="2" customFormat="1" x14ac:dyDescent="0.2">
      <c r="B43" s="2" t="s">
        <v>65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1545</v>
      </c>
      <c r="N43" s="3">
        <v>1484</v>
      </c>
      <c r="O43" s="3"/>
      <c r="P43" s="3"/>
      <c r="Q43" s="3"/>
    </row>
    <row r="44" spans="2:17" s="2" customFormat="1" x14ac:dyDescent="0.2">
      <c r="B44" s="2" t="s">
        <v>67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f>148+62</f>
        <v>210</v>
      </c>
      <c r="N44" s="3">
        <f>159+77</f>
        <v>236</v>
      </c>
      <c r="O44" s="3"/>
      <c r="P44" s="3"/>
      <c r="Q44" s="3"/>
    </row>
    <row r="45" spans="2:17" s="2" customFormat="1" x14ac:dyDescent="0.2">
      <c r="B45" s="2" t="s">
        <v>68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f>89+206</f>
        <v>295</v>
      </c>
      <c r="N45" s="3">
        <f>96+217</f>
        <v>313</v>
      </c>
      <c r="O45" s="3"/>
      <c r="P45" s="3"/>
      <c r="Q45" s="3"/>
    </row>
    <row r="46" spans="2:17" s="2" customFormat="1" x14ac:dyDescent="0.2">
      <c r="B46" s="2" t="s">
        <v>34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f>99+465</f>
        <v>564</v>
      </c>
      <c r="N46" s="3">
        <f>97+471</f>
        <v>568</v>
      </c>
      <c r="O46" s="3"/>
      <c r="P46" s="3"/>
      <c r="Q46" s="3"/>
    </row>
    <row r="47" spans="2:17" s="2" customFormat="1" x14ac:dyDescent="0.2">
      <c r="B47" s="2" t="s">
        <v>29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239</v>
      </c>
      <c r="N47" s="3">
        <v>262</v>
      </c>
      <c r="O47" s="3"/>
      <c r="P47" s="3"/>
      <c r="Q47" s="3"/>
    </row>
    <row r="48" spans="2:17" s="2" customFormat="1" x14ac:dyDescent="0.2">
      <c r="B48" s="2" t="s">
        <v>69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1700</v>
      </c>
      <c r="N48" s="3">
        <v>1933</v>
      </c>
      <c r="O48" s="3"/>
      <c r="P48" s="3"/>
      <c r="Q48" s="3"/>
    </row>
    <row r="49" spans="2:24" s="2" customFormat="1" x14ac:dyDescent="0.2">
      <c r="B49" s="2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f>SUM(M40:M48)</f>
        <v>7325</v>
      </c>
      <c r="N49" s="3">
        <f>SUM(N40:N48)</f>
        <v>7882</v>
      </c>
      <c r="O49" s="3"/>
      <c r="P49" s="3"/>
      <c r="Q49" s="3"/>
    </row>
    <row r="50" spans="2:24" s="2" customForma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24" s="2" customFormat="1" x14ac:dyDescent="0.2">
      <c r="B51" s="2" t="s">
        <v>36</v>
      </c>
      <c r="C51" s="3"/>
      <c r="D51" s="3"/>
      <c r="E51" s="3"/>
      <c r="F51" s="3"/>
      <c r="G51" s="3">
        <f>+G20</f>
        <v>287</v>
      </c>
      <c r="H51" s="3">
        <f>+H20</f>
        <v>301</v>
      </c>
      <c r="I51" s="3"/>
      <c r="J51" s="3"/>
      <c r="K51" s="3">
        <f>+K20</f>
        <v>316</v>
      </c>
      <c r="L51" s="3">
        <f>+L20</f>
        <v>325</v>
      </c>
      <c r="M51" s="3"/>
      <c r="N51" s="3"/>
      <c r="O51" s="3"/>
      <c r="P51" s="3"/>
      <c r="Q51" s="3"/>
    </row>
    <row r="52" spans="2:24" s="2" customFormat="1" x14ac:dyDescent="0.2">
      <c r="B52" s="2" t="s">
        <v>37</v>
      </c>
      <c r="C52" s="3"/>
      <c r="D52" s="3"/>
      <c r="E52" s="3"/>
      <c r="F52" s="3"/>
      <c r="G52" s="3">
        <v>-175</v>
      </c>
      <c r="H52" s="3">
        <v>78</v>
      </c>
      <c r="I52" s="3"/>
      <c r="J52" s="3"/>
      <c r="K52" s="3">
        <v>111</v>
      </c>
      <c r="L52" s="3">
        <v>134</v>
      </c>
      <c r="M52" s="3"/>
      <c r="N52" s="3"/>
      <c r="O52" s="3"/>
      <c r="P52" s="3"/>
      <c r="Q52" s="3"/>
    </row>
    <row r="53" spans="2:24" s="2" customFormat="1" x14ac:dyDescent="0.2">
      <c r="B53" s="2" t="s">
        <v>39</v>
      </c>
      <c r="C53" s="3"/>
      <c r="D53" s="3"/>
      <c r="E53" s="3"/>
      <c r="F53" s="3"/>
      <c r="G53" s="3">
        <v>29</v>
      </c>
      <c r="H53" s="3">
        <v>30</v>
      </c>
      <c r="I53" s="3"/>
      <c r="J53" s="3"/>
      <c r="K53" s="3">
        <v>32</v>
      </c>
      <c r="L53" s="3">
        <v>35</v>
      </c>
      <c r="M53" s="3"/>
      <c r="N53" s="3"/>
      <c r="O53" s="3"/>
      <c r="P53" s="3"/>
      <c r="Q53" s="3"/>
    </row>
    <row r="54" spans="2:24" s="2" customFormat="1" x14ac:dyDescent="0.2">
      <c r="B54" s="2" t="s">
        <v>40</v>
      </c>
      <c r="C54" s="3"/>
      <c r="D54" s="3"/>
      <c r="E54" s="3"/>
      <c r="F54" s="3"/>
      <c r="G54" s="3">
        <v>118</v>
      </c>
      <c r="H54" s="3">
        <v>124</v>
      </c>
      <c r="I54" s="3"/>
      <c r="J54" s="3"/>
      <c r="K54" s="3">
        <v>146</v>
      </c>
      <c r="L54" s="3">
        <v>168</v>
      </c>
      <c r="M54" s="3"/>
      <c r="N54" s="3"/>
      <c r="O54" s="3"/>
      <c r="P54" s="3"/>
      <c r="Q54" s="3"/>
    </row>
    <row r="55" spans="2:24" s="2" customFormat="1" x14ac:dyDescent="0.2">
      <c r="B55" s="2" t="s">
        <v>41</v>
      </c>
      <c r="C55" s="3"/>
      <c r="D55" s="3"/>
      <c r="E55" s="3"/>
      <c r="F55" s="3"/>
      <c r="G55" s="3">
        <v>61</v>
      </c>
      <c r="H55" s="3">
        <v>22</v>
      </c>
      <c r="I55" s="3"/>
      <c r="J55" s="3"/>
      <c r="K55" s="3">
        <v>27</v>
      </c>
      <c r="L55" s="3">
        <v>29</v>
      </c>
      <c r="M55" s="3"/>
      <c r="N55" s="3"/>
      <c r="O55" s="3"/>
      <c r="P55" s="3"/>
      <c r="Q55" s="3"/>
    </row>
    <row r="56" spans="2:24" s="2" customFormat="1" x14ac:dyDescent="0.2">
      <c r="B56" s="2" t="s">
        <v>42</v>
      </c>
      <c r="C56" s="3"/>
      <c r="D56" s="3"/>
      <c r="E56" s="3"/>
      <c r="F56" s="3"/>
      <c r="G56" s="3">
        <v>-2</v>
      </c>
      <c r="H56" s="3">
        <v>-2</v>
      </c>
      <c r="I56" s="3"/>
      <c r="J56" s="3"/>
      <c r="K56" s="3">
        <v>-2</v>
      </c>
      <c r="L56" s="3">
        <v>18</v>
      </c>
      <c r="M56" s="3"/>
      <c r="N56" s="3"/>
      <c r="O56" s="3"/>
      <c r="P56" s="3"/>
      <c r="Q56" s="3"/>
    </row>
    <row r="57" spans="2:24" s="2" customFormat="1" x14ac:dyDescent="0.2">
      <c r="B57" s="2" t="s">
        <v>43</v>
      </c>
      <c r="C57" s="3"/>
      <c r="D57" s="3"/>
      <c r="E57" s="3"/>
      <c r="F57" s="3"/>
      <c r="G57" s="3">
        <v>3</v>
      </c>
      <c r="H57" s="3">
        <v>2</v>
      </c>
      <c r="I57" s="3"/>
      <c r="J57" s="3"/>
      <c r="K57" s="3">
        <f>-1+1</f>
        <v>0</v>
      </c>
      <c r="L57" s="3">
        <v>0</v>
      </c>
      <c r="M57" s="3"/>
      <c r="N57" s="3"/>
      <c r="O57" s="3"/>
      <c r="P57" s="3"/>
      <c r="Q57" s="3"/>
    </row>
    <row r="58" spans="2:24" s="2" customFormat="1" x14ac:dyDescent="0.2">
      <c r="B58" s="2" t="s">
        <v>44</v>
      </c>
      <c r="C58" s="3"/>
      <c r="D58" s="3"/>
      <c r="E58" s="3"/>
      <c r="F58" s="3"/>
      <c r="G58" s="3">
        <v>263</v>
      </c>
      <c r="H58" s="3">
        <v>32</v>
      </c>
      <c r="I58" s="3"/>
      <c r="J58" s="3"/>
      <c r="K58" s="3">
        <v>0</v>
      </c>
      <c r="L58" s="3">
        <v>0</v>
      </c>
      <c r="M58" s="3"/>
      <c r="N58" s="3"/>
      <c r="O58" s="3"/>
      <c r="P58" s="3"/>
      <c r="Q58" s="3"/>
    </row>
    <row r="59" spans="2:24" s="2" customFormat="1" x14ac:dyDescent="0.2">
      <c r="B59" s="2" t="s">
        <v>32</v>
      </c>
      <c r="C59" s="3"/>
      <c r="D59" s="3"/>
      <c r="E59" s="3"/>
      <c r="F59" s="3"/>
      <c r="G59" s="3">
        <v>15</v>
      </c>
      <c r="H59" s="3">
        <v>17</v>
      </c>
      <c r="I59" s="3"/>
      <c r="J59" s="3"/>
      <c r="K59" s="3">
        <v>19</v>
      </c>
      <c r="L59" s="3">
        <v>25</v>
      </c>
      <c r="M59" s="3"/>
      <c r="N59" s="3"/>
      <c r="O59" s="3"/>
      <c r="P59" s="3"/>
      <c r="Q59" s="3"/>
    </row>
    <row r="60" spans="2:24" s="2" customFormat="1" x14ac:dyDescent="0.2">
      <c r="B60" s="2" t="s">
        <v>34</v>
      </c>
      <c r="C60" s="3"/>
      <c r="D60" s="3"/>
      <c r="E60" s="3"/>
      <c r="F60" s="3"/>
      <c r="G60" s="3">
        <v>49</v>
      </c>
      <c r="H60" s="3">
        <v>50</v>
      </c>
      <c r="I60" s="3"/>
      <c r="J60" s="3"/>
      <c r="K60" s="3">
        <v>40</v>
      </c>
      <c r="L60" s="3">
        <v>43</v>
      </c>
      <c r="M60" s="3"/>
      <c r="N60" s="3"/>
      <c r="O60" s="3"/>
      <c r="P60" s="3"/>
      <c r="Q60" s="3"/>
    </row>
    <row r="61" spans="2:24" s="2" customFormat="1" x14ac:dyDescent="0.2">
      <c r="B61" s="2" t="s">
        <v>45</v>
      </c>
      <c r="C61" s="3"/>
      <c r="D61" s="3"/>
      <c r="E61" s="3"/>
      <c r="F61" s="3"/>
      <c r="G61" s="3">
        <v>-13</v>
      </c>
      <c r="H61" s="3">
        <v>15</v>
      </c>
      <c r="I61" s="3"/>
      <c r="J61" s="3"/>
      <c r="K61" s="3">
        <v>0</v>
      </c>
      <c r="L61" s="3">
        <v>-42</v>
      </c>
      <c r="M61" s="3"/>
      <c r="N61" s="3"/>
      <c r="O61" s="3"/>
      <c r="P61" s="3"/>
      <c r="Q61" s="3"/>
    </row>
    <row r="62" spans="2:24" s="2" customFormat="1" x14ac:dyDescent="0.2">
      <c r="B62" s="2" t="s">
        <v>46</v>
      </c>
      <c r="C62" s="3"/>
      <c r="D62" s="3"/>
      <c r="E62" s="3"/>
      <c r="F62" s="3"/>
      <c r="G62" s="3">
        <v>198</v>
      </c>
      <c r="H62" s="3">
        <v>-99</v>
      </c>
      <c r="I62" s="3"/>
      <c r="J62" s="3"/>
      <c r="K62" s="3">
        <v>169</v>
      </c>
      <c r="L62" s="3">
        <v>-188</v>
      </c>
      <c r="M62" s="3"/>
      <c r="N62" s="3"/>
      <c r="O62" s="3"/>
      <c r="P62" s="3"/>
      <c r="Q62" s="3"/>
    </row>
    <row r="63" spans="2:24" s="2" customFormat="1" x14ac:dyDescent="0.2">
      <c r="B63" s="2" t="s">
        <v>34</v>
      </c>
      <c r="C63" s="3"/>
      <c r="D63" s="3"/>
      <c r="E63" s="3"/>
      <c r="F63" s="3"/>
      <c r="G63" s="3">
        <v>-51</v>
      </c>
      <c r="H63" s="3">
        <v>-97</v>
      </c>
      <c r="I63" s="3"/>
      <c r="J63" s="3"/>
      <c r="K63" s="3">
        <v>-44</v>
      </c>
      <c r="L63" s="3">
        <v>-146</v>
      </c>
      <c r="M63" s="3"/>
      <c r="N63" s="3"/>
      <c r="O63" s="3"/>
      <c r="P63" s="3"/>
      <c r="Q63" s="3"/>
    </row>
    <row r="64" spans="2:24" s="2" customFormat="1" x14ac:dyDescent="0.2">
      <c r="B64" s="2" t="s">
        <v>38</v>
      </c>
      <c r="C64" s="3"/>
      <c r="D64" s="3"/>
      <c r="E64" s="3"/>
      <c r="F64" s="3"/>
      <c r="G64" s="3">
        <f>SUM(G52:G63)</f>
        <v>495</v>
      </c>
      <c r="H64" s="3">
        <f>SUM(H52:H63)</f>
        <v>172</v>
      </c>
      <c r="I64" s="3"/>
      <c r="J64" s="3"/>
      <c r="K64" s="3">
        <f>SUM(K52:K63)</f>
        <v>498</v>
      </c>
      <c r="L64" s="3">
        <f>SUM(L52:L63)</f>
        <v>76</v>
      </c>
      <c r="M64" s="3"/>
      <c r="N64" s="3"/>
      <c r="O64" s="3"/>
      <c r="P64" s="3"/>
      <c r="Q64" s="3"/>
      <c r="V64" s="2">
        <v>1186</v>
      </c>
      <c r="W64" s="2">
        <v>1300</v>
      </c>
      <c r="X64" s="2">
        <v>1297</v>
      </c>
    </row>
  </sheetData>
  <hyperlinks>
    <hyperlink ref="A1" location="Main!A1" display="Main" xr:uid="{2C3B2F46-D110-4703-9FEB-781AB415A2C3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2022-08-20T02:00:50Z</dcterms:created>
  <dcterms:modified xsi:type="dcterms:W3CDTF">2023-05-01T12:34:20Z</dcterms:modified>
</cp:coreProperties>
</file>