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E672DAC-549D-4B36-A1C5-0B2DFA65CD9B}" xr6:coauthVersionLast="47" xr6:coauthVersionMax="47" xr10:uidLastSave="{00000000-0000-0000-0000-000000000000}"/>
  <bookViews>
    <workbookView xWindow="54700" yWindow="7980" windowWidth="21880" windowHeight="13310" xr2:uid="{CD6FEF05-F5E7-4796-BC73-F8DE9082C51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2" l="1"/>
  <c r="I23" i="2"/>
  <c r="I8" i="2"/>
  <c r="K7" i="1"/>
  <c r="E70" i="2"/>
  <c r="D70" i="2"/>
  <c r="C70" i="2"/>
  <c r="D23" i="2"/>
  <c r="C63" i="2"/>
  <c r="C14" i="2"/>
  <c r="C8" i="2"/>
  <c r="C10" i="2" s="1"/>
  <c r="H70" i="2"/>
  <c r="F70" i="2"/>
  <c r="E23" i="2"/>
  <c r="E63" i="2"/>
  <c r="D63" i="2"/>
  <c r="E14" i="2"/>
  <c r="D14" i="2"/>
  <c r="E8" i="2"/>
  <c r="D8" i="2"/>
  <c r="D10" i="2" s="1"/>
  <c r="F67" i="2"/>
  <c r="F68" i="2" s="1"/>
  <c r="G67" i="2"/>
  <c r="G68" i="2" s="1"/>
  <c r="H67" i="2"/>
  <c r="H68" i="2" s="1"/>
  <c r="F60" i="2"/>
  <c r="G60" i="2"/>
  <c r="F63" i="2"/>
  <c r="G63" i="2"/>
  <c r="H60" i="2"/>
  <c r="H63" i="2" s="1"/>
  <c r="F57" i="2"/>
  <c r="G57" i="2"/>
  <c r="F58" i="2"/>
  <c r="G58" i="2"/>
  <c r="G70" i="2" s="1"/>
  <c r="H57" i="2"/>
  <c r="H58" i="2" s="1"/>
  <c r="H40" i="2"/>
  <c r="H46" i="2" s="1"/>
  <c r="H32" i="2"/>
  <c r="H28" i="2"/>
  <c r="H27" i="2"/>
  <c r="H25" i="2"/>
  <c r="H35" i="2" s="1"/>
  <c r="H8" i="2"/>
  <c r="H10" i="2" s="1"/>
  <c r="G8" i="2"/>
  <c r="G10" i="2" s="1"/>
  <c r="F8" i="2"/>
  <c r="F10" i="2" s="1"/>
  <c r="G16" i="2"/>
  <c r="F16" i="2"/>
  <c r="G14" i="2"/>
  <c r="F14" i="2"/>
  <c r="H16" i="2"/>
  <c r="H14" i="2"/>
  <c r="K4" i="1"/>
  <c r="D15" i="2" l="1"/>
  <c r="D17" i="2" s="1"/>
  <c r="D19" i="2" s="1"/>
  <c r="C15" i="2"/>
  <c r="C17" i="2" s="1"/>
  <c r="C19" i="2" s="1"/>
  <c r="C20" i="2" s="1"/>
  <c r="F23" i="2"/>
  <c r="D20" i="2"/>
  <c r="H23" i="2"/>
  <c r="E10" i="2"/>
  <c r="E15" i="2" s="1"/>
  <c r="E17" i="2" s="1"/>
  <c r="E19" i="2" s="1"/>
  <c r="G23" i="2"/>
  <c r="H15" i="2"/>
  <c r="H17" i="2" s="1"/>
  <c r="H19" i="2" s="1"/>
  <c r="G15" i="2"/>
  <c r="G17" i="2" s="1"/>
  <c r="G19" i="2" s="1"/>
  <c r="F15" i="2"/>
  <c r="F17" i="2" s="1"/>
  <c r="F19" i="2" s="1"/>
  <c r="F20" i="2" l="1"/>
  <c r="F48" i="2"/>
  <c r="H20" i="2"/>
  <c r="H48" i="2"/>
  <c r="E20" i="2"/>
  <c r="G20" i="2"/>
  <c r="G48" i="2"/>
</calcChain>
</file>

<file path=xl/sharedStrings.xml><?xml version="1.0" encoding="utf-8"?>
<sst xmlns="http://schemas.openxmlformats.org/spreadsheetml/2006/main" count="78" uniqueCount="70">
  <si>
    <t>Price</t>
  </si>
  <si>
    <t>Shares</t>
  </si>
  <si>
    <t>MC</t>
  </si>
  <si>
    <t>Cash</t>
  </si>
  <si>
    <t>Debt</t>
  </si>
  <si>
    <t>EV</t>
  </si>
  <si>
    <t>Q424</t>
  </si>
  <si>
    <t>Founded</t>
  </si>
  <si>
    <t>Prisma Access</t>
  </si>
  <si>
    <t>Prisma SD-WAN</t>
  </si>
  <si>
    <t>Strata Cloud Manager</t>
  </si>
  <si>
    <t>Prisma Cloud</t>
  </si>
  <si>
    <t>Cortex XSIAM</t>
  </si>
  <si>
    <t>PA-410 smol firewall</t>
  </si>
  <si>
    <t>PA-7500 large scale datacenters/ISPs</t>
  </si>
  <si>
    <t>Main</t>
  </si>
  <si>
    <t>Revenue</t>
  </si>
  <si>
    <t>Revenue y/y</t>
  </si>
  <si>
    <t>Bilings</t>
  </si>
  <si>
    <t>Gross Profit</t>
  </si>
  <si>
    <t>COGS</t>
  </si>
  <si>
    <t>R&amp;D</t>
  </si>
  <si>
    <t>S&amp;M</t>
  </si>
  <si>
    <t>G&amp;A</t>
  </si>
  <si>
    <t>Operating Expenses</t>
  </si>
  <si>
    <t>Operating Income</t>
  </si>
  <si>
    <t>Net Income</t>
  </si>
  <si>
    <t>Taxes</t>
  </si>
  <si>
    <t>Pretax Income</t>
  </si>
  <si>
    <t>Interest Income</t>
  </si>
  <si>
    <t>Product</t>
  </si>
  <si>
    <t>Subscription</t>
  </si>
  <si>
    <t>Support</t>
  </si>
  <si>
    <t>Assets</t>
  </si>
  <si>
    <t>AR</t>
  </si>
  <si>
    <t>Financing Receivables</t>
  </si>
  <si>
    <t>Deferred Contract Costs</t>
  </si>
  <si>
    <t>Prepaid Expenses</t>
  </si>
  <si>
    <t>PP&amp;E</t>
  </si>
  <si>
    <t>Lease</t>
  </si>
  <si>
    <t>Goodwill</t>
  </si>
  <si>
    <t>DTA</t>
  </si>
  <si>
    <t>Other Assets</t>
  </si>
  <si>
    <t>L+SE</t>
  </si>
  <si>
    <t>SE</t>
  </si>
  <si>
    <t>OLTL</t>
  </si>
  <si>
    <t>DT</t>
  </si>
  <si>
    <t>Notes</t>
  </si>
  <si>
    <t>DR</t>
  </si>
  <si>
    <t>AL</t>
  </si>
  <si>
    <t>Compensation</t>
  </si>
  <si>
    <t>AP</t>
  </si>
  <si>
    <t>EPS</t>
  </si>
  <si>
    <t>CFFO</t>
  </si>
  <si>
    <t>WC</t>
  </si>
  <si>
    <t>Model NI</t>
  </si>
  <si>
    <t>Reported NI</t>
  </si>
  <si>
    <t>SBC</t>
  </si>
  <si>
    <t>D&amp;A</t>
  </si>
  <si>
    <t>Contract</t>
  </si>
  <si>
    <t>Debt Issuance</t>
  </si>
  <si>
    <t>Amortization</t>
  </si>
  <si>
    <t>CFFI</t>
  </si>
  <si>
    <t>Investments</t>
  </si>
  <si>
    <t>Acquisitions</t>
  </si>
  <si>
    <t>CapEx</t>
  </si>
  <si>
    <t>CFFF</t>
  </si>
  <si>
    <t>Buybacks</t>
  </si>
  <si>
    <t>ESOP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</si>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</sst>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166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B994-4703-4763-904A-CC84503A749A}">
  <dimension ref="B2:L9"/>
  <sheetViews>
    <sheetView tabSelected="1" zoomScale="175" zoomScaleNormal="175" workbookViewId="0"/>
  </sheetViews>
  <sheetFormatPr defaultRowHeight="12.5" x14ac:dyDescent="0.25"/>
  <cols>
    <col min="1" max="16384" width="8.7265625" style="1"/>
  </cols>
  <sheetData>
    <row r="2" spans="2:12" x14ac:dyDescent="0.25">
      <c r="B2" s="1" t="s">
        <v>8</v>
      </c>
      <c r="J2" s="1" t="s">
        <v>0</v>
      </c>
      <c r="K2" s="2">
        <v>195</v>
      </c>
    </row>
    <row r="3" spans="2:12" x14ac:dyDescent="0.25">
      <c r="B3" s="1" t="s">
        <v>9</v>
      </c>
      <c r="J3" s="1" t="s">
        <v>1</v>
      </c>
      <c r="K3" s="3">
        <v>662.1</v>
      </c>
      <c r="L3" s="4" t="s">
        <v>6</v>
      </c>
    </row>
    <row r="4" spans="2:12" x14ac:dyDescent="0.25">
      <c r="B4" s="1" t="s">
        <v>10</v>
      </c>
      <c r="J4" s="1" t="s">
        <v>2</v>
      </c>
      <c r="K4" s="3">
        <f>+K2*K3</f>
        <v>129109.5</v>
      </c>
    </row>
    <row r="5" spans="2:12" x14ac:dyDescent="0.25">
      <c r="B5" s="1" t="s">
        <v>11</v>
      </c>
      <c r="J5" s="1" t="s">
        <v>3</v>
      </c>
      <c r="K5" s="3">
        <v>6752</v>
      </c>
      <c r="L5" s="4" t="s">
        <v>6</v>
      </c>
    </row>
    <row r="6" spans="2:12" x14ac:dyDescent="0.25">
      <c r="B6" s="1" t="s">
        <v>12</v>
      </c>
      <c r="J6" s="1" t="s">
        <v>4</v>
      </c>
      <c r="K6" s="3">
        <v>964</v>
      </c>
      <c r="L6" s="4" t="s">
        <v>6</v>
      </c>
    </row>
    <row r="7" spans="2:12" x14ac:dyDescent="0.25">
      <c r="J7" s="1" t="s">
        <v>5</v>
      </c>
      <c r="K7" s="3">
        <f>+K4-K5+K6</f>
        <v>123321.5</v>
      </c>
    </row>
    <row r="8" spans="2:12" x14ac:dyDescent="0.25">
      <c r="B8" s="1" t="s">
        <v>13</v>
      </c>
    </row>
    <row r="9" spans="2:12" x14ac:dyDescent="0.25">
      <c r="B9" s="1" t="s">
        <v>14</v>
      </c>
      <c r="J9" s="1" t="s">
        <v>7</v>
      </c>
      <c r="K9" s="1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7434-E075-4FDA-8DB5-93308775B1A9}">
  <dimension ref="A1:I70"/>
  <sheetViews>
    <sheetView zoomScale="160" zoomScaleNormal="160"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I58" sqref="I58"/>
    </sheetView>
  </sheetViews>
  <sheetFormatPr defaultRowHeight="12.5" x14ac:dyDescent="0.25"/>
  <cols>
    <col min="1" max="1" width="4.7265625" style="1" bestFit="1" customWidth="1"/>
    <col min="2" max="2" width="19.453125" style="1" customWidth="1"/>
    <col min="3" max="4" width="9.1796875" style="1" bestFit="1" customWidth="1"/>
    <col min="5" max="5" width="8.7265625" style="1"/>
    <col min="6" max="6" width="9.1796875" style="1" bestFit="1" customWidth="1"/>
    <col min="7" max="16384" width="8.7265625" style="1"/>
  </cols>
  <sheetData>
    <row r="1" spans="1:9" x14ac:dyDescent="0.25">
      <c r="A1" s="1" t="s">
        <v>15</v>
      </c>
    </row>
    <row r="2" spans="1:9" s="5" customFormat="1" x14ac:dyDescent="0.25">
      <c r="C2" s="5">
        <v>43677</v>
      </c>
      <c r="D2" s="5">
        <v>44043</v>
      </c>
      <c r="E2" s="5">
        <v>44408</v>
      </c>
      <c r="F2" s="5">
        <v>44773</v>
      </c>
      <c r="G2" s="5">
        <v>45138</v>
      </c>
      <c r="H2" s="5">
        <v>45504</v>
      </c>
    </row>
    <row r="3" spans="1:9" s="3" customFormat="1" x14ac:dyDescent="0.25">
      <c r="B3" s="3" t="s">
        <v>18</v>
      </c>
      <c r="F3" s="3">
        <v>7471.5</v>
      </c>
      <c r="G3" s="3">
        <v>9194.4</v>
      </c>
      <c r="H3" s="3">
        <v>10208.1</v>
      </c>
    </row>
    <row r="4" spans="1:9" s="3" customFormat="1" x14ac:dyDescent="0.25"/>
    <row r="5" spans="1:9" s="3" customFormat="1" x14ac:dyDescent="0.25">
      <c r="B5" s="3" t="s">
        <v>30</v>
      </c>
      <c r="C5" s="3">
        <v>1096.2</v>
      </c>
      <c r="D5" s="3">
        <v>1064.2</v>
      </c>
      <c r="E5" s="3">
        <v>1120.3</v>
      </c>
      <c r="F5" s="3">
        <v>1363.1</v>
      </c>
      <c r="G5" s="3">
        <v>1578.4</v>
      </c>
      <c r="H5" s="3">
        <v>1603.3</v>
      </c>
    </row>
    <row r="6" spans="1:9" s="3" customFormat="1" x14ac:dyDescent="0.25">
      <c r="B6" s="3" t="s">
        <v>31</v>
      </c>
      <c r="C6" s="3">
        <v>1803.4</v>
      </c>
      <c r="D6" s="3">
        <v>2344.1999999999998</v>
      </c>
      <c r="E6" s="3">
        <v>3135.8</v>
      </c>
      <c r="F6" s="3">
        <v>2539</v>
      </c>
      <c r="G6" s="3">
        <v>3335.4</v>
      </c>
      <c r="H6" s="3">
        <v>4188.5</v>
      </c>
    </row>
    <row r="7" spans="1:9" s="3" customFormat="1" x14ac:dyDescent="0.25">
      <c r="B7" s="3" t="s">
        <v>32</v>
      </c>
      <c r="F7" s="3">
        <v>1599.4</v>
      </c>
      <c r="G7" s="3">
        <v>1978.9</v>
      </c>
      <c r="H7" s="3">
        <v>2235.6999999999998</v>
      </c>
    </row>
    <row r="8" spans="1:9" s="7" customFormat="1" ht="13" x14ac:dyDescent="0.3">
      <c r="B8" s="7" t="s">
        <v>16</v>
      </c>
      <c r="C8" s="7">
        <f>SUM(C5:C7)</f>
        <v>2899.6000000000004</v>
      </c>
      <c r="D8" s="7">
        <f>SUM(D5:D7)</f>
        <v>3408.3999999999996</v>
      </c>
      <c r="E8" s="7">
        <f>SUM(E5:E7)</f>
        <v>4256.1000000000004</v>
      </c>
      <c r="F8" s="7">
        <f>SUM(F5:F7)</f>
        <v>5501.5</v>
      </c>
      <c r="G8" s="7">
        <f>SUM(G5:G7)</f>
        <v>6892.7000000000007</v>
      </c>
      <c r="H8" s="7">
        <f>SUM(H5:H7)</f>
        <v>8027.5</v>
      </c>
      <c r="I8" s="7">
        <f>+H8*1.1</f>
        <v>8830.25</v>
      </c>
    </row>
    <row r="9" spans="1:9" s="3" customFormat="1" x14ac:dyDescent="0.25">
      <c r="B9" s="3" t="s">
        <v>20</v>
      </c>
      <c r="C9" s="3">
        <v>808.4</v>
      </c>
      <c r="D9" s="3">
        <v>999.5</v>
      </c>
      <c r="E9" s="3">
        <v>1274.9000000000001</v>
      </c>
      <c r="F9" s="3">
        <v>1718.7</v>
      </c>
      <c r="G9" s="3">
        <v>1909.7</v>
      </c>
      <c r="H9" s="3">
        <v>2059.1999999999998</v>
      </c>
    </row>
    <row r="10" spans="1:9" s="3" customFormat="1" x14ac:dyDescent="0.25">
      <c r="B10" s="3" t="s">
        <v>19</v>
      </c>
      <c r="C10" s="3">
        <f>+C8-C9</f>
        <v>2091.2000000000003</v>
      </c>
      <c r="D10" s="3">
        <f>+D8-D9</f>
        <v>2408.8999999999996</v>
      </c>
      <c r="E10" s="3">
        <f>+E8-E9</f>
        <v>2981.2000000000003</v>
      </c>
      <c r="F10" s="3">
        <f>+F8-F9</f>
        <v>3782.8</v>
      </c>
      <c r="G10" s="3">
        <f>+G8-G9</f>
        <v>4983.0000000000009</v>
      </c>
      <c r="H10" s="3">
        <f>+H8-H9</f>
        <v>5968.3</v>
      </c>
    </row>
    <row r="11" spans="1:9" s="3" customFormat="1" x14ac:dyDescent="0.25">
      <c r="B11" s="3" t="s">
        <v>21</v>
      </c>
      <c r="C11" s="3">
        <v>539.5</v>
      </c>
      <c r="D11" s="3">
        <v>768.1</v>
      </c>
      <c r="E11" s="3">
        <v>1140.4000000000001</v>
      </c>
      <c r="F11" s="3">
        <v>1417.7</v>
      </c>
      <c r="G11" s="3">
        <v>1604</v>
      </c>
      <c r="H11" s="3">
        <v>1809.4</v>
      </c>
    </row>
    <row r="12" spans="1:9" s="3" customFormat="1" x14ac:dyDescent="0.25">
      <c r="B12" s="3" t="s">
        <v>22</v>
      </c>
      <c r="C12" s="3">
        <v>1344</v>
      </c>
      <c r="D12" s="3">
        <v>1520.2</v>
      </c>
      <c r="E12" s="3">
        <v>1753.8</v>
      </c>
      <c r="F12" s="3">
        <v>2148.9</v>
      </c>
      <c r="G12" s="3">
        <v>2544</v>
      </c>
      <c r="H12" s="3">
        <v>2794.5</v>
      </c>
    </row>
    <row r="13" spans="1:9" s="3" customFormat="1" x14ac:dyDescent="0.25">
      <c r="B13" s="3" t="s">
        <v>23</v>
      </c>
      <c r="C13" s="3">
        <v>261.8</v>
      </c>
      <c r="D13" s="3">
        <v>299.60000000000002</v>
      </c>
      <c r="E13" s="3">
        <v>391.1</v>
      </c>
      <c r="F13" s="3">
        <v>405</v>
      </c>
      <c r="G13" s="3">
        <v>447.7</v>
      </c>
      <c r="H13" s="3">
        <v>680.5</v>
      </c>
    </row>
    <row r="14" spans="1:9" s="3" customFormat="1" x14ac:dyDescent="0.25">
      <c r="B14" s="3" t="s">
        <v>24</v>
      </c>
      <c r="C14" s="3">
        <f t="shared" ref="C14:D14" si="0">SUM(C11:C13)</f>
        <v>2145.3000000000002</v>
      </c>
      <c r="D14" s="3">
        <f t="shared" si="0"/>
        <v>2587.9</v>
      </c>
      <c r="E14" s="3">
        <f t="shared" ref="E14" si="1">SUM(E11:E13)</f>
        <v>3285.2999999999997</v>
      </c>
      <c r="F14" s="3">
        <f t="shared" ref="F14:G14" si="2">SUM(F11:F13)</f>
        <v>3971.6000000000004</v>
      </c>
      <c r="G14" s="3">
        <f t="shared" si="2"/>
        <v>4595.7</v>
      </c>
      <c r="H14" s="3">
        <f>SUM(H11:H13)</f>
        <v>5284.4</v>
      </c>
    </row>
    <row r="15" spans="1:9" s="3" customFormat="1" x14ac:dyDescent="0.25">
      <c r="B15" s="3" t="s">
        <v>25</v>
      </c>
      <c r="C15" s="3">
        <f t="shared" ref="C15:D15" si="3">+C10-C14</f>
        <v>-54.099999999999909</v>
      </c>
      <c r="D15" s="3">
        <f t="shared" si="3"/>
        <v>-179.00000000000045</v>
      </c>
      <c r="E15" s="3">
        <f t="shared" ref="E15" si="4">+E10-E14</f>
        <v>-304.09999999999945</v>
      </c>
      <c r="F15" s="3">
        <f t="shared" ref="F15:G15" si="5">+F10-F14</f>
        <v>-188.80000000000018</v>
      </c>
      <c r="G15" s="3">
        <f t="shared" si="5"/>
        <v>387.30000000000109</v>
      </c>
      <c r="H15" s="3">
        <f>+H10-H14</f>
        <v>683.90000000000055</v>
      </c>
    </row>
    <row r="16" spans="1:9" s="3" customFormat="1" x14ac:dyDescent="0.25">
      <c r="B16" s="3" t="s">
        <v>29</v>
      </c>
      <c r="C16" s="3">
        <v>-83.9</v>
      </c>
      <c r="D16" s="3">
        <v>-88.7</v>
      </c>
      <c r="E16" s="3">
        <v>-163.30000000000001</v>
      </c>
      <c r="F16" s="3">
        <f>-27.4+9</f>
        <v>-18.399999999999999</v>
      </c>
      <c r="G16" s="3">
        <f>-27.2+206.2</f>
        <v>179</v>
      </c>
      <c r="H16" s="3">
        <f>-8.3+312.7</f>
        <v>304.39999999999998</v>
      </c>
    </row>
    <row r="17" spans="2:9" s="3" customFormat="1" x14ac:dyDescent="0.25">
      <c r="B17" s="3" t="s">
        <v>28</v>
      </c>
      <c r="C17" s="3">
        <f t="shared" ref="C17:D17" si="6">+C15+C16</f>
        <v>-137.99999999999991</v>
      </c>
      <c r="D17" s="3">
        <f t="shared" si="6"/>
        <v>-267.70000000000044</v>
      </c>
      <c r="E17" s="3">
        <f t="shared" ref="E17" si="7">+E15+E16</f>
        <v>-467.39999999999947</v>
      </c>
      <c r="F17" s="3">
        <f t="shared" ref="F17:G17" si="8">+F15+F16</f>
        <v>-207.20000000000019</v>
      </c>
      <c r="G17" s="3">
        <f t="shared" si="8"/>
        <v>566.30000000000109</v>
      </c>
      <c r="H17" s="3">
        <f>+H15+H16</f>
        <v>988.30000000000052</v>
      </c>
    </row>
    <row r="18" spans="2:9" s="3" customFormat="1" x14ac:dyDescent="0.25">
      <c r="B18" s="3" t="s">
        <v>27</v>
      </c>
      <c r="C18" s="3">
        <v>0</v>
      </c>
      <c r="D18" s="3">
        <v>0</v>
      </c>
      <c r="F18" s="3">
        <v>0</v>
      </c>
      <c r="G18" s="3">
        <v>126.2</v>
      </c>
      <c r="H18" s="3">
        <v>0</v>
      </c>
    </row>
    <row r="19" spans="2:9" s="3" customFormat="1" x14ac:dyDescent="0.25">
      <c r="B19" s="3" t="s">
        <v>26</v>
      </c>
      <c r="C19" s="3">
        <f t="shared" ref="C19:D19" si="9">+C17-C18</f>
        <v>-137.99999999999991</v>
      </c>
      <c r="D19" s="3">
        <f t="shared" si="9"/>
        <v>-267.70000000000044</v>
      </c>
      <c r="E19" s="3">
        <f t="shared" ref="E19" si="10">+E17-E18</f>
        <v>-467.39999999999947</v>
      </c>
      <c r="F19" s="3">
        <f t="shared" ref="F19:G19" si="11">+F17-F18</f>
        <v>-207.20000000000019</v>
      </c>
      <c r="G19" s="3">
        <f t="shared" si="11"/>
        <v>440.1000000000011</v>
      </c>
      <c r="H19" s="3">
        <f>+H17-H18</f>
        <v>988.30000000000052</v>
      </c>
    </row>
    <row r="20" spans="2:9" s="3" customFormat="1" x14ac:dyDescent="0.25">
      <c r="B20" s="3" t="s">
        <v>52</v>
      </c>
      <c r="C20" s="2">
        <f>+C19/C21</f>
        <v>-1.4603174603174593</v>
      </c>
      <c r="D20" s="2">
        <f>+D19/D21</f>
        <v>-2.7626418988648136</v>
      </c>
      <c r="E20" s="2">
        <f>+E19/E21</f>
        <v>-4.848547717842318</v>
      </c>
      <c r="F20" s="2">
        <f>+F19/F21</f>
        <v>-0.70094722598105608</v>
      </c>
      <c r="G20" s="2">
        <f>+G19/G21</f>
        <v>1.2857142857142889</v>
      </c>
      <c r="H20" s="2">
        <f>+H19/H21</f>
        <v>2.7918079096045214</v>
      </c>
    </row>
    <row r="21" spans="2:9" s="3" customFormat="1" x14ac:dyDescent="0.25">
      <c r="B21" s="3" t="s">
        <v>1</v>
      </c>
      <c r="C21" s="3">
        <v>94.5</v>
      </c>
      <c r="D21" s="3">
        <v>96.9</v>
      </c>
      <c r="E21" s="3">
        <v>96.4</v>
      </c>
      <c r="F21" s="3">
        <v>295.60000000000002</v>
      </c>
      <c r="G21" s="3">
        <v>342.3</v>
      </c>
      <c r="H21" s="3">
        <v>354</v>
      </c>
    </row>
    <row r="23" spans="2:9" x14ac:dyDescent="0.25">
      <c r="B23" s="1" t="s">
        <v>17</v>
      </c>
      <c r="D23" s="6">
        <f t="shared" ref="D23:G23" si="12">+D8/C8-1</f>
        <v>0.1754724789626152</v>
      </c>
      <c r="E23" s="6">
        <f t="shared" si="12"/>
        <v>0.24870907170519918</v>
      </c>
      <c r="F23" s="6">
        <f t="shared" si="12"/>
        <v>0.29261530509151568</v>
      </c>
      <c r="G23" s="6">
        <f>+G8/F8-1</f>
        <v>0.25287648823048281</v>
      </c>
      <c r="H23" s="6">
        <f>+H8/G8-1</f>
        <v>0.16463795029523975</v>
      </c>
      <c r="I23" s="6">
        <f>+I8/H8-1</f>
        <v>0.10000000000000009</v>
      </c>
    </row>
    <row r="25" spans="2:9" s="3" customFormat="1" x14ac:dyDescent="0.25">
      <c r="B25" s="3" t="s">
        <v>3</v>
      </c>
      <c r="H25" s="3">
        <f>1535.2+1043.6+4173.2</f>
        <v>6752</v>
      </c>
    </row>
    <row r="26" spans="2:9" s="3" customFormat="1" x14ac:dyDescent="0.25">
      <c r="B26" s="3" t="s">
        <v>34</v>
      </c>
      <c r="H26" s="3">
        <v>2618.6</v>
      </c>
    </row>
    <row r="27" spans="2:9" s="3" customFormat="1" x14ac:dyDescent="0.25">
      <c r="B27" s="3" t="s">
        <v>35</v>
      </c>
      <c r="H27" s="3">
        <f>725.9+1182.1</f>
        <v>1908</v>
      </c>
    </row>
    <row r="28" spans="2:9" s="3" customFormat="1" x14ac:dyDescent="0.25">
      <c r="B28" s="3" t="s">
        <v>36</v>
      </c>
      <c r="H28" s="3">
        <f>369+562</f>
        <v>931</v>
      </c>
    </row>
    <row r="29" spans="2:9" s="3" customFormat="1" x14ac:dyDescent="0.25">
      <c r="B29" s="3" t="s">
        <v>37</v>
      </c>
      <c r="H29" s="3">
        <v>557.4</v>
      </c>
    </row>
    <row r="30" spans="2:9" s="3" customFormat="1" x14ac:dyDescent="0.25">
      <c r="B30" s="3" t="s">
        <v>38</v>
      </c>
      <c r="H30" s="3">
        <v>361.1</v>
      </c>
    </row>
    <row r="31" spans="2:9" s="3" customFormat="1" x14ac:dyDescent="0.25">
      <c r="B31" s="3" t="s">
        <v>39</v>
      </c>
      <c r="H31" s="3">
        <v>385.9</v>
      </c>
    </row>
    <row r="32" spans="2:9" s="3" customFormat="1" x14ac:dyDescent="0.25">
      <c r="B32" s="3" t="s">
        <v>40</v>
      </c>
      <c r="H32" s="3">
        <f>3350.1+374.9</f>
        <v>3725</v>
      </c>
    </row>
    <row r="33" spans="2:8" s="3" customFormat="1" x14ac:dyDescent="0.25">
      <c r="B33" s="3" t="s">
        <v>41</v>
      </c>
      <c r="H33" s="3">
        <v>2399</v>
      </c>
    </row>
    <row r="34" spans="2:8" s="3" customFormat="1" x14ac:dyDescent="0.25">
      <c r="B34" s="3" t="s">
        <v>42</v>
      </c>
      <c r="H34" s="3">
        <v>352.9</v>
      </c>
    </row>
    <row r="35" spans="2:8" s="3" customFormat="1" x14ac:dyDescent="0.25">
      <c r="B35" s="3" t="s">
        <v>33</v>
      </c>
      <c r="H35" s="3">
        <f>SUM(H25:H34)</f>
        <v>19990.900000000001</v>
      </c>
    </row>
    <row r="37" spans="2:8" s="3" customFormat="1" x14ac:dyDescent="0.25">
      <c r="B37" s="3" t="s">
        <v>51</v>
      </c>
      <c r="H37" s="3">
        <v>116.3</v>
      </c>
    </row>
    <row r="38" spans="2:8" s="3" customFormat="1" x14ac:dyDescent="0.25">
      <c r="B38" s="3" t="s">
        <v>50</v>
      </c>
      <c r="H38" s="3">
        <v>554.70000000000005</v>
      </c>
    </row>
    <row r="39" spans="2:8" s="3" customFormat="1" x14ac:dyDescent="0.25">
      <c r="B39" s="3" t="s">
        <v>49</v>
      </c>
      <c r="H39" s="3">
        <v>506.7</v>
      </c>
    </row>
    <row r="40" spans="2:8" s="3" customFormat="1" x14ac:dyDescent="0.25">
      <c r="B40" s="3" t="s">
        <v>48</v>
      </c>
      <c r="H40" s="3">
        <f>5541.1+5939.4</f>
        <v>11480.5</v>
      </c>
    </row>
    <row r="41" spans="2:8" s="3" customFormat="1" x14ac:dyDescent="0.25">
      <c r="B41" s="3" t="s">
        <v>47</v>
      </c>
      <c r="H41" s="3">
        <v>963.9</v>
      </c>
    </row>
    <row r="42" spans="2:8" s="3" customFormat="1" x14ac:dyDescent="0.25">
      <c r="B42" s="3" t="s">
        <v>46</v>
      </c>
      <c r="H42" s="3">
        <v>387.7</v>
      </c>
    </row>
    <row r="43" spans="2:8" s="3" customFormat="1" x14ac:dyDescent="0.25">
      <c r="B43" s="3" t="s">
        <v>39</v>
      </c>
      <c r="H43" s="3">
        <v>380.5</v>
      </c>
    </row>
    <row r="44" spans="2:8" s="3" customFormat="1" x14ac:dyDescent="0.25">
      <c r="B44" s="3" t="s">
        <v>45</v>
      </c>
      <c r="H44" s="3">
        <v>430.9</v>
      </c>
    </row>
    <row r="45" spans="2:8" s="3" customFormat="1" x14ac:dyDescent="0.25">
      <c r="B45" s="3" t="s">
        <v>44</v>
      </c>
      <c r="H45" s="3">
        <v>5169.7</v>
      </c>
    </row>
    <row r="46" spans="2:8" s="3" customFormat="1" x14ac:dyDescent="0.25">
      <c r="B46" s="3" t="s">
        <v>43</v>
      </c>
      <c r="H46" s="3">
        <f>SUM(H37:H45)</f>
        <v>19990.900000000001</v>
      </c>
    </row>
    <row r="48" spans="2:8" s="3" customFormat="1" x14ac:dyDescent="0.25">
      <c r="B48" s="3" t="s">
        <v>55</v>
      </c>
      <c r="F48" s="3">
        <f>+F19</f>
        <v>-207.20000000000019</v>
      </c>
      <c r="G48" s="3">
        <f>+G19</f>
        <v>440.1000000000011</v>
      </c>
      <c r="H48" s="3">
        <f>+H19</f>
        <v>988.30000000000052</v>
      </c>
    </row>
    <row r="49" spans="2:9" s="3" customFormat="1" x14ac:dyDescent="0.25">
      <c r="B49" s="3" t="s">
        <v>56</v>
      </c>
      <c r="F49" s="3">
        <v>-267</v>
      </c>
      <c r="G49" s="3">
        <v>439.7</v>
      </c>
      <c r="H49" s="3">
        <v>2577.6</v>
      </c>
    </row>
    <row r="50" spans="2:9" s="3" customFormat="1" x14ac:dyDescent="0.25">
      <c r="B50" s="3" t="s">
        <v>57</v>
      </c>
      <c r="F50" s="3">
        <v>1011.1</v>
      </c>
      <c r="G50" s="3">
        <v>1074.5</v>
      </c>
      <c r="H50" s="3">
        <v>1075.4000000000001</v>
      </c>
    </row>
    <row r="51" spans="2:9" s="3" customFormat="1" x14ac:dyDescent="0.25">
      <c r="B51" s="3" t="s">
        <v>46</v>
      </c>
      <c r="F51" s="3">
        <v>-3.1</v>
      </c>
      <c r="G51" s="3">
        <v>12.5</v>
      </c>
      <c r="H51" s="3">
        <v>-2033.7</v>
      </c>
    </row>
    <row r="52" spans="2:9" s="3" customFormat="1" x14ac:dyDescent="0.25">
      <c r="B52" s="3" t="s">
        <v>58</v>
      </c>
      <c r="F52" s="3">
        <v>282.60000000000002</v>
      </c>
      <c r="G52" s="3">
        <v>282.2</v>
      </c>
      <c r="H52" s="3">
        <v>283.3</v>
      </c>
    </row>
    <row r="53" spans="2:9" s="3" customFormat="1" x14ac:dyDescent="0.25">
      <c r="B53" s="3" t="s">
        <v>59</v>
      </c>
      <c r="F53" s="3">
        <v>362.1</v>
      </c>
      <c r="G53" s="3">
        <v>413.4</v>
      </c>
      <c r="H53" s="3">
        <v>446</v>
      </c>
    </row>
    <row r="54" spans="2:9" s="3" customFormat="1" x14ac:dyDescent="0.25">
      <c r="B54" s="3" t="s">
        <v>60</v>
      </c>
      <c r="F54" s="3">
        <v>7.2</v>
      </c>
      <c r="G54" s="3">
        <v>6.7</v>
      </c>
      <c r="H54" s="3">
        <v>3.5</v>
      </c>
    </row>
    <row r="55" spans="2:9" s="3" customFormat="1" x14ac:dyDescent="0.25">
      <c r="B55" s="3" t="s">
        <v>39</v>
      </c>
      <c r="F55" s="3">
        <v>54.4</v>
      </c>
      <c r="G55" s="3">
        <v>49.9</v>
      </c>
      <c r="H55" s="3">
        <v>55.3</v>
      </c>
    </row>
    <row r="56" spans="2:9" s="3" customFormat="1" x14ac:dyDescent="0.25">
      <c r="B56" s="3" t="s">
        <v>61</v>
      </c>
      <c r="F56" s="3">
        <v>13.5</v>
      </c>
      <c r="G56" s="3">
        <v>-52.2</v>
      </c>
      <c r="H56" s="3">
        <v>-60.1</v>
      </c>
    </row>
    <row r="57" spans="2:9" s="3" customFormat="1" x14ac:dyDescent="0.25">
      <c r="B57" s="3" t="s">
        <v>54</v>
      </c>
      <c r="F57" s="3">
        <f>-902-30.1-458.8-110+69.3+30.4-44.9+1970</f>
        <v>523.89999999999986</v>
      </c>
      <c r="G57" s="3">
        <f>-320.3-738.7-431.9-270.6+1+84.4-74.8+2301.7</f>
        <v>550.79999999999995</v>
      </c>
      <c r="H57" s="3">
        <f>-154.3-865.9-489.3-134.1-15+3.8+384.5+2180.6</f>
        <v>910.3</v>
      </c>
    </row>
    <row r="58" spans="2:9" s="3" customFormat="1" x14ac:dyDescent="0.25">
      <c r="B58" s="3" t="s">
        <v>53</v>
      </c>
      <c r="C58" s="3">
        <v>1055.5999999999999</v>
      </c>
      <c r="D58" s="3">
        <v>1035.7</v>
      </c>
      <c r="E58" s="3">
        <v>1503</v>
      </c>
      <c r="F58" s="3">
        <f>SUM(F49:F57)</f>
        <v>1984.7</v>
      </c>
      <c r="G58" s="3">
        <f>SUM(G49:G57)</f>
        <v>2777.5</v>
      </c>
      <c r="H58" s="3">
        <f>SUM(H49:H57)</f>
        <v>3257.6000000000004</v>
      </c>
      <c r="I58" s="3">
        <f>+H58*1.2</f>
        <v>3909.1200000000003</v>
      </c>
    </row>
    <row r="60" spans="2:9" s="3" customFormat="1" x14ac:dyDescent="0.25">
      <c r="B60" s="3" t="s">
        <v>63</v>
      </c>
      <c r="F60" s="3">
        <f>-2271.7+449.2+1118.9</f>
        <v>-703.59999999999968</v>
      </c>
      <c r="G60" s="3">
        <f>-5460.4+965.9+2811.5</f>
        <v>-1683</v>
      </c>
      <c r="H60" s="3">
        <f>-3551.3+956.2+1852.6</f>
        <v>-742.50000000000045</v>
      </c>
    </row>
    <row r="61" spans="2:9" s="3" customFormat="1" x14ac:dyDescent="0.25">
      <c r="B61" s="3" t="s">
        <v>64</v>
      </c>
      <c r="F61" s="3">
        <v>-37</v>
      </c>
      <c r="G61" s="3">
        <v>-204.5</v>
      </c>
      <c r="H61" s="3">
        <v>-610.6</v>
      </c>
    </row>
    <row r="62" spans="2:9" s="3" customFormat="1" x14ac:dyDescent="0.25">
      <c r="B62" s="3" t="s">
        <v>65</v>
      </c>
      <c r="C62" s="3">
        <v>-131.19999999999999</v>
      </c>
      <c r="D62" s="3">
        <v>-214.4</v>
      </c>
      <c r="E62" s="3">
        <v>-116</v>
      </c>
      <c r="F62" s="3">
        <v>-192.8</v>
      </c>
      <c r="G62" s="3">
        <v>-146.30000000000001</v>
      </c>
      <c r="H62" s="3">
        <v>-156.80000000000001</v>
      </c>
    </row>
    <row r="63" spans="2:9" s="3" customFormat="1" x14ac:dyDescent="0.25">
      <c r="B63" s="3" t="s">
        <v>62</v>
      </c>
      <c r="C63" s="3">
        <f>SUM(C60:C62)</f>
        <v>-131.19999999999999</v>
      </c>
      <c r="D63" s="3">
        <f>SUM(D60:D62)</f>
        <v>-214.4</v>
      </c>
      <c r="E63" s="3">
        <f>SUM(E60:E62)</f>
        <v>-116</v>
      </c>
      <c r="F63" s="3">
        <f>SUM(F60:F62)</f>
        <v>-933.39999999999964</v>
      </c>
      <c r="G63" s="3">
        <f>SUM(G60:G62)</f>
        <v>-2033.8</v>
      </c>
      <c r="H63" s="3">
        <f>SUM(H60:H62)</f>
        <v>-1509.9000000000003</v>
      </c>
    </row>
    <row r="65" spans="2:8" s="3" customFormat="1" x14ac:dyDescent="0.25">
      <c r="B65" s="3" t="s">
        <v>4</v>
      </c>
      <c r="F65" s="3">
        <v>-0.6</v>
      </c>
      <c r="G65" s="3">
        <v>-1692</v>
      </c>
      <c r="H65" s="3">
        <v>-1033.7</v>
      </c>
    </row>
    <row r="66" spans="2:8" s="3" customFormat="1" x14ac:dyDescent="0.25">
      <c r="B66" s="3" t="s">
        <v>67</v>
      </c>
      <c r="F66" s="3">
        <v>-892.3</v>
      </c>
      <c r="G66" s="3">
        <v>-272.7</v>
      </c>
      <c r="H66" s="3">
        <v>-566.70000000000005</v>
      </c>
    </row>
    <row r="67" spans="2:8" s="3" customFormat="1" x14ac:dyDescent="0.25">
      <c r="B67" s="3" t="s">
        <v>68</v>
      </c>
      <c r="F67" s="3">
        <f>136.6-50.3</f>
        <v>86.3</v>
      </c>
      <c r="G67" s="3">
        <f>258.8-20.4</f>
        <v>238.4</v>
      </c>
      <c r="H67" s="3">
        <f>283.9-26.6</f>
        <v>257.29999999999995</v>
      </c>
    </row>
    <row r="68" spans="2:8" s="3" customFormat="1" x14ac:dyDescent="0.25">
      <c r="B68" s="3" t="s">
        <v>66</v>
      </c>
      <c r="F68" s="3">
        <f>SUM(F65:F67)</f>
        <v>-806.6</v>
      </c>
      <c r="G68" s="3">
        <f>SUM(G65:G67)</f>
        <v>-1726.3</v>
      </c>
      <c r="H68" s="3">
        <f>SUM(H65:H67)</f>
        <v>-1343.1000000000001</v>
      </c>
    </row>
    <row r="70" spans="2:8" x14ac:dyDescent="0.25">
      <c r="B70" s="1" t="s">
        <v>69</v>
      </c>
      <c r="C70" s="3">
        <f t="shared" ref="C70:F70" si="13">+C58+C62</f>
        <v>924.39999999999986</v>
      </c>
      <c r="D70" s="3">
        <f t="shared" si="13"/>
        <v>821.30000000000007</v>
      </c>
      <c r="E70" s="3">
        <f t="shared" si="13"/>
        <v>1387</v>
      </c>
      <c r="F70" s="3">
        <f>+F58+F62</f>
        <v>1791.9</v>
      </c>
      <c r="G70" s="3">
        <f>+G58+G62</f>
        <v>2631.2</v>
      </c>
      <c r="H70" s="3">
        <f>+H58+H62</f>
        <v>3100.8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2025-05-13T14:47:12Z</dcterms:created>
  <dcterms:modified xsi:type="dcterms:W3CDTF">2025-05-13T16:36:47Z</dcterms:modified>
</cp:coreProperties>
</file>