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27BD9731-ED1E-4DDF-B42D-E52B0D52ECC4}" xr6:coauthVersionLast="47" xr6:coauthVersionMax="47" xr10:uidLastSave="{00000000-0000-0000-0000-000000000000}"/>
  <bookViews>
    <workbookView xWindow="1090" yWindow="2110" windowWidth="22760" windowHeight="13530" xr2:uid="{AE04E6E4-A652-4DFB-A34B-BE287D9B2752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63" i="2" l="1"/>
  <c r="AJ62" i="2"/>
  <c r="W62" i="2"/>
  <c r="W61" i="2"/>
  <c r="W53" i="2"/>
  <c r="W48" i="2"/>
  <c r="W47" i="2"/>
  <c r="W46" i="2"/>
  <c r="W51" i="2"/>
  <c r="W42" i="2"/>
  <c r="W36" i="2"/>
  <c r="W19" i="2"/>
  <c r="W18" i="2"/>
  <c r="W17" i="2"/>
  <c r="W15" i="2"/>
  <c r="W16" i="2" s="1"/>
  <c r="H13" i="1" l="1"/>
  <c r="G13" i="1"/>
  <c r="X27" i="2"/>
  <c r="Y27" i="2" s="1"/>
  <c r="Z27" i="2" s="1"/>
  <c r="Y22" i="2"/>
  <c r="Z22" i="2" s="1"/>
  <c r="X22" i="2"/>
  <c r="Z19" i="2"/>
  <c r="Y19" i="2"/>
  <c r="X19" i="2"/>
  <c r="Z18" i="2"/>
  <c r="Y18" i="2"/>
  <c r="X18" i="2"/>
  <c r="Z17" i="2"/>
  <c r="Y17" i="2"/>
  <c r="X17" i="2"/>
  <c r="AM34" i="2"/>
  <c r="AL34" i="2"/>
  <c r="AK34" i="2"/>
  <c r="AJ34" i="2"/>
  <c r="AI34" i="2"/>
  <c r="AH34" i="2"/>
  <c r="AM33" i="2"/>
  <c r="AL33" i="2"/>
  <c r="AK33" i="2"/>
  <c r="AJ33" i="2"/>
  <c r="AI33" i="2"/>
  <c r="AH33" i="2"/>
  <c r="AM32" i="2"/>
  <c r="AL32" i="2"/>
  <c r="AK32" i="2"/>
  <c r="AJ32" i="2"/>
  <c r="AI32" i="2"/>
  <c r="AH32" i="2"/>
  <c r="AF34" i="2"/>
  <c r="AE34" i="2"/>
  <c r="AD34" i="2"/>
  <c r="AF33" i="2"/>
  <c r="AE33" i="2"/>
  <c r="AD33" i="2"/>
  <c r="AF32" i="2"/>
  <c r="AE32" i="2"/>
  <c r="AD32" i="2"/>
  <c r="AF27" i="2"/>
  <c r="AG27" i="2"/>
  <c r="AG24" i="2"/>
  <c r="AG22" i="2"/>
  <c r="AG19" i="2"/>
  <c r="AG34" i="2" s="1"/>
  <c r="AG18" i="2"/>
  <c r="AG17" i="2"/>
  <c r="AG16" i="2"/>
  <c r="AG15" i="2"/>
  <c r="AG33" i="2"/>
  <c r="AG32" i="2"/>
  <c r="Z20" i="2" l="1"/>
  <c r="Z21" i="2" s="1"/>
  <c r="Z23" i="2" s="1"/>
  <c r="Y20" i="2"/>
  <c r="Y21" i="2" s="1"/>
  <c r="Y23" i="2" s="1"/>
  <c r="X20" i="2"/>
  <c r="Z16" i="2"/>
  <c r="Y16" i="2"/>
  <c r="X16" i="2"/>
  <c r="X15" i="2" s="1"/>
  <c r="Z15" i="2"/>
  <c r="Y15" i="2"/>
  <c r="AH14" i="2"/>
  <c r="AI14" i="2" s="1"/>
  <c r="AJ14" i="2" s="1"/>
  <c r="AG62" i="2"/>
  <c r="AG61" i="2"/>
  <c r="AG60" i="2"/>
  <c r="AG59" i="2"/>
  <c r="AG58" i="2"/>
  <c r="AG57" i="2"/>
  <c r="AG56" i="2"/>
  <c r="AG55" i="2"/>
  <c r="AG54" i="2"/>
  <c r="AG53" i="2"/>
  <c r="AG51" i="2"/>
  <c r="AG50" i="2"/>
  <c r="AG49" i="2"/>
  <c r="AG48" i="2"/>
  <c r="AG47" i="2"/>
  <c r="AG46" i="2"/>
  <c r="AG45" i="2"/>
  <c r="AG44" i="2"/>
  <c r="AG42" i="2"/>
  <c r="AG41" i="2"/>
  <c r="AG40" i="2"/>
  <c r="AG39" i="2"/>
  <c r="AG38" i="2"/>
  <c r="AG37" i="2"/>
  <c r="AG36" i="2"/>
  <c r="Z14" i="2"/>
  <c r="Y14" i="2"/>
  <c r="R7" i="2"/>
  <c r="V7" i="2"/>
  <c r="R14" i="2"/>
  <c r="R9" i="2"/>
  <c r="R8" i="2"/>
  <c r="R6" i="2" s="1"/>
  <c r="V9" i="2"/>
  <c r="V8" i="2"/>
  <c r="V6" i="2" s="1"/>
  <c r="O19" i="2"/>
  <c r="S19" i="2"/>
  <c r="O18" i="2"/>
  <c r="S18" i="2"/>
  <c r="O17" i="2"/>
  <c r="S17" i="2"/>
  <c r="W32" i="2" s="1"/>
  <c r="O15" i="2"/>
  <c r="S15" i="2"/>
  <c r="V34" i="2"/>
  <c r="S34" i="2"/>
  <c r="R34" i="2"/>
  <c r="W33" i="2"/>
  <c r="S33" i="2"/>
  <c r="P19" i="2"/>
  <c r="P18" i="2"/>
  <c r="P17" i="2"/>
  <c r="T19" i="2"/>
  <c r="T34" i="2" s="1"/>
  <c r="T18" i="2"/>
  <c r="T17" i="2"/>
  <c r="P15" i="2"/>
  <c r="T15" i="2"/>
  <c r="R15" i="2"/>
  <c r="V15" i="2"/>
  <c r="Q19" i="2"/>
  <c r="Q18" i="2"/>
  <c r="Q17" i="2"/>
  <c r="Q15" i="2"/>
  <c r="U19" i="2"/>
  <c r="U18" i="2"/>
  <c r="U17" i="2"/>
  <c r="U15" i="2"/>
  <c r="R19" i="2"/>
  <c r="V19" i="2"/>
  <c r="R18" i="2"/>
  <c r="R33" i="2" s="1"/>
  <c r="V18" i="2"/>
  <c r="R17" i="2"/>
  <c r="R32" i="2" s="1"/>
  <c r="V17" i="2"/>
  <c r="W34" i="2"/>
  <c r="Y24" i="2" l="1"/>
  <c r="Y25" i="2" s="1"/>
  <c r="Y26" i="2" s="1"/>
  <c r="Z24" i="2"/>
  <c r="Z25" i="2" s="1"/>
  <c r="Z26" i="2" s="1"/>
  <c r="X21" i="2"/>
  <c r="X23" i="2" s="1"/>
  <c r="T33" i="2"/>
  <c r="T32" i="2"/>
  <c r="U33" i="2"/>
  <c r="U34" i="2"/>
  <c r="U32" i="2"/>
  <c r="V33" i="2"/>
  <c r="S32" i="2"/>
  <c r="V32" i="2"/>
  <c r="X24" i="2" l="1"/>
  <c r="X25" i="2" s="1"/>
  <c r="X26" i="2" s="1"/>
  <c r="L3" i="1"/>
  <c r="AL19" i="2"/>
  <c r="AM19" i="2" s="1"/>
  <c r="AL18" i="2"/>
  <c r="AM18" i="2" s="1"/>
  <c r="AI63" i="2"/>
  <c r="Z30" i="2"/>
  <c r="Y30" i="2"/>
  <c r="X30" i="2"/>
  <c r="W84" i="2"/>
  <c r="V47" i="2"/>
  <c r="V48" i="2"/>
  <c r="V46" i="2"/>
  <c r="V36" i="2"/>
  <c r="V42" i="2" s="1"/>
  <c r="W20" i="2"/>
  <c r="W21" i="2" s="1"/>
  <c r="W23" i="2" s="1"/>
  <c r="W31" i="2"/>
  <c r="W30" i="2"/>
  <c r="V20" i="2"/>
  <c r="V16" i="2"/>
  <c r="V31" i="2" s="1"/>
  <c r="U70" i="2"/>
  <c r="V70" i="2" s="1"/>
  <c r="T48" i="2"/>
  <c r="T47" i="2"/>
  <c r="T46" i="2"/>
  <c r="T36" i="2"/>
  <c r="T42" i="2" s="1"/>
  <c r="T73" i="2"/>
  <c r="U73" i="2" s="1"/>
  <c r="V73" i="2" s="1"/>
  <c r="T71" i="2"/>
  <c r="U71" i="2" s="1"/>
  <c r="T70" i="2"/>
  <c r="T69" i="2"/>
  <c r="U69" i="2" s="1"/>
  <c r="V69" i="2" s="1"/>
  <c r="T65" i="2"/>
  <c r="U65" i="2" s="1"/>
  <c r="V65" i="2" s="1"/>
  <c r="T60" i="2"/>
  <c r="U60" i="2" s="1"/>
  <c r="V60" i="2" s="1"/>
  <c r="T59" i="2"/>
  <c r="U59" i="2" s="1"/>
  <c r="V59" i="2" s="1"/>
  <c r="T58" i="2"/>
  <c r="U58" i="2" s="1"/>
  <c r="V58" i="2" s="1"/>
  <c r="T57" i="2"/>
  <c r="U57" i="2" s="1"/>
  <c r="T56" i="2"/>
  <c r="U56" i="2" s="1"/>
  <c r="V56" i="2" s="1"/>
  <c r="T55" i="2"/>
  <c r="U55" i="2" s="1"/>
  <c r="V55" i="2" s="1"/>
  <c r="T54" i="2"/>
  <c r="U54" i="2" s="1"/>
  <c r="V54" i="2" s="1"/>
  <c r="U46" i="2"/>
  <c r="U47" i="2"/>
  <c r="U48" i="2"/>
  <c r="U36" i="2"/>
  <c r="U42" i="2" s="1"/>
  <c r="U24" i="2"/>
  <c r="U22" i="2"/>
  <c r="T24" i="2"/>
  <c r="T22" i="2"/>
  <c r="T20" i="2"/>
  <c r="T16" i="2"/>
  <c r="T31" i="2" s="1"/>
  <c r="U20" i="2"/>
  <c r="U16" i="2"/>
  <c r="U31" i="2" s="1"/>
  <c r="AF48" i="2"/>
  <c r="AF47" i="2"/>
  <c r="AF46" i="2"/>
  <c r="AF36" i="2"/>
  <c r="AF42" i="2" s="1"/>
  <c r="AD61" i="2"/>
  <c r="AD60" i="2"/>
  <c r="AD62" i="2" s="1"/>
  <c r="AE61" i="2"/>
  <c r="AE60" i="2"/>
  <c r="AE62" i="2" s="1"/>
  <c r="AF61" i="2"/>
  <c r="AF60" i="2"/>
  <c r="AF13" i="2"/>
  <c r="AF12" i="2"/>
  <c r="U30" i="2"/>
  <c r="AE14" i="2"/>
  <c r="AF78" i="2"/>
  <c r="AE78" i="2"/>
  <c r="AF3" i="2"/>
  <c r="AE3" i="2"/>
  <c r="O72" i="2"/>
  <c r="O66" i="2"/>
  <c r="O67" i="2" s="1"/>
  <c r="O61" i="2"/>
  <c r="O62" i="2" s="1"/>
  <c r="O24" i="2"/>
  <c r="O48" i="2"/>
  <c r="O47" i="2"/>
  <c r="O46" i="2"/>
  <c r="O36" i="2"/>
  <c r="O42" i="2" s="1"/>
  <c r="P46" i="2"/>
  <c r="P48" i="2"/>
  <c r="P47" i="2"/>
  <c r="P36" i="2"/>
  <c r="P42" i="2" s="1"/>
  <c r="L22" i="2"/>
  <c r="L16" i="2"/>
  <c r="P30" i="2"/>
  <c r="P24" i="2"/>
  <c r="P22" i="2"/>
  <c r="P20" i="2"/>
  <c r="P16" i="2"/>
  <c r="Q48" i="2"/>
  <c r="Q47" i="2"/>
  <c r="Q46" i="2"/>
  <c r="Q36" i="2"/>
  <c r="Q42" i="2" s="1"/>
  <c r="Q24" i="2"/>
  <c r="Q22" i="2"/>
  <c r="Q20" i="2"/>
  <c r="Q16" i="2"/>
  <c r="Q31" i="2" s="1"/>
  <c r="R48" i="2"/>
  <c r="R47" i="2"/>
  <c r="R46" i="2"/>
  <c r="R36" i="2"/>
  <c r="R42" i="2" s="1"/>
  <c r="N24" i="2"/>
  <c r="N22" i="2"/>
  <c r="N16" i="2"/>
  <c r="R24" i="2"/>
  <c r="R22" i="2"/>
  <c r="R20" i="2"/>
  <c r="R16" i="2"/>
  <c r="R31" i="2" s="1"/>
  <c r="T30" i="2"/>
  <c r="S72" i="2"/>
  <c r="S66" i="2"/>
  <c r="S67" i="2" s="1"/>
  <c r="S61" i="2"/>
  <c r="S62" i="2" s="1"/>
  <c r="S48" i="2"/>
  <c r="S47" i="2"/>
  <c r="S46" i="2"/>
  <c r="S36" i="2"/>
  <c r="S42" i="2" s="1"/>
  <c r="O22" i="2"/>
  <c r="O20" i="2"/>
  <c r="S24" i="2"/>
  <c r="S22" i="2"/>
  <c r="S20" i="2"/>
  <c r="O30" i="2"/>
  <c r="O16" i="2"/>
  <c r="O31" i="2" s="1"/>
  <c r="S30" i="2"/>
  <c r="S16" i="2"/>
  <c r="L4" i="1"/>
  <c r="L7" i="1" s="1"/>
  <c r="AE19" i="2"/>
  <c r="AF19" i="2" s="1"/>
  <c r="AH19" i="2" s="1"/>
  <c r="AI19" i="2" s="1"/>
  <c r="AJ19" i="2" s="1"/>
  <c r="AK19" i="2" s="1"/>
  <c r="AE18" i="2"/>
  <c r="AF18" i="2" s="1"/>
  <c r="AH18" i="2" s="1"/>
  <c r="AI18" i="2" s="1"/>
  <c r="AJ18" i="2" s="1"/>
  <c r="AK18" i="2" s="1"/>
  <c r="AE17" i="2"/>
  <c r="M19" i="2"/>
  <c r="M18" i="2"/>
  <c r="M17" i="2"/>
  <c r="N30" i="2"/>
  <c r="M16" i="2"/>
  <c r="L30" i="2"/>
  <c r="D24" i="2"/>
  <c r="D22" i="2"/>
  <c r="D20" i="2"/>
  <c r="D16" i="2"/>
  <c r="D31" i="2" s="1"/>
  <c r="H22" i="2"/>
  <c r="H30" i="2"/>
  <c r="H20" i="2"/>
  <c r="H16" i="2"/>
  <c r="E22" i="2"/>
  <c r="E20" i="2"/>
  <c r="E16" i="2"/>
  <c r="E31" i="2" s="1"/>
  <c r="I30" i="2"/>
  <c r="I22" i="2"/>
  <c r="I20" i="2"/>
  <c r="I16" i="2"/>
  <c r="I31" i="2" s="1"/>
  <c r="AD30" i="2"/>
  <c r="AC22" i="2"/>
  <c r="AD22" i="2"/>
  <c r="AD20" i="2"/>
  <c r="AC20" i="2"/>
  <c r="AC16" i="2"/>
  <c r="AD16" i="2"/>
  <c r="AD31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J30" i="2"/>
  <c r="F22" i="2"/>
  <c r="F20" i="2"/>
  <c r="F16" i="2"/>
  <c r="F31" i="2" s="1"/>
  <c r="J22" i="2"/>
  <c r="J20" i="2"/>
  <c r="J16" i="2"/>
  <c r="J31" i="2" s="1"/>
  <c r="M27" i="2"/>
  <c r="K48" i="2"/>
  <c r="K47" i="2"/>
  <c r="K46" i="2"/>
  <c r="K36" i="2"/>
  <c r="K42" i="2" s="1"/>
  <c r="K30" i="2"/>
  <c r="K22" i="2"/>
  <c r="G22" i="2"/>
  <c r="G20" i="2"/>
  <c r="G16" i="2"/>
  <c r="G31" i="2" s="1"/>
  <c r="K20" i="2"/>
  <c r="K16" i="2"/>
  <c r="U51" i="2" l="1"/>
  <c r="U72" i="2"/>
  <c r="V71" i="2"/>
  <c r="V72" i="2" s="1"/>
  <c r="P21" i="2"/>
  <c r="P23" i="2" s="1"/>
  <c r="P25" i="2" s="1"/>
  <c r="P26" i="2" s="1"/>
  <c r="V21" i="2"/>
  <c r="V23" i="2" s="1"/>
  <c r="V25" i="2" s="1"/>
  <c r="V51" i="2"/>
  <c r="W25" i="2"/>
  <c r="W26" i="2" s="1"/>
  <c r="AF14" i="2"/>
  <c r="T61" i="2"/>
  <c r="U61" i="2" s="1"/>
  <c r="V61" i="2" s="1"/>
  <c r="T66" i="2"/>
  <c r="U66" i="2" s="1"/>
  <c r="T72" i="2"/>
  <c r="U62" i="2"/>
  <c r="U84" i="2" s="1"/>
  <c r="V57" i="2"/>
  <c r="V62" i="2" s="1"/>
  <c r="V84" i="2" s="1"/>
  <c r="V26" i="2"/>
  <c r="V53" i="2"/>
  <c r="T62" i="2"/>
  <c r="O51" i="2"/>
  <c r="T51" i="2"/>
  <c r="T67" i="2"/>
  <c r="T74" i="2" s="1"/>
  <c r="U21" i="2"/>
  <c r="U23" i="2" s="1"/>
  <c r="U25" i="2" s="1"/>
  <c r="T21" i="2"/>
  <c r="T23" i="2" s="1"/>
  <c r="T25" i="2" s="1"/>
  <c r="R51" i="2"/>
  <c r="K21" i="2"/>
  <c r="K23" i="2" s="1"/>
  <c r="K25" i="2" s="1"/>
  <c r="K26" i="2" s="1"/>
  <c r="AF62" i="2"/>
  <c r="AF63" i="2" s="1"/>
  <c r="Q51" i="2"/>
  <c r="AF51" i="2"/>
  <c r="P51" i="2"/>
  <c r="P31" i="2"/>
  <c r="R30" i="2"/>
  <c r="Q21" i="2"/>
  <c r="Q23" i="2" s="1"/>
  <c r="Q25" i="2" s="1"/>
  <c r="Q26" i="2" s="1"/>
  <c r="O74" i="2"/>
  <c r="Q30" i="2"/>
  <c r="R21" i="2"/>
  <c r="R23" i="2" s="1"/>
  <c r="R25" i="2" s="1"/>
  <c r="R26" i="2" s="1"/>
  <c r="S74" i="2"/>
  <c r="S51" i="2"/>
  <c r="O21" i="2"/>
  <c r="O23" i="2" s="1"/>
  <c r="O25" i="2" s="1"/>
  <c r="S21" i="2"/>
  <c r="S23" i="2" s="1"/>
  <c r="S25" i="2" s="1"/>
  <c r="AC21" i="2"/>
  <c r="S31" i="2"/>
  <c r="AC23" i="2"/>
  <c r="AC25" i="2" s="1"/>
  <c r="AC26" i="2" s="1"/>
  <c r="K31" i="2"/>
  <c r="AE20" i="2"/>
  <c r="AC31" i="2"/>
  <c r="AE16" i="2"/>
  <c r="AE31" i="2" s="1"/>
  <c r="M15" i="2"/>
  <c r="M31" i="2"/>
  <c r="AE27" i="2"/>
  <c r="N20" i="2"/>
  <c r="M20" i="2"/>
  <c r="M21" i="2" s="1"/>
  <c r="M23" i="2" s="1"/>
  <c r="M25" i="2" s="1"/>
  <c r="M26" i="2" s="1"/>
  <c r="AD21" i="2"/>
  <c r="AD23" i="2" s="1"/>
  <c r="AD25" i="2" s="1"/>
  <c r="M30" i="2"/>
  <c r="K51" i="2"/>
  <c r="L20" i="2"/>
  <c r="L21" i="2" s="1"/>
  <c r="L23" i="2" s="1"/>
  <c r="L25" i="2" s="1"/>
  <c r="L26" i="2" s="1"/>
  <c r="AF17" i="2"/>
  <c r="D21" i="2"/>
  <c r="D23" i="2" s="1"/>
  <c r="D25" i="2" s="1"/>
  <c r="D26" i="2" s="1"/>
  <c r="H21" i="2"/>
  <c r="H23" i="2" s="1"/>
  <c r="H25" i="2" s="1"/>
  <c r="H26" i="2" s="1"/>
  <c r="H31" i="2"/>
  <c r="E21" i="2"/>
  <c r="E23" i="2" s="1"/>
  <c r="E25" i="2" s="1"/>
  <c r="E26" i="2" s="1"/>
  <c r="I21" i="2"/>
  <c r="I23" i="2" s="1"/>
  <c r="I25" i="2" s="1"/>
  <c r="I26" i="2" s="1"/>
  <c r="L31" i="2"/>
  <c r="F21" i="2"/>
  <c r="F23" i="2" s="1"/>
  <c r="F25" i="2" s="1"/>
  <c r="F26" i="2" s="1"/>
  <c r="J21" i="2"/>
  <c r="J23" i="2" s="1"/>
  <c r="J25" i="2" s="1"/>
  <c r="J26" i="2" s="1"/>
  <c r="G21" i="2"/>
  <c r="G23" i="2" s="1"/>
  <c r="G25" i="2" s="1"/>
  <c r="G26" i="2" s="1"/>
  <c r="U67" i="2" l="1"/>
  <c r="U74" i="2" s="1"/>
  <c r="V66" i="2"/>
  <c r="V67" i="2" s="1"/>
  <c r="V74" i="2" s="1"/>
  <c r="AG63" i="2"/>
  <c r="AH63" i="2"/>
  <c r="T26" i="2"/>
  <c r="T53" i="2"/>
  <c r="U26" i="2"/>
  <c r="U53" i="2"/>
  <c r="AD26" i="2"/>
  <c r="AD53" i="2"/>
  <c r="V30" i="2"/>
  <c r="AG14" i="2"/>
  <c r="O26" i="2"/>
  <c r="O53" i="2"/>
  <c r="S26" i="2"/>
  <c r="S53" i="2"/>
  <c r="N21" i="2"/>
  <c r="AE21" i="2"/>
  <c r="AE23" i="2" s="1"/>
  <c r="AE25" i="2" s="1"/>
  <c r="N31" i="2"/>
  <c r="AE30" i="2"/>
  <c r="AE15" i="2"/>
  <c r="AH27" i="2"/>
  <c r="AI27" i="2" s="1"/>
  <c r="AJ27" i="2" s="1"/>
  <c r="AK27" i="2" s="1"/>
  <c r="AL27" i="2" s="1"/>
  <c r="AM27" i="2" s="1"/>
  <c r="AF20" i="2"/>
  <c r="AE26" i="2" l="1"/>
  <c r="AE53" i="2"/>
  <c r="N23" i="2"/>
  <c r="N25" i="2" s="1"/>
  <c r="N26" i="2" s="1"/>
  <c r="AF30" i="2"/>
  <c r="AF16" i="2"/>
  <c r="AF31" i="2" s="1"/>
  <c r="AH17" i="2"/>
  <c r="AG20" i="2"/>
  <c r="AG31" i="2"/>
  <c r="AG30" i="2"/>
  <c r="AF15" i="2" l="1"/>
  <c r="AF21" i="2"/>
  <c r="AF23" i="2" s="1"/>
  <c r="AF25" i="2" s="1"/>
  <c r="AH30" i="2"/>
  <c r="AH16" i="2"/>
  <c r="AH31" i="2" s="1"/>
  <c r="AG21" i="2"/>
  <c r="AG23" i="2" s="1"/>
  <c r="AG25" i="2" s="1"/>
  <c r="AG26" i="2" s="1"/>
  <c r="AH20" i="2"/>
  <c r="AI17" i="2"/>
  <c r="AF26" i="2" l="1"/>
  <c r="AF53" i="2"/>
  <c r="AH21" i="2"/>
  <c r="AH23" i="2" s="1"/>
  <c r="AH24" i="2" s="1"/>
  <c r="AH25" i="2" s="1"/>
  <c r="AH26" i="2" s="1"/>
  <c r="AH15" i="2"/>
  <c r="AI20" i="2"/>
  <c r="AJ17" i="2"/>
  <c r="AI30" i="2"/>
  <c r="AI16" i="2"/>
  <c r="AI15" i="2" l="1"/>
  <c r="AI31" i="2"/>
  <c r="AI21" i="2"/>
  <c r="AI23" i="2" s="1"/>
  <c r="AI24" i="2" s="1"/>
  <c r="AI25" i="2" s="1"/>
  <c r="AI26" i="2" s="1"/>
  <c r="AJ30" i="2"/>
  <c r="AJ16" i="2"/>
  <c r="AK14" i="2"/>
  <c r="AL14" i="2" s="1"/>
  <c r="AJ20" i="2"/>
  <c r="AK17" i="2"/>
  <c r="AK20" i="2" l="1"/>
  <c r="AL17" i="2"/>
  <c r="AM14" i="2"/>
  <c r="AL30" i="2"/>
  <c r="AL16" i="2"/>
  <c r="AL15" i="2"/>
  <c r="AJ21" i="2"/>
  <c r="AJ23" i="2" s="1"/>
  <c r="AJ24" i="2" s="1"/>
  <c r="AJ25" i="2" s="1"/>
  <c r="AJ26" i="2" s="1"/>
  <c r="AJ31" i="2"/>
  <c r="AK30" i="2"/>
  <c r="AK16" i="2"/>
  <c r="AJ15" i="2"/>
  <c r="AM17" i="2" l="1"/>
  <c r="AM20" i="2" s="1"/>
  <c r="AL20" i="2"/>
  <c r="AL21" i="2" s="1"/>
  <c r="AL23" i="2" s="1"/>
  <c r="AL24" i="2" s="1"/>
  <c r="AL25" i="2" s="1"/>
  <c r="AL26" i="2" s="1"/>
  <c r="AL31" i="2"/>
  <c r="AM30" i="2"/>
  <c r="AM16" i="2"/>
  <c r="AM15" i="2" s="1"/>
  <c r="AK31" i="2"/>
  <c r="AK21" i="2"/>
  <c r="AK23" i="2" s="1"/>
  <c r="AK24" i="2" s="1"/>
  <c r="AK25" i="2" s="1"/>
  <c r="AK26" i="2" s="1"/>
  <c r="AK15" i="2"/>
  <c r="AM21" i="2" l="1"/>
  <c r="AM23" i="2" s="1"/>
  <c r="AM31" i="2"/>
  <c r="AM24" i="2" l="1"/>
  <c r="AM25" i="2" s="1"/>
  <c r="AM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tc={840217CC-5674-4F6B-90EE-E19650224FA3}</author>
    <author>tc={D69B3F97-7C79-4F03-B9BA-ACE1F4C6198E}</author>
    <author>tc={54C07574-03BA-4CE9-81A6-E1E3077759F1}</author>
    <author>tc={4718D922-3642-4B6E-9947-FAF641F97E57}</author>
    <author>tc={4CD5B200-8831-4A55-912D-586E0C3A285E}</author>
    <author>tc={7FB04DE7-58D8-49D7-B511-A899F9660455}</author>
    <author>tc={41832036-F80E-4CB0-9251-479B3DE7AD55}</author>
  </authors>
  <commentList>
    <comment ref="T14" authorId="0" shapeId="0" xr:uid="{840217CC-5674-4F6B-90EE-E19650224FA3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 guidance: 649-653m</t>
      </text>
    </comment>
    <comment ref="W14" authorId="1" shapeId="0" xr:uid="{D69B3F97-7C79-4F03-B9BA-ACE1F4C6198E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858-862m</t>
      </text>
    </comment>
    <comment ref="X14" authorId="2" shapeId="0" xr:uid="{54C07574-03BA-4CE9-81A6-E1E3077759F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899m 5/5/25</t>
      </text>
    </comment>
    <comment ref="AH14" authorId="3" shapeId="0" xr:uid="{4718D922-3642-4B6E-9947-FAF641F97E57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3.741-3.757B
Q1 guidance: 3.890-3.902B</t>
      </text>
    </comment>
    <comment ref="W25" authorId="4" shapeId="0" xr:uid="{4CD5B200-8831-4A55-912D-586E0C3A285E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354-358m adj income</t>
      </text>
    </comment>
    <comment ref="AH25" authorId="5" shapeId="0" xr:uid="{7FB04DE7-58D8-49D7-B511-A899F966045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Adj NI: 1.551-1.567B</t>
      </text>
    </comment>
    <comment ref="W26" authorId="6" shapeId="0" xr:uid="{41832036-F80E-4CB0-9251-479B3DE7AD55}">
      <text>
        <t>[Threaded comment]
Your version of Excel allows you to read this threaded comment; however, any edits to it will get removed if the file is opened in a newer version of Excel. Learn more: https://go.microsoft.com/fwlink/?linkid=870924
Comment:
    0.13 consensus 5/5/25</t>
      </text>
    </comment>
  </commentList>
</comments>
</file>

<file path=xl/sharedStrings.xml><?xml version="1.0" encoding="utf-8"?>
<sst xmlns="http://schemas.openxmlformats.org/spreadsheetml/2006/main" count="120" uniqueCount="109">
  <si>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</si>
  <si>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</si>
  <si>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</si>
  <si>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</si>
  <si>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</si>
  <si>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</si>
  <si>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</si>
  <si>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</si>
  <si>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</si>
  <si>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</si>
  <si>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</si>
  <si>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</si>
  <si>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</si>
  <si>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</si>
  <si>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</si>
  <si>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</si>
  <si>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</si>
  <si>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</si>
  <si>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</si>
  <si>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</si>
  <si>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</si>
  <si>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</si>
  <si>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S&amp;M</t>
  </si>
  <si>
    <t>R&amp;D</t>
  </si>
  <si>
    <t>G&amp;A</t>
  </si>
  <si>
    <t>OpEx</t>
  </si>
  <si>
    <t>OpInc</t>
  </si>
  <si>
    <t>IntInc</t>
  </si>
  <si>
    <t>Pretax Income</t>
  </si>
  <si>
    <t>S/O</t>
  </si>
  <si>
    <t>Taxes</t>
  </si>
  <si>
    <t>Net Income</t>
  </si>
  <si>
    <t>Revenue Growth</t>
  </si>
  <si>
    <t>Gross Margin</t>
  </si>
  <si>
    <t>AR</t>
  </si>
  <si>
    <t>Prepaids</t>
  </si>
  <si>
    <t>PP&amp;E</t>
  </si>
  <si>
    <t>Lease</t>
  </si>
  <si>
    <t>Other</t>
  </si>
  <si>
    <t>Assets</t>
  </si>
  <si>
    <t>AP</t>
  </si>
  <si>
    <t>AL</t>
  </si>
  <si>
    <t>DR</t>
  </si>
  <si>
    <t>Customer</t>
  </si>
  <si>
    <t>SE</t>
  </si>
  <si>
    <t>L+SE</t>
  </si>
  <si>
    <t>ONCL</t>
  </si>
  <si>
    <t>CFFO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</si>
  <si>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</si>
  <si>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</si>
  <si>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</si>
  <si>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</si>
  <si>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</si>
  <si>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</si>
  <si>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</si>
  <si>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</si>
  <si>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</si>
  <si>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Reported NI</t>
  </si>
  <si>
    <t>D&amp;A</t>
  </si>
  <si>
    <t>SBC</t>
  </si>
  <si>
    <t>Loss on Stocks</t>
  </si>
  <si>
    <t>Noncash Consideration</t>
  </si>
  <si>
    <t>WC</t>
  </si>
  <si>
    <t>CFFI</t>
  </si>
  <si>
    <t>Investments</t>
  </si>
  <si>
    <t>CIC</t>
  </si>
  <si>
    <t>FX</t>
  </si>
  <si>
    <t>CFFF</t>
  </si>
  <si>
    <t>ESOP</t>
  </si>
  <si>
    <t>Buyback</t>
  </si>
  <si>
    <t>Commercial</t>
  </si>
  <si>
    <t>Government</t>
  </si>
  <si>
    <t>Gotham, Foundry, Apollo, and AIP</t>
  </si>
  <si>
    <t>Founded</t>
  </si>
  <si>
    <t>Started in counterterrorism</t>
  </si>
  <si>
    <t>Gotham</t>
  </si>
  <si>
    <t>Foundry</t>
  </si>
  <si>
    <t>AIP</t>
  </si>
  <si>
    <t>AI + big data</t>
  </si>
  <si>
    <t>Apollo</t>
  </si>
  <si>
    <t>big data for industry</t>
  </si>
  <si>
    <t>cloud</t>
  </si>
  <si>
    <t>55% of revenue is gov</t>
  </si>
  <si>
    <t>45% of revenue is industrial</t>
  </si>
  <si>
    <t>Customers</t>
  </si>
  <si>
    <t>US</t>
  </si>
  <si>
    <t>ExUS</t>
  </si>
  <si>
    <t>Gov</t>
  </si>
  <si>
    <t>Industry</t>
  </si>
  <si>
    <t>Top 3 18% of revenue: CIA? FBI?</t>
  </si>
  <si>
    <t>big data for government: CDC, NIH, FDA</t>
  </si>
  <si>
    <t>TRDV</t>
  </si>
  <si>
    <t>Q125</t>
  </si>
  <si>
    <t>Q225</t>
  </si>
  <si>
    <t>Q325</t>
  </si>
  <si>
    <t>Q425</t>
  </si>
  <si>
    <t>S&amp;M y/y</t>
  </si>
  <si>
    <t>G&amp;A y/y</t>
  </si>
  <si>
    <t>R&amp;D y/y</t>
  </si>
  <si>
    <t>US Commercial</t>
  </si>
  <si>
    <t>US Government</t>
  </si>
  <si>
    <t>ROW Commercial</t>
  </si>
  <si>
    <t>ROW Government</t>
  </si>
  <si>
    <t>US total</t>
  </si>
  <si>
    <t>ROW total</t>
  </si>
  <si>
    <t>US Commercial Value</t>
  </si>
  <si>
    <t>PLTR</t>
  </si>
  <si>
    <t>Calls</t>
  </si>
  <si>
    <t>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</si>
</sst>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3" fontId="0" fillId="2" borderId="0" xfId="0" applyNumberFormat="1" applyFill="1" applyAlignment="1">
      <alignment horizontal="right"/>
    </xf>
    <xf numFmtId="0" fontId="2" fillId="0" borderId="0" xfId="1"/>
    <xf numFmtId="0" fontId="3" fillId="0" borderId="0" xfId="0" applyFont="1"/>
    <xf numFmtId="1" fontId="0" fillId="0" borderId="0" xfId="0" applyNumberFormat="1"/>
    <xf numFmtId="9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" fontId="4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71E834B-9263-403B-91D8-EE7D3E40F7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65995</xdr:colOff>
      <xdr:row>0</xdr:row>
      <xdr:rowOff>0</xdr:rowOff>
    </xdr:from>
    <xdr:to>
      <xdr:col>23</xdr:col>
      <xdr:colOff>65995</xdr:colOff>
      <xdr:row>90</xdr:row>
      <xdr:rowOff>99218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>
          <a:off x="15063901" y="0"/>
          <a:ext cx="0" cy="144105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13606</xdr:colOff>
      <xdr:row>0</xdr:row>
      <xdr:rowOff>36286</xdr:rowOff>
    </xdr:from>
    <xdr:to>
      <xdr:col>33</xdr:col>
      <xdr:colOff>13606</xdr:colOff>
      <xdr:row>69</xdr:row>
      <xdr:rowOff>90714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9984356" y="36286"/>
          <a:ext cx="0" cy="96882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66BCB84-E7E4-4632-995E-E05E6DB7594C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4" dT="2025-05-05T14:35:15.01" personId="{566BCB84-E7E4-4632-995E-E05E6DB7594C}" id="{840217CC-5674-4F6B-90EE-E19650224FA3}">
    <text>Q124 guidance: 649-653m</text>
  </threadedComment>
  <threadedComment ref="W14" dT="2025-05-05T14:05:30.36" personId="{566BCB84-E7E4-4632-995E-E05E6DB7594C}" id="{D69B3F97-7C79-4F03-B9BA-ACE1F4C6198E}">
    <text>Q424 guidance: 858-862m</text>
  </threadedComment>
  <threadedComment ref="X14" dT="2025-05-05T14:08:45.04" personId="{566BCB84-E7E4-4632-995E-E05E6DB7594C}" id="{54C07574-03BA-4CE9-81A6-E1E3077759F1}">
    <text>Consensus 899m 5/5/25</text>
  </threadedComment>
  <threadedComment ref="AH14" dT="2025-05-05T15:20:42.41" personId="{566BCB84-E7E4-4632-995E-E05E6DB7594C}" id="{4718D922-3642-4B6E-9947-FAF641F97E57}">
    <text>Q4 guidance: 3.741-3.757B
Q1 guidance: 3.890-3.902B</text>
  </threadedComment>
  <threadedComment ref="W25" dT="2025-05-05T14:41:31.93" personId="{566BCB84-E7E4-4632-995E-E05E6DB7594C}" id="{4CD5B200-8831-4A55-912D-586E0C3A285E}">
    <text>Q424 guidance: 354-358m adj income</text>
  </threadedComment>
  <threadedComment ref="AH25" dT="2025-05-05T15:20:56.81" personId="{566BCB84-E7E4-4632-995E-E05E6DB7594C}" id="{7FB04DE7-58D8-49D7-B511-A899F9660455}">
    <text>Q424 guidance: Adj NI: 1.551-1.567B</text>
  </threadedComment>
  <threadedComment ref="W26" dT="2025-05-05T14:34:10.33" personId="{566BCB84-E7E4-4632-995E-E05E6DB7594C}" id="{41832036-F80E-4CB0-9251-479B3DE7AD55}">
    <text>0.13 consensus 5/5/25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B2:M13"/>
  <sheetViews>
    <sheetView tabSelected="1" zoomScale="145" zoomScaleNormal="145" workbookViewId="0"/>
  </sheetViews>
  <sheetFormatPr defaultColWidth="8.81640625" defaultRowHeight="12.5" x14ac:dyDescent="0.25"/>
  <sheetData>
    <row r="2" spans="2:13" x14ac:dyDescent="0.25">
      <c r="B2" s="15" t="s">
        <v>72</v>
      </c>
      <c r="K2" t="s">
        <v>0</v>
      </c>
      <c r="L2" s="1">
        <v>122.15</v>
      </c>
    </row>
    <row r="3" spans="2:13" x14ac:dyDescent="0.25">
      <c r="B3" t="s">
        <v>74</v>
      </c>
      <c r="K3" t="s">
        <v>1</v>
      </c>
      <c r="L3" s="3">
        <f>2248.950826+95.4+1.005</f>
        <v>2345.355826</v>
      </c>
      <c r="M3" s="2" t="s">
        <v>55</v>
      </c>
    </row>
    <row r="4" spans="2:13" x14ac:dyDescent="0.25">
      <c r="K4" t="s">
        <v>2</v>
      </c>
      <c r="L4" s="3">
        <f>L3*L2</f>
        <v>286485.21414589998</v>
      </c>
    </row>
    <row r="5" spans="2:13" x14ac:dyDescent="0.25">
      <c r="K5" t="s">
        <v>3</v>
      </c>
      <c r="L5" s="3">
        <v>5230</v>
      </c>
      <c r="M5" s="2" t="s">
        <v>55</v>
      </c>
    </row>
    <row r="6" spans="2:13" x14ac:dyDescent="0.25">
      <c r="B6" t="s">
        <v>75</v>
      </c>
      <c r="C6" t="s">
        <v>90</v>
      </c>
      <c r="F6" t="s">
        <v>82</v>
      </c>
      <c r="K6" t="s">
        <v>4</v>
      </c>
      <c r="L6" s="3">
        <v>0</v>
      </c>
      <c r="M6" s="2" t="s">
        <v>55</v>
      </c>
    </row>
    <row r="7" spans="2:13" x14ac:dyDescent="0.25">
      <c r="B7" t="s">
        <v>76</v>
      </c>
      <c r="C7" t="s">
        <v>80</v>
      </c>
      <c r="F7" t="s">
        <v>83</v>
      </c>
      <c r="K7" t="s">
        <v>5</v>
      </c>
      <c r="L7" s="3">
        <f>L4-L5+L6</f>
        <v>281255.21414589998</v>
      </c>
    </row>
    <row r="8" spans="2:13" x14ac:dyDescent="0.25">
      <c r="B8" t="s">
        <v>77</v>
      </c>
      <c r="C8" t="s">
        <v>78</v>
      </c>
    </row>
    <row r="9" spans="2:13" x14ac:dyDescent="0.25">
      <c r="B9" t="s">
        <v>79</v>
      </c>
      <c r="C9" t="s">
        <v>81</v>
      </c>
      <c r="F9" t="s">
        <v>89</v>
      </c>
      <c r="K9" t="s">
        <v>73</v>
      </c>
      <c r="L9">
        <v>2003</v>
      </c>
    </row>
    <row r="12" spans="2:13" x14ac:dyDescent="0.25">
      <c r="E12" t="s">
        <v>107</v>
      </c>
      <c r="F12" t="s">
        <v>108</v>
      </c>
    </row>
    <row r="13" spans="2:13" ht="13" x14ac:dyDescent="0.3">
      <c r="C13" t="s">
        <v>106</v>
      </c>
      <c r="D13">
        <v>124</v>
      </c>
      <c r="E13">
        <v>9.9</v>
      </c>
      <c r="F13">
        <v>9.6999999999999993</v>
      </c>
      <c r="G13">
        <f>+E13+F13</f>
        <v>19.600000000000001</v>
      </c>
      <c r="H13" s="12">
        <f>+G13/D13</f>
        <v>0.15806451612903227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1:AM84"/>
  <sheetViews>
    <sheetView zoomScale="160" zoomScaleNormal="160" workbookViewId="0">
      <pane xSplit="2" ySplit="2" topLeftCell="AE50" activePane="bottomRight" state="frozen"/>
      <selection pane="topRight" activeCell="C1" sqref="C1"/>
      <selection pane="bottomLeft" activeCell="A3" sqref="A3"/>
      <selection pane="bottomRight" activeCell="AJ63" sqref="AJ63"/>
    </sheetView>
  </sheetViews>
  <sheetFormatPr defaultColWidth="8.81640625" defaultRowHeight="12.5" x14ac:dyDescent="0.25"/>
  <cols>
    <col min="1" max="1" width="5" bestFit="1" customWidth="1"/>
    <col min="2" max="2" width="20" customWidth="1"/>
    <col min="3" max="14" width="9.1796875" style="2"/>
    <col min="15" max="20" width="8.81640625" style="2"/>
  </cols>
  <sheetData>
    <row r="1" spans="1:39" x14ac:dyDescent="0.25">
      <c r="A1" s="14" t="s">
        <v>6</v>
      </c>
    </row>
    <row r="2" spans="1:39" x14ac:dyDescent="0.25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92</v>
      </c>
      <c r="X2" s="2" t="s">
        <v>93</v>
      </c>
      <c r="Y2" s="2" t="s">
        <v>94</v>
      </c>
      <c r="Z2" s="2" t="s">
        <v>95</v>
      </c>
      <c r="AC2">
        <v>2020</v>
      </c>
      <c r="AD2">
        <f>AC2+1</f>
        <v>2021</v>
      </c>
      <c r="AE2">
        <f>AD2+1</f>
        <v>2022</v>
      </c>
      <c r="AF2">
        <f t="shared" ref="AF2:AM2" si="0">AE2+1</f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 t="shared" si="0"/>
        <v>2027</v>
      </c>
      <c r="AK2">
        <f t="shared" si="0"/>
        <v>2028</v>
      </c>
      <c r="AL2">
        <f t="shared" si="0"/>
        <v>2029</v>
      </c>
      <c r="AM2">
        <f t="shared" si="0"/>
        <v>2030</v>
      </c>
    </row>
    <row r="3" spans="1:39" x14ac:dyDescent="0.25">
      <c r="B3" t="s">
        <v>91</v>
      </c>
      <c r="N3" s="4">
        <v>3700</v>
      </c>
      <c r="O3" s="4"/>
      <c r="P3" s="4"/>
      <c r="Q3" s="4"/>
      <c r="R3" s="4">
        <v>3900</v>
      </c>
      <c r="U3" s="2"/>
      <c r="V3" s="2"/>
      <c r="W3" s="2"/>
      <c r="X3" s="2"/>
      <c r="Y3" s="2"/>
      <c r="Z3" s="2"/>
      <c r="AE3" s="3">
        <f>+N3</f>
        <v>3700</v>
      </c>
      <c r="AF3" s="3">
        <f>+R3</f>
        <v>3900</v>
      </c>
    </row>
    <row r="4" spans="1:39" x14ac:dyDescent="0.25">
      <c r="B4" t="s">
        <v>105</v>
      </c>
      <c r="N4" s="4"/>
      <c r="O4" s="4"/>
      <c r="P4" s="4"/>
      <c r="Q4" s="4"/>
      <c r="R4" s="4"/>
      <c r="U4" s="2"/>
      <c r="V4" s="2">
        <v>803</v>
      </c>
      <c r="W4" s="2"/>
      <c r="X4" s="2"/>
      <c r="Y4" s="2"/>
      <c r="Z4" s="2"/>
      <c r="AE4" s="3"/>
      <c r="AF4" s="3"/>
    </row>
    <row r="5" spans="1:39" x14ac:dyDescent="0.25">
      <c r="U5" s="2"/>
      <c r="V5" s="2"/>
      <c r="W5" s="2"/>
      <c r="X5" s="2"/>
      <c r="Y5" s="2"/>
      <c r="Z5" s="2"/>
    </row>
    <row r="6" spans="1:39" x14ac:dyDescent="0.25">
      <c r="B6" t="s">
        <v>104</v>
      </c>
      <c r="R6" s="2">
        <f>+R8+R9</f>
        <v>240</v>
      </c>
      <c r="U6" s="2"/>
      <c r="V6" s="2">
        <f>+V8+V9</f>
        <v>270</v>
      </c>
      <c r="W6" s="2"/>
      <c r="X6" s="2"/>
      <c r="Y6" s="2"/>
      <c r="Z6" s="2"/>
    </row>
    <row r="7" spans="1:39" x14ac:dyDescent="0.25">
      <c r="B7" t="s">
        <v>103</v>
      </c>
      <c r="R7" s="2">
        <f>+R11+R10</f>
        <v>368</v>
      </c>
      <c r="U7" s="2"/>
      <c r="V7" s="2">
        <f>+V11+V10</f>
        <v>557</v>
      </c>
      <c r="W7" s="2"/>
      <c r="X7" s="2"/>
      <c r="Y7" s="2"/>
      <c r="Z7" s="2"/>
    </row>
    <row r="8" spans="1:39" x14ac:dyDescent="0.25">
      <c r="B8" t="s">
        <v>101</v>
      </c>
      <c r="R8" s="2">
        <f>+R12-R10</f>
        <v>153</v>
      </c>
      <c r="U8" s="2"/>
      <c r="V8" s="2">
        <f>+V12-V10</f>
        <v>158</v>
      </c>
      <c r="W8" s="2"/>
      <c r="X8" s="2"/>
      <c r="Y8" s="2"/>
      <c r="Z8" s="2"/>
    </row>
    <row r="9" spans="1:39" x14ac:dyDescent="0.25">
      <c r="B9" t="s">
        <v>102</v>
      </c>
      <c r="R9" s="2">
        <f>+R13-R11</f>
        <v>87</v>
      </c>
      <c r="U9" s="2"/>
      <c r="V9" s="2">
        <f>+V13-V11</f>
        <v>112</v>
      </c>
      <c r="W9" s="2"/>
      <c r="X9" s="2"/>
      <c r="Y9" s="2"/>
      <c r="Z9" s="2"/>
    </row>
    <row r="10" spans="1:39" x14ac:dyDescent="0.25">
      <c r="B10" t="s">
        <v>99</v>
      </c>
      <c r="R10" s="2">
        <v>131</v>
      </c>
      <c r="U10" s="2"/>
      <c r="V10" s="2">
        <v>214</v>
      </c>
      <c r="W10" s="2"/>
      <c r="X10" s="2"/>
      <c r="Y10" s="2"/>
      <c r="Z10" s="2"/>
    </row>
    <row r="11" spans="1:39" x14ac:dyDescent="0.25">
      <c r="B11" t="s">
        <v>100</v>
      </c>
      <c r="R11" s="2">
        <v>237</v>
      </c>
      <c r="U11" s="2"/>
      <c r="V11" s="2">
        <v>343</v>
      </c>
      <c r="W11" s="2"/>
      <c r="X11" s="2"/>
      <c r="Y11" s="2"/>
      <c r="Z11" s="2"/>
    </row>
    <row r="12" spans="1:39" x14ac:dyDescent="0.25">
      <c r="B12" t="s">
        <v>70</v>
      </c>
      <c r="O12" s="2">
        <v>236</v>
      </c>
      <c r="P12" s="2">
        <v>232</v>
      </c>
      <c r="Q12" s="2">
        <v>251</v>
      </c>
      <c r="R12" s="2">
        <v>284</v>
      </c>
      <c r="U12" s="2"/>
      <c r="V12" s="2">
        <v>372</v>
      </c>
      <c r="W12" s="2"/>
      <c r="X12" s="2"/>
      <c r="Y12" s="2"/>
      <c r="Z12" s="2"/>
      <c r="AE12" s="3">
        <v>834</v>
      </c>
      <c r="AF12" s="3">
        <f>SUM(O12:R12)</f>
        <v>1003</v>
      </c>
    </row>
    <row r="13" spans="1:39" x14ac:dyDescent="0.25">
      <c r="B13" t="s">
        <v>71</v>
      </c>
      <c r="O13" s="2">
        <v>289</v>
      </c>
      <c r="P13" s="2">
        <v>302</v>
      </c>
      <c r="Q13" s="2">
        <v>308</v>
      </c>
      <c r="R13" s="2">
        <v>324</v>
      </c>
      <c r="U13" s="2"/>
      <c r="V13" s="2">
        <v>455</v>
      </c>
      <c r="W13" s="2"/>
      <c r="X13" s="2"/>
      <c r="Y13" s="2"/>
      <c r="Z13" s="2"/>
      <c r="AE13" s="3">
        <v>1071.7760000000001</v>
      </c>
      <c r="AF13" s="3">
        <f>SUM(O13:R13)</f>
        <v>1223</v>
      </c>
    </row>
    <row r="14" spans="1:39" s="5" customFormat="1" ht="13" x14ac:dyDescent="0.3">
      <c r="B14" s="5" t="s">
        <v>7</v>
      </c>
      <c r="C14" s="6"/>
      <c r="D14" s="6">
        <v>251.88900000000001</v>
      </c>
      <c r="E14" s="6">
        <v>289.36599999999999</v>
      </c>
      <c r="F14" s="6">
        <v>322.09100000000001</v>
      </c>
      <c r="G14" s="6">
        <v>341.23399999999998</v>
      </c>
      <c r="H14" s="6">
        <v>375.642</v>
      </c>
      <c r="I14" s="6">
        <v>392.14600000000002</v>
      </c>
      <c r="J14" s="6">
        <v>432.86700000000002</v>
      </c>
      <c r="K14" s="6">
        <v>446.35700000000003</v>
      </c>
      <c r="L14" s="6">
        <v>473.01</v>
      </c>
      <c r="M14" s="6">
        <v>477.88</v>
      </c>
      <c r="N14" s="6">
        <v>508.62400000000002</v>
      </c>
      <c r="O14" s="6">
        <v>525.18600000000004</v>
      </c>
      <c r="P14" s="6">
        <v>533.31700000000001</v>
      </c>
      <c r="Q14" s="6">
        <v>558.15899999999999</v>
      </c>
      <c r="R14" s="6">
        <f>+R13+R12</f>
        <v>608</v>
      </c>
      <c r="S14" s="6">
        <v>634.33799999999997</v>
      </c>
      <c r="T14" s="5">
        <v>678.13400000000001</v>
      </c>
      <c r="U14" s="5">
        <v>725.51599999999996</v>
      </c>
      <c r="V14" s="5">
        <v>827.51900000000001</v>
      </c>
      <c r="W14" s="5">
        <v>883</v>
      </c>
      <c r="X14" s="5">
        <v>940</v>
      </c>
      <c r="Y14" s="5">
        <f>+U14*1.35</f>
        <v>979.44659999999999</v>
      </c>
      <c r="Z14" s="5">
        <f>+V14*1.35</f>
        <v>1117.15065</v>
      </c>
      <c r="AC14" s="5">
        <v>1092.673</v>
      </c>
      <c r="AD14" s="5">
        <v>1541.8889999999999</v>
      </c>
      <c r="AE14" s="5">
        <f>SUM(K14:N14)</f>
        <v>1905.8709999999999</v>
      </c>
      <c r="AF14" s="5">
        <f>SUM(O14:R14)</f>
        <v>2224.6620000000003</v>
      </c>
      <c r="AG14" s="5">
        <f>SUM(S14:V14)</f>
        <v>2865.5069999999996</v>
      </c>
      <c r="AH14" s="5">
        <f>SUM(W14:Z14)</f>
        <v>3919.5972500000003</v>
      </c>
      <c r="AI14" s="5">
        <f>AH14*1.3</f>
        <v>5095.4764250000007</v>
      </c>
      <c r="AJ14" s="5">
        <f>AI14*1.3</f>
        <v>6624.1193525000008</v>
      </c>
      <c r="AK14" s="5">
        <f t="shared" ref="AK14" si="1">AJ14*1.2</f>
        <v>7948.9432230000002</v>
      </c>
      <c r="AL14" s="5">
        <f t="shared" ref="AL14" si="2">AK14*1.2</f>
        <v>9538.7318675999995</v>
      </c>
      <c r="AM14" s="5">
        <f t="shared" ref="AM14" si="3">AL14*1.2</f>
        <v>11446.478241119999</v>
      </c>
    </row>
    <row r="15" spans="1:39" s="3" customFormat="1" x14ac:dyDescent="0.25">
      <c r="B15" s="3" t="s">
        <v>20</v>
      </c>
      <c r="C15" s="4"/>
      <c r="D15" s="4">
        <v>68.41</v>
      </c>
      <c r="E15" s="13">
        <v>149.34</v>
      </c>
      <c r="F15" s="4">
        <v>70.503</v>
      </c>
      <c r="G15" s="4">
        <v>74.111000000000004</v>
      </c>
      <c r="H15" s="4">
        <v>90.926000000000002</v>
      </c>
      <c r="I15" s="4">
        <v>86.804000000000002</v>
      </c>
      <c r="J15" s="4">
        <v>87.563000000000002</v>
      </c>
      <c r="K15" s="4">
        <v>94.403000000000006</v>
      </c>
      <c r="L15" s="4">
        <v>102.224</v>
      </c>
      <c r="M15" s="4">
        <f t="shared" ref="M15" si="4">M14-M16</f>
        <v>95.575999999999965</v>
      </c>
      <c r="N15" s="4">
        <v>104.31100000000001</v>
      </c>
      <c r="O15" s="4">
        <f>107.645-9.177</f>
        <v>98.467999999999989</v>
      </c>
      <c r="P15" s="4">
        <f>106.899-8.004</f>
        <v>98.894999999999996</v>
      </c>
      <c r="Q15" s="4">
        <f>107.922-7.814</f>
        <v>100.108</v>
      </c>
      <c r="R15" s="4">
        <f>108.639-11</f>
        <v>97.638999999999996</v>
      </c>
      <c r="S15" s="4">
        <f>116.256-10.416</f>
        <v>105.84</v>
      </c>
      <c r="T15" s="3">
        <f>128.562-12.402</f>
        <v>116.16000000000001</v>
      </c>
      <c r="U15" s="3">
        <f>146.639-13.123</f>
        <v>133.51600000000002</v>
      </c>
      <c r="V15" s="3">
        <f>174.533-33.124</f>
        <v>141.40899999999999</v>
      </c>
      <c r="W15" s="3">
        <f>172.97-15.016</f>
        <v>157.95400000000001</v>
      </c>
      <c r="X15" s="3">
        <f t="shared" ref="X15:Z15" si="5">+X14-X16</f>
        <v>159.80000000000007</v>
      </c>
      <c r="Y15" s="3">
        <f t="shared" si="5"/>
        <v>166.50592200000006</v>
      </c>
      <c r="Z15" s="3">
        <f t="shared" si="5"/>
        <v>189.91561050000007</v>
      </c>
      <c r="AC15" s="3">
        <v>352.54700000000003</v>
      </c>
      <c r="AD15" s="3">
        <v>339.404</v>
      </c>
      <c r="AE15" s="3">
        <f>AE14-AE16</f>
        <v>381.17419999999993</v>
      </c>
      <c r="AF15" s="3">
        <f t="shared" ref="AF15:AH15" si="6">AF14-AF16</f>
        <v>444.93239999999992</v>
      </c>
      <c r="AG15" s="3">
        <f>SUM(S15:V15)</f>
        <v>496.92500000000001</v>
      </c>
      <c r="AH15" s="3">
        <f t="shared" si="6"/>
        <v>783.91944999999987</v>
      </c>
      <c r="AI15" s="3">
        <f t="shared" ref="AI15" si="7">AI14-AI16</f>
        <v>1019.0952849999999</v>
      </c>
      <c r="AJ15" s="3">
        <f t="shared" ref="AJ15" si="8">AJ14-AJ16</f>
        <v>1324.8238704999994</v>
      </c>
      <c r="AK15" s="3">
        <f t="shared" ref="AK15:AM15" si="9">AK14-AK16</f>
        <v>1589.7886445999993</v>
      </c>
      <c r="AL15" s="3">
        <f t="shared" si="9"/>
        <v>1907.7463735199999</v>
      </c>
      <c r="AM15" s="3">
        <f t="shared" si="9"/>
        <v>2289.2956482239988</v>
      </c>
    </row>
    <row r="16" spans="1:39" s="3" customFormat="1" x14ac:dyDescent="0.25">
      <c r="B16" s="3" t="s">
        <v>21</v>
      </c>
      <c r="C16" s="4"/>
      <c r="D16" s="4">
        <f t="shared" ref="D16:K16" si="10">D14-D15</f>
        <v>183.47900000000001</v>
      </c>
      <c r="E16" s="4">
        <f t="shared" si="10"/>
        <v>140.02599999999998</v>
      </c>
      <c r="F16" s="4">
        <f t="shared" si="10"/>
        <v>251.58800000000002</v>
      </c>
      <c r="G16" s="4">
        <f t="shared" si="10"/>
        <v>267.12299999999999</v>
      </c>
      <c r="H16" s="4">
        <f t="shared" si="10"/>
        <v>284.71600000000001</v>
      </c>
      <c r="I16" s="4">
        <f t="shared" si="10"/>
        <v>305.34199999999998</v>
      </c>
      <c r="J16" s="4">
        <f t="shared" si="10"/>
        <v>345.30400000000003</v>
      </c>
      <c r="K16" s="4">
        <f t="shared" si="10"/>
        <v>351.95400000000001</v>
      </c>
      <c r="L16" s="4">
        <f>+L14-L15</f>
        <v>370.786</v>
      </c>
      <c r="M16" s="4">
        <f t="shared" ref="M16" si="11">M14*0.8</f>
        <v>382.30400000000003</v>
      </c>
      <c r="N16" s="4">
        <f t="shared" ref="N16:S16" si="12">+N14-N15</f>
        <v>404.31299999999999</v>
      </c>
      <c r="O16" s="4">
        <f t="shared" si="12"/>
        <v>426.71800000000007</v>
      </c>
      <c r="P16" s="4">
        <f t="shared" si="12"/>
        <v>434.42200000000003</v>
      </c>
      <c r="Q16" s="4">
        <f t="shared" si="12"/>
        <v>458.05099999999999</v>
      </c>
      <c r="R16" s="4">
        <f t="shared" si="12"/>
        <v>510.36099999999999</v>
      </c>
      <c r="S16" s="4">
        <f t="shared" si="12"/>
        <v>528.49799999999993</v>
      </c>
      <c r="T16" s="3">
        <f>+T14-T15</f>
        <v>561.97400000000005</v>
      </c>
      <c r="U16" s="3">
        <f>+U14-U15</f>
        <v>592</v>
      </c>
      <c r="V16" s="3">
        <f>+V14-V15</f>
        <v>686.11</v>
      </c>
      <c r="W16" s="3">
        <f>+W14-W15</f>
        <v>725.04600000000005</v>
      </c>
      <c r="X16" s="3">
        <f t="shared" ref="X16:Z16" si="13">+X14*0.83</f>
        <v>780.19999999999993</v>
      </c>
      <c r="Y16" s="3">
        <f t="shared" si="13"/>
        <v>812.94067799999993</v>
      </c>
      <c r="Z16" s="3">
        <f t="shared" si="13"/>
        <v>927.23503949999997</v>
      </c>
      <c r="AC16" s="3">
        <f>AC14-AC15</f>
        <v>740.12599999999998</v>
      </c>
      <c r="AD16" s="3">
        <f>AD14-AD15</f>
        <v>1202.4849999999999</v>
      </c>
      <c r="AE16" s="3">
        <f>AE14*0.8</f>
        <v>1524.6967999999999</v>
      </c>
      <c r="AF16" s="3">
        <f t="shared" ref="AF16:AH16" si="14">AF14*0.8</f>
        <v>1779.7296000000003</v>
      </c>
      <c r="AG16" s="3">
        <f>+AG14-AG15</f>
        <v>2368.5819999999994</v>
      </c>
      <c r="AH16" s="3">
        <f t="shared" si="14"/>
        <v>3135.6778000000004</v>
      </c>
      <c r="AI16" s="3">
        <f t="shared" ref="AI16" si="15">AI14*0.8</f>
        <v>4076.3811400000009</v>
      </c>
      <c r="AJ16" s="3">
        <f t="shared" ref="AJ16:AK16" si="16">AJ14*0.8</f>
        <v>5299.2954820000014</v>
      </c>
      <c r="AK16" s="3">
        <f t="shared" si="16"/>
        <v>6359.1545784000009</v>
      </c>
      <c r="AL16" s="3">
        <f t="shared" ref="AL16:AM16" si="17">AL14*0.8</f>
        <v>7630.9854940799996</v>
      </c>
      <c r="AM16" s="3">
        <f t="shared" si="17"/>
        <v>9157.1825928960006</v>
      </c>
    </row>
    <row r="17" spans="2:39" s="3" customFormat="1" x14ac:dyDescent="0.25">
      <c r="B17" s="3" t="s">
        <v>22</v>
      </c>
      <c r="C17" s="4"/>
      <c r="D17" s="4">
        <v>102.518</v>
      </c>
      <c r="E17" s="4">
        <v>334.911</v>
      </c>
      <c r="F17" s="4">
        <v>147.619</v>
      </c>
      <c r="G17" s="4">
        <v>136.09700000000001</v>
      </c>
      <c r="H17" s="4">
        <v>162.37899999999999</v>
      </c>
      <c r="I17" s="4">
        <v>153.44300000000001</v>
      </c>
      <c r="J17" s="4">
        <v>162.59299999999999</v>
      </c>
      <c r="K17" s="4">
        <v>160.48500000000001</v>
      </c>
      <c r="L17" s="4">
        <v>168.875</v>
      </c>
      <c r="M17" s="4">
        <f t="shared" ref="M17" si="18">L17+1</f>
        <v>169.875</v>
      </c>
      <c r="N17" s="4">
        <v>190.233</v>
      </c>
      <c r="O17" s="4">
        <f>187.093-39.535</f>
        <v>147.55799999999999</v>
      </c>
      <c r="P17" s="4">
        <f>184.163-38.131</f>
        <v>146.03200000000001</v>
      </c>
      <c r="Q17" s="4">
        <f>176.373-39.29</f>
        <v>137.083</v>
      </c>
      <c r="R17" s="4">
        <f>197.363-43.689</f>
        <v>153.67400000000001</v>
      </c>
      <c r="S17" s="4">
        <f>193.177-42.156</f>
        <v>151.02099999999999</v>
      </c>
      <c r="T17" s="3">
        <f>196.809-48.314</f>
        <v>148.495</v>
      </c>
      <c r="U17" s="3">
        <f>209.474-50.698</f>
        <v>158.77599999999998</v>
      </c>
      <c r="V17" s="3">
        <f>288.295-97.953</f>
        <v>190.34200000000001</v>
      </c>
      <c r="W17" s="3">
        <f>236.309-52.513</f>
        <v>183.79599999999999</v>
      </c>
      <c r="X17" s="3">
        <f t="shared" ref="X17:Z17" si="19">+T17*1.24</f>
        <v>184.13380000000001</v>
      </c>
      <c r="Y17" s="3">
        <f t="shared" si="19"/>
        <v>196.88223999999997</v>
      </c>
      <c r="Z17" s="3">
        <f t="shared" si="19"/>
        <v>236.02408000000003</v>
      </c>
      <c r="AC17" s="3">
        <v>683.70100000000002</v>
      </c>
      <c r="AD17" s="3">
        <v>614.51199999999994</v>
      </c>
      <c r="AE17" s="3">
        <f>AD17*1.1</f>
        <v>675.96320000000003</v>
      </c>
      <c r="AF17" s="3">
        <f t="shared" ref="AF17:AH17" si="20">AE17*1.1</f>
        <v>743.55952000000013</v>
      </c>
      <c r="AG17" s="3">
        <f t="shared" ref="AG17:AG19" si="21">SUM(S17:V17)</f>
        <v>648.6339999999999</v>
      </c>
      <c r="AH17" s="3">
        <f t="shared" si="20"/>
        <v>713.49739999999997</v>
      </c>
      <c r="AI17" s="3">
        <f t="shared" ref="AI17" si="22">AH17*1.1</f>
        <v>784.84714000000008</v>
      </c>
      <c r="AJ17" s="3">
        <f t="shared" ref="AJ17:AK17" si="23">AI17*1.1</f>
        <v>863.33185400000013</v>
      </c>
      <c r="AK17" s="3">
        <f t="shared" si="23"/>
        <v>949.66503940000018</v>
      </c>
      <c r="AL17" s="3">
        <f t="shared" ref="AL17:AL19" si="24">AK17*1.1</f>
        <v>1044.6315433400002</v>
      </c>
      <c r="AM17" s="3">
        <f t="shared" ref="AM17:AM19" si="25">AL17*1.1</f>
        <v>1149.0946976740004</v>
      </c>
    </row>
    <row r="18" spans="2:39" s="3" customFormat="1" x14ac:dyDescent="0.25">
      <c r="B18" s="3" t="s">
        <v>23</v>
      </c>
      <c r="C18" s="4"/>
      <c r="D18" s="4">
        <v>86.814999999999998</v>
      </c>
      <c r="E18" s="4">
        <v>313.91500000000002</v>
      </c>
      <c r="F18" s="4">
        <v>94.13</v>
      </c>
      <c r="G18" s="4">
        <v>98.471000000000004</v>
      </c>
      <c r="H18" s="4">
        <v>110.524</v>
      </c>
      <c r="I18" s="4">
        <v>94.316000000000003</v>
      </c>
      <c r="J18" s="4">
        <v>84.176000000000002</v>
      </c>
      <c r="K18" s="4">
        <v>88.600999999999999</v>
      </c>
      <c r="L18" s="4">
        <v>88.171000000000006</v>
      </c>
      <c r="M18" s="4">
        <f t="shared" ref="M18" si="26">L18+1</f>
        <v>89.171000000000006</v>
      </c>
      <c r="N18" s="4">
        <v>82.043999999999997</v>
      </c>
      <c r="O18" s="4">
        <f>90.1-19.924</f>
        <v>70.175999999999988</v>
      </c>
      <c r="P18" s="4">
        <f>99.533-23.192</f>
        <v>76.341000000000008</v>
      </c>
      <c r="Q18" s="4">
        <f>105.708-21.952</f>
        <v>83.756</v>
      </c>
      <c r="R18" s="4">
        <f>109.283-32.996</f>
        <v>76.287000000000006</v>
      </c>
      <c r="S18" s="4">
        <f>110.04-26.874</f>
        <v>83.166000000000011</v>
      </c>
      <c r="T18" s="3">
        <f>108.781-29.943</f>
        <v>78.838000000000008</v>
      </c>
      <c r="U18" s="3">
        <f>117.555-30.715</f>
        <v>86.84</v>
      </c>
      <c r="V18" s="3">
        <f>171.502-77.533</f>
        <v>93.969000000000008</v>
      </c>
      <c r="W18" s="3">
        <f>134.889-31.834</f>
        <v>103.05500000000001</v>
      </c>
      <c r="X18" s="3">
        <f t="shared" ref="X18:Z18" si="27">+T18*1.2</f>
        <v>94.60560000000001</v>
      </c>
      <c r="Y18" s="3">
        <f t="shared" si="27"/>
        <v>104.208</v>
      </c>
      <c r="Z18" s="3">
        <f t="shared" si="27"/>
        <v>112.76280000000001</v>
      </c>
      <c r="AC18" s="3">
        <v>560.66</v>
      </c>
      <c r="AD18" s="3">
        <v>387.48700000000002</v>
      </c>
      <c r="AE18" s="3">
        <f t="shared" ref="AE18:AH18" si="28">AD18*1.1</f>
        <v>426.23570000000007</v>
      </c>
      <c r="AF18" s="3">
        <f t="shared" si="28"/>
        <v>468.85927000000009</v>
      </c>
      <c r="AG18" s="3">
        <f t="shared" si="21"/>
        <v>342.81300000000005</v>
      </c>
      <c r="AH18" s="3">
        <f t="shared" si="28"/>
        <v>377.09430000000009</v>
      </c>
      <c r="AI18" s="3">
        <f t="shared" ref="AI18" si="29">AH18*1.1</f>
        <v>414.80373000000014</v>
      </c>
      <c r="AJ18" s="3">
        <f t="shared" ref="AJ18:AK18" si="30">AI18*1.1</f>
        <v>456.28410300000019</v>
      </c>
      <c r="AK18" s="3">
        <f t="shared" si="30"/>
        <v>501.91251330000023</v>
      </c>
      <c r="AL18" s="3">
        <f t="shared" si="24"/>
        <v>552.10376463000034</v>
      </c>
      <c r="AM18" s="3">
        <f t="shared" si="25"/>
        <v>607.31414109300044</v>
      </c>
    </row>
    <row r="19" spans="2:39" s="3" customFormat="1" x14ac:dyDescent="0.25">
      <c r="B19" s="3" t="s">
        <v>24</v>
      </c>
      <c r="C19" s="4"/>
      <c r="D19" s="4">
        <v>93.290999999999997</v>
      </c>
      <c r="E19" s="4">
        <v>338.97699999999998</v>
      </c>
      <c r="F19" s="4">
        <v>166.411</v>
      </c>
      <c r="G19" s="4">
        <v>146.56899999999999</v>
      </c>
      <c r="H19" s="4">
        <v>157.96100000000001</v>
      </c>
      <c r="I19" s="4">
        <v>149.524</v>
      </c>
      <c r="J19" s="4">
        <v>157.47800000000001</v>
      </c>
      <c r="K19" s="4">
        <v>142.30699999999999</v>
      </c>
      <c r="L19" s="4">
        <v>155.48500000000001</v>
      </c>
      <c r="M19" s="4">
        <f t="shared" ref="M19" si="31">L19+1</f>
        <v>156.48500000000001</v>
      </c>
      <c r="N19" s="4">
        <v>149.86199999999999</v>
      </c>
      <c r="O19" s="4">
        <f>136.233-46.078</f>
        <v>90.155000000000001</v>
      </c>
      <c r="P19" s="4">
        <f>132.648-44.874</f>
        <v>87.774000000000001</v>
      </c>
      <c r="Q19" s="4">
        <f>128.173-45.324</f>
        <v>82.849000000000004</v>
      </c>
      <c r="R19" s="4">
        <f>127.271-44.923</f>
        <v>82.347999999999999</v>
      </c>
      <c r="S19" s="4">
        <f>133.984-46.205</f>
        <v>87.779000000000011</v>
      </c>
      <c r="T19" s="3">
        <f>138.643-1.105</f>
        <v>137.53800000000001</v>
      </c>
      <c r="U19" s="3">
        <f>138.708-47.889</f>
        <v>90.818999999999988</v>
      </c>
      <c r="V19" s="3">
        <f>182.146-73.188</f>
        <v>108.95799999999998</v>
      </c>
      <c r="W19" s="3">
        <f>163.639-55.976</f>
        <v>107.66300000000001</v>
      </c>
      <c r="X19" s="3">
        <f t="shared" ref="X19:Z19" si="32">+T19*1.3</f>
        <v>178.79940000000002</v>
      </c>
      <c r="Y19" s="3">
        <f t="shared" si="32"/>
        <v>118.06469999999999</v>
      </c>
      <c r="Z19" s="3">
        <f t="shared" si="32"/>
        <v>141.6454</v>
      </c>
      <c r="AC19" s="3">
        <v>669.44399999999996</v>
      </c>
      <c r="AD19" s="3">
        <v>611.53200000000004</v>
      </c>
      <c r="AE19" s="3">
        <f t="shared" ref="AE19:AH19" si="33">AD19*1.1</f>
        <v>672.68520000000012</v>
      </c>
      <c r="AF19" s="3">
        <f t="shared" si="33"/>
        <v>739.9537200000002</v>
      </c>
      <c r="AG19" s="3">
        <f t="shared" si="21"/>
        <v>425.09399999999994</v>
      </c>
      <c r="AH19" s="3">
        <f t="shared" si="33"/>
        <v>467.60339999999997</v>
      </c>
      <c r="AI19" s="3">
        <f t="shared" ref="AI19" si="34">AH19*1.1</f>
        <v>514.36374000000001</v>
      </c>
      <c r="AJ19" s="3">
        <f t="shared" ref="AJ19:AK19" si="35">AI19*1.1</f>
        <v>565.80011400000001</v>
      </c>
      <c r="AK19" s="3">
        <f t="shared" si="35"/>
        <v>622.38012540000011</v>
      </c>
      <c r="AL19" s="3">
        <f t="shared" si="24"/>
        <v>684.61813794000022</v>
      </c>
      <c r="AM19" s="3">
        <f t="shared" si="25"/>
        <v>753.07995173400036</v>
      </c>
    </row>
    <row r="20" spans="2:39" s="3" customFormat="1" x14ac:dyDescent="0.25">
      <c r="B20" s="3" t="s">
        <v>25</v>
      </c>
      <c r="C20" s="4"/>
      <c r="D20" s="4">
        <f t="shared" ref="D20:L20" si="36">SUM(D17:D19)</f>
        <v>282.62400000000002</v>
      </c>
      <c r="E20" s="4">
        <f t="shared" si="36"/>
        <v>987.803</v>
      </c>
      <c r="F20" s="4">
        <f t="shared" si="36"/>
        <v>408.15999999999997</v>
      </c>
      <c r="G20" s="4">
        <f t="shared" si="36"/>
        <v>381.137</v>
      </c>
      <c r="H20" s="4">
        <f t="shared" si="36"/>
        <v>430.86400000000003</v>
      </c>
      <c r="I20" s="4">
        <f t="shared" si="36"/>
        <v>397.28300000000002</v>
      </c>
      <c r="J20" s="4">
        <f t="shared" si="36"/>
        <v>404.24700000000001</v>
      </c>
      <c r="K20" s="4">
        <f t="shared" si="36"/>
        <v>391.39300000000003</v>
      </c>
      <c r="L20" s="4">
        <f t="shared" si="36"/>
        <v>412.53100000000001</v>
      </c>
      <c r="M20" s="4">
        <f t="shared" ref="M20:N20" si="37">SUM(M17:M19)</f>
        <v>415.53100000000001</v>
      </c>
      <c r="N20" s="4">
        <f t="shared" si="37"/>
        <v>422.13900000000001</v>
      </c>
      <c r="O20" s="4">
        <f t="shared" ref="O20:W20" si="38">+O17+O18+O19</f>
        <v>307.88900000000001</v>
      </c>
      <c r="P20" s="4">
        <f t="shared" si="38"/>
        <v>310.14700000000005</v>
      </c>
      <c r="Q20" s="4">
        <f t="shared" si="38"/>
        <v>303.68799999999999</v>
      </c>
      <c r="R20" s="4">
        <f t="shared" si="38"/>
        <v>312.30900000000003</v>
      </c>
      <c r="S20" s="4">
        <f t="shared" si="38"/>
        <v>321.96600000000001</v>
      </c>
      <c r="T20" s="4">
        <f t="shared" si="38"/>
        <v>364.87100000000004</v>
      </c>
      <c r="U20" s="4">
        <f t="shared" si="38"/>
        <v>336.43499999999995</v>
      </c>
      <c r="V20" s="4">
        <f t="shared" si="38"/>
        <v>393.26900000000001</v>
      </c>
      <c r="W20" s="4">
        <f t="shared" si="38"/>
        <v>394.51400000000001</v>
      </c>
      <c r="X20" s="4">
        <f t="shared" ref="X20:Z20" si="39">+X17+X18+X19</f>
        <v>457.53880000000004</v>
      </c>
      <c r="Y20" s="4">
        <f t="shared" si="39"/>
        <v>419.15494000000001</v>
      </c>
      <c r="Z20" s="4">
        <f t="shared" si="39"/>
        <v>490.43228000000005</v>
      </c>
      <c r="AC20" s="3">
        <f>SUM(AC17:AC19)</f>
        <v>1913.8049999999998</v>
      </c>
      <c r="AD20" s="3">
        <f t="shared" ref="AD20" si="40">SUM(AD17:AD19)</f>
        <v>1613.5309999999999</v>
      </c>
      <c r="AE20" s="3">
        <f t="shared" ref="AE20" si="41">SUM(AE17:AE19)</f>
        <v>1774.8841000000002</v>
      </c>
      <c r="AF20" s="3">
        <f t="shared" ref="AF20" si="42">SUM(AF17:AF19)</f>
        <v>1952.3725100000004</v>
      </c>
      <c r="AG20" s="3">
        <f t="shared" ref="AG20" si="43">SUM(AG17:AG19)</f>
        <v>1416.5409999999997</v>
      </c>
      <c r="AH20" s="3">
        <f t="shared" ref="AH20" si="44">SUM(AH17:AH19)</f>
        <v>1558.1950999999999</v>
      </c>
      <c r="AI20" s="3">
        <f t="shared" ref="AI20" si="45">SUM(AI17:AI19)</f>
        <v>1714.0146100000002</v>
      </c>
      <c r="AJ20" s="3">
        <f t="shared" ref="AJ20" si="46">SUM(AJ17:AJ19)</f>
        <v>1885.4160710000006</v>
      </c>
      <c r="AK20" s="3">
        <f t="shared" ref="AK20:AM20" si="47">SUM(AK17:AK19)</f>
        <v>2073.9576781000005</v>
      </c>
      <c r="AL20" s="3">
        <f t="shared" si="47"/>
        <v>2281.353445910001</v>
      </c>
      <c r="AM20" s="3">
        <f t="shared" si="47"/>
        <v>2509.4887905010009</v>
      </c>
    </row>
    <row r="21" spans="2:39" s="3" customFormat="1" x14ac:dyDescent="0.25">
      <c r="B21" s="3" t="s">
        <v>26</v>
      </c>
      <c r="C21" s="4"/>
      <c r="D21" s="4">
        <f t="shared" ref="D21:L21" si="48">D16-D20</f>
        <v>-99.14500000000001</v>
      </c>
      <c r="E21" s="4">
        <f t="shared" si="48"/>
        <v>-847.77700000000004</v>
      </c>
      <c r="F21" s="4">
        <f t="shared" si="48"/>
        <v>-156.57199999999995</v>
      </c>
      <c r="G21" s="4">
        <f t="shared" si="48"/>
        <v>-114.01400000000001</v>
      </c>
      <c r="H21" s="4">
        <f t="shared" si="48"/>
        <v>-146.14800000000002</v>
      </c>
      <c r="I21" s="4">
        <f t="shared" si="48"/>
        <v>-91.941000000000031</v>
      </c>
      <c r="J21" s="4">
        <f t="shared" si="48"/>
        <v>-58.942999999999984</v>
      </c>
      <c r="K21" s="4">
        <f t="shared" si="48"/>
        <v>-39.439000000000021</v>
      </c>
      <c r="L21" s="4">
        <f t="shared" si="48"/>
        <v>-41.745000000000005</v>
      </c>
      <c r="M21" s="4">
        <f t="shared" ref="M21:N21" si="49">M16-M20</f>
        <v>-33.226999999999975</v>
      </c>
      <c r="N21" s="4">
        <f t="shared" si="49"/>
        <v>-17.826000000000022</v>
      </c>
      <c r="O21" s="4">
        <f t="shared" ref="O21:W21" si="50">+O16-O20</f>
        <v>118.82900000000006</v>
      </c>
      <c r="P21" s="4">
        <f t="shared" si="50"/>
        <v>124.27499999999998</v>
      </c>
      <c r="Q21" s="4">
        <f t="shared" si="50"/>
        <v>154.363</v>
      </c>
      <c r="R21" s="4">
        <f t="shared" si="50"/>
        <v>198.05199999999996</v>
      </c>
      <c r="S21" s="4">
        <f t="shared" si="50"/>
        <v>206.53199999999993</v>
      </c>
      <c r="T21" s="4">
        <f t="shared" si="50"/>
        <v>197.10300000000001</v>
      </c>
      <c r="U21" s="4">
        <f t="shared" si="50"/>
        <v>255.56500000000005</v>
      </c>
      <c r="V21" s="4">
        <f t="shared" si="50"/>
        <v>292.84100000000001</v>
      </c>
      <c r="W21" s="4">
        <f t="shared" si="50"/>
        <v>330.53200000000004</v>
      </c>
      <c r="X21" s="4">
        <f t="shared" ref="X21:Z21" si="51">+X16-X20</f>
        <v>322.66119999999989</v>
      </c>
      <c r="Y21" s="4">
        <f t="shared" si="51"/>
        <v>393.78573799999992</v>
      </c>
      <c r="Z21" s="4">
        <f t="shared" si="51"/>
        <v>436.80275949999992</v>
      </c>
      <c r="AC21" s="3">
        <f>AC16-AC20</f>
        <v>-1173.6789999999999</v>
      </c>
      <c r="AD21" s="3">
        <f t="shared" ref="AD21" si="52">AD16-AD20</f>
        <v>-411.04600000000005</v>
      </c>
      <c r="AE21" s="3">
        <f t="shared" ref="AE21" si="53">AE16-AE20</f>
        <v>-250.18730000000028</v>
      </c>
      <c r="AF21" s="3">
        <f t="shared" ref="AF21" si="54">AF16-AF20</f>
        <v>-172.64291000000003</v>
      </c>
      <c r="AG21" s="3">
        <f t="shared" ref="AG21" si="55">AG16-AG20</f>
        <v>952.04099999999971</v>
      </c>
      <c r="AH21" s="3">
        <f t="shared" ref="AH21" si="56">AH16-AH20</f>
        <v>1577.4827000000005</v>
      </c>
      <c r="AI21" s="3">
        <f t="shared" ref="AI21" si="57">AI16-AI20</f>
        <v>2362.3665300000007</v>
      </c>
      <c r="AJ21" s="3">
        <f t="shared" ref="AJ21" si="58">AJ16-AJ20</f>
        <v>3413.8794110000008</v>
      </c>
      <c r="AK21" s="3">
        <f t="shared" ref="AK21:AM21" si="59">AK16-AK20</f>
        <v>4285.1969003000004</v>
      </c>
      <c r="AL21" s="3">
        <f t="shared" si="59"/>
        <v>5349.6320481699986</v>
      </c>
      <c r="AM21" s="3">
        <f t="shared" si="59"/>
        <v>6647.6938023949997</v>
      </c>
    </row>
    <row r="22" spans="2:39" s="3" customFormat="1" x14ac:dyDescent="0.25">
      <c r="B22" s="3" t="s">
        <v>27</v>
      </c>
      <c r="C22" s="4"/>
      <c r="D22" s="4">
        <f>0.551-5.646</f>
        <v>-5.0949999999999998</v>
      </c>
      <c r="E22" s="4">
        <f>0.494-2.085</f>
        <v>-1.591</v>
      </c>
      <c r="F22" s="4">
        <f>0.368-1.814</f>
        <v>-1.4460000000000002</v>
      </c>
      <c r="G22" s="4">
        <f>0.376-1.84</f>
        <v>-1.464</v>
      </c>
      <c r="H22" s="4">
        <f>0.372-0.59</f>
        <v>-0.21799999999999997</v>
      </c>
      <c r="I22" s="4">
        <f>0.379-0.609</f>
        <v>-0.22999999999999998</v>
      </c>
      <c r="J22" s="4">
        <f>0.48-0.601</f>
        <v>-0.121</v>
      </c>
      <c r="K22" s="4">
        <f>0.547-0.594</f>
        <v>-4.6999999999999931E-2</v>
      </c>
      <c r="L22" s="4">
        <f>1.472-0.67</f>
        <v>0.80199999999999994</v>
      </c>
      <c r="M22" s="4">
        <v>0</v>
      </c>
      <c r="N22" s="4">
        <f>12.75-1.712+44.637</f>
        <v>55.674999999999997</v>
      </c>
      <c r="O22" s="4">
        <f>20.853-4.136</f>
        <v>16.717000000000002</v>
      </c>
      <c r="P22" s="4">
        <f>30.31-1.317-9.024</f>
        <v>19.969000000000001</v>
      </c>
      <c r="Q22" s="4">
        <f>36.864-0.742+3.864</f>
        <v>39.985999999999997</v>
      </c>
      <c r="R22" s="4">
        <f>44.545-0.136-3.956</f>
        <v>40.452999999999996</v>
      </c>
      <c r="S22" s="4">
        <f>43.352-13.507</f>
        <v>29.844999999999999</v>
      </c>
      <c r="T22" s="3">
        <f>46.593-11.173</f>
        <v>35.42</v>
      </c>
      <c r="U22" s="3">
        <f>52.12-8.11</f>
        <v>44.01</v>
      </c>
      <c r="V22" s="3">
        <v>54.726999999999997</v>
      </c>
      <c r="W22" s="3">
        <v>50.441000000000003</v>
      </c>
      <c r="X22" s="3">
        <f>+W22</f>
        <v>50.441000000000003</v>
      </c>
      <c r="Y22" s="3">
        <f>+X22</f>
        <v>50.441000000000003</v>
      </c>
      <c r="Z22" s="3">
        <f>+Y22</f>
        <v>50.441000000000003</v>
      </c>
      <c r="AC22" s="3">
        <f>4.68-14.139</f>
        <v>-9.4589999999999996</v>
      </c>
      <c r="AD22" s="3">
        <f>1.607-3.64</f>
        <v>-2.0330000000000004</v>
      </c>
      <c r="AE22" s="3">
        <v>0</v>
      </c>
      <c r="AF22" s="3">
        <v>0</v>
      </c>
      <c r="AG22" s="3">
        <f t="shared" ref="AG22" si="60">SUM(S22:V22)</f>
        <v>164.00200000000001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2:39" s="3" customFormat="1" x14ac:dyDescent="0.25">
      <c r="B23" s="3" t="s">
        <v>28</v>
      </c>
      <c r="C23" s="4"/>
      <c r="D23" s="4">
        <f t="shared" ref="D23:L23" si="61">D21-D22</f>
        <v>-94.050000000000011</v>
      </c>
      <c r="E23" s="4">
        <f t="shared" si="61"/>
        <v>-846.18600000000004</v>
      </c>
      <c r="F23" s="4">
        <f t="shared" si="61"/>
        <v>-155.12599999999995</v>
      </c>
      <c r="G23" s="4">
        <f t="shared" si="61"/>
        <v>-112.55000000000001</v>
      </c>
      <c r="H23" s="4">
        <f t="shared" si="61"/>
        <v>-145.93000000000004</v>
      </c>
      <c r="I23" s="4">
        <f t="shared" si="61"/>
        <v>-91.711000000000027</v>
      </c>
      <c r="J23" s="4">
        <f t="shared" si="61"/>
        <v>-58.821999999999981</v>
      </c>
      <c r="K23" s="4">
        <f t="shared" si="61"/>
        <v>-39.392000000000024</v>
      </c>
      <c r="L23" s="4">
        <f t="shared" si="61"/>
        <v>-42.547000000000004</v>
      </c>
      <c r="M23" s="4">
        <f t="shared" ref="M23" si="62">M21-M22</f>
        <v>-33.226999999999975</v>
      </c>
      <c r="N23" s="4">
        <f t="shared" ref="N23:Z23" si="63">+N21+N22</f>
        <v>37.848999999999975</v>
      </c>
      <c r="O23" s="4">
        <f t="shared" si="63"/>
        <v>135.54600000000008</v>
      </c>
      <c r="P23" s="4">
        <f t="shared" si="63"/>
        <v>144.24399999999997</v>
      </c>
      <c r="Q23" s="4">
        <f t="shared" si="63"/>
        <v>194.34899999999999</v>
      </c>
      <c r="R23" s="4">
        <f t="shared" si="63"/>
        <v>238.50499999999997</v>
      </c>
      <c r="S23" s="4">
        <f t="shared" si="63"/>
        <v>236.37699999999992</v>
      </c>
      <c r="T23" s="4">
        <f t="shared" ref="T23" si="64">+T21+T22</f>
        <v>232.52300000000002</v>
      </c>
      <c r="U23" s="4">
        <f t="shared" si="63"/>
        <v>299.57500000000005</v>
      </c>
      <c r="V23" s="4">
        <f t="shared" si="63"/>
        <v>347.56799999999998</v>
      </c>
      <c r="W23" s="4">
        <f t="shared" si="63"/>
        <v>380.97300000000007</v>
      </c>
      <c r="X23" s="4">
        <f t="shared" si="63"/>
        <v>373.10219999999993</v>
      </c>
      <c r="Y23" s="4">
        <f t="shared" si="63"/>
        <v>444.22673799999995</v>
      </c>
      <c r="Z23" s="4">
        <f t="shared" si="63"/>
        <v>487.2437594999999</v>
      </c>
      <c r="AC23" s="3">
        <f t="shared" ref="AC23:AH23" si="65">AC21+AC22</f>
        <v>-1183.1379999999999</v>
      </c>
      <c r="AD23" s="3">
        <f t="shared" si="65"/>
        <v>-413.07900000000006</v>
      </c>
      <c r="AE23" s="3">
        <f t="shared" si="65"/>
        <v>-250.18730000000028</v>
      </c>
      <c r="AF23" s="3">
        <f t="shared" si="65"/>
        <v>-172.64291000000003</v>
      </c>
      <c r="AG23" s="3">
        <f t="shared" si="65"/>
        <v>1116.0429999999997</v>
      </c>
      <c r="AH23" s="3">
        <f t="shared" si="65"/>
        <v>1577.4827000000005</v>
      </c>
      <c r="AI23" s="3">
        <f t="shared" ref="AI23" si="66">AI21+AI22</f>
        <v>2362.3665300000007</v>
      </c>
      <c r="AJ23" s="3">
        <f t="shared" ref="AJ23" si="67">AJ21+AJ22</f>
        <v>3413.8794110000008</v>
      </c>
      <c r="AK23" s="3">
        <f t="shared" ref="AK23:AM23" si="68">AK21+AK22</f>
        <v>4285.1969003000004</v>
      </c>
      <c r="AL23" s="3">
        <f t="shared" si="68"/>
        <v>5349.6320481699986</v>
      </c>
      <c r="AM23" s="3">
        <f t="shared" si="68"/>
        <v>6647.6938023949997</v>
      </c>
    </row>
    <row r="24" spans="2:39" s="3" customFormat="1" x14ac:dyDescent="0.25">
      <c r="B24" s="3" t="s">
        <v>30</v>
      </c>
      <c r="C24" s="4"/>
      <c r="D24" s="4">
        <f>0.943</f>
        <v>0.94299999999999995</v>
      </c>
      <c r="E24" s="4">
        <v>-8.5429999999999993</v>
      </c>
      <c r="F24" s="4">
        <v>-7.593</v>
      </c>
      <c r="G24" s="4">
        <v>3.1019999999999999</v>
      </c>
      <c r="H24" s="4">
        <v>-5.6609999999999996</v>
      </c>
      <c r="I24" s="4">
        <v>1.4379999999999999</v>
      </c>
      <c r="J24" s="4">
        <v>33.006</v>
      </c>
      <c r="K24" s="4">
        <v>2.0230000000000001</v>
      </c>
      <c r="L24" s="4">
        <v>2.5880000000000001</v>
      </c>
      <c r="M24" s="4">
        <v>0</v>
      </c>
      <c r="N24" s="4">
        <f>4.36+2.611</f>
        <v>6.9710000000000001</v>
      </c>
      <c r="O24" s="4">
        <f>1.681+2.349</f>
        <v>4.03</v>
      </c>
      <c r="P24" s="4">
        <f>2.171-0.255</f>
        <v>1.9159999999999999</v>
      </c>
      <c r="Q24" s="4">
        <f>6.53+1.934</f>
        <v>8.4640000000000004</v>
      </c>
      <c r="R24" s="4">
        <f>9.334+3.522</f>
        <v>12.856</v>
      </c>
      <c r="S24" s="4">
        <f>4.655+0.541</f>
        <v>5.1960000000000006</v>
      </c>
      <c r="T24" s="3">
        <f>5.189+1.444</f>
        <v>6.633</v>
      </c>
      <c r="U24" s="3">
        <f>7.809+5.816</f>
        <v>13.625</v>
      </c>
      <c r="V24" s="3">
        <v>3.6019999999999999</v>
      </c>
      <c r="W24" s="3">
        <v>5.5990000000000002</v>
      </c>
      <c r="X24" s="3">
        <f>+X23*0.05</f>
        <v>18.655109999999997</v>
      </c>
      <c r="Y24" s="3">
        <f>+Y23*0.05</f>
        <v>22.211336899999999</v>
      </c>
      <c r="Z24" s="3">
        <f>+Z23*0.05</f>
        <v>24.362187974999998</v>
      </c>
      <c r="AC24" s="3">
        <v>-12.635999999999999</v>
      </c>
      <c r="AD24" s="3">
        <v>31.885000000000002</v>
      </c>
      <c r="AE24" s="3">
        <v>0</v>
      </c>
      <c r="AF24" s="3">
        <v>0</v>
      </c>
      <c r="AG24" s="3">
        <f t="shared" ref="AG24" si="69">SUM(S24:V24)</f>
        <v>29.056000000000001</v>
      </c>
      <c r="AH24" s="3">
        <f>AH23*0.1</f>
        <v>157.74827000000005</v>
      </c>
      <c r="AI24" s="3">
        <f t="shared" ref="AI24" si="70">AI23*0.1</f>
        <v>236.23665300000008</v>
      </c>
      <c r="AJ24" s="3">
        <f t="shared" ref="AJ24" si="71">AJ23*0.1</f>
        <v>341.38794110000009</v>
      </c>
      <c r="AK24" s="3">
        <f t="shared" ref="AK24:AM24" si="72">AK23*0.1</f>
        <v>428.51969003000005</v>
      </c>
      <c r="AL24" s="3">
        <f t="shared" si="72"/>
        <v>534.96320481699991</v>
      </c>
      <c r="AM24" s="3">
        <f t="shared" si="72"/>
        <v>664.76938023950004</v>
      </c>
    </row>
    <row r="25" spans="2:39" s="3" customFormat="1" x14ac:dyDescent="0.25">
      <c r="B25" s="3" t="s">
        <v>31</v>
      </c>
      <c r="C25" s="4"/>
      <c r="D25" s="4">
        <f t="shared" ref="D25:L25" si="73">D23-D24</f>
        <v>-94.993000000000009</v>
      </c>
      <c r="E25" s="4">
        <f t="shared" si="73"/>
        <v>-837.64300000000003</v>
      </c>
      <c r="F25" s="4">
        <f t="shared" si="73"/>
        <v>-147.53299999999996</v>
      </c>
      <c r="G25" s="4">
        <f t="shared" si="73"/>
        <v>-115.65200000000002</v>
      </c>
      <c r="H25" s="4">
        <f t="shared" si="73"/>
        <v>-140.26900000000003</v>
      </c>
      <c r="I25" s="4">
        <f t="shared" si="73"/>
        <v>-93.149000000000029</v>
      </c>
      <c r="J25" s="4">
        <f t="shared" si="73"/>
        <v>-91.827999999999975</v>
      </c>
      <c r="K25" s="4">
        <f t="shared" si="73"/>
        <v>-41.415000000000028</v>
      </c>
      <c r="L25" s="4">
        <f t="shared" si="73"/>
        <v>-45.135000000000005</v>
      </c>
      <c r="M25" s="4">
        <f t="shared" ref="M25:N25" si="74">M23-M24</f>
        <v>-33.226999999999975</v>
      </c>
      <c r="N25" s="4">
        <f t="shared" si="74"/>
        <v>30.877999999999975</v>
      </c>
      <c r="O25" s="4">
        <f>+O23-O24</f>
        <v>131.51600000000008</v>
      </c>
      <c r="P25" s="4">
        <f>+P23-P24</f>
        <v>142.32799999999997</v>
      </c>
      <c r="Q25" s="4">
        <f>+Q23-Q24</f>
        <v>185.88499999999999</v>
      </c>
      <c r="R25" s="4">
        <f>+R23-R24</f>
        <v>225.64899999999997</v>
      </c>
      <c r="S25" s="4">
        <f>+S23-S24</f>
        <v>231.18099999999993</v>
      </c>
      <c r="T25" s="4">
        <f t="shared" ref="T25:W25" si="75">+T23-T24</f>
        <v>225.89000000000001</v>
      </c>
      <c r="U25" s="4">
        <f t="shared" si="75"/>
        <v>285.95000000000005</v>
      </c>
      <c r="V25" s="4">
        <f t="shared" si="75"/>
        <v>343.96600000000001</v>
      </c>
      <c r="W25" s="4">
        <f t="shared" si="75"/>
        <v>375.37400000000008</v>
      </c>
      <c r="X25" s="3">
        <f>+X23-X24</f>
        <v>354.44708999999995</v>
      </c>
      <c r="Y25" s="3">
        <f>+Y23-Y24</f>
        <v>422.01540109999996</v>
      </c>
      <c r="Z25" s="3">
        <f>+Z23-Z24</f>
        <v>462.88157152499991</v>
      </c>
      <c r="AC25" s="3">
        <f>AC23-AC24</f>
        <v>-1170.502</v>
      </c>
      <c r="AD25" s="3">
        <f>AD23-AD24</f>
        <v>-444.96400000000006</v>
      </c>
      <c r="AE25" s="3">
        <f t="shared" ref="AE25:AH25" si="76">AE23-AE24</f>
        <v>-250.18730000000028</v>
      </c>
      <c r="AF25" s="3">
        <f t="shared" si="76"/>
        <v>-172.64291000000003</v>
      </c>
      <c r="AG25" s="3">
        <f t="shared" si="76"/>
        <v>1086.9869999999996</v>
      </c>
      <c r="AH25" s="3">
        <f t="shared" si="76"/>
        <v>1419.7344300000004</v>
      </c>
      <c r="AI25" s="3">
        <f t="shared" ref="AI25" si="77">AI23-AI24</f>
        <v>2126.1298770000008</v>
      </c>
      <c r="AJ25" s="3">
        <f t="shared" ref="AJ25" si="78">AJ23-AJ24</f>
        <v>3072.4914699000005</v>
      </c>
      <c r="AK25" s="3">
        <f t="shared" ref="AK25:AM25" si="79">AK23-AK24</f>
        <v>3856.6772102700002</v>
      </c>
      <c r="AL25" s="3">
        <f t="shared" si="79"/>
        <v>4814.6688433529989</v>
      </c>
      <c r="AM25" s="3">
        <f t="shared" si="79"/>
        <v>5982.9244221555</v>
      </c>
    </row>
    <row r="26" spans="2:39" x14ac:dyDescent="0.25">
      <c r="B26" s="3" t="s">
        <v>1</v>
      </c>
      <c r="D26" s="7">
        <f t="shared" ref="D26:L26" si="80">D25/D27</f>
        <v>-0.14827157237200492</v>
      </c>
      <c r="E26" s="7">
        <f t="shared" si="80"/>
        <v>-0.92510011463761044</v>
      </c>
      <c r="F26" s="7">
        <f t="shared" si="80"/>
        <v>-8.3658536308756248E-2</v>
      </c>
      <c r="G26" s="7">
        <f t="shared" si="80"/>
        <v>-6.3504649239659608E-2</v>
      </c>
      <c r="H26" s="7">
        <f t="shared" si="80"/>
        <v>-7.4035973706406522E-2</v>
      </c>
      <c r="I26" s="7">
        <f t="shared" si="80"/>
        <v>-4.7418670888492401E-2</v>
      </c>
      <c r="J26" s="7">
        <f t="shared" si="80"/>
        <v>-4.5645513091992884E-2</v>
      </c>
      <c r="K26" s="7">
        <f t="shared" si="80"/>
        <v>-2.0338288872945007E-2</v>
      </c>
      <c r="L26" s="7">
        <f t="shared" si="80"/>
        <v>-2.1965652114878394E-2</v>
      </c>
      <c r="M26" s="7">
        <f t="shared" ref="M26:N26" si="81">M25/M27</f>
        <v>-1.6170438081778302E-2</v>
      </c>
      <c r="N26" s="7">
        <f t="shared" si="81"/>
        <v>1.4011679273305783E-2</v>
      </c>
      <c r="O26" s="7">
        <f>+O25/O27</f>
        <v>5.9309861511410274E-2</v>
      </c>
      <c r="P26" s="7">
        <f>+P25/P27</f>
        <v>6.2475116925757891E-2</v>
      </c>
      <c r="Q26" s="7">
        <f>+Q25/Q27</f>
        <v>7.9929910560715509E-2</v>
      </c>
      <c r="R26" s="7">
        <f>+R25/R27</f>
        <v>9.5705552176616415E-2</v>
      </c>
      <c r="S26" s="7">
        <f>+S25/S27</f>
        <v>9.6321122349961874E-2</v>
      </c>
      <c r="T26" s="7">
        <f t="shared" ref="T26:Z26" si="82">+T25/T27</f>
        <v>9.3548007699519944E-2</v>
      </c>
      <c r="U26" s="7">
        <f t="shared" si="82"/>
        <v>0.11625926120176991</v>
      </c>
      <c r="V26" s="7">
        <f t="shared" si="82"/>
        <v>0.13604748526566887</v>
      </c>
      <c r="W26" s="7">
        <f>+W25/W27</f>
        <v>0.14704299327253256</v>
      </c>
      <c r="X26" s="7">
        <f t="shared" si="82"/>
        <v>0.138845421021005</v>
      </c>
      <c r="Y26" s="7">
        <f t="shared" si="82"/>
        <v>0.16531354804768689</v>
      </c>
      <c r="Z26" s="7">
        <f t="shared" si="82"/>
        <v>0.18132180653889149</v>
      </c>
      <c r="AC26" s="1">
        <f>AC25/AC27</f>
        <v>-1.1952069271849119</v>
      </c>
      <c r="AD26" s="1">
        <f>AD25/AD27</f>
        <v>-0.23131631712549852</v>
      </c>
      <c r="AE26" s="1">
        <f t="shared" ref="AE26:AH26" si="83">AE25/AE27</f>
        <v>-0.11985539971912569</v>
      </c>
      <c r="AF26" s="1">
        <f t="shared" si="83"/>
        <v>-7.5234388822408196E-2</v>
      </c>
      <c r="AG26" s="1">
        <f t="shared" si="83"/>
        <v>0.44354727400317712</v>
      </c>
      <c r="AH26" s="1">
        <f t="shared" si="83"/>
        <v>0.57932554504787537</v>
      </c>
      <c r="AI26" s="1">
        <f t="shared" ref="AI26" si="84">AI25/AI27</f>
        <v>0.86757165552123527</v>
      </c>
      <c r="AJ26" s="1">
        <f t="shared" ref="AJ26" si="85">AJ25/AJ27</f>
        <v>1.2537364438325025</v>
      </c>
      <c r="AK26" s="1">
        <f t="shared" ref="AK26:AM26" si="86">AK25/AK27</f>
        <v>1.5737250430091962</v>
      </c>
      <c r="AL26" s="1">
        <f t="shared" si="86"/>
        <v>1.9646354930622476</v>
      </c>
      <c r="AM26" s="1">
        <f t="shared" si="86"/>
        <v>2.4413445772710314</v>
      </c>
    </row>
    <row r="27" spans="2:39" s="3" customFormat="1" x14ac:dyDescent="0.25">
      <c r="B27" s="3" t="s">
        <v>29</v>
      </c>
      <c r="C27" s="4"/>
      <c r="D27" s="4">
        <v>640.66899999999998</v>
      </c>
      <c r="E27" s="4">
        <v>905.46199999999999</v>
      </c>
      <c r="F27" s="4">
        <v>1763.5139999999999</v>
      </c>
      <c r="G27" s="4">
        <v>1821.1579999999999</v>
      </c>
      <c r="H27" s="4">
        <v>1894.606</v>
      </c>
      <c r="I27" s="4">
        <v>1964.395</v>
      </c>
      <c r="J27" s="4">
        <v>2011.7639999999999</v>
      </c>
      <c r="K27" s="4">
        <v>2036.307</v>
      </c>
      <c r="L27" s="4">
        <v>2054.799</v>
      </c>
      <c r="M27" s="4">
        <f t="shared" ref="M27" si="87">L27</f>
        <v>2054.799</v>
      </c>
      <c r="N27" s="4">
        <v>2203.7330000000002</v>
      </c>
      <c r="O27" s="4">
        <v>2217.4389999999999</v>
      </c>
      <c r="P27" s="4">
        <v>2278.1550000000002</v>
      </c>
      <c r="Q27" s="4">
        <v>2325.6</v>
      </c>
      <c r="R27" s="4">
        <v>2357.7420000000002</v>
      </c>
      <c r="S27" s="4">
        <v>2400.107</v>
      </c>
      <c r="T27" s="3">
        <v>2414.6959999999999</v>
      </c>
      <c r="U27" s="3">
        <v>2459.5889999999999</v>
      </c>
      <c r="V27" s="3">
        <v>2528.279</v>
      </c>
      <c r="W27" s="3">
        <v>2552.8180000000002</v>
      </c>
      <c r="X27" s="3">
        <f>+W27</f>
        <v>2552.8180000000002</v>
      </c>
      <c r="Y27" s="3">
        <f>+X27</f>
        <v>2552.8180000000002</v>
      </c>
      <c r="Z27" s="3">
        <f>+Y27</f>
        <v>2552.8180000000002</v>
      </c>
      <c r="AC27" s="3">
        <v>979.33</v>
      </c>
      <c r="AD27" s="3">
        <v>1923.617</v>
      </c>
      <c r="AE27" s="3">
        <f>AVERAGE(K27:N27)</f>
        <v>2087.4094999999998</v>
      </c>
      <c r="AF27" s="3">
        <f>AVERAGE(O27:R27)</f>
        <v>2294.7339999999999</v>
      </c>
      <c r="AG27" s="3">
        <f>AVERAGE(S27:V27)</f>
        <v>2450.6677500000001</v>
      </c>
      <c r="AH27" s="3">
        <f>AG27</f>
        <v>2450.6677500000001</v>
      </c>
      <c r="AI27" s="3">
        <f t="shared" ref="AI27" si="88">AH27</f>
        <v>2450.6677500000001</v>
      </c>
      <c r="AJ27" s="3">
        <f t="shared" ref="AJ27:AK27" si="89">AI27</f>
        <v>2450.6677500000001</v>
      </c>
      <c r="AK27" s="3">
        <f t="shared" si="89"/>
        <v>2450.6677500000001</v>
      </c>
      <c r="AL27" s="3">
        <f t="shared" ref="AL27" si="90">AK27</f>
        <v>2450.6677500000001</v>
      </c>
      <c r="AM27" s="3">
        <f t="shared" ref="AM27" si="91">AL27</f>
        <v>2450.6677500000001</v>
      </c>
    </row>
    <row r="30" spans="2:39" s="11" customFormat="1" ht="13" x14ac:dyDescent="0.3">
      <c r="B30" s="5" t="s">
        <v>32</v>
      </c>
      <c r="C30" s="9"/>
      <c r="D30" s="9"/>
      <c r="E30" s="9"/>
      <c r="F30" s="9"/>
      <c r="G30" s="9"/>
      <c r="H30" s="10">
        <f>H14/D14-1</f>
        <v>0.49129973917082514</v>
      </c>
      <c r="I30" s="10">
        <f>I14/E14-1</f>
        <v>0.35519031261447442</v>
      </c>
      <c r="J30" s="10">
        <f>J14/F14-1</f>
        <v>0.34392764777656004</v>
      </c>
      <c r="K30" s="10">
        <f>K14/G14-1</f>
        <v>0.30806719142875583</v>
      </c>
      <c r="L30" s="10">
        <f>L14/H14-1</f>
        <v>0.25920424233711881</v>
      </c>
      <c r="M30" s="10">
        <f t="shared" ref="M30:O30" si="92">M14/I14-1</f>
        <v>0.21862775598884077</v>
      </c>
      <c r="N30" s="10">
        <f t="shared" si="92"/>
        <v>0.17501218619113956</v>
      </c>
      <c r="O30" s="10">
        <f t="shared" si="92"/>
        <v>0.1766052733574246</v>
      </c>
      <c r="P30" s="10">
        <f t="shared" ref="P30:T30" si="93">P14/L14-1</f>
        <v>0.12749624743662924</v>
      </c>
      <c r="Q30" s="10">
        <f t="shared" si="93"/>
        <v>0.16798987193437687</v>
      </c>
      <c r="R30" s="10">
        <f t="shared" si="93"/>
        <v>0.19538205039479051</v>
      </c>
      <c r="S30" s="10">
        <f t="shared" si="93"/>
        <v>0.20783493847893864</v>
      </c>
      <c r="T30" s="10">
        <f t="shared" si="93"/>
        <v>0.2715401909183468</v>
      </c>
      <c r="U30" s="10">
        <f t="shared" ref="U30" si="94">U14/Q14-1</f>
        <v>0.2998375015004684</v>
      </c>
      <c r="V30" s="10">
        <f t="shared" ref="V30:Z30" si="95">V14/R14-1</f>
        <v>0.36105098684210524</v>
      </c>
      <c r="W30" s="10">
        <f t="shared" si="95"/>
        <v>0.39200237097572588</v>
      </c>
      <c r="X30" s="10">
        <f t="shared" si="95"/>
        <v>0.38615671828871578</v>
      </c>
      <c r="Y30" s="10">
        <f t="shared" si="95"/>
        <v>0.35000000000000009</v>
      </c>
      <c r="Z30" s="10">
        <f t="shared" si="95"/>
        <v>0.35000000000000009</v>
      </c>
      <c r="AD30" s="12">
        <f>AD14/AC14-1</f>
        <v>0.41111659206368234</v>
      </c>
      <c r="AE30" s="12">
        <f>AE14/AD14-1</f>
        <v>0.23606238840798532</v>
      </c>
      <c r="AF30" s="12">
        <f>AF14/AE14-1</f>
        <v>0.16726787909569985</v>
      </c>
      <c r="AG30" s="12">
        <f>AG14/AF14-1</f>
        <v>0.28806398455136084</v>
      </c>
      <c r="AH30" s="12">
        <f>AH14/AG14-1</f>
        <v>0.36785471122562274</v>
      </c>
      <c r="AI30" s="12">
        <f t="shared" ref="AI30" si="96">AI14/AH14-1</f>
        <v>0.30000000000000004</v>
      </c>
      <c r="AJ30" s="12">
        <f t="shared" ref="AJ30:AK30" si="97">AJ14/AI14-1</f>
        <v>0.30000000000000004</v>
      </c>
      <c r="AK30" s="12">
        <f t="shared" si="97"/>
        <v>0.19999999999999996</v>
      </c>
      <c r="AL30" s="12">
        <f t="shared" ref="AL30" si="98">AL14/AK14-1</f>
        <v>0.19999999999999996</v>
      </c>
      <c r="AM30" s="12">
        <f t="shared" ref="AM30" si="99">AM14/AL14-1</f>
        <v>0.19999999999999996</v>
      </c>
    </row>
    <row r="31" spans="2:39" x14ac:dyDescent="0.25">
      <c r="B31" t="s">
        <v>33</v>
      </c>
      <c r="D31" s="8">
        <f t="shared" ref="D31:K31" si="100">D16/D14</f>
        <v>0.72841211803611916</v>
      </c>
      <c r="E31" s="8">
        <f t="shared" si="100"/>
        <v>0.48390619492269304</v>
      </c>
      <c r="F31" s="8">
        <f t="shared" si="100"/>
        <v>0.78110844450791861</v>
      </c>
      <c r="G31" s="8">
        <f t="shared" si="100"/>
        <v>0.78281472537906538</v>
      </c>
      <c r="H31" s="8">
        <f t="shared" si="100"/>
        <v>0.75794506471587308</v>
      </c>
      <c r="I31" s="8">
        <f t="shared" si="100"/>
        <v>0.77864366842961541</v>
      </c>
      <c r="J31" s="8">
        <f t="shared" si="100"/>
        <v>0.79771384744043783</v>
      </c>
      <c r="K31" s="8">
        <f t="shared" si="100"/>
        <v>0.78850337286073702</v>
      </c>
      <c r="L31" s="8">
        <f t="shared" ref="L31:P31" si="101">L16/L14</f>
        <v>0.78388617576795416</v>
      </c>
      <c r="M31" s="8">
        <f t="shared" si="101"/>
        <v>0.8</v>
      </c>
      <c r="N31" s="8">
        <f t="shared" si="101"/>
        <v>0.79491530089024498</v>
      </c>
      <c r="O31" s="8">
        <f t="shared" si="101"/>
        <v>0.8125083303819981</v>
      </c>
      <c r="P31" s="8">
        <f t="shared" si="101"/>
        <v>0.81456619608975533</v>
      </c>
      <c r="Q31" s="8">
        <f t="shared" ref="Q31:R31" si="102">Q16/Q14</f>
        <v>0.82064608830100383</v>
      </c>
      <c r="R31" s="8">
        <f t="shared" si="102"/>
        <v>0.83940953947368424</v>
      </c>
      <c r="S31" s="8">
        <f t="shared" ref="S31:W31" si="103">S16/S14</f>
        <v>0.83314888907806239</v>
      </c>
      <c r="T31" s="8">
        <f t="shared" si="103"/>
        <v>0.82870642085487534</v>
      </c>
      <c r="U31" s="8">
        <f t="shared" si="103"/>
        <v>0.81597097789711048</v>
      </c>
      <c r="V31" s="8">
        <f t="shared" si="103"/>
        <v>0.82911691453610126</v>
      </c>
      <c r="W31" s="8">
        <f t="shared" si="103"/>
        <v>0.82111664779161952</v>
      </c>
      <c r="AC31" s="8">
        <f t="shared" ref="AC31:AH31" si="104">AC16/AC14</f>
        <v>0.67735360899372454</v>
      </c>
      <c r="AD31" s="8">
        <f t="shared" si="104"/>
        <v>0.77987779924495215</v>
      </c>
      <c r="AE31" s="8">
        <f t="shared" si="104"/>
        <v>0.8</v>
      </c>
      <c r="AF31" s="8">
        <f t="shared" si="104"/>
        <v>0.8</v>
      </c>
      <c r="AG31" s="8">
        <f t="shared" si="104"/>
        <v>0.8265839169124346</v>
      </c>
      <c r="AH31" s="8">
        <f t="shared" si="104"/>
        <v>0.8</v>
      </c>
      <c r="AI31" s="8">
        <f t="shared" ref="AI31" si="105">AI16/AI14</f>
        <v>0.8</v>
      </c>
      <c r="AJ31" s="8">
        <f t="shared" ref="AJ31:AK31" si="106">AJ16/AJ14</f>
        <v>0.80000000000000016</v>
      </c>
      <c r="AK31" s="8">
        <f t="shared" si="106"/>
        <v>0.8</v>
      </c>
      <c r="AL31" s="8">
        <f t="shared" ref="AL31:AM31" si="107">AL16/AL14</f>
        <v>0.8</v>
      </c>
      <c r="AM31" s="8">
        <f t="shared" si="107"/>
        <v>0.8</v>
      </c>
    </row>
    <row r="32" spans="2:39" x14ac:dyDescent="0.25">
      <c r="B32" t="s">
        <v>96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ref="R32:U32" si="108">+R17/N17-1</f>
        <v>-0.19218011596305584</v>
      </c>
      <c r="S32" s="8">
        <f t="shared" si="108"/>
        <v>2.3468737716694443E-2</v>
      </c>
      <c r="T32" s="8">
        <f t="shared" si="108"/>
        <v>1.6866166319710718E-2</v>
      </c>
      <c r="U32" s="8">
        <f t="shared" si="108"/>
        <v>0.15824719330624504</v>
      </c>
      <c r="V32" s="8">
        <f>+V17/R17-1</f>
        <v>0.23860900347488845</v>
      </c>
      <c r="W32" s="8">
        <f>+W17/S17-1</f>
        <v>0.21702279815389924</v>
      </c>
      <c r="AC32" s="8"/>
      <c r="AD32" s="8">
        <f t="shared" ref="AD32:AF32" si="109">+AD17/AC17-1</f>
        <v>-0.10119774579823648</v>
      </c>
      <c r="AE32" s="8">
        <f t="shared" si="109"/>
        <v>0.10000000000000009</v>
      </c>
      <c r="AF32" s="8">
        <f t="shared" si="109"/>
        <v>0.10000000000000009</v>
      </c>
      <c r="AG32" s="8">
        <f>+AG17/AF17-1</f>
        <v>-0.12766364688599541</v>
      </c>
      <c r="AH32" s="8">
        <f t="shared" ref="AH32:AM32" si="110">+AH17/AG17-1</f>
        <v>0.10000000000000009</v>
      </c>
      <c r="AI32" s="8">
        <f t="shared" si="110"/>
        <v>0.10000000000000009</v>
      </c>
      <c r="AJ32" s="8">
        <f t="shared" si="110"/>
        <v>0.10000000000000009</v>
      </c>
      <c r="AK32" s="8">
        <f t="shared" si="110"/>
        <v>0.10000000000000009</v>
      </c>
      <c r="AL32" s="8">
        <f t="shared" si="110"/>
        <v>0.10000000000000009</v>
      </c>
      <c r="AM32" s="8">
        <f t="shared" si="110"/>
        <v>0.10000000000000009</v>
      </c>
    </row>
    <row r="33" spans="2:39" x14ac:dyDescent="0.25">
      <c r="B33" t="s">
        <v>98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>
        <f t="shared" ref="R33:R34" si="111">+R18/N18-1</f>
        <v>-7.0169665057773778E-2</v>
      </c>
      <c r="S33" s="8">
        <f t="shared" ref="S33:S34" si="112">+S18/O18-1</f>
        <v>0.18510601915184721</v>
      </c>
      <c r="T33" s="8">
        <f t="shared" ref="T33:T34" si="113">+T18/P18-1</f>
        <v>3.2708505259297027E-2</v>
      </c>
      <c r="U33" s="8">
        <f t="shared" ref="U33:W34" si="114">+U18/Q18-1</f>
        <v>3.6821242657242514E-2</v>
      </c>
      <c r="V33" s="8">
        <f t="shared" si="114"/>
        <v>0.23178261040544257</v>
      </c>
      <c r="W33" s="8">
        <f t="shared" si="114"/>
        <v>0.23914820960488647</v>
      </c>
      <c r="AC33" s="8"/>
      <c r="AD33" s="8">
        <f t="shared" ref="AD33:AF33" si="115">+AD18/AC18-1</f>
        <v>-0.30887347055256298</v>
      </c>
      <c r="AE33" s="8">
        <f t="shared" si="115"/>
        <v>0.10000000000000009</v>
      </c>
      <c r="AF33" s="8">
        <f t="shared" si="115"/>
        <v>0.10000000000000009</v>
      </c>
      <c r="AG33" s="8">
        <f>+AG18/AF18-1</f>
        <v>-0.26883604114300652</v>
      </c>
      <c r="AH33" s="8">
        <f t="shared" ref="AH33:AM33" si="116">+AH18/AG18-1</f>
        <v>0.10000000000000009</v>
      </c>
      <c r="AI33" s="8">
        <f t="shared" si="116"/>
        <v>0.10000000000000009</v>
      </c>
      <c r="AJ33" s="8">
        <f t="shared" si="116"/>
        <v>0.10000000000000009</v>
      </c>
      <c r="AK33" s="8">
        <f t="shared" si="116"/>
        <v>0.10000000000000009</v>
      </c>
      <c r="AL33" s="8">
        <f t="shared" si="116"/>
        <v>0.10000000000000009</v>
      </c>
      <c r="AM33" s="8">
        <f t="shared" si="116"/>
        <v>0.10000000000000009</v>
      </c>
    </row>
    <row r="34" spans="2:39" x14ac:dyDescent="0.25">
      <c r="B34" t="s">
        <v>97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f t="shared" si="111"/>
        <v>-0.45050780050980233</v>
      </c>
      <c r="S34" s="8">
        <f t="shared" si="112"/>
        <v>-2.6354611502412362E-2</v>
      </c>
      <c r="T34" s="8">
        <f t="shared" si="113"/>
        <v>0.56695604620958373</v>
      </c>
      <c r="U34" s="8">
        <f t="shared" si="114"/>
        <v>9.6199109222802726E-2</v>
      </c>
      <c r="V34" s="8">
        <f>+V19/R19-1</f>
        <v>0.32314081702044972</v>
      </c>
      <c r="W34" s="8">
        <f t="shared" ref="W34" si="117">+W19/S19-1</f>
        <v>0.22652342815479787</v>
      </c>
      <c r="AC34" s="8"/>
      <c r="AD34" s="8">
        <f t="shared" ref="AD34:AF34" si="118">+AD19/AC19-1</f>
        <v>-8.6507609299657506E-2</v>
      </c>
      <c r="AE34" s="8">
        <f t="shared" si="118"/>
        <v>0.10000000000000009</v>
      </c>
      <c r="AF34" s="8">
        <f t="shared" si="118"/>
        <v>0.10000000000000009</v>
      </c>
      <c r="AG34" s="8">
        <f>+AG19/AF19-1</f>
        <v>-0.42551271990361805</v>
      </c>
      <c r="AH34" s="8">
        <f t="shared" ref="AH34:AM34" si="119">+AH19/AG19-1</f>
        <v>0.10000000000000009</v>
      </c>
      <c r="AI34" s="8">
        <f t="shared" si="119"/>
        <v>0.10000000000000009</v>
      </c>
      <c r="AJ34" s="8">
        <f t="shared" si="119"/>
        <v>0.10000000000000009</v>
      </c>
      <c r="AK34" s="8">
        <f t="shared" si="119"/>
        <v>0.10000000000000009</v>
      </c>
      <c r="AL34" s="8">
        <f t="shared" si="119"/>
        <v>0.10000000000000009</v>
      </c>
      <c r="AM34" s="8">
        <f t="shared" si="119"/>
        <v>0.10000000000000009</v>
      </c>
    </row>
    <row r="36" spans="2:39" s="3" customFormat="1" x14ac:dyDescent="0.25">
      <c r="B36" s="3" t="s">
        <v>3</v>
      </c>
      <c r="C36" s="4"/>
      <c r="D36" s="4"/>
      <c r="E36" s="4"/>
      <c r="F36" s="4"/>
      <c r="G36" s="4"/>
      <c r="H36" s="4"/>
      <c r="I36" s="4"/>
      <c r="J36" s="4"/>
      <c r="K36" s="4">
        <f>2269.411+33.804+252.563+29.222</f>
        <v>2585.0000000000005</v>
      </c>
      <c r="L36" s="4"/>
      <c r="M36" s="4"/>
      <c r="N36" s="4"/>
      <c r="O36" s="4">
        <f>1264.738+1639.797+11.946+12.095</f>
        <v>2928.5759999999996</v>
      </c>
      <c r="P36" s="4">
        <f>1055.923+2047.329</f>
        <v>3103.252</v>
      </c>
      <c r="Q36" s="4">
        <f>1040.31+2243.264</f>
        <v>3283.5740000000001</v>
      </c>
      <c r="R36" s="4">
        <f>831.047+2843.132</f>
        <v>3674.1790000000001</v>
      </c>
      <c r="S36" s="4">
        <f>520.388+3347.512</f>
        <v>3867.9</v>
      </c>
      <c r="T36" s="4">
        <f>512.659+3485.8</f>
        <v>3998.4590000000003</v>
      </c>
      <c r="U36" s="3">
        <f>768.71+3795.949</f>
        <v>4564.6589999999997</v>
      </c>
      <c r="V36" s="3">
        <f>2098.524+3131.463</f>
        <v>5229.9870000000001</v>
      </c>
      <c r="W36" s="3">
        <f>993.464+4437.225</f>
        <v>5430.6890000000003</v>
      </c>
      <c r="AF36" s="4">
        <f>831.047+2843.132</f>
        <v>3674.1790000000001</v>
      </c>
      <c r="AG36" s="3">
        <f t="shared" ref="AG36:AG41" si="120">+V36</f>
        <v>5229.9870000000001</v>
      </c>
    </row>
    <row r="37" spans="2:39" s="3" customFormat="1" x14ac:dyDescent="0.25">
      <c r="B37" s="3" t="s">
        <v>34</v>
      </c>
      <c r="C37" s="4"/>
      <c r="D37" s="4"/>
      <c r="E37" s="4"/>
      <c r="F37" s="4"/>
      <c r="G37" s="4"/>
      <c r="H37" s="4"/>
      <c r="I37" s="4"/>
      <c r="J37" s="4"/>
      <c r="K37" s="4">
        <v>256.55399999999997</v>
      </c>
      <c r="L37" s="4"/>
      <c r="M37" s="4"/>
      <c r="N37" s="4"/>
      <c r="O37" s="4">
        <v>254.041</v>
      </c>
      <c r="P37" s="4">
        <v>375.75599999999997</v>
      </c>
      <c r="Q37" s="4">
        <v>430.26900000000001</v>
      </c>
      <c r="R37" s="4">
        <v>364.78399999999999</v>
      </c>
      <c r="S37" s="4">
        <v>486.98599999999999</v>
      </c>
      <c r="T37" s="4">
        <v>659.33900000000006</v>
      </c>
      <c r="U37" s="3">
        <v>668.11</v>
      </c>
      <c r="V37" s="3">
        <v>575.048</v>
      </c>
      <c r="W37" s="3">
        <v>725.20500000000004</v>
      </c>
      <c r="AF37" s="4">
        <v>364.78399999999999</v>
      </c>
      <c r="AG37" s="3">
        <f t="shared" si="120"/>
        <v>575.048</v>
      </c>
    </row>
    <row r="38" spans="2:39" s="3" customFormat="1" x14ac:dyDescent="0.25">
      <c r="B38" s="3" t="s">
        <v>35</v>
      </c>
      <c r="C38" s="4"/>
      <c r="D38" s="4"/>
      <c r="E38" s="4"/>
      <c r="F38" s="4"/>
      <c r="G38" s="4"/>
      <c r="H38" s="4"/>
      <c r="I38" s="4"/>
      <c r="J38" s="4"/>
      <c r="K38" s="4">
        <v>115.042</v>
      </c>
      <c r="L38" s="4"/>
      <c r="M38" s="4"/>
      <c r="N38" s="4"/>
      <c r="O38" s="4">
        <v>85.625</v>
      </c>
      <c r="P38" s="4">
        <v>97.906000000000006</v>
      </c>
      <c r="Q38" s="4">
        <v>95.554000000000002</v>
      </c>
      <c r="R38" s="4">
        <v>99.655000000000001</v>
      </c>
      <c r="S38" s="4">
        <v>81.177999999999997</v>
      </c>
      <c r="T38" s="4">
        <v>115.712</v>
      </c>
      <c r="U38" s="3">
        <v>119.193</v>
      </c>
      <c r="V38" s="3">
        <v>129.25399999999999</v>
      </c>
      <c r="W38" s="3">
        <v>126.705</v>
      </c>
      <c r="AF38" s="4">
        <v>99.655000000000001</v>
      </c>
      <c r="AG38" s="3">
        <f t="shared" si="120"/>
        <v>129.25399999999999</v>
      </c>
    </row>
    <row r="39" spans="2:39" s="3" customFormat="1" x14ac:dyDescent="0.25">
      <c r="B39" s="3" t="s">
        <v>36</v>
      </c>
      <c r="C39" s="4"/>
      <c r="D39" s="4"/>
      <c r="E39" s="4"/>
      <c r="F39" s="4"/>
      <c r="G39" s="4"/>
      <c r="H39" s="4"/>
      <c r="I39" s="4"/>
      <c r="J39" s="4"/>
      <c r="K39" s="4">
        <v>41.866</v>
      </c>
      <c r="L39" s="4"/>
      <c r="M39" s="4"/>
      <c r="N39" s="4"/>
      <c r="O39" s="4">
        <v>63.115000000000002</v>
      </c>
      <c r="P39" s="4">
        <v>54.097000000000001</v>
      </c>
      <c r="Q39" s="4">
        <v>50.133000000000003</v>
      </c>
      <c r="R39" s="4">
        <v>47.758000000000003</v>
      </c>
      <c r="S39" s="4">
        <v>46.905999999999999</v>
      </c>
      <c r="T39" s="4">
        <v>43.482999999999997</v>
      </c>
      <c r="U39" s="3">
        <v>40.344999999999999</v>
      </c>
      <c r="V39" s="3">
        <v>39.637999999999998</v>
      </c>
      <c r="W39" s="3">
        <v>39.668999999999997</v>
      </c>
      <c r="AF39" s="4">
        <v>47.758000000000003</v>
      </c>
      <c r="AG39" s="3">
        <f t="shared" si="120"/>
        <v>39.637999999999998</v>
      </c>
    </row>
    <row r="40" spans="2:39" s="3" customFormat="1" x14ac:dyDescent="0.25">
      <c r="B40" s="3" t="s">
        <v>37</v>
      </c>
      <c r="C40" s="4"/>
      <c r="D40" s="4"/>
      <c r="E40" s="4"/>
      <c r="F40" s="4"/>
      <c r="G40" s="4"/>
      <c r="H40" s="4"/>
      <c r="I40" s="4"/>
      <c r="J40" s="4"/>
      <c r="K40" s="4">
        <v>224.88800000000001</v>
      </c>
      <c r="L40" s="4"/>
      <c r="M40" s="4"/>
      <c r="N40" s="4"/>
      <c r="O40" s="4">
        <v>210.01900000000001</v>
      </c>
      <c r="P40" s="4">
        <v>199.661</v>
      </c>
      <c r="Q40" s="4">
        <v>190.191</v>
      </c>
      <c r="R40" s="4">
        <v>182.863</v>
      </c>
      <c r="S40" s="4">
        <v>173.70699999999999</v>
      </c>
      <c r="T40" s="4">
        <v>213.453</v>
      </c>
      <c r="U40" s="3">
        <v>211.57</v>
      </c>
      <c r="V40" s="3">
        <v>200.74</v>
      </c>
      <c r="W40" s="3">
        <v>209.34800000000001</v>
      </c>
      <c r="AF40" s="4">
        <v>182.863</v>
      </c>
      <c r="AG40" s="3">
        <f t="shared" si="120"/>
        <v>200.74</v>
      </c>
    </row>
    <row r="41" spans="2:39" s="3" customFormat="1" x14ac:dyDescent="0.25">
      <c r="B41" s="3" t="s">
        <v>38</v>
      </c>
      <c r="C41" s="4"/>
      <c r="D41" s="4"/>
      <c r="E41" s="4"/>
      <c r="F41" s="4"/>
      <c r="G41" s="4"/>
      <c r="H41" s="4"/>
      <c r="I41" s="4"/>
      <c r="J41" s="4"/>
      <c r="K41" s="4">
        <v>95.828999999999994</v>
      </c>
      <c r="L41" s="4"/>
      <c r="M41" s="4"/>
      <c r="N41" s="4"/>
      <c r="O41" s="4">
        <v>141.762</v>
      </c>
      <c r="P41" s="4">
        <v>149.59200000000001</v>
      </c>
      <c r="Q41" s="4">
        <v>143.696</v>
      </c>
      <c r="R41" s="4">
        <v>153.18600000000001</v>
      </c>
      <c r="S41" s="4">
        <v>150.40199999999999</v>
      </c>
      <c r="T41" s="4">
        <v>161.434</v>
      </c>
      <c r="U41" s="3">
        <v>164.22</v>
      </c>
      <c r="V41" s="3">
        <v>166.21700000000001</v>
      </c>
      <c r="W41" s="3">
        <v>205.30099999999999</v>
      </c>
      <c r="AF41" s="4">
        <v>153.18600000000001</v>
      </c>
      <c r="AG41" s="3">
        <f t="shared" si="120"/>
        <v>166.21700000000001</v>
      </c>
    </row>
    <row r="42" spans="2:39" s="3" customFormat="1" x14ac:dyDescent="0.25">
      <c r="B42" s="3" t="s">
        <v>39</v>
      </c>
      <c r="C42" s="4"/>
      <c r="D42" s="4"/>
      <c r="E42" s="4"/>
      <c r="F42" s="4"/>
      <c r="G42" s="4"/>
      <c r="H42" s="4"/>
      <c r="I42" s="4"/>
      <c r="J42" s="4"/>
      <c r="K42" s="4">
        <f>SUM(K36:K41)</f>
        <v>3319.1790000000005</v>
      </c>
      <c r="L42" s="4"/>
      <c r="M42" s="4"/>
      <c r="N42" s="4"/>
      <c r="O42" s="4">
        <f t="shared" ref="O42:W42" si="121">SUM(O36:O41)</f>
        <v>3683.1379999999995</v>
      </c>
      <c r="P42" s="4">
        <f t="shared" si="121"/>
        <v>3980.2640000000001</v>
      </c>
      <c r="Q42" s="4">
        <f t="shared" si="121"/>
        <v>4193.4169999999995</v>
      </c>
      <c r="R42" s="4">
        <f t="shared" si="121"/>
        <v>4522.4250000000002</v>
      </c>
      <c r="S42" s="4">
        <f t="shared" si="121"/>
        <v>4807.0790000000006</v>
      </c>
      <c r="T42" s="4">
        <f t="shared" si="121"/>
        <v>5191.8800000000019</v>
      </c>
      <c r="U42" s="4">
        <f t="shared" si="121"/>
        <v>5768.0969999999998</v>
      </c>
      <c r="V42" s="4">
        <f t="shared" si="121"/>
        <v>6340.8839999999991</v>
      </c>
      <c r="W42" s="4">
        <f t="shared" si="121"/>
        <v>6736.9170000000004</v>
      </c>
      <c r="AF42" s="4">
        <f>SUM(AF36:AF41)</f>
        <v>4522.4250000000002</v>
      </c>
      <c r="AG42" s="3">
        <f>SUM(AG36:AG41)</f>
        <v>6340.8839999999991</v>
      </c>
    </row>
    <row r="43" spans="2:39" x14ac:dyDescent="0.25">
      <c r="AF43" s="2"/>
    </row>
    <row r="44" spans="2:39" s="3" customFormat="1" x14ac:dyDescent="0.25">
      <c r="B44" s="3" t="s">
        <v>40</v>
      </c>
      <c r="C44" s="4"/>
      <c r="D44" s="4"/>
      <c r="E44" s="4"/>
      <c r="F44" s="4"/>
      <c r="G44" s="4"/>
      <c r="H44" s="4"/>
      <c r="I44" s="4"/>
      <c r="J44" s="4"/>
      <c r="K44" s="4">
        <v>27.454000000000001</v>
      </c>
      <c r="L44" s="4"/>
      <c r="M44" s="4"/>
      <c r="N44" s="4"/>
      <c r="O44" s="4">
        <v>4.53</v>
      </c>
      <c r="P44" s="4">
        <v>4.6130000000000004</v>
      </c>
      <c r="Q44" s="4">
        <v>9.4749999999999996</v>
      </c>
      <c r="R44" s="4">
        <v>12.122</v>
      </c>
      <c r="S44" s="4">
        <v>35.634</v>
      </c>
      <c r="T44" s="4">
        <v>67.344999999999999</v>
      </c>
      <c r="U44" s="3">
        <v>27.021000000000001</v>
      </c>
      <c r="V44" s="3">
        <v>0.10299999999999999</v>
      </c>
      <c r="W44" s="3">
        <v>2.33</v>
      </c>
      <c r="AF44" s="4">
        <v>12.122</v>
      </c>
      <c r="AG44" s="3">
        <f t="shared" ref="AG44:AG50" si="122">+V44</f>
        <v>0.10299999999999999</v>
      </c>
    </row>
    <row r="45" spans="2:39" s="3" customFormat="1" x14ac:dyDescent="0.25">
      <c r="B45" s="3" t="s">
        <v>41</v>
      </c>
      <c r="C45" s="4"/>
      <c r="D45" s="4"/>
      <c r="E45" s="4"/>
      <c r="F45" s="4"/>
      <c r="G45" s="4"/>
      <c r="H45" s="4"/>
      <c r="I45" s="4"/>
      <c r="J45" s="4"/>
      <c r="K45" s="4">
        <v>150.17599999999999</v>
      </c>
      <c r="L45" s="4"/>
      <c r="M45" s="4"/>
      <c r="N45" s="4"/>
      <c r="O45" s="4">
        <v>174.52500000000001</v>
      </c>
      <c r="P45" s="4">
        <v>184.61699999999999</v>
      </c>
      <c r="Q45" s="4">
        <v>174.75299999999999</v>
      </c>
      <c r="R45" s="4">
        <v>222.99100000000001</v>
      </c>
      <c r="S45" s="4">
        <v>206.03399999999999</v>
      </c>
      <c r="T45" s="4">
        <v>195.489</v>
      </c>
      <c r="U45" s="3">
        <v>265.24400000000003</v>
      </c>
      <c r="V45" s="3">
        <v>427.04599999999999</v>
      </c>
      <c r="W45" s="3">
        <v>371.06099999999998</v>
      </c>
      <c r="AF45" s="4">
        <v>222.99100000000001</v>
      </c>
      <c r="AG45" s="3">
        <f t="shared" si="122"/>
        <v>427.04599999999999</v>
      </c>
    </row>
    <row r="46" spans="2:39" s="3" customFormat="1" x14ac:dyDescent="0.25">
      <c r="B46" s="3" t="s">
        <v>42</v>
      </c>
      <c r="C46" s="4"/>
      <c r="D46" s="4"/>
      <c r="E46" s="4"/>
      <c r="F46" s="4"/>
      <c r="G46" s="4"/>
      <c r="H46" s="4"/>
      <c r="I46" s="4"/>
      <c r="J46" s="4"/>
      <c r="K46" s="4">
        <f>218.521+33.244</f>
        <v>251.76499999999999</v>
      </c>
      <c r="L46" s="4"/>
      <c r="M46" s="4"/>
      <c r="N46" s="4"/>
      <c r="O46" s="4">
        <f>229.551+54.4</f>
        <v>283.95099999999996</v>
      </c>
      <c r="P46" s="4">
        <f>260.335+50.408</f>
        <v>310.74299999999999</v>
      </c>
      <c r="Q46" s="4">
        <f>223.507+34.88</f>
        <v>258.387</v>
      </c>
      <c r="R46" s="4">
        <f>246.901+28.047</f>
        <v>274.94800000000004</v>
      </c>
      <c r="S46" s="4">
        <f>237.195+20.722</f>
        <v>257.91699999999997</v>
      </c>
      <c r="T46" s="4">
        <f>278.441+15.649</f>
        <v>294.08999999999997</v>
      </c>
      <c r="U46" s="3">
        <f>236.608+7.825</f>
        <v>244.43299999999999</v>
      </c>
      <c r="V46" s="3">
        <f>259.624+39.885</f>
        <v>299.50900000000001</v>
      </c>
      <c r="W46" s="3">
        <f>318.556+36.372</f>
        <v>354.928</v>
      </c>
      <c r="AF46" s="4">
        <f>246.901+28.047</f>
        <v>274.94800000000004</v>
      </c>
      <c r="AG46" s="3">
        <f t="shared" si="122"/>
        <v>299.50900000000001</v>
      </c>
    </row>
    <row r="47" spans="2:39" s="3" customFormat="1" x14ac:dyDescent="0.25">
      <c r="B47" s="3" t="s">
        <v>43</v>
      </c>
      <c r="C47" s="4"/>
      <c r="D47" s="4"/>
      <c r="E47" s="4"/>
      <c r="F47" s="4"/>
      <c r="G47" s="4"/>
      <c r="H47" s="4"/>
      <c r="I47" s="4"/>
      <c r="J47" s="4"/>
      <c r="K47" s="4">
        <f>232.908+22.276</f>
        <v>255.184</v>
      </c>
      <c r="L47" s="4"/>
      <c r="M47" s="4"/>
      <c r="N47" s="4"/>
      <c r="O47" s="4">
        <f>139.741+4.162</f>
        <v>143.90300000000002</v>
      </c>
      <c r="P47" s="4">
        <f>183.964+3.099</f>
        <v>187.06299999999999</v>
      </c>
      <c r="Q47" s="4">
        <f>228.986+2.234</f>
        <v>231.22</v>
      </c>
      <c r="R47" s="4">
        <f>1.477+209.828</f>
        <v>211.30500000000001</v>
      </c>
      <c r="S47" s="4">
        <f>217.634+1.651</f>
        <v>219.285</v>
      </c>
      <c r="T47" s="4">
        <f>221.519+1.527</f>
        <v>223.04599999999999</v>
      </c>
      <c r="U47" s="3">
        <f>366.946+3.681</f>
        <v>370.62700000000001</v>
      </c>
      <c r="V47" s="3">
        <f>1.663+265.252</f>
        <v>266.91500000000002</v>
      </c>
      <c r="W47" s="3">
        <f>231.077+1.463</f>
        <v>232.54</v>
      </c>
      <c r="AF47" s="4">
        <f>1.477+209.828</f>
        <v>211.30500000000001</v>
      </c>
      <c r="AG47" s="3">
        <f t="shared" si="122"/>
        <v>266.91500000000002</v>
      </c>
    </row>
    <row r="48" spans="2:39" s="3" customFormat="1" x14ac:dyDescent="0.25">
      <c r="B48" s="3" t="s">
        <v>37</v>
      </c>
      <c r="C48" s="4"/>
      <c r="D48" s="4"/>
      <c r="E48" s="4"/>
      <c r="F48" s="4"/>
      <c r="G48" s="4"/>
      <c r="H48" s="4"/>
      <c r="I48" s="4"/>
      <c r="J48" s="4"/>
      <c r="K48" s="4">
        <f>40.045+227.617</f>
        <v>267.66199999999998</v>
      </c>
      <c r="L48" s="4"/>
      <c r="M48" s="4"/>
      <c r="N48" s="4"/>
      <c r="O48" s="4">
        <f>53.066+206.422</f>
        <v>259.488</v>
      </c>
      <c r="P48" s="4">
        <f>51.855+194.134</f>
        <v>245.98899999999998</v>
      </c>
      <c r="Q48" s="4">
        <f>52.204+184.067</f>
        <v>236.27100000000002</v>
      </c>
      <c r="R48" s="4">
        <f>54.176+175.216</f>
        <v>229.392</v>
      </c>
      <c r="S48" s="4">
        <f>54.056+163.013</f>
        <v>217.06900000000002</v>
      </c>
      <c r="T48" s="4">
        <f>44.125+214.334</f>
        <v>258.459</v>
      </c>
      <c r="U48" s="3">
        <f>47.637+207.278</f>
        <v>254.91499999999999</v>
      </c>
      <c r="V48" s="3">
        <f>195.226+43.993</f>
        <v>239.21899999999999</v>
      </c>
      <c r="W48" s="3">
        <f>200.177+44.419</f>
        <v>244.596</v>
      </c>
      <c r="AF48" s="4">
        <f>54.176+175.216</f>
        <v>229.392</v>
      </c>
      <c r="AG48" s="3">
        <f t="shared" si="122"/>
        <v>239.21899999999999</v>
      </c>
    </row>
    <row r="49" spans="2:36" s="3" customFormat="1" x14ac:dyDescent="0.25">
      <c r="B49" s="3" t="s">
        <v>46</v>
      </c>
      <c r="C49" s="4"/>
      <c r="D49" s="4"/>
      <c r="E49" s="4"/>
      <c r="F49" s="4"/>
      <c r="G49" s="4"/>
      <c r="H49" s="4"/>
      <c r="I49" s="4"/>
      <c r="J49" s="4"/>
      <c r="K49" s="4">
        <v>2.1920000000000002</v>
      </c>
      <c r="L49" s="4"/>
      <c r="M49" s="4"/>
      <c r="N49" s="4"/>
      <c r="O49" s="4">
        <v>13.548</v>
      </c>
      <c r="P49" s="4">
        <v>12.101000000000001</v>
      </c>
      <c r="Q49" s="4">
        <v>11.414</v>
      </c>
      <c r="R49" s="4">
        <v>10.702</v>
      </c>
      <c r="S49" s="4">
        <v>9.968</v>
      </c>
      <c r="T49" s="4">
        <v>15.645</v>
      </c>
      <c r="U49" s="3">
        <v>14.494999999999999</v>
      </c>
      <c r="V49" s="3">
        <v>13.685</v>
      </c>
      <c r="W49" s="3">
        <v>12.489000000000001</v>
      </c>
      <c r="AF49" s="4">
        <v>10.702</v>
      </c>
      <c r="AG49" s="3">
        <f t="shared" si="122"/>
        <v>13.685</v>
      </c>
    </row>
    <row r="50" spans="2:36" s="3" customFormat="1" x14ac:dyDescent="0.25">
      <c r="B50" s="3" t="s">
        <v>44</v>
      </c>
      <c r="C50" s="4"/>
      <c r="D50" s="4"/>
      <c r="E50" s="4"/>
      <c r="F50" s="4"/>
      <c r="G50" s="4"/>
      <c r="H50" s="4"/>
      <c r="I50" s="4"/>
      <c r="J50" s="4"/>
      <c r="K50" s="4">
        <v>2364.7460000000001</v>
      </c>
      <c r="L50" s="4"/>
      <c r="M50" s="4"/>
      <c r="N50" s="4"/>
      <c r="O50" s="4">
        <v>2803.1930000000002</v>
      </c>
      <c r="P50" s="4">
        <v>3035.1379999999999</v>
      </c>
      <c r="Q50" s="4">
        <v>3271.8969999999999</v>
      </c>
      <c r="R50" s="4">
        <v>3560.9650000000001</v>
      </c>
      <c r="S50" s="4">
        <v>3861.172</v>
      </c>
      <c r="T50" s="4">
        <v>4137.8059999999996</v>
      </c>
      <c r="U50" s="3">
        <v>4591.3620000000001</v>
      </c>
      <c r="V50" s="3">
        <v>5094.4070000000002</v>
      </c>
      <c r="W50" s="3">
        <v>5518.973</v>
      </c>
      <c r="AF50" s="4">
        <v>3560.9650000000001</v>
      </c>
      <c r="AG50" s="3">
        <f t="shared" si="122"/>
        <v>5094.4070000000002</v>
      </c>
    </row>
    <row r="51" spans="2:36" s="3" customFormat="1" x14ac:dyDescent="0.25">
      <c r="B51" s="3" t="s">
        <v>45</v>
      </c>
      <c r="C51" s="4"/>
      <c r="D51" s="4"/>
      <c r="E51" s="4"/>
      <c r="F51" s="4"/>
      <c r="G51" s="4"/>
      <c r="H51" s="4"/>
      <c r="I51" s="4"/>
      <c r="J51" s="4"/>
      <c r="K51" s="4">
        <f>SUM(K44:K50)</f>
        <v>3319.1790000000001</v>
      </c>
      <c r="L51" s="4"/>
      <c r="M51" s="4"/>
      <c r="N51" s="4"/>
      <c r="O51" s="4">
        <f t="shared" ref="O51:W51" si="123">SUM(O44:O50)</f>
        <v>3683.1379999999999</v>
      </c>
      <c r="P51" s="4">
        <f t="shared" si="123"/>
        <v>3980.2639999999997</v>
      </c>
      <c r="Q51" s="4">
        <f t="shared" si="123"/>
        <v>4193.4169999999995</v>
      </c>
      <c r="R51" s="4">
        <f t="shared" si="123"/>
        <v>4522.4250000000002</v>
      </c>
      <c r="S51" s="4">
        <f t="shared" si="123"/>
        <v>4807.0789999999997</v>
      </c>
      <c r="T51" s="4">
        <f t="shared" si="123"/>
        <v>5191.8799999999992</v>
      </c>
      <c r="U51" s="4">
        <f t="shared" si="123"/>
        <v>5768.0969999999998</v>
      </c>
      <c r="V51" s="4">
        <f t="shared" si="123"/>
        <v>6340.884</v>
      </c>
      <c r="W51" s="4">
        <f t="shared" si="123"/>
        <v>6736.9169999999995</v>
      </c>
      <c r="AF51" s="4">
        <f>SUM(AF44:AF50)</f>
        <v>4522.4250000000002</v>
      </c>
      <c r="AG51" s="3">
        <f>SUM(AG44:AG50)</f>
        <v>6340.884</v>
      </c>
    </row>
    <row r="52" spans="2:36" x14ac:dyDescent="0.25">
      <c r="W52" s="3"/>
    </row>
    <row r="53" spans="2:36" x14ac:dyDescent="0.25">
      <c r="B53" s="3" t="s">
        <v>56</v>
      </c>
      <c r="O53" s="4">
        <f>+O25</f>
        <v>131.51600000000008</v>
      </c>
      <c r="R53" s="4"/>
      <c r="S53" s="4">
        <f>+S25</f>
        <v>231.18099999999993</v>
      </c>
      <c r="T53" s="4">
        <f>+T25</f>
        <v>225.89000000000001</v>
      </c>
      <c r="U53" s="4">
        <f>+U25</f>
        <v>285.95000000000005</v>
      </c>
      <c r="V53" s="4">
        <f>+V25</f>
        <v>343.96600000000001</v>
      </c>
      <c r="W53" s="4">
        <f>+W25</f>
        <v>375.37400000000008</v>
      </c>
      <c r="AD53" s="16">
        <f>+AD25</f>
        <v>-444.96400000000006</v>
      </c>
      <c r="AE53" s="16">
        <f>+AE25</f>
        <v>-250.18730000000028</v>
      </c>
      <c r="AF53" s="16">
        <f>+AF25</f>
        <v>-172.64291000000003</v>
      </c>
      <c r="AG53" s="3">
        <f t="shared" ref="AG53:AG61" si="124">SUM(S53:V53)</f>
        <v>1086.9870000000001</v>
      </c>
    </row>
    <row r="54" spans="2:36" x14ac:dyDescent="0.25">
      <c r="B54" s="3" t="s">
        <v>57</v>
      </c>
      <c r="O54" s="4">
        <v>19.151</v>
      </c>
      <c r="R54" s="4"/>
      <c r="S54" s="4">
        <v>106.071</v>
      </c>
      <c r="T54" s="4">
        <f>241.641-S54</f>
        <v>135.57</v>
      </c>
      <c r="U54" s="3">
        <f>390.982-T54-S54</f>
        <v>149.34100000000004</v>
      </c>
      <c r="V54" s="3">
        <f>467.918-U54-T54-S54</f>
        <v>76.936000000000007</v>
      </c>
      <c r="W54" s="3">
        <v>217.71700000000001</v>
      </c>
      <c r="AD54" s="16">
        <v>-520.37900000000002</v>
      </c>
      <c r="AE54" s="16">
        <v>-371.09399999999999</v>
      </c>
      <c r="AF54" s="16">
        <v>217.375</v>
      </c>
      <c r="AG54" s="3">
        <f t="shared" si="124"/>
        <v>467.91800000000001</v>
      </c>
    </row>
    <row r="55" spans="2:36" x14ac:dyDescent="0.25">
      <c r="B55" s="3" t="s">
        <v>58</v>
      </c>
      <c r="O55" s="4">
        <v>8.32</v>
      </c>
      <c r="R55" s="4"/>
      <c r="S55" s="4">
        <v>8.4380000000000006</v>
      </c>
      <c r="T55" s="4">
        <f>16.494-S55</f>
        <v>8.0559999999999992</v>
      </c>
      <c r="U55" s="3">
        <f>24.581-T55-S55</f>
        <v>8.086999999999998</v>
      </c>
      <c r="V55" s="3">
        <f>31.587-U55-T55-S55</f>
        <v>7.0060000000000002</v>
      </c>
      <c r="W55" s="3">
        <v>6.6219999999999999</v>
      </c>
      <c r="AD55" s="16">
        <v>14.897</v>
      </c>
      <c r="AE55" s="16">
        <v>22.521999999999998</v>
      </c>
      <c r="AF55" s="16">
        <v>33.353999999999999</v>
      </c>
      <c r="AG55" s="3">
        <f t="shared" si="124"/>
        <v>31.586999999999996</v>
      </c>
    </row>
    <row r="56" spans="2:36" x14ac:dyDescent="0.25">
      <c r="B56" s="3" t="s">
        <v>59</v>
      </c>
      <c r="O56" s="4">
        <v>114.714</v>
      </c>
      <c r="R56" s="4"/>
      <c r="S56" s="4">
        <v>125.651</v>
      </c>
      <c r="T56" s="4">
        <f>267.415-S56</f>
        <v>141.76400000000001</v>
      </c>
      <c r="U56" s="3">
        <f>409.84-T56-S56</f>
        <v>142.42499999999995</v>
      </c>
      <c r="V56" s="3">
        <f>691.638-U56-T56-S56</f>
        <v>281.79800000000006</v>
      </c>
      <c r="W56" s="3">
        <v>155.339</v>
      </c>
      <c r="AD56" s="16">
        <v>778.21500000000003</v>
      </c>
      <c r="AE56" s="16">
        <v>564.798</v>
      </c>
      <c r="AF56" s="16">
        <v>475.90300000000002</v>
      </c>
      <c r="AG56" s="3">
        <f t="shared" si="124"/>
        <v>691.63800000000003</v>
      </c>
    </row>
    <row r="57" spans="2:36" x14ac:dyDescent="0.25">
      <c r="B57" s="3" t="s">
        <v>37</v>
      </c>
      <c r="O57" s="4">
        <v>10.836</v>
      </c>
      <c r="R57" s="4"/>
      <c r="S57" s="4">
        <v>12.366</v>
      </c>
      <c r="T57" s="4">
        <f>22.439-S57</f>
        <v>10.073</v>
      </c>
      <c r="U57" s="3">
        <f>32.041-T57-S57</f>
        <v>9.6019999999999968</v>
      </c>
      <c r="V57" s="3">
        <f>41.239-U57-T57-S57</f>
        <v>9.1980000000000004</v>
      </c>
      <c r="W57" s="3">
        <v>10.688000000000001</v>
      </c>
      <c r="AD57" s="16">
        <v>33.820999999999998</v>
      </c>
      <c r="AE57" s="16">
        <v>40.308999999999997</v>
      </c>
      <c r="AF57" s="16">
        <v>47.018999999999998</v>
      </c>
      <c r="AG57" s="3">
        <f t="shared" si="124"/>
        <v>41.238999999999997</v>
      </c>
    </row>
    <row r="58" spans="2:36" x14ac:dyDescent="0.25">
      <c r="B58" s="3" t="s">
        <v>60</v>
      </c>
      <c r="O58" s="4">
        <v>8.5079999999999991</v>
      </c>
      <c r="R58" s="4"/>
      <c r="S58" s="4">
        <v>12.353999999999999</v>
      </c>
      <c r="T58" s="4">
        <f>20.042-S58</f>
        <v>7.6880000000000024</v>
      </c>
      <c r="U58" s="3">
        <f>26.021-T58-S58</f>
        <v>5.9789999999999992</v>
      </c>
      <c r="V58" s="3">
        <f>19.306-U58-T58-S58</f>
        <v>-6.7149999999999999</v>
      </c>
      <c r="W58" s="3">
        <v>0</v>
      </c>
      <c r="AD58" s="16">
        <v>73.311000000000007</v>
      </c>
      <c r="AE58" s="16">
        <v>272.108</v>
      </c>
      <c r="AF58" s="16">
        <v>13.16</v>
      </c>
      <c r="AG58" s="3">
        <f t="shared" si="124"/>
        <v>19.306000000000001</v>
      </c>
    </row>
    <row r="59" spans="2:36" x14ac:dyDescent="0.25">
      <c r="B59" s="3" t="s">
        <v>61</v>
      </c>
      <c r="O59" s="4">
        <v>0</v>
      </c>
      <c r="R59" s="4"/>
      <c r="S59" s="4">
        <v>-11.907</v>
      </c>
      <c r="T59" s="4">
        <f>-26.484-S59</f>
        <v>-14.577000000000002</v>
      </c>
      <c r="U59" s="3">
        <f>-34.789-T59-S59</f>
        <v>-8.3049999999999997</v>
      </c>
      <c r="V59" s="3">
        <f>-52.521-U59-T59-S59</f>
        <v>-17.731999999999999</v>
      </c>
      <c r="W59" s="3">
        <v>-17.312999999999999</v>
      </c>
      <c r="AD59" s="16">
        <v>0</v>
      </c>
      <c r="AE59" s="16">
        <v>-15.537000000000001</v>
      </c>
      <c r="AF59" s="16">
        <v>-46.609000000000002</v>
      </c>
      <c r="AG59" s="3">
        <f t="shared" si="124"/>
        <v>-52.521000000000001</v>
      </c>
    </row>
    <row r="60" spans="2:36" x14ac:dyDescent="0.25">
      <c r="B60" s="3" t="s">
        <v>38</v>
      </c>
      <c r="O60" s="4">
        <v>-11.342000000000001</v>
      </c>
      <c r="R60" s="4"/>
      <c r="S60" s="4">
        <v>-6.774</v>
      </c>
      <c r="T60" s="4">
        <f>-11.088-S60</f>
        <v>-4.3139999999999992</v>
      </c>
      <c r="U60" s="3">
        <f>19.115-T60-S60</f>
        <v>30.202999999999999</v>
      </c>
      <c r="V60" s="3">
        <f>24.795-U60-T60-S60</f>
        <v>5.6800000000000015</v>
      </c>
      <c r="W60" s="3">
        <v>3.5310000000000001</v>
      </c>
      <c r="AD60" s="16">
        <f>2.767+43.316</f>
        <v>46.083000000000006</v>
      </c>
      <c r="AE60" s="16">
        <f>16.328-44.306-0.174</f>
        <v>-28.151999999999997</v>
      </c>
      <c r="AF60" s="16">
        <f>-4.806-29.449</f>
        <v>-34.255000000000003</v>
      </c>
      <c r="AG60" s="3">
        <f t="shared" si="124"/>
        <v>24.795000000000002</v>
      </c>
    </row>
    <row r="61" spans="2:36" s="3" customFormat="1" x14ac:dyDescent="0.25">
      <c r="B61" s="3" t="s">
        <v>62</v>
      </c>
      <c r="C61" s="4"/>
      <c r="D61" s="4"/>
      <c r="E61" s="4"/>
      <c r="F61" s="4"/>
      <c r="G61" s="4">
        <v>116881</v>
      </c>
      <c r="H61" s="4"/>
      <c r="I61" s="4"/>
      <c r="J61" s="4"/>
      <c r="K61" s="4">
        <v>35477</v>
      </c>
      <c r="L61" s="4"/>
      <c r="M61" s="4"/>
      <c r="N61" s="4"/>
      <c r="O61" s="4">
        <f>-0.628+1.973-4.551-39.921+4.271+88.673-2.112-10.536+0.2</f>
        <v>37.369</v>
      </c>
      <c r="P61" s="4"/>
      <c r="Q61" s="4"/>
      <c r="R61" s="4"/>
      <c r="S61" s="4">
        <f>-121.884+19.399+3.525+23.809-19.105-14.802+7.953-15.482-0.033</f>
        <v>-116.61999999999999</v>
      </c>
      <c r="T61" s="4">
        <f>-298.311-2.774+5.571+53.372-30.548+21.463+11.806-23.778+6.506-S61</f>
        <v>-140.07299999999998</v>
      </c>
      <c r="U61" s="3">
        <f>-311.699-19.547+4.056+7.71+42.149-27.117+159.457-35.205+5.943-T61-S61</f>
        <v>82.439999999999898</v>
      </c>
      <c r="V61" s="3">
        <f>-211.157+7.202+4.681-18.841+115.634+22.356+54.44-48.966+4.554-U61-T61-S61</f>
        <v>104.15600000000005</v>
      </c>
      <c r="W61" s="3">
        <f>-134.959+40.73+22.395+18.76-13.247</f>
        <v>-66.321000000000012</v>
      </c>
      <c r="AD61" s="16">
        <f>-35.237-10.974-3.345+57.767+15.245+24.732-104.944-32.156-3.185</f>
        <v>-92.097000000000008</v>
      </c>
      <c r="AE61" s="16">
        <f>-72.819-24.811+6.033-29.859+5.527-61.154-49.471-34.59-0.073</f>
        <v>-261.21699999999998</v>
      </c>
      <c r="AF61" s="16">
        <f>-106.159-6.197+3.242-31.832+52.895+79.512+64.347-49.63+0.058</f>
        <v>6.2360000000000042</v>
      </c>
      <c r="AG61" s="3">
        <f t="shared" si="124"/>
        <v>-70.097000000000051</v>
      </c>
    </row>
    <row r="62" spans="2:36" x14ac:dyDescent="0.25">
      <c r="B62" s="3" t="s">
        <v>47</v>
      </c>
      <c r="O62" s="4">
        <f>SUM(O54:O61)</f>
        <v>187.55600000000001</v>
      </c>
      <c r="R62" s="4"/>
      <c r="S62" s="4">
        <f>SUM(S54:S61)</f>
        <v>129.57900000000001</v>
      </c>
      <c r="T62" s="4">
        <f>SUM(T54:T61)</f>
        <v>144.18699999999995</v>
      </c>
      <c r="U62" s="4">
        <f>SUM(U54:U61)</f>
        <v>419.77199999999976</v>
      </c>
      <c r="V62" s="4">
        <f>SUM(V54:V61)</f>
        <v>460.32700000000017</v>
      </c>
      <c r="W62" s="4">
        <f>SUM(W54:W61)</f>
        <v>310.26299999999998</v>
      </c>
      <c r="X62" s="3"/>
      <c r="Y62" s="3"/>
      <c r="Z62" s="3"/>
      <c r="AC62" s="3">
        <v>-296608</v>
      </c>
      <c r="AD62" s="16">
        <f>SUM(AD54:AD61)</f>
        <v>333.851</v>
      </c>
      <c r="AE62" s="16">
        <f>SUM(AE54:AE61)</f>
        <v>223.73700000000002</v>
      </c>
      <c r="AF62" s="16">
        <f>SUM(AF54:AF61)</f>
        <v>712.18299999999999</v>
      </c>
      <c r="AG62" s="3">
        <f>SUM(AG54:AG61)</f>
        <v>1153.8650000000002</v>
      </c>
      <c r="AH62" s="3">
        <v>2200</v>
      </c>
      <c r="AI62" s="3">
        <v>4000</v>
      </c>
      <c r="AJ62">
        <f>+AI62*1.5</f>
        <v>6000</v>
      </c>
    </row>
    <row r="63" spans="2:36" s="18" customFormat="1" ht="13" x14ac:dyDescent="0.3"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1"/>
      <c r="P63" s="20"/>
      <c r="Q63" s="20"/>
      <c r="R63" s="21"/>
      <c r="S63" s="21"/>
      <c r="T63" s="21"/>
      <c r="U63" s="21"/>
      <c r="V63" s="21"/>
      <c r="W63" s="21"/>
      <c r="AC63" s="19"/>
      <c r="AD63" s="22"/>
      <c r="AE63" s="22"/>
      <c r="AF63" s="23">
        <f>AF62/AE62-1</f>
        <v>2.1831257235057229</v>
      </c>
      <c r="AG63" s="23">
        <f>AG62/AF62-1</f>
        <v>0.62018048731856878</v>
      </c>
      <c r="AH63" s="23">
        <f>AH62/AG62-1</f>
        <v>0.90663552495309196</v>
      </c>
      <c r="AI63" s="23">
        <f>AI62/AH62-1</f>
        <v>0.81818181818181812</v>
      </c>
      <c r="AJ63" s="23">
        <f>AJ62/AI62-1</f>
        <v>0.5</v>
      </c>
    </row>
    <row r="65" spans="2:32" x14ac:dyDescent="0.25">
      <c r="B65" s="3" t="s">
        <v>36</v>
      </c>
      <c r="O65" s="4">
        <v>-4.7549999999999999</v>
      </c>
      <c r="R65" s="4"/>
      <c r="S65" s="4">
        <v>-2.6640000000000001</v>
      </c>
      <c r="T65" s="4">
        <f>-5.543-S65</f>
        <v>-2.879</v>
      </c>
      <c r="U65" s="3">
        <f>-9.528-T65-S65</f>
        <v>-3.9850000000000008</v>
      </c>
      <c r="V65" s="3">
        <f>-12.634-U65-T65-S65</f>
        <v>-3.1059999999999994</v>
      </c>
    </row>
    <row r="66" spans="2:32" x14ac:dyDescent="0.25">
      <c r="B66" s="3" t="s">
        <v>64</v>
      </c>
      <c r="O66" s="4">
        <f>-2310.367+709.459+51.072</f>
        <v>-1549.8360000000002</v>
      </c>
      <c r="R66" s="4"/>
      <c r="S66" s="4">
        <f>-1260.327+751.746</f>
        <v>-508.58100000000002</v>
      </c>
      <c r="T66" s="4">
        <f>-1784.115+1133.535-4-S66</f>
        <v>-145.99899999999991</v>
      </c>
      <c r="U66" s="3">
        <f>-3418.699+2451.378-4-T66-S66</f>
        <v>-316.74099999999999</v>
      </c>
      <c r="V66" s="3">
        <f>-5395.913+5073.507-5.15-U66-T66-S66</f>
        <v>643.76499999999999</v>
      </c>
      <c r="W66" s="3"/>
    </row>
    <row r="67" spans="2:32" x14ac:dyDescent="0.25">
      <c r="B67" t="s">
        <v>63</v>
      </c>
      <c r="O67" s="4">
        <f>O65+O66</f>
        <v>-1554.5910000000003</v>
      </c>
      <c r="R67" s="4"/>
      <c r="S67" s="4">
        <f>SUM(S65:S66)</f>
        <v>-511.245</v>
      </c>
      <c r="T67" s="4">
        <f>SUM(T65:T66)</f>
        <v>-148.8779999999999</v>
      </c>
      <c r="U67" s="4">
        <f>SUM(U65:U66)</f>
        <v>-320.726</v>
      </c>
      <c r="V67" s="4">
        <f>SUM(V65:V66)</f>
        <v>640.65899999999999</v>
      </c>
    </row>
    <row r="69" spans="2:32" x14ac:dyDescent="0.25">
      <c r="B69" t="s">
        <v>68</v>
      </c>
      <c r="O69" s="4">
        <v>25.923999999999999</v>
      </c>
      <c r="R69" s="4"/>
      <c r="S69" s="4">
        <v>83.84</v>
      </c>
      <c r="T69" s="4">
        <f>99.87-S69</f>
        <v>16.03</v>
      </c>
      <c r="U69" s="3">
        <f>270.207-T69-S69</f>
        <v>170.33699999999999</v>
      </c>
      <c r="V69" s="3">
        <f>745.396-U69-T69-S69-218.28</f>
        <v>256.90899999999999</v>
      </c>
    </row>
    <row r="70" spans="2:32" x14ac:dyDescent="0.25">
      <c r="B70" t="s">
        <v>69</v>
      </c>
      <c r="O70" s="4">
        <v>0</v>
      </c>
      <c r="R70" s="4"/>
      <c r="S70" s="4">
        <v>-9</v>
      </c>
      <c r="T70" s="4">
        <f>-26.699-S70</f>
        <v>-17.699000000000002</v>
      </c>
      <c r="U70" s="3">
        <f>-45.598-T70-S70</f>
        <v>-18.898999999999997</v>
      </c>
      <c r="V70" s="3">
        <f>-64.196-U70-T70-S70</f>
        <v>-18.597999999999995</v>
      </c>
    </row>
    <row r="71" spans="2:32" x14ac:dyDescent="0.25">
      <c r="B71" t="s">
        <v>38</v>
      </c>
      <c r="O71" s="4">
        <v>5.8999999999999997E-2</v>
      </c>
      <c r="R71" s="4"/>
      <c r="S71" s="4">
        <v>0.40799999999999997</v>
      </c>
      <c r="T71" s="4">
        <f>0.102-S71</f>
        <v>-0.30599999999999999</v>
      </c>
      <c r="U71" s="3">
        <f>0.091-T71-S71</f>
        <v>-1.0999999999999954E-2</v>
      </c>
      <c r="V71" s="3">
        <f>0.444-U71-T71-S71</f>
        <v>0.35299999999999992</v>
      </c>
    </row>
    <row r="72" spans="2:32" x14ac:dyDescent="0.25">
      <c r="B72" t="s">
        <v>67</v>
      </c>
      <c r="O72" s="4">
        <f>SUM(O69:O71)</f>
        <v>25.983000000000001</v>
      </c>
      <c r="R72" s="4"/>
      <c r="S72" s="4">
        <f>SUM(S69:S71)</f>
        <v>75.248000000000005</v>
      </c>
      <c r="T72" s="4">
        <f>SUM(T69:T71)</f>
        <v>-1.9750000000000005</v>
      </c>
      <c r="U72" s="4">
        <f>SUM(U69:U71)</f>
        <v>151.42699999999999</v>
      </c>
      <c r="V72" s="4">
        <f>SUM(V69:V71)</f>
        <v>238.66400000000002</v>
      </c>
    </row>
    <row r="73" spans="2:32" x14ac:dyDescent="0.25">
      <c r="B73" t="s">
        <v>66</v>
      </c>
      <c r="O73" s="4">
        <v>2.6760000000000002</v>
      </c>
      <c r="R73" s="4"/>
      <c r="S73" s="4">
        <v>-4.024</v>
      </c>
      <c r="T73" s="4">
        <f>-4.948-S73</f>
        <v>-0.92400000000000038</v>
      </c>
      <c r="U73" s="3">
        <f>0.96-T73-S73</f>
        <v>5.9080000000000004</v>
      </c>
      <c r="V73" s="3">
        <f>-6.745-U73-T73-S73</f>
        <v>-7.7049999999999992</v>
      </c>
    </row>
    <row r="74" spans="2:32" x14ac:dyDescent="0.25">
      <c r="B74" t="s">
        <v>65</v>
      </c>
      <c r="O74" s="4">
        <f>+O73+O72+O67+O62</f>
        <v>-1338.3760000000002</v>
      </c>
      <c r="R74" s="4"/>
      <c r="S74" s="4">
        <f>+S73+S72+S67+S62</f>
        <v>-310.44200000000001</v>
      </c>
      <c r="T74" s="4">
        <f t="shared" ref="T74:V74" si="125">+T73+T72+T67+T62</f>
        <v>-7.5899999999999466</v>
      </c>
      <c r="U74" s="4">
        <f t="shared" si="125"/>
        <v>256.38099999999974</v>
      </c>
      <c r="V74" s="4">
        <f t="shared" si="125"/>
        <v>1331.9450000000002</v>
      </c>
    </row>
    <row r="77" spans="2:32" x14ac:dyDescent="0.25">
      <c r="B77" t="s">
        <v>70</v>
      </c>
      <c r="R77" s="2">
        <v>375</v>
      </c>
      <c r="S77" s="2">
        <v>427</v>
      </c>
      <c r="T77" s="2">
        <v>467</v>
      </c>
      <c r="U77">
        <v>498</v>
      </c>
      <c r="V77">
        <v>571</v>
      </c>
    </row>
    <row r="78" spans="2:32" x14ac:dyDescent="0.25">
      <c r="B78" t="s">
        <v>84</v>
      </c>
      <c r="N78" s="2">
        <v>367</v>
      </c>
      <c r="R78" s="2">
        <v>497</v>
      </c>
      <c r="S78" s="2">
        <v>554</v>
      </c>
      <c r="T78" s="2">
        <v>593</v>
      </c>
      <c r="U78">
        <v>629</v>
      </c>
      <c r="V78">
        <v>711</v>
      </c>
      <c r="AE78">
        <f>+N78</f>
        <v>367</v>
      </c>
      <c r="AF78">
        <f>+R78</f>
        <v>497</v>
      </c>
    </row>
    <row r="79" spans="2:32" x14ac:dyDescent="0.25">
      <c r="B79" t="s">
        <v>85</v>
      </c>
      <c r="R79" s="8">
        <v>0.62</v>
      </c>
      <c r="AF79" s="8">
        <v>0.62</v>
      </c>
    </row>
    <row r="80" spans="2:32" x14ac:dyDescent="0.25">
      <c r="B80" t="s">
        <v>86</v>
      </c>
      <c r="R80" s="8">
        <v>0.38</v>
      </c>
      <c r="AF80" s="8">
        <v>0.38</v>
      </c>
    </row>
    <row r="81" spans="2:32" x14ac:dyDescent="0.25">
      <c r="B81" t="s">
        <v>87</v>
      </c>
      <c r="R81" s="8">
        <v>0.55000000000000004</v>
      </c>
      <c r="AF81" s="8">
        <v>0.55000000000000004</v>
      </c>
    </row>
    <row r="82" spans="2:32" x14ac:dyDescent="0.25">
      <c r="B82" t="s">
        <v>88</v>
      </c>
      <c r="R82" s="8">
        <v>0.45</v>
      </c>
      <c r="AF82" s="8">
        <v>0.45</v>
      </c>
    </row>
    <row r="84" spans="2:32" x14ac:dyDescent="0.25">
      <c r="U84" s="17">
        <f>+U62/U14</f>
        <v>0.57858406982065147</v>
      </c>
      <c r="V84" s="17">
        <f>+V62/V14</f>
        <v>0.55627363238789707</v>
      </c>
      <c r="W84" s="17">
        <f>+W62/W14</f>
        <v>0.35137372593431482</v>
      </c>
    </row>
  </sheetData>
  <hyperlinks>
    <hyperlink ref="A1" location="Main!A1" display="Main" xr:uid="{74CEF264-386F-4340-9ED3-DF5D1BF99954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2022-07-18T16:27:52Z</dcterms:created>
  <dcterms:modified xsi:type="dcterms:W3CDTF">2025-05-21T16:27:30Z</dcterms:modified>
</cp:coreProperties>
</file>