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6DF0B07D-7B96-4D58-8890-FA368B6DC056}" xr6:coauthVersionLast="47" xr6:coauthVersionMax="47" xr10:uidLastSave="{00000000-0000-0000-0000-000000000000}"/>
  <bookViews>
    <workbookView xWindow="-49275" yWindow="1560" windowWidth="22485" windowHeight="14175" activeTab="1" xr2:uid="{A60D6F5D-C7AD-4CE4-9596-6485E651EC61}"/>
  </bookViews>
  <sheets>
    <sheet name="Main" sheetId="1" r:id="rId1"/>
    <sheet name="Model" sheetId="9" r:id="rId2"/>
    <sheet name="Dupixent" sheetId="8" r:id="rId3"/>
    <sheet name="Eylea" sheetId="3" r:id="rId4"/>
    <sheet name="linvoseltamab" sheetId="11" r:id="rId5"/>
    <sheet name="odronextamab" sheetId="12" r:id="rId6"/>
    <sheet name="pozelimab" sheetId="15" r:id="rId7"/>
    <sheet name="mibavademab" sheetId="16" r:id="rId8"/>
    <sheet name="DB-OTO" sheetId="20" r:id="rId9"/>
    <sheet name="trevogrumab" sheetId="17" r:id="rId10"/>
    <sheet name="fianlimab" sheetId="21" r:id="rId11"/>
    <sheet name="garetosmab" sheetId="19" r:id="rId12"/>
    <sheet name="itepekimab" sheetId="18" r:id="rId13"/>
    <sheet name="REGN7508" sheetId="13" r:id="rId14"/>
    <sheet name="REGN9933" sheetId="14" r:id="rId15"/>
    <sheet name="Arcalyst" sheetId="2" r:id="rId16"/>
    <sheet name="Zaltrap" sheetId="4" r:id="rId17"/>
    <sheet name="VEGF Trap" sheetId="5" r:id="rId18"/>
    <sheet name="Praluent" sheetId="6" r:id="rId19"/>
    <sheet name="Libtayo" sheetId="10" r:id="rId20"/>
    <sheet name="Kevzara" sheetId="7"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K13" i="9" l="1"/>
  <c r="CJ13" i="9"/>
  <c r="CI13" i="9"/>
  <c r="CK5" i="9"/>
  <c r="CJ5" i="9"/>
  <c r="CA37" i="9"/>
  <c r="CH13" i="9"/>
  <c r="CF12" i="9"/>
  <c r="CG12" i="9" s="1"/>
  <c r="CH12" i="9" s="1"/>
  <c r="CI12" i="9" s="1"/>
  <c r="CJ12" i="9" s="1"/>
  <c r="CK12" i="9" s="1"/>
  <c r="CE12" i="9"/>
  <c r="CF11" i="9"/>
  <c r="CG11" i="9" s="1"/>
  <c r="CH11" i="9" s="1"/>
  <c r="CI11" i="9" s="1"/>
  <c r="CJ11" i="9" s="1"/>
  <c r="CK11" i="9" s="1"/>
  <c r="CF10" i="9"/>
  <c r="CG10" i="9" s="1"/>
  <c r="CH10" i="9" s="1"/>
  <c r="CI10" i="9" s="1"/>
  <c r="CJ10" i="9" s="1"/>
  <c r="CK10" i="9" s="1"/>
  <c r="BJ29" i="9"/>
  <c r="BI29" i="9"/>
  <c r="BH29" i="9"/>
  <c r="BJ28" i="9"/>
  <c r="BI28" i="9"/>
  <c r="BH28" i="9"/>
  <c r="BH30" i="9" s="1"/>
  <c r="BH3" i="9"/>
  <c r="BI3" i="9" s="1"/>
  <c r="BH24" i="9"/>
  <c r="BJ22" i="9"/>
  <c r="BH22" i="9"/>
  <c r="BJ13" i="9"/>
  <c r="BH13" i="9"/>
  <c r="BJ8" i="9"/>
  <c r="BI8" i="9"/>
  <c r="BH8" i="9"/>
  <c r="CA8" i="9" s="1"/>
  <c r="BJ6" i="9"/>
  <c r="BI6" i="9"/>
  <c r="BH6" i="9"/>
  <c r="BG66" i="9"/>
  <c r="BG57" i="9"/>
  <c r="BG48" i="9"/>
  <c r="BG41" i="9"/>
  <c r="BG24" i="9"/>
  <c r="BD76" i="9"/>
  <c r="BE76" i="9" s="1"/>
  <c r="BD74" i="9"/>
  <c r="BD73" i="9"/>
  <c r="BD72" i="9"/>
  <c r="BE72" i="9" s="1"/>
  <c r="BF72" i="9" s="1"/>
  <c r="BD71" i="9"/>
  <c r="BE71" i="9" s="1"/>
  <c r="BD70" i="9"/>
  <c r="BE70" i="9" s="1"/>
  <c r="BF70" i="9" s="1"/>
  <c r="BD69" i="9"/>
  <c r="BD77" i="9" s="1"/>
  <c r="BE61" i="9"/>
  <c r="BE66" i="9" s="1"/>
  <c r="BD61" i="9"/>
  <c r="BD66" i="9" s="1"/>
  <c r="BD49" i="9"/>
  <c r="BD57" i="9" s="1"/>
  <c r="BE13" i="9"/>
  <c r="BI13" i="9" s="1"/>
  <c r="BE22" i="9"/>
  <c r="BI22" i="9" s="1"/>
  <c r="BE88" i="9"/>
  <c r="BF88" i="9" s="1"/>
  <c r="BE87" i="9"/>
  <c r="BF87" i="9" s="1"/>
  <c r="BE85" i="9"/>
  <c r="BF85" i="9" s="1"/>
  <c r="BE86" i="9"/>
  <c r="BF86" i="9" s="1"/>
  <c r="BE82" i="9"/>
  <c r="BF82" i="9" s="1"/>
  <c r="BE81" i="9"/>
  <c r="BE80" i="9"/>
  <c r="BE79" i="9"/>
  <c r="BF81" i="9"/>
  <c r="BE74" i="9"/>
  <c r="BF74" i="9" s="1"/>
  <c r="BE73" i="9"/>
  <c r="BF73" i="9" s="1"/>
  <c r="BE24" i="9"/>
  <c r="BI24" i="9" s="1"/>
  <c r="BC77" i="9"/>
  <c r="BF75" i="9"/>
  <c r="BE49" i="9"/>
  <c r="BE48" i="9" s="1"/>
  <c r="BZ65" i="9"/>
  <c r="BZ64" i="9"/>
  <c r="BZ63" i="9"/>
  <c r="BZ62" i="9"/>
  <c r="BZ61" i="9"/>
  <c r="BZ60" i="9"/>
  <c r="BZ59" i="9"/>
  <c r="BZ56" i="9"/>
  <c r="BZ55" i="9"/>
  <c r="BZ54" i="9"/>
  <c r="BZ53" i="9"/>
  <c r="BZ52" i="9"/>
  <c r="BZ51" i="9"/>
  <c r="BZ50" i="9"/>
  <c r="BZ49" i="9"/>
  <c r="BZ48" i="9" s="1"/>
  <c r="BY89" i="9"/>
  <c r="BX89" i="9"/>
  <c r="BZ89" i="9"/>
  <c r="BX79" i="9"/>
  <c r="BX83" i="9" s="1"/>
  <c r="BY79" i="9"/>
  <c r="BY83" i="9" s="1"/>
  <c r="BZ80" i="9"/>
  <c r="BZ79" i="9"/>
  <c r="BZ83" i="9" s="1"/>
  <c r="BX76" i="9"/>
  <c r="BX77" i="9" s="1"/>
  <c r="BY76" i="9"/>
  <c r="BY77" i="9" s="1"/>
  <c r="BZ76" i="9"/>
  <c r="BZ77" i="9" s="1"/>
  <c r="G17" i="1"/>
  <c r="G13" i="1"/>
  <c r="G15" i="1"/>
  <c r="G16" i="1"/>
  <c r="J3" i="1"/>
  <c r="BB34" i="9"/>
  <c r="BF34" i="9"/>
  <c r="BB32" i="9"/>
  <c r="BF32" i="9"/>
  <c r="BZ32" i="9" s="1"/>
  <c r="BB26" i="9"/>
  <c r="BF26" i="9"/>
  <c r="BZ26" i="9" s="1"/>
  <c r="BB66" i="9"/>
  <c r="BB57" i="9"/>
  <c r="BF48" i="9"/>
  <c r="BF66" i="9"/>
  <c r="BF57" i="9"/>
  <c r="BJ5" i="9"/>
  <c r="BI5" i="9"/>
  <c r="BH5" i="9"/>
  <c r="BG40" i="9"/>
  <c r="BZ95" i="9"/>
  <c r="BZ94" i="9"/>
  <c r="BY95" i="9"/>
  <c r="BY94" i="9"/>
  <c r="BX95" i="9"/>
  <c r="BX94" i="9"/>
  <c r="BW95" i="9"/>
  <c r="BW94" i="9"/>
  <c r="BV95" i="9"/>
  <c r="BV94" i="9"/>
  <c r="BU95" i="9"/>
  <c r="BU94" i="9"/>
  <c r="BT95" i="9"/>
  <c r="BT94" i="9"/>
  <c r="BS95" i="9"/>
  <c r="BS94" i="9"/>
  <c r="BR95" i="9"/>
  <c r="BR94" i="9"/>
  <c r="BQ95" i="9"/>
  <c r="BQ94" i="9"/>
  <c r="BP95" i="9"/>
  <c r="BO95" i="9"/>
  <c r="BP94" i="9"/>
  <c r="BO94" i="9"/>
  <c r="BN95" i="9"/>
  <c r="BM95" i="9"/>
  <c r="BN94" i="9"/>
  <c r="BM94" i="9"/>
  <c r="BW7" i="9"/>
  <c r="BV9" i="9"/>
  <c r="BY13" i="9"/>
  <c r="BQ25" i="9"/>
  <c r="BR25" i="9"/>
  <c r="BR39" i="9" s="1"/>
  <c r="BQ18" i="9"/>
  <c r="BR18" i="9"/>
  <c r="BS18" i="9"/>
  <c r="BU40" i="9"/>
  <c r="BT40" i="9"/>
  <c r="BS40" i="9"/>
  <c r="BR40" i="9"/>
  <c r="BQ40" i="9"/>
  <c r="BP40" i="9"/>
  <c r="BF41" i="9"/>
  <c r="BF40" i="9"/>
  <c r="BY4" i="9"/>
  <c r="BY3" i="9"/>
  <c r="BZ4" i="9"/>
  <c r="BZ3" i="9"/>
  <c r="BG30" i="9"/>
  <c r="BJ43" i="9"/>
  <c r="BI43" i="9"/>
  <c r="BH43" i="9"/>
  <c r="BG43" i="9"/>
  <c r="BJ42" i="9"/>
  <c r="BG42" i="9"/>
  <c r="BF43" i="9"/>
  <c r="BE43" i="9"/>
  <c r="BF42" i="9"/>
  <c r="BE40" i="9"/>
  <c r="BZ29" i="9"/>
  <c r="BZ28" i="9"/>
  <c r="BZ23" i="9"/>
  <c r="BZ20" i="9"/>
  <c r="BZ18" i="9"/>
  <c r="BA24" i="9"/>
  <c r="CA13" i="9" l="1"/>
  <c r="BF80" i="9"/>
  <c r="BY91" i="9"/>
  <c r="BE69" i="9"/>
  <c r="BF69" i="9" s="1"/>
  <c r="BJ30" i="9"/>
  <c r="BZ57" i="9"/>
  <c r="CA22" i="9"/>
  <c r="BF76" i="9"/>
  <c r="BE83" i="9"/>
  <c r="CA6" i="9"/>
  <c r="BZ91" i="9"/>
  <c r="BX91" i="9"/>
  <c r="BF79" i="9"/>
  <c r="BF83" i="9" s="1"/>
  <c r="BZ66" i="9"/>
  <c r="BH42" i="9"/>
  <c r="BJ3" i="9"/>
  <c r="BI30" i="9"/>
  <c r="BI42" i="9"/>
  <c r="BD48" i="9"/>
  <c r="BE57" i="9"/>
  <c r="BE89" i="9"/>
  <c r="BE77" i="9"/>
  <c r="BE91" i="9" s="1"/>
  <c r="BF71" i="9"/>
  <c r="BF77" i="9" s="1"/>
  <c r="BE42" i="9"/>
  <c r="BZ13" i="9"/>
  <c r="BF89" i="9"/>
  <c r="CA5" i="9"/>
  <c r="BR97" i="9"/>
  <c r="BH4" i="9"/>
  <c r="BG25" i="9"/>
  <c r="BG27" i="9" s="1"/>
  <c r="BG46" i="9" s="1"/>
  <c r="BZ40" i="9"/>
  <c r="BZ41" i="9"/>
  <c r="BF24" i="9"/>
  <c r="BJ24" i="9" s="1"/>
  <c r="CA24" i="9" s="1"/>
  <c r="CB24" i="9" s="1"/>
  <c r="CC24" i="9" s="1"/>
  <c r="CD24" i="9" s="1"/>
  <c r="CE24" i="9" s="1"/>
  <c r="CF24" i="9" s="1"/>
  <c r="CG24" i="9" s="1"/>
  <c r="CH24" i="9" s="1"/>
  <c r="CI24" i="9" s="1"/>
  <c r="CJ24" i="9" s="1"/>
  <c r="CK24" i="9" s="1"/>
  <c r="BZ17" i="9"/>
  <c r="BZ30" i="9"/>
  <c r="BZ22" i="9"/>
  <c r="CB13" i="9"/>
  <c r="CC13" i="9" s="1"/>
  <c r="CD13" i="9" s="1"/>
  <c r="CE13" i="9" s="1"/>
  <c r="CF13" i="9" s="1"/>
  <c r="CG13" i="9" s="1"/>
  <c r="BZ9" i="9"/>
  <c r="BZ8" i="9"/>
  <c r="CB8" i="9" s="1"/>
  <c r="CC8" i="9" s="1"/>
  <c r="CD8" i="9" s="1"/>
  <c r="CE8" i="9" s="1"/>
  <c r="CF8" i="9" s="1"/>
  <c r="CG8" i="9" s="1"/>
  <c r="CH8" i="9" s="1"/>
  <c r="CI8" i="9" s="1"/>
  <c r="CJ8" i="9" s="1"/>
  <c r="CK8" i="9" s="1"/>
  <c r="BZ7" i="9"/>
  <c r="BZ6" i="9"/>
  <c r="CB6" i="9" s="1"/>
  <c r="CC6" i="9" s="1"/>
  <c r="CD6" i="9" s="1"/>
  <c r="CE6" i="9" s="1"/>
  <c r="CF6" i="9" s="1"/>
  <c r="CG6" i="9" s="1"/>
  <c r="CH6" i="9" s="1"/>
  <c r="CI6" i="9" s="1"/>
  <c r="CJ6" i="9" s="1"/>
  <c r="CK6" i="9" s="1"/>
  <c r="BZ5" i="9"/>
  <c r="BF30" i="9"/>
  <c r="BE30" i="9"/>
  <c r="BE25" i="9"/>
  <c r="N37" i="9"/>
  <c r="N34" i="9"/>
  <c r="N29" i="9"/>
  <c r="N28" i="9"/>
  <c r="N22" i="9"/>
  <c r="N13" i="9"/>
  <c r="N9" i="9"/>
  <c r="N3" i="9"/>
  <c r="M30" i="9"/>
  <c r="M26" i="9"/>
  <c r="M24" i="9"/>
  <c r="M25" i="9" s="1"/>
  <c r="K30" i="9"/>
  <c r="K24" i="9"/>
  <c r="J37" i="9"/>
  <c r="J34" i="9"/>
  <c r="J32" i="9"/>
  <c r="J29" i="9"/>
  <c r="J28" i="9"/>
  <c r="J26" i="9"/>
  <c r="F37" i="9"/>
  <c r="F34" i="9"/>
  <c r="F29" i="9"/>
  <c r="F28" i="9"/>
  <c r="F26" i="9"/>
  <c r="J22" i="9"/>
  <c r="BN22" i="9" s="1"/>
  <c r="F22" i="9"/>
  <c r="BM22" i="9" s="1"/>
  <c r="J13" i="9"/>
  <c r="BN13" i="9" s="1"/>
  <c r="F13" i="9"/>
  <c r="BM13" i="9" s="1"/>
  <c r="F9" i="9"/>
  <c r="BM9" i="9" s="1"/>
  <c r="J9" i="9"/>
  <c r="BN9" i="9" s="1"/>
  <c r="J3" i="9"/>
  <c r="BN3" i="9" s="1"/>
  <c r="BM3" i="9"/>
  <c r="BL35" i="9"/>
  <c r="BL36" i="9" s="1"/>
  <c r="BM30" i="9"/>
  <c r="BN30" i="9"/>
  <c r="I30" i="9"/>
  <c r="E24" i="9"/>
  <c r="I24" i="9"/>
  <c r="D32" i="9"/>
  <c r="F32" i="9" s="1"/>
  <c r="D24" i="9"/>
  <c r="CB22" i="9" l="1"/>
  <c r="CC22" i="9" s="1"/>
  <c r="CD22" i="9" s="1"/>
  <c r="CE22" i="9" s="1"/>
  <c r="CF22" i="9" s="1"/>
  <c r="CG22" i="9" s="1"/>
  <c r="CH22" i="9" s="1"/>
  <c r="CI22" i="9" s="1"/>
  <c r="CJ22" i="9" s="1"/>
  <c r="CK22" i="9" s="1"/>
  <c r="BI4" i="9"/>
  <c r="BH41" i="9"/>
  <c r="BG31" i="9"/>
  <c r="BG33" i="9" s="1"/>
  <c r="M27" i="9"/>
  <c r="M31" i="9" s="1"/>
  <c r="M33" i="9" s="1"/>
  <c r="M35" i="9" s="1"/>
  <c r="M36" i="9" s="1"/>
  <c r="BF91" i="9"/>
  <c r="CB5" i="9"/>
  <c r="CC5" i="9" s="1"/>
  <c r="CD5" i="9" s="1"/>
  <c r="CE5" i="9" s="1"/>
  <c r="CF5" i="9" s="1"/>
  <c r="CG5" i="9" s="1"/>
  <c r="CH5" i="9" s="1"/>
  <c r="CI5" i="9" s="1"/>
  <c r="BH25" i="9"/>
  <c r="BH40" i="9"/>
  <c r="BO40" i="9"/>
  <c r="BN40" i="9"/>
  <c r="N30" i="9"/>
  <c r="J30" i="9"/>
  <c r="BH37" i="9"/>
  <c r="BE27" i="9"/>
  <c r="BE46" i="9" s="1"/>
  <c r="BF25" i="9"/>
  <c r="BZ24" i="9"/>
  <c r="BZ25" i="9" s="1"/>
  <c r="BV3" i="9"/>
  <c r="BV40" i="9" s="1"/>
  <c r="BQ32" i="9"/>
  <c r="BQ30" i="9"/>
  <c r="BQ26" i="9"/>
  <c r="BO32" i="9"/>
  <c r="N32" i="9" s="1"/>
  <c r="BO26" i="9"/>
  <c r="BO30" i="9"/>
  <c r="BP32" i="9"/>
  <c r="BP30" i="9"/>
  <c r="BP26" i="9"/>
  <c r="BU25" i="9"/>
  <c r="BT25" i="9"/>
  <c r="BS25" i="9"/>
  <c r="BP25" i="9"/>
  <c r="BO25" i="9"/>
  <c r="BN25" i="9"/>
  <c r="BL25" i="9"/>
  <c r="L30" i="9"/>
  <c r="L26" i="9"/>
  <c r="H24" i="9"/>
  <c r="H25" i="9" s="1"/>
  <c r="H27" i="9" s="1"/>
  <c r="L24" i="9"/>
  <c r="L25" i="9" s="1"/>
  <c r="K25" i="9"/>
  <c r="K27" i="9" s="1"/>
  <c r="K31" i="9" s="1"/>
  <c r="K33" i="9" s="1"/>
  <c r="K35" i="9" s="1"/>
  <c r="K36" i="9" s="1"/>
  <c r="I25" i="9"/>
  <c r="I27" i="9" s="1"/>
  <c r="I31" i="9" s="1"/>
  <c r="I33" i="9" s="1"/>
  <c r="I35" i="9" s="1"/>
  <c r="I36" i="9" s="1"/>
  <c r="E25" i="9"/>
  <c r="E27" i="9" s="1"/>
  <c r="D25" i="9"/>
  <c r="D27" i="9" s="1"/>
  <c r="C30" i="9"/>
  <c r="C24" i="9"/>
  <c r="C25" i="9" s="1"/>
  <c r="C27" i="9" s="1"/>
  <c r="G24" i="9"/>
  <c r="G25" i="9" s="1"/>
  <c r="G27" i="9" s="1"/>
  <c r="G30" i="9"/>
  <c r="F30" i="9"/>
  <c r="E30" i="9"/>
  <c r="D30" i="9"/>
  <c r="H30" i="9"/>
  <c r="BD43" i="9"/>
  <c r="BC43" i="9"/>
  <c r="BD42" i="9"/>
  <c r="BC42" i="9"/>
  <c r="BD40" i="9"/>
  <c r="BC40" i="9"/>
  <c r="BD30" i="9"/>
  <c r="BC30" i="9"/>
  <c r="BD25" i="9"/>
  <c r="BC25" i="9"/>
  <c r="AX61" i="9"/>
  <c r="AX66" i="9" s="1"/>
  <c r="AX49" i="9"/>
  <c r="AX57" i="9" s="1"/>
  <c r="AX32" i="9"/>
  <c r="AX29" i="9"/>
  <c r="BB30" i="9" s="1"/>
  <c r="AX28" i="9"/>
  <c r="AX26" i="9"/>
  <c r="AX43" i="9"/>
  <c r="AX40" i="9"/>
  <c r="AX13" i="9"/>
  <c r="AX5" i="9"/>
  <c r="BX37" i="9"/>
  <c r="BW37" i="9"/>
  <c r="BV37" i="9"/>
  <c r="BW34" i="9"/>
  <c r="BV34" i="9"/>
  <c r="BY32" i="9"/>
  <c r="BW29" i="9"/>
  <c r="BY28" i="9"/>
  <c r="BW28" i="9"/>
  <c r="BV28" i="9"/>
  <c r="BY20" i="9"/>
  <c r="BY18" i="9"/>
  <c r="BY17" i="9"/>
  <c r="BY9" i="9"/>
  <c r="BX24" i="9"/>
  <c r="BX23" i="9"/>
  <c r="BX22" i="9"/>
  <c r="BX20" i="9"/>
  <c r="BX18" i="9"/>
  <c r="BX17" i="9"/>
  <c r="BX15" i="9"/>
  <c r="BX14" i="9"/>
  <c r="BX9" i="9"/>
  <c r="BX8" i="9"/>
  <c r="BX7" i="9"/>
  <c r="BX6" i="9"/>
  <c r="BX3" i="9"/>
  <c r="BW24" i="9"/>
  <c r="BW23" i="9"/>
  <c r="BW22" i="9"/>
  <c r="BW20" i="9"/>
  <c r="BW18" i="9"/>
  <c r="BW17" i="9"/>
  <c r="BW15" i="9"/>
  <c r="BW14" i="9"/>
  <c r="BW9" i="9"/>
  <c r="BW8" i="9"/>
  <c r="BW6" i="9"/>
  <c r="BW5" i="9"/>
  <c r="BW3" i="9"/>
  <c r="BV24" i="9"/>
  <c r="BV23" i="9"/>
  <c r="BV22" i="9"/>
  <c r="BV20" i="9"/>
  <c r="BV18" i="9"/>
  <c r="BV17" i="9"/>
  <c r="BV15" i="9"/>
  <c r="BV14" i="9"/>
  <c r="BV8" i="9"/>
  <c r="BV7" i="9"/>
  <c r="BV6" i="9"/>
  <c r="BV5" i="9"/>
  <c r="AM32" i="9"/>
  <c r="AM29" i="9"/>
  <c r="BV29" i="9" s="1"/>
  <c r="AM26" i="9"/>
  <c r="AM16" i="9"/>
  <c r="AM13" i="9" s="1"/>
  <c r="AJ13" i="9"/>
  <c r="AJ25" i="9" s="1"/>
  <c r="AI13" i="9"/>
  <c r="AI25" i="9" s="1"/>
  <c r="AQ43" i="9"/>
  <c r="AQ40" i="9"/>
  <c r="AN32" i="9"/>
  <c r="AN30" i="9"/>
  <c r="AN26" i="9"/>
  <c r="AN16" i="9"/>
  <c r="AN13" i="9" s="1"/>
  <c r="AR43" i="9"/>
  <c r="AR40" i="9"/>
  <c r="AW40" i="9"/>
  <c r="AV40" i="9"/>
  <c r="AU40" i="9"/>
  <c r="AT40" i="9"/>
  <c r="AS40" i="9"/>
  <c r="BB43" i="9"/>
  <c r="BA43" i="9"/>
  <c r="AZ43" i="9"/>
  <c r="AY43" i="9"/>
  <c r="BA40" i="9"/>
  <c r="AZ40" i="9"/>
  <c r="AY40" i="9"/>
  <c r="BA30" i="9"/>
  <c r="AY30" i="9"/>
  <c r="AW13" i="9"/>
  <c r="BA42" i="9" s="1"/>
  <c r="AW5" i="9"/>
  <c r="BM2" i="9"/>
  <c r="BN2" i="9" s="1"/>
  <c r="BO2" i="9" s="1"/>
  <c r="BP2" i="9" s="1"/>
  <c r="BQ2" i="9" s="1"/>
  <c r="BR2" i="9" s="1"/>
  <c r="BS2" i="9" s="1"/>
  <c r="BT2" i="9" s="1"/>
  <c r="BU2" i="9" s="1"/>
  <c r="BV2" i="9" s="1"/>
  <c r="BW2" i="9" s="1"/>
  <c r="BX2" i="9" s="1"/>
  <c r="BY2" i="9" s="1"/>
  <c r="BZ2" i="9" s="1"/>
  <c r="CA2" i="9" s="1"/>
  <c r="CB2" i="9" s="1"/>
  <c r="CC2" i="9" s="1"/>
  <c r="CD2" i="9" s="1"/>
  <c r="CE2" i="9" s="1"/>
  <c r="CF2" i="9" s="1"/>
  <c r="CG2" i="9" s="1"/>
  <c r="CH2" i="9" s="1"/>
  <c r="CI2" i="9" s="1"/>
  <c r="CJ2" i="9" s="1"/>
  <c r="CK2" i="9" s="1"/>
  <c r="CL2" i="9" s="1"/>
  <c r="CM2" i="9" s="1"/>
  <c r="CN2" i="9" s="1"/>
  <c r="CO2" i="9" s="1"/>
  <c r="CP2" i="9" s="1"/>
  <c r="CQ2" i="9" s="1"/>
  <c r="CR2" i="9" s="1"/>
  <c r="CS2" i="9" s="1"/>
  <c r="CT2" i="9" s="1"/>
  <c r="AY37" i="9"/>
  <c r="AZ37" i="9" s="1"/>
  <c r="AW30" i="9"/>
  <c r="AW43" i="9"/>
  <c r="AV43" i="9"/>
  <c r="AU43" i="9"/>
  <c r="AT43" i="9"/>
  <c r="AS43" i="9"/>
  <c r="AO16" i="9"/>
  <c r="AO13" i="9" s="1"/>
  <c r="AO25" i="9" s="1"/>
  <c r="AO27" i="9" s="1"/>
  <c r="AO46" i="9" s="1"/>
  <c r="AS16" i="9"/>
  <c r="AS13" i="9" s="1"/>
  <c r="AS30" i="9"/>
  <c r="AR30" i="9"/>
  <c r="AQ30" i="9"/>
  <c r="AP30" i="9"/>
  <c r="AO30" i="9"/>
  <c r="BB40" i="9"/>
  <c r="AT32" i="9"/>
  <c r="AP26" i="9"/>
  <c r="AT26" i="9"/>
  <c r="AP16" i="9"/>
  <c r="AP13" i="9" s="1"/>
  <c r="AP25" i="9" s="1"/>
  <c r="AT16" i="9"/>
  <c r="AT13" i="9" s="1"/>
  <c r="AT30" i="9"/>
  <c r="AQ16" i="9"/>
  <c r="AQ13" i="9" s="1"/>
  <c r="AU16" i="9"/>
  <c r="AU13" i="9" s="1"/>
  <c r="AQ32" i="9"/>
  <c r="AQ26" i="9"/>
  <c r="AU32" i="9"/>
  <c r="AU30" i="9"/>
  <c r="AU26" i="9"/>
  <c r="AR16" i="9"/>
  <c r="AR13" i="9" s="1"/>
  <c r="AV16" i="9"/>
  <c r="AV13" i="9" s="1"/>
  <c r="AV25" i="9" s="1"/>
  <c r="AV29" i="9"/>
  <c r="AZ30" i="9" s="1"/>
  <c r="AV28" i="9"/>
  <c r="AR32" i="9"/>
  <c r="AR26" i="9"/>
  <c r="AV32" i="9"/>
  <c r="AV26" i="9"/>
  <c r="BG34" i="9" l="1"/>
  <c r="BG35" i="9" s="1"/>
  <c r="BH27" i="9"/>
  <c r="BH26" i="9" s="1"/>
  <c r="BJ4" i="9"/>
  <c r="BI41" i="9"/>
  <c r="BE31" i="9"/>
  <c r="BE33" i="9" s="1"/>
  <c r="BE35" i="9" s="1"/>
  <c r="BU97" i="9"/>
  <c r="BS39" i="9"/>
  <c r="BS97" i="9"/>
  <c r="BT97" i="9"/>
  <c r="BI25" i="9"/>
  <c r="BI40" i="9"/>
  <c r="BP97" i="9"/>
  <c r="BQ97" i="9"/>
  <c r="BO97" i="9"/>
  <c r="BW40" i="9"/>
  <c r="AU25" i="9"/>
  <c r="AU27" i="9" s="1"/>
  <c r="AU46" i="9" s="1"/>
  <c r="BX13" i="9"/>
  <c r="BV13" i="9"/>
  <c r="BV25" i="9" s="1"/>
  <c r="BV97" i="9" s="1"/>
  <c r="BN27" i="9"/>
  <c r="BN31" i="9" s="1"/>
  <c r="BN33" i="9" s="1"/>
  <c r="BN35" i="9" s="1"/>
  <c r="BN36" i="9" s="1"/>
  <c r="BP39" i="9"/>
  <c r="BQ39" i="9"/>
  <c r="AQ25" i="9"/>
  <c r="BW13" i="9"/>
  <c r="BW25" i="9" s="1"/>
  <c r="BO39" i="9"/>
  <c r="BU39" i="9"/>
  <c r="BT39" i="9"/>
  <c r="L27" i="9"/>
  <c r="L31" i="9" s="1"/>
  <c r="L33" i="9" s="1"/>
  <c r="L35" i="9" s="1"/>
  <c r="L36" i="9" s="1"/>
  <c r="BX40" i="9"/>
  <c r="BY40" i="9"/>
  <c r="BY41" i="9"/>
  <c r="BY43" i="9"/>
  <c r="BW43" i="9"/>
  <c r="J24" i="9"/>
  <c r="J25" i="9" s="1"/>
  <c r="J27" i="9" s="1"/>
  <c r="J31" i="9" s="1"/>
  <c r="J33" i="9" s="1"/>
  <c r="J35" i="9" s="1"/>
  <c r="J36" i="9" s="1"/>
  <c r="BQ27" i="9"/>
  <c r="BQ31" i="9" s="1"/>
  <c r="BQ33" i="9" s="1"/>
  <c r="BQ35" i="9" s="1"/>
  <c r="BQ36" i="9" s="1"/>
  <c r="N24" i="9"/>
  <c r="N25" i="9" s="1"/>
  <c r="BX43" i="9"/>
  <c r="BC27" i="9"/>
  <c r="BC46" i="9" s="1"/>
  <c r="BG39" i="9"/>
  <c r="BD27" i="9"/>
  <c r="BD46" i="9" s="1"/>
  <c r="BH39" i="9"/>
  <c r="AX42" i="9"/>
  <c r="BF27" i="9"/>
  <c r="BZ43" i="9"/>
  <c r="F24" i="9"/>
  <c r="F25" i="9" s="1"/>
  <c r="F27" i="9" s="1"/>
  <c r="F31" i="9" s="1"/>
  <c r="F33" i="9" s="1"/>
  <c r="F35" i="9" s="1"/>
  <c r="F36" i="9" s="1"/>
  <c r="N26" i="9"/>
  <c r="BI37" i="9"/>
  <c r="BZ27" i="9"/>
  <c r="BZ31" i="9" s="1"/>
  <c r="BZ33" i="9" s="1"/>
  <c r="BO27" i="9"/>
  <c r="BO31" i="9" s="1"/>
  <c r="BO33" i="9" s="1"/>
  <c r="BO35" i="9" s="1"/>
  <c r="BO36" i="9" s="1"/>
  <c r="BP27" i="9"/>
  <c r="BP31" i="9" s="1"/>
  <c r="BP33" i="9" s="1"/>
  <c r="BP35" i="9" s="1"/>
  <c r="BP36" i="9" s="1"/>
  <c r="H31" i="9"/>
  <c r="H33" i="9" s="1"/>
  <c r="H35" i="9" s="1"/>
  <c r="H36" i="9" s="1"/>
  <c r="E31" i="9"/>
  <c r="E33" i="9" s="1"/>
  <c r="E35" i="9" s="1"/>
  <c r="E36" i="9" s="1"/>
  <c r="G31" i="9"/>
  <c r="G33" i="9" s="1"/>
  <c r="G35" i="9" s="1"/>
  <c r="G36" i="9" s="1"/>
  <c r="D31" i="9"/>
  <c r="D33" i="9" s="1"/>
  <c r="D35" i="9" s="1"/>
  <c r="D36" i="9" s="1"/>
  <c r="C31" i="9"/>
  <c r="C33" i="9" s="1"/>
  <c r="C35" i="9" s="1"/>
  <c r="C36" i="9" s="1"/>
  <c r="BY22" i="9"/>
  <c r="AP27" i="9"/>
  <c r="AP46" i="9" s="1"/>
  <c r="BW32" i="9"/>
  <c r="BX28" i="9"/>
  <c r="BW16" i="9"/>
  <c r="BW30" i="9"/>
  <c r="BX29" i="9"/>
  <c r="BV32" i="9"/>
  <c r="AX30" i="9"/>
  <c r="BV30" i="9"/>
  <c r="BX32" i="9"/>
  <c r="BV26" i="9"/>
  <c r="BX16" i="9"/>
  <c r="BW26" i="9"/>
  <c r="BX5" i="9"/>
  <c r="BY7" i="9"/>
  <c r="BV16" i="9"/>
  <c r="BY8" i="9"/>
  <c r="AM30" i="9"/>
  <c r="BY29" i="9"/>
  <c r="BY30" i="9" s="1"/>
  <c r="BY6" i="9"/>
  <c r="AQ42" i="9"/>
  <c r="AM25" i="9"/>
  <c r="AR42" i="9"/>
  <c r="AN25" i="9"/>
  <c r="AV42" i="9"/>
  <c r="AW42" i="9"/>
  <c r="AS42" i="9"/>
  <c r="AY42" i="9"/>
  <c r="AU42" i="9"/>
  <c r="AT42" i="9"/>
  <c r="AZ42" i="9"/>
  <c r="AY25" i="9"/>
  <c r="AT25" i="9"/>
  <c r="AX25" i="9"/>
  <c r="AS25" i="9"/>
  <c r="AS39" i="9" s="1"/>
  <c r="AR25" i="9"/>
  <c r="AV39" i="9" s="1"/>
  <c r="AO31" i="9"/>
  <c r="AO33" i="9" s="1"/>
  <c r="AO35" i="9" s="1"/>
  <c r="AO36" i="9" s="1"/>
  <c r="AW25" i="9"/>
  <c r="AW27" i="9" s="1"/>
  <c r="AV27" i="9"/>
  <c r="AV46" i="9" s="1"/>
  <c r="AV30" i="9"/>
  <c r="J4" i="1"/>
  <c r="BG68" i="9" l="1"/>
  <c r="BG36" i="9"/>
  <c r="BI39" i="9"/>
  <c r="BI27" i="9"/>
  <c r="BI26" i="9"/>
  <c r="BJ41" i="9"/>
  <c r="CA4" i="9"/>
  <c r="CB4" i="9" s="1"/>
  <c r="CC4" i="9" s="1"/>
  <c r="CD4" i="9" s="1"/>
  <c r="CE4" i="9" s="1"/>
  <c r="CF4" i="9" s="1"/>
  <c r="CG4" i="9" s="1"/>
  <c r="CH4" i="9" s="1"/>
  <c r="CI4" i="9" s="1"/>
  <c r="CJ4" i="9" s="1"/>
  <c r="CK4" i="9" s="1"/>
  <c r="BH46" i="9"/>
  <c r="BH31" i="9"/>
  <c r="BH33" i="9" s="1"/>
  <c r="BE36" i="9"/>
  <c r="BE68" i="9"/>
  <c r="BW97" i="9"/>
  <c r="AU39" i="9"/>
  <c r="BF31" i="9"/>
  <c r="BF33" i="9" s="1"/>
  <c r="BF35" i="9" s="1"/>
  <c r="BF46" i="9"/>
  <c r="AQ27" i="9"/>
  <c r="AQ46" i="9" s="1"/>
  <c r="BJ40" i="9"/>
  <c r="BJ25" i="9"/>
  <c r="CA3" i="9"/>
  <c r="CB3" i="9" s="1"/>
  <c r="CC3" i="9" s="1"/>
  <c r="CD3" i="9" s="1"/>
  <c r="CE3" i="9" s="1"/>
  <c r="CF3" i="9" s="1"/>
  <c r="CG3" i="9" s="1"/>
  <c r="CH3" i="9" s="1"/>
  <c r="CI3" i="9" s="1"/>
  <c r="CJ3" i="9" s="1"/>
  <c r="CK3" i="9" s="1"/>
  <c r="BD31" i="9"/>
  <c r="BD33" i="9" s="1"/>
  <c r="BD35" i="9" s="1"/>
  <c r="BD68" i="9" s="1"/>
  <c r="BW39" i="9"/>
  <c r="BV39" i="9"/>
  <c r="BC31" i="9"/>
  <c r="BC33" i="9" s="1"/>
  <c r="BM24" i="9"/>
  <c r="BM25" i="9" s="1"/>
  <c r="AP31" i="9"/>
  <c r="AP33" i="9" s="1"/>
  <c r="AP35" i="9" s="1"/>
  <c r="AP36" i="9" s="1"/>
  <c r="BJ37" i="9"/>
  <c r="N27" i="9"/>
  <c r="N31" i="9" s="1"/>
  <c r="N33" i="9" s="1"/>
  <c r="N35" i="9" s="1"/>
  <c r="N36" i="9" s="1"/>
  <c r="BA25" i="9"/>
  <c r="BY5" i="9"/>
  <c r="BZ44" i="9" s="1"/>
  <c r="BX30" i="9"/>
  <c r="AY39" i="9"/>
  <c r="BC39" i="9"/>
  <c r="AX39" i="9"/>
  <c r="BX25" i="9"/>
  <c r="BX97" i="9" s="1"/>
  <c r="BV27" i="9"/>
  <c r="BV31" i="9" s="1"/>
  <c r="BV33" i="9" s="1"/>
  <c r="BV35" i="9" s="1"/>
  <c r="BV36" i="9" s="1"/>
  <c r="BW27" i="9"/>
  <c r="BW31" i="9" s="1"/>
  <c r="BW33" i="9" s="1"/>
  <c r="BW35" i="9" s="1"/>
  <c r="BW36" i="9" s="1"/>
  <c r="AQ39" i="9"/>
  <c r="AM27" i="9"/>
  <c r="AM46" i="9" s="1"/>
  <c r="AX27" i="9"/>
  <c r="AR39" i="9"/>
  <c r="AN27" i="9"/>
  <c r="AS27" i="9"/>
  <c r="AS31" i="9" s="1"/>
  <c r="AS33" i="9" s="1"/>
  <c r="AS35" i="9" s="1"/>
  <c r="AS36" i="9" s="1"/>
  <c r="AZ25" i="9"/>
  <c r="BD39" i="9" s="1"/>
  <c r="BB42" i="9"/>
  <c r="AU31" i="9"/>
  <c r="AU33" i="9" s="1"/>
  <c r="AU35" i="9" s="1"/>
  <c r="AU36" i="9" s="1"/>
  <c r="AR27" i="9"/>
  <c r="AR46" i="9" s="1"/>
  <c r="BX26" i="9"/>
  <c r="AW31" i="9"/>
  <c r="AW33" i="9" s="1"/>
  <c r="AW35" i="9" s="1"/>
  <c r="AW36" i="9" s="1"/>
  <c r="AT27" i="9"/>
  <c r="AT39" i="9"/>
  <c r="AW39" i="9"/>
  <c r="J7" i="1"/>
  <c r="AV31" i="9"/>
  <c r="AV33" i="9" s="1"/>
  <c r="AV35" i="9" s="1"/>
  <c r="AV36" i="9" s="1"/>
  <c r="BJ39" i="9" l="1"/>
  <c r="BJ27" i="9"/>
  <c r="BJ26" i="9" s="1"/>
  <c r="BF36" i="9"/>
  <c r="BF68" i="9"/>
  <c r="BH34" i="9"/>
  <c r="BH35" i="9"/>
  <c r="BH36" i="9" s="1"/>
  <c r="AQ31" i="9"/>
  <c r="AQ33" i="9" s="1"/>
  <c r="AQ35" i="9" s="1"/>
  <c r="AQ36" i="9" s="1"/>
  <c r="BI46" i="9"/>
  <c r="BI31" i="9"/>
  <c r="BI33" i="9" s="1"/>
  <c r="BC34" i="9"/>
  <c r="BZ34" i="9" s="1"/>
  <c r="BZ35" i="9" s="1"/>
  <c r="BZ68" i="9" s="1"/>
  <c r="CA25" i="9"/>
  <c r="BM97" i="9"/>
  <c r="BN97" i="9"/>
  <c r="BM27" i="9"/>
  <c r="BM31" i="9" s="1"/>
  <c r="BM33" i="9" s="1"/>
  <c r="BM35" i="9" s="1"/>
  <c r="BM36" i="9" s="1"/>
  <c r="BM39" i="9"/>
  <c r="BN39" i="9"/>
  <c r="BX39" i="9"/>
  <c r="BE39" i="9"/>
  <c r="BA27" i="9"/>
  <c r="BX27" i="9"/>
  <c r="BX31" i="9" s="1"/>
  <c r="BX33" i="9" s="1"/>
  <c r="BA39" i="9"/>
  <c r="AM31" i="9"/>
  <c r="AM33" i="9" s="1"/>
  <c r="AM35" i="9" s="1"/>
  <c r="AM36" i="9" s="1"/>
  <c r="BY37" i="9"/>
  <c r="BC37" i="9"/>
  <c r="AS46" i="9"/>
  <c r="BY24" i="9"/>
  <c r="BB25" i="9"/>
  <c r="BB27" i="9" s="1"/>
  <c r="AZ39" i="9"/>
  <c r="AZ27" i="9"/>
  <c r="AN46" i="9"/>
  <c r="AN31" i="9"/>
  <c r="AN33" i="9" s="1"/>
  <c r="AN35" i="9" s="1"/>
  <c r="AN36" i="9" s="1"/>
  <c r="AX46" i="9"/>
  <c r="AX31" i="9"/>
  <c r="AX33" i="9" s="1"/>
  <c r="AR31" i="9"/>
  <c r="AR33" i="9" s="1"/>
  <c r="AR35" i="9" s="1"/>
  <c r="AR36" i="9" s="1"/>
  <c r="BY23" i="9"/>
  <c r="AW46" i="9"/>
  <c r="AT46" i="9"/>
  <c r="AT31" i="9"/>
  <c r="AT33" i="9" s="1"/>
  <c r="AT35" i="9" s="1"/>
  <c r="AT36" i="9" s="1"/>
  <c r="BC35" i="9" l="1"/>
  <c r="BC68" i="9" s="1"/>
  <c r="BI34" i="9"/>
  <c r="BI35" i="9" s="1"/>
  <c r="BI36" i="9" s="1"/>
  <c r="BJ46" i="9"/>
  <c r="BJ31" i="9"/>
  <c r="BJ33" i="9" s="1"/>
  <c r="CA29" i="9"/>
  <c r="CA30" i="9" s="1"/>
  <c r="CA27" i="9"/>
  <c r="CB25" i="9"/>
  <c r="BY25" i="9"/>
  <c r="BB39" i="9"/>
  <c r="BF39" i="9"/>
  <c r="BD37" i="9"/>
  <c r="BD36" i="9" s="1"/>
  <c r="BC36" i="9"/>
  <c r="AZ31" i="9"/>
  <c r="AZ33" i="9" s="1"/>
  <c r="AZ34" i="9" s="1"/>
  <c r="AZ35" i="9" s="1"/>
  <c r="AZ36" i="9" s="1"/>
  <c r="AZ46" i="9"/>
  <c r="BA31" i="9"/>
  <c r="BA33" i="9" s="1"/>
  <c r="BA34" i="9" s="1"/>
  <c r="BA35" i="9" s="1"/>
  <c r="BA36" i="9" s="1"/>
  <c r="BA46" i="9"/>
  <c r="AX35" i="9"/>
  <c r="AX36" i="9" s="1"/>
  <c r="BX34" i="9"/>
  <c r="BX35" i="9" s="1"/>
  <c r="BX36" i="9" l="1"/>
  <c r="BX68" i="9"/>
  <c r="BJ34" i="9"/>
  <c r="BJ35" i="9" s="1"/>
  <c r="BJ36" i="9" s="1"/>
  <c r="CA31" i="9"/>
  <c r="CA33" i="9" s="1"/>
  <c r="CA34" i="9" s="1"/>
  <c r="CA35" i="9" s="1"/>
  <c r="CB29" i="9"/>
  <c r="CB30" i="9" s="1"/>
  <c r="CB27" i="9"/>
  <c r="BY97" i="9"/>
  <c r="BZ97" i="9"/>
  <c r="CC25" i="9"/>
  <c r="BZ39" i="9"/>
  <c r="BY39" i="9"/>
  <c r="BZ37" i="9"/>
  <c r="BB46" i="9"/>
  <c r="BB31" i="9"/>
  <c r="BB33" i="9" s="1"/>
  <c r="CB31" i="9" l="1"/>
  <c r="CB33" i="9" s="1"/>
  <c r="CB34" i="9" s="1"/>
  <c r="CB35" i="9" s="1"/>
  <c r="CC29" i="9"/>
  <c r="CC30" i="9" s="1"/>
  <c r="CC27" i="9"/>
  <c r="CD25" i="9"/>
  <c r="BZ36" i="9"/>
  <c r="BB35" i="9"/>
  <c r="BY26" i="9"/>
  <c r="BY27" i="9" s="1"/>
  <c r="BY31" i="9" s="1"/>
  <c r="BY33" i="9" s="1"/>
  <c r="AY27" i="9"/>
  <c r="AY31" i="9" s="1"/>
  <c r="AY33" i="9" s="1"/>
  <c r="AY34" i="9" s="1"/>
  <c r="BY34" i="9" s="1"/>
  <c r="BB36" i="9" l="1"/>
  <c r="BB68" i="9"/>
  <c r="CC31" i="9"/>
  <c r="CC33" i="9" s="1"/>
  <c r="CC34" i="9" s="1"/>
  <c r="CC35" i="9" s="1"/>
  <c r="CE25" i="9"/>
  <c r="CD27" i="9"/>
  <c r="CD29" i="9"/>
  <c r="CD30" i="9" s="1"/>
  <c r="CB37" i="9"/>
  <c r="CA36" i="9"/>
  <c r="AY46" i="9"/>
  <c r="BY35" i="9"/>
  <c r="AY35" i="9"/>
  <c r="AY36" i="9" s="1"/>
  <c r="CD31" i="9" l="1"/>
  <c r="CD33" i="9" s="1"/>
  <c r="CD34" i="9" s="1"/>
  <c r="CD35" i="9" s="1"/>
  <c r="BY36" i="9"/>
  <c r="BY68" i="9"/>
  <c r="CE29" i="9"/>
  <c r="CE30" i="9" s="1"/>
  <c r="CE27" i="9"/>
  <c r="CF25" i="9"/>
  <c r="CC37" i="9"/>
  <c r="CB36" i="9"/>
  <c r="CE31" i="9" l="1"/>
  <c r="CE33" i="9" s="1"/>
  <c r="CE34" i="9" s="1"/>
  <c r="CE35" i="9" s="1"/>
  <c r="CG25" i="9"/>
  <c r="CF27" i="9"/>
  <c r="CF29" i="9"/>
  <c r="CF30" i="9" s="1"/>
  <c r="CD37" i="9"/>
  <c r="CC36" i="9"/>
  <c r="CF31" i="9" l="1"/>
  <c r="CF33" i="9" s="1"/>
  <c r="CF34" i="9" s="1"/>
  <c r="CF35" i="9" s="1"/>
  <c r="CG29" i="9"/>
  <c r="CG30" i="9" s="1"/>
  <c r="CG27" i="9"/>
  <c r="CH25" i="9"/>
  <c r="CE37" i="9"/>
  <c r="CD36" i="9"/>
  <c r="CG31" i="9" l="1"/>
  <c r="CG33" i="9" s="1"/>
  <c r="CG34" i="9" s="1"/>
  <c r="CG35" i="9" s="1"/>
  <c r="CI25" i="9"/>
  <c r="CH27" i="9"/>
  <c r="CH29" i="9"/>
  <c r="CH30" i="9" s="1"/>
  <c r="CF37" i="9"/>
  <c r="CE36" i="9"/>
  <c r="CH31" i="9" l="1"/>
  <c r="CH33" i="9" s="1"/>
  <c r="CH34" i="9" s="1"/>
  <c r="CH35" i="9" s="1"/>
  <c r="CI27" i="9"/>
  <c r="CI29" i="9"/>
  <c r="CI30" i="9" s="1"/>
  <c r="CK25" i="9"/>
  <c r="CJ25" i="9"/>
  <c r="CG37" i="9"/>
  <c r="CF36" i="9"/>
  <c r="CJ27" i="9" l="1"/>
  <c r="CJ29" i="9"/>
  <c r="CJ30" i="9" s="1"/>
  <c r="CK29" i="9"/>
  <c r="CK30" i="9" s="1"/>
  <c r="CK27" i="9"/>
  <c r="CI31" i="9"/>
  <c r="CI33" i="9" s="1"/>
  <c r="CI34" i="9" s="1"/>
  <c r="CI35" i="9" s="1"/>
  <c r="CH37" i="9"/>
  <c r="CG36" i="9"/>
  <c r="CK31" i="9" l="1"/>
  <c r="CK33" i="9" s="1"/>
  <c r="CJ31" i="9"/>
  <c r="CJ33" i="9" s="1"/>
  <c r="CJ34" i="9" s="1"/>
  <c r="CJ35" i="9" s="1"/>
  <c r="CI37" i="9"/>
  <c r="CH36" i="9"/>
  <c r="CK34" i="9" l="1"/>
  <c r="CK35" i="9"/>
  <c r="CL35" i="9" s="1"/>
  <c r="CJ37" i="9"/>
  <c r="CI36" i="9"/>
  <c r="CM35" i="9" l="1"/>
  <c r="CN35" i="9" s="1"/>
  <c r="CO35" i="9" s="1"/>
  <c r="CP35" i="9" s="1"/>
  <c r="CQ35" i="9" s="1"/>
  <c r="CR35" i="9" s="1"/>
  <c r="CS35" i="9" s="1"/>
  <c r="CT35" i="9" s="1"/>
  <c r="CU35" i="9" s="1"/>
  <c r="CV35" i="9" s="1"/>
  <c r="CW35" i="9" s="1"/>
  <c r="CX35" i="9" s="1"/>
  <c r="CY35" i="9" s="1"/>
  <c r="CZ35" i="9" s="1"/>
  <c r="DA35" i="9" s="1"/>
  <c r="DB35" i="9" s="1"/>
  <c r="DC35" i="9" s="1"/>
  <c r="DD35" i="9" s="1"/>
  <c r="DE35" i="9" s="1"/>
  <c r="DF35" i="9" s="1"/>
  <c r="DG35" i="9" s="1"/>
  <c r="DH35" i="9" s="1"/>
  <c r="DI35" i="9" s="1"/>
  <c r="DJ35" i="9" s="1"/>
  <c r="DK35" i="9" s="1"/>
  <c r="DL35" i="9" s="1"/>
  <c r="DM35" i="9" s="1"/>
  <c r="DN35" i="9" s="1"/>
  <c r="DO35" i="9" s="1"/>
  <c r="DP35" i="9" s="1"/>
  <c r="DQ35" i="9" s="1"/>
  <c r="DR35" i="9" s="1"/>
  <c r="DS35" i="9" s="1"/>
  <c r="DT35" i="9" s="1"/>
  <c r="DU35" i="9" s="1"/>
  <c r="DV35" i="9" s="1"/>
  <c r="DW35" i="9" s="1"/>
  <c r="DX35" i="9" s="1"/>
  <c r="DY35" i="9" s="1"/>
  <c r="DZ35" i="9" s="1"/>
  <c r="CM41" i="9"/>
  <c r="CM42" i="9" s="1"/>
  <c r="CK37" i="9"/>
  <c r="CK36" i="9" s="1"/>
  <c r="CJ3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tc={D3D5216B-4988-49C7-99A4-DA91FFA880E8}</author>
    <author>Martin Shkreli</author>
    <author>tc={A95EDEE9-78F2-4942-8307-5D690E42CB8B}</author>
    <author>tc={C838F7CA-FAD9-482A-B48C-72B198B21072}</author>
    <author>tc={2471E570-2248-4E4F-8018-AEC8997DEC40}</author>
  </authors>
  <commentList>
    <comment ref="AP35"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AT35"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 ref="BB35" authorId="2" shapeId="0" xr:uid="{D3D5216B-4988-49C7-99A4-DA91FFA880E8}">
      <text>
        <t>[Threaded comment]
Your version of Excel allows you to read this threaded comment; however, any edits to it will get removed if the file is opened in a newer version of Excel. Learn more: https://go.microsoft.com/fwlink/?linkid=870924
Comment:
    1366 reported</t>
      </text>
    </comment>
    <comment ref="BF35" authorId="3" shapeId="0" xr:uid="{8D6C7B3A-5ED9-4D56-BC1E-370A0328DDBE}">
      <text>
        <r>
          <rPr>
            <b/>
            <sz val="9"/>
            <color indexed="81"/>
            <rFont val="Tahoma"/>
            <family val="2"/>
          </rPr>
          <t>Martin Shkreli:</t>
        </r>
        <r>
          <rPr>
            <sz val="9"/>
            <color indexed="81"/>
            <rFont val="Tahoma"/>
            <family val="2"/>
          </rPr>
          <t xml:space="preserve">
1390 reported</t>
        </r>
      </text>
    </comment>
    <comment ref="BB36" authorId="4" shapeId="0" xr:uid="{A95EDEE9-78F2-4942-8307-5D690E42CB8B}">
      <text>
        <t>[Threaded comment]
Your version of Excel allows you to read this threaded comment; however, any edits to it will get removed if the file is opened in a newer version of Excel. Learn more: https://go.microsoft.com/fwlink/?linkid=870924
Comment:
    11.86 reported</t>
      </text>
    </comment>
    <comment ref="BF36" authorId="5" shapeId="0" xr:uid="{C838F7CA-FAD9-482A-B48C-72B198B21072}">
      <text>
        <t>[Threaded comment]
Your version of Excel allows you to read this threaded comment; however, any edits to it will get removed if the file is opened in a newer version of Excel. Learn more: https://go.microsoft.com/fwlink/?linkid=870924
Comment:
    Reported 12.07, including 0.11 acquired IPR&amp;D</t>
      </text>
    </comment>
    <comment ref="BZ39" authorId="6" shapeId="0" xr:uid="{2471E570-2248-4E4F-8018-AEC8997DEC40}">
      <text>
        <t>[Threaded comment]
Your version of Excel allows you to read this threaded comment; however, any edits to it will get removed if the file is opened in a newer version of Excel. Learn more: https://go.microsoft.com/fwlink/?linkid=870924
Comment:
    +10% excluding Ronapreve</t>
      </text>
    </comment>
  </commentList>
</comments>
</file>

<file path=xl/sharedStrings.xml><?xml version="1.0" encoding="utf-8"?>
<sst xmlns="http://schemas.openxmlformats.org/spreadsheetml/2006/main" count="713" uniqueCount="513">
  <si>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</si>
  <si>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</si>
  <si>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</si>
  <si>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</si>
  <si>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</si>
  <si>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</si>
  <si>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</si>
  <si>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</si>
  <si>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</si>
  <si>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</si>
  <si>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</si>
  <si>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</si>
  <si>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</si>
  <si>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</si>
  <si>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</si>
  <si>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</si>
  <si>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</si>
  <si>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</si>
  <si>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</si>
  <si>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</si>
  <si>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</si>
  <si>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</si>
  <si>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</si>
  <si>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</si>
  <si>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</si>
  <si>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</si>
  <si>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</si>
  <si>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</si>
  <si>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</si>
  <si>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</si>
  <si>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</si>
  <si>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</si>
  <si>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</si>
  <si>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</si>
  <si>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</si>
  <si>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</si>
  <si>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</si>
  <si>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</si>
  <si>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</si>
  <si>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</si>
  <si>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</si>
  <si>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</si>
  <si>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</si>
  <si>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</si>
  <si>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</si>
  <si>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</si>
  <si>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</si>
  <si>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</si>
  <si>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</si>
  <si>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</si>
  <si>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</si>
  <si>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</si>
  <si>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</si>
  <si>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</si>
  <si>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</si>
  <si>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</si>
  <si>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</si>
  <si>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</si>
  <si>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</si>
  <si>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</si>
  <si>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</si>
  <si>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</si>
  <si>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</si>
  <si>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</si>
  <si>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</si>
  <si>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</si>
  <si>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</si>
  <si>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</si>
  <si>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</si>
  <si>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</si>
  <si>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</si>
  <si>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</si>
  <si>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</si>
  <si>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</si>
  <si>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</si>
  <si>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</si>
  <si>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</si>
  <si>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</si>
  <si>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</si>
  <si>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</si>
  <si>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</si>
  <si>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</si>
  <si>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</si>
  <si>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</si>
  <si>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</si>
  <si>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</si>
  <si>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</si>
  <si>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</si>
  <si>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</si>
  <si>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</si>
  <si>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</si>
  <si>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</si>
  <si>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</si>
  <si>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</si>
  <si>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</si>
  <si>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</si>
  <si>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</si>
  <si>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</si>
  <si>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</si>
  <si>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</si>
  <si>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</si>
  <si>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</si>
  <si>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</si>
  <si>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</si>
  <si>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</si>
  <si>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</si>
  <si>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</si>
  <si>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</si>
  <si>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</si>
  <si>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</si>
  <si>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</si>
  <si>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</si>
  <si>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</si>
  <si>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</si>
  <si>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</si>
  <si>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</si>
  <si>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</si>
  <si>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</si>
  <si>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</si>
  <si>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</si>
  <si>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</si>
  <si>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</si>
  <si>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</si>
  <si>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</si>
  <si>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</si>
  <si>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</si>
  <si>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</si>
  <si>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</si>
  <si>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</si>
  <si>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</si>
  <si>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</si>
  <si>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Administration</t>
  </si>
  <si>
    <t>Bayer 50/50 outside US, all Regeneron in the US.</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</si>
  <si>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</si>
  <si>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</si>
  <si>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</si>
  <si>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</si>
  <si>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</si>
  <si>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</si>
  <si>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</si>
  <si>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</si>
  <si>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</si>
  <si>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</si>
  <si>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</si>
  <si>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</si>
  <si>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</si>
  <si>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</si>
  <si>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</si>
  <si>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</si>
  <si>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</si>
  <si>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</si>
  <si>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</si>
  <si>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</si>
  <si>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</si>
  <si>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</si>
  <si>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</si>
  <si>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</si>
  <si>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</si>
  <si>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</si>
  <si>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</si>
  <si>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</si>
  <si>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</si>
  <si>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</si>
  <si>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</si>
  <si>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</si>
  <si>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</si>
  <si>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</si>
  <si>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</si>
  <si>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</si>
  <si>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</si>
  <si>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</si>
  <si>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</si>
  <si>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</si>
  <si>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</si>
  <si>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</si>
  <si>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</si>
  <si>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</si>
  <si>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</si>
  <si>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</si>
  <si>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</si>
  <si>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</si>
  <si>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</si>
  <si>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</si>
  <si>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</si>
  <si>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</si>
  <si>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</si>
  <si>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</si>
  <si>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</si>
  <si>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Actemra (IL-6R antibody tocilizumab fr DNA), TNFs, etc</t>
  </si>
  <si>
    <t>RA, ankylosing spondylitis</t>
  </si>
  <si>
    <t>fully human monoclonal antibody against IL-R6</t>
  </si>
  <si>
    <t>REGN88</t>
  </si>
  <si>
    <t>Phase 1 in asthma</t>
  </si>
  <si>
    <t>Phase 2 in eosinophilic asthma</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</si>
  <si>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</si>
  <si>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</si>
  <si>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</si>
  <si>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</si>
  <si>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</si>
  <si>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</si>
  <si>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</si>
  <si>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</si>
  <si>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</si>
  <si>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</si>
  <si>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</si>
  <si>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</si>
  <si>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</si>
  <si>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</si>
  <si>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</si>
  <si>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</si>
  <si>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</si>
  <si>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</si>
  <si>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</si>
  <si>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</si>
  <si>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</si>
  <si>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</si>
  <si>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</si>
  <si>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</si>
  <si>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</si>
  <si>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</si>
  <si>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</si>
  <si>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</si>
  <si>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</si>
  <si>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</si>
  <si>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</si>
  <si>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</si>
  <si>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</si>
  <si>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</si>
  <si>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</si>
  <si>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</si>
  <si>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</si>
  <si>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</si>
  <si>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</si>
  <si>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</si>
  <si>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</si>
  <si>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</si>
  <si>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</si>
  <si>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</si>
  <si>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</si>
  <si>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</si>
  <si>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</si>
  <si>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</si>
  <si>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</si>
  <si>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</si>
  <si>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</si>
  <si>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</si>
  <si>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</si>
  <si>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</si>
  <si>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</si>
  <si>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</si>
  <si>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</si>
  <si>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</si>
  <si>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</si>
  <si>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</si>
  <si>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</si>
  <si>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</si>
  <si>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</si>
  <si>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</si>
  <si>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</si>
  <si>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</si>
  <si>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</si>
  <si>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</si>
  <si>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</si>
  <si>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</si>
  <si>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</si>
  <si>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</si>
  <si>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</si>
  <si>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</si>
  <si>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</si>
  <si>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</si>
  <si>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</si>
  <si>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</si>
  <si>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</si>
  <si>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</si>
  <si>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</si>
  <si>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</si>
  <si>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</si>
  <si>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</si>
  <si>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Activin A</t>
  </si>
  <si>
    <t>Evkeeza (evinacumab)</t>
  </si>
  <si>
    <t>ANGPTL3</t>
  </si>
  <si>
    <t>REGN7508</t>
  </si>
  <si>
    <t>Thrombosis</t>
  </si>
  <si>
    <t>Factor XI</t>
  </si>
  <si>
    <t>REGN7999</t>
  </si>
  <si>
    <t>Iron Overload</t>
  </si>
  <si>
    <t>TMPRSS6</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</si>
  <si>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</si>
  <si>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</si>
  <si>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</si>
  <si>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</si>
  <si>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</si>
  <si>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</si>
  <si>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</si>
  <si>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</si>
  <si>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</si>
  <si>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</si>
  <si>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</si>
  <si>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</si>
  <si>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</si>
  <si>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</si>
  <si>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</si>
  <si>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</si>
  <si>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</si>
  <si>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</si>
  <si>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</si>
  <si>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</si>
  <si>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</si>
  <si>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</si>
  <si>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</si>
  <si>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</si>
  <si>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</si>
  <si>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</si>
  <si>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</si>
  <si>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</si>
  <si>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</si>
  <si>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CFO: Chris Fenimore</t>
  </si>
  <si>
    <t>Eylea HD</t>
  </si>
  <si>
    <t>Q124</t>
  </si>
  <si>
    <t>Q224</t>
  </si>
  <si>
    <t>Q324</t>
  </si>
  <si>
    <t>Q424</t>
  </si>
  <si>
    <t>Q125</t>
  </si>
  <si>
    <t>Q225</t>
  </si>
  <si>
    <t>Q325</t>
  </si>
  <si>
    <t>Q425</t>
  </si>
  <si>
    <t>Q118</t>
  </si>
  <si>
    <t>Q218</t>
  </si>
  <si>
    <t>Q318</t>
  </si>
  <si>
    <t>Q418</t>
  </si>
  <si>
    <t>Q117</t>
  </si>
  <si>
    <t>Q217</t>
  </si>
  <si>
    <t>Q317</t>
  </si>
  <si>
    <t>Q417</t>
  </si>
  <si>
    <t>Q116</t>
  </si>
  <si>
    <t>Q216</t>
  </si>
  <si>
    <t>Q316</t>
  </si>
  <si>
    <t>Q416</t>
  </si>
  <si>
    <t>Q115</t>
  </si>
  <si>
    <t>Q215</t>
  </si>
  <si>
    <t>Q315</t>
  </si>
  <si>
    <t>Q415</t>
  </si>
  <si>
    <t>Q114</t>
  </si>
  <si>
    <t>Q214</t>
  </si>
  <si>
    <t>Q314</t>
  </si>
  <si>
    <t>Q414</t>
  </si>
  <si>
    <t>Q113</t>
  </si>
  <si>
    <t>Q213</t>
  </si>
  <si>
    <t>Q313</t>
  </si>
  <si>
    <t>Q413</t>
  </si>
  <si>
    <t>Q112</t>
  </si>
  <si>
    <t>Q212</t>
  </si>
  <si>
    <t>Q312</t>
  </si>
  <si>
    <t>Q412</t>
  </si>
  <si>
    <t>Q111</t>
  </si>
  <si>
    <t>Q211</t>
  </si>
  <si>
    <t>Q311</t>
  </si>
  <si>
    <t>Q411</t>
  </si>
  <si>
    <t>Founded: 1988</t>
  </si>
  <si>
    <t>IPO: 1991</t>
  </si>
  <si>
    <t>Eylea ROW</t>
  </si>
  <si>
    <t>2,689</t>
  </si>
  <si>
    <t>2,897</t>
  </si>
  <si>
    <t>Maturity</t>
  </si>
  <si>
    <t>Discount</t>
  </si>
  <si>
    <t>NPV</t>
  </si>
  <si>
    <t>CEO: Len Schleifer</t>
  </si>
  <si>
    <t>Eylea, Eylea HD</t>
  </si>
  <si>
    <t>Phase III "QUASAR" - Eylea HD in macular edema following RVO</t>
  </si>
  <si>
    <t>monthly dosing followed by q8w were non-inferior to monthly Eylea</t>
  </si>
  <si>
    <t>sBLA Q125, prefilled syringe PDUFA mid-2025</t>
  </si>
  <si>
    <t>Regulatory</t>
  </si>
  <si>
    <t>BLA 125387 approved 11/18/2011</t>
  </si>
  <si>
    <t>intravitreal 4mg, HD 8mg</t>
  </si>
  <si>
    <t>BLA 761355 approved 8/18/2023</t>
  </si>
  <si>
    <t>BLA 761055 approved 3/28/2017</t>
  </si>
  <si>
    <t xml:space="preserve">Brand </t>
  </si>
  <si>
    <t>Generic</t>
  </si>
  <si>
    <t>cemiplimab</t>
  </si>
  <si>
    <t>cSCC</t>
  </si>
  <si>
    <t>BLA 761097 approved 9/28/2018</t>
  </si>
  <si>
    <t>Eylea family y/y</t>
  </si>
  <si>
    <t xml:space="preserve">  Zaltrap</t>
  </si>
  <si>
    <t>Stock Price</t>
  </si>
  <si>
    <t xml:space="preserve">  y/y</t>
  </si>
  <si>
    <t>Libtayo y/y</t>
  </si>
  <si>
    <t>Melanoma</t>
  </si>
  <si>
    <t>LAG3</t>
  </si>
  <si>
    <t>ALN-CIDEB</t>
  </si>
  <si>
    <t>NASH</t>
  </si>
  <si>
    <t>I</t>
  </si>
  <si>
    <t>ALNY</t>
  </si>
  <si>
    <t>REGN7544</t>
  </si>
  <si>
    <t>II</t>
  </si>
  <si>
    <t>Phase III lichen simplex chronicus</t>
  </si>
  <si>
    <t>bullous pemphigoid</t>
  </si>
  <si>
    <t xml:space="preserve">EC approves childhood EoE </t>
  </si>
  <si>
    <t>Net Cash</t>
  </si>
  <si>
    <t>sBLA for CSU resubmitted, 4/18/25 PDUFA</t>
  </si>
  <si>
    <t>atopic dermatitis, asthma, eosinophilic esophagitis (EoE), CSU, bullous pemphigoid</t>
  </si>
  <si>
    <t>Phase III adjuvant CSCC</t>
  </si>
  <si>
    <t>DFS improvement</t>
  </si>
  <si>
    <t>Phase III intralesional early-stage CSCC</t>
  </si>
  <si>
    <t>Lucentis, Avastin</t>
  </si>
  <si>
    <t>Brand</t>
  </si>
  <si>
    <t>R/R Multiple Myeloma</t>
  </si>
  <si>
    <t>Tecvayli, Elrexfio already approved</t>
  </si>
  <si>
    <t>Phase II "LINKER-MM1" n=252 MM - NCT03761108</t>
  </si>
  <si>
    <t>64% ORR</t>
  </si>
  <si>
    <t>MOA</t>
  </si>
  <si>
    <t>R/R FL</t>
  </si>
  <si>
    <t>Epkinly (epcoritamab, ABBV/GMAB), Columvi (glofitamab, Roche) 52-63% ORR, 39% CR</t>
  </si>
  <si>
    <t>Lunsumio (mosunetuzumab), imvotamab (IGM-2323)</t>
  </si>
  <si>
    <t>REGN9933</t>
  </si>
  <si>
    <t>Factor XI catalytic domain antibody</t>
  </si>
  <si>
    <t>Designed to maximize anticoagulant activity while minimizing bleeding risk</t>
  </si>
  <si>
    <t>Phase II</t>
  </si>
  <si>
    <t>robust antithrombotic effect, no clinically relevant bleeding</t>
  </si>
  <si>
    <t>Factor XI  A2 domain antibody</t>
  </si>
  <si>
    <t>For patients with highest bleeding risk</t>
  </si>
  <si>
    <t>C5 antibody</t>
  </si>
  <si>
    <t>combination with cemdisiran vs. ravulizumab - 66th ASH</t>
  </si>
  <si>
    <t>better disease control vs. ravulizumab</t>
  </si>
  <si>
    <t>Phase I with dupilumab in severe food allergy</t>
  </si>
  <si>
    <t>Phase 2/3 in RA</t>
  </si>
  <si>
    <t>Phase 2 in ankylosing spondylitis</t>
  </si>
  <si>
    <t>EC approved polymyalgia rheumatica and pJIA</t>
  </si>
  <si>
    <t>generalized lipodystrophy</t>
  </si>
  <si>
    <t>Phase III initiated</t>
  </si>
  <si>
    <t>agonist antibody to leptin receptor</t>
  </si>
  <si>
    <t>trevogrumab</t>
  </si>
  <si>
    <t>myostatin</t>
  </si>
  <si>
    <t>FOP/obesity</t>
  </si>
  <si>
    <t>obesity</t>
  </si>
  <si>
    <t>itepekimab</t>
  </si>
  <si>
    <t>IL-33</t>
  </si>
  <si>
    <t>CRSsNP</t>
  </si>
  <si>
    <t>myostatin mab</t>
  </si>
  <si>
    <t>Phase II with semaglutide and +- garetosmab</t>
  </si>
  <si>
    <t>Phase II CRS without NP</t>
  </si>
  <si>
    <t>data 2H25</t>
  </si>
  <si>
    <t>CRSsNP, COPD</t>
  </si>
  <si>
    <t>Phase III COPD</t>
  </si>
  <si>
    <t>data 2H25, BLA 2H25</t>
  </si>
  <si>
    <t>more Phase III studies to be initiated 1H25</t>
  </si>
  <si>
    <t>resubmitted BLA 1/2025, decision 2H25</t>
  </si>
  <si>
    <t>Veopoz (pozelimab)</t>
  </si>
  <si>
    <t>BLA 761339 approved 8/18/2023</t>
  </si>
  <si>
    <t>CHAPLE, PNH</t>
  </si>
  <si>
    <t>Ordspono (odronextamab)</t>
  </si>
  <si>
    <t>REGN5713-5715, , REGN1908-1909, mibavademab</t>
  </si>
  <si>
    <t>resubmitted BLA 1/2025, FDA decision mid-2025</t>
  </si>
  <si>
    <t>Phase III - initiate 2025</t>
  </si>
  <si>
    <t>III initiating</t>
  </si>
  <si>
    <t>ubamatamab</t>
  </si>
  <si>
    <t>ovarian cancer</t>
  </si>
  <si>
    <t>MUC16xCD3</t>
  </si>
  <si>
    <t>DB-OTO</t>
  </si>
  <si>
    <t>otoferlin deafness</t>
  </si>
  <si>
    <t>otoferlin AAV</t>
  </si>
  <si>
    <t>Phase III myasthenia gravis with cemdisiran</t>
  </si>
  <si>
    <t>2H25 results</t>
  </si>
  <si>
    <t>Phase II obesity with tirzepatide</t>
  </si>
  <si>
    <t>2H25 data</t>
  </si>
  <si>
    <t>Filing sBLA for Eylea HD for q4w dosing regimen in Q125, FDA decision 2H25</t>
  </si>
  <si>
    <t>Filing sBLA for Eylea HD for RVO in Q125, decision 2H25</t>
  </si>
  <si>
    <t>FDA submission for Eylea HD pre-filled syringe, decision mid-2025</t>
  </si>
  <si>
    <t>fibrodysplasia ossificans progressiva</t>
  </si>
  <si>
    <t>activin A mab</t>
  </si>
  <si>
    <t>Phase III - reports 2H25</t>
  </si>
  <si>
    <t xml:space="preserve">Phase I/II </t>
  </si>
  <si>
    <t>new data mid 2025</t>
  </si>
  <si>
    <t>sBLA two-year wAMD, DME data decision 4/20/2025</t>
  </si>
  <si>
    <t>sBLA for bullous pemphigoid submitted, FDA decision 2H25, submit in EU 1H25</t>
  </si>
  <si>
    <t>submit sBLA for adjuvant CSCC - 1H25</t>
  </si>
  <si>
    <t>Metastatic Melanoma</t>
  </si>
  <si>
    <t>LAG-3 mab</t>
  </si>
  <si>
    <t>Phase III with Libtayo vs. pembro 1L MM</t>
  </si>
  <si>
    <t>Phase II with Libtayo 1L NSCLC</t>
  </si>
  <si>
    <t>1H25 results</t>
  </si>
  <si>
    <t>IL-4R subunit antibody</t>
  </si>
  <si>
    <t>Type II receptor: IL-4Ralpha + IL-13Ralpha1</t>
  </si>
  <si>
    <t>Type I receptor: IL-4Ralpha + common gamma chain</t>
  </si>
  <si>
    <t>Model NI</t>
  </si>
  <si>
    <t>Reported NI</t>
  </si>
  <si>
    <t>SBC</t>
  </si>
  <si>
    <t>D&amp;A</t>
  </si>
  <si>
    <t>Securities</t>
  </si>
  <si>
    <t>Non-Cash</t>
  </si>
  <si>
    <t>DT</t>
  </si>
  <si>
    <t>IPR&amp;D</t>
  </si>
  <si>
    <t>WC</t>
  </si>
  <si>
    <t>CFFO</t>
  </si>
  <si>
    <t>CFFI</t>
  </si>
  <si>
    <t>Investments</t>
  </si>
  <si>
    <t>CapEx</t>
  </si>
  <si>
    <t>Acquisitions</t>
  </si>
  <si>
    <t>Issuance</t>
  </si>
  <si>
    <t>ESOP Tax</t>
  </si>
  <si>
    <t>Buyback</t>
  </si>
  <si>
    <t>CFFF</t>
  </si>
  <si>
    <t>FX</t>
  </si>
  <si>
    <t>FCF</t>
  </si>
  <si>
    <t>Lynozyfic (linvoseltamab)</t>
  </si>
  <si>
    <t>POTS, Sepsis Hypotension</t>
  </si>
  <si>
    <t>NPR1 agonist</t>
  </si>
  <si>
    <t>REGN5381</t>
  </si>
  <si>
    <t>Hypertension</t>
  </si>
  <si>
    <t>NPR1 antagonist</t>
  </si>
  <si>
    <t>2H25: COURAGE obesity results</t>
  </si>
  <si>
    <t>nexiguran ziclumeran (NTLA-2001)</t>
  </si>
  <si>
    <t>CD3 franchise</t>
  </si>
  <si>
    <t>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</si>
</sst>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4"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
      <b/>
      <u/>
      <sz val="10"/>
      <color theme="1"/>
      <name val="Arial"/>
      <family val="2"/>
    </font>
    <font>
      <sz val="9"/>
      <color indexed="81"/>
      <name val="Tahoma"/>
      <family val="2"/>
    </font>
    <font>
      <b/>
      <sz val="9"/>
      <color indexed="81"/>
      <name val="Tahoma"/>
      <family val="2"/>
    </font>
    <font>
      <b/>
      <u/>
      <sz val="10"/>
      <color indexed="12"/>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71">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0" fillId="0" borderId="2" xfId="0" applyBorder="1" applyAlignment="1">
      <alignment horizontal="center"/>
    </xf>
    <xf numFmtId="0" fontId="2" fillId="0" borderId="2"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3" fontId="0" fillId="0" borderId="0" xfId="0" quotePrefix="1" applyNumberFormat="1" applyAlignment="1">
      <alignment horizontal="right"/>
    </xf>
    <xf numFmtId="3" fontId="0" fillId="3" borderId="0" xfId="0" applyNumberFormat="1" applyFill="1" applyAlignment="1">
      <alignment horizontal="right"/>
    </xf>
    <xf numFmtId="9" fontId="0" fillId="0" borderId="0" xfId="0" applyNumberFormat="1"/>
    <xf numFmtId="9" fontId="1" fillId="0" borderId="0" xfId="0" applyNumberFormat="1" applyFont="1"/>
    <xf numFmtId="14" fontId="2" fillId="0" borderId="0" xfId="0" applyNumberFormat="1" applyFont="1" applyAlignment="1">
      <alignment horizontal="center"/>
    </xf>
    <xf numFmtId="14" fontId="0" fillId="0" borderId="10" xfId="0" applyNumberFormat="1" applyBorder="1" applyAlignment="1">
      <alignment horizontal="center"/>
    </xf>
    <xf numFmtId="0" fontId="10" fillId="0" borderId="0" xfId="0" applyFont="1"/>
    <xf numFmtId="4" fontId="1" fillId="0" borderId="0" xfId="0" applyNumberFormat="1" applyFont="1" applyAlignment="1">
      <alignment horizontal="right"/>
    </xf>
    <xf numFmtId="4" fontId="1" fillId="0" borderId="0" xfId="0" applyNumberFormat="1" applyFont="1"/>
    <xf numFmtId="0" fontId="0" fillId="0" borderId="0" xfId="0" quotePrefix="1"/>
    <xf numFmtId="9" fontId="0" fillId="0" borderId="0" xfId="0" applyNumberFormat="1" applyAlignment="1">
      <alignment horizontal="center"/>
    </xf>
    <xf numFmtId="9" fontId="2" fillId="0" borderId="0" xfId="0" applyNumberFormat="1" applyFont="1" applyAlignment="1">
      <alignment horizontal="center"/>
    </xf>
    <xf numFmtId="0" fontId="2" fillId="0" borderId="0" xfId="1" applyFont="1" applyFill="1" applyBorder="1" applyAlignment="1" applyProtection="1"/>
    <xf numFmtId="0" fontId="0" fillId="0" borderId="9" xfId="0" applyBorder="1" applyAlignment="1">
      <alignment horizontal="center"/>
    </xf>
    <xf numFmtId="0" fontId="4" fillId="0" borderId="0" xfId="1" applyFill="1" applyAlignment="1" applyProtection="1"/>
    <xf numFmtId="9" fontId="2" fillId="0" borderId="0" xfId="2" applyNumberFormat="1"/>
    <xf numFmtId="0" fontId="2" fillId="0" borderId="0" xfId="2" applyAlignment="1">
      <alignment horizontal="center"/>
    </xf>
    <xf numFmtId="0" fontId="2" fillId="0" borderId="0" xfId="2" applyAlignment="1">
      <alignment horizontal="right"/>
    </xf>
    <xf numFmtId="9" fontId="2" fillId="0" borderId="0" xfId="2" applyNumberFormat="1" applyAlignment="1">
      <alignment horizontal="center"/>
    </xf>
    <xf numFmtId="0" fontId="13" fillId="0" borderId="5" xfId="1" applyFont="1" applyFill="1" applyBorder="1" applyAlignment="1" applyProtection="1"/>
    <xf numFmtId="0" fontId="7" fillId="0" borderId="0" xfId="0" applyFont="1" applyAlignment="1">
      <alignment horizontal="center"/>
    </xf>
    <xf numFmtId="0" fontId="1" fillId="0" borderId="0" xfId="0" applyFont="1" applyAlignment="1">
      <alignment horizontal="center"/>
    </xf>
    <xf numFmtId="0" fontId="1" fillId="0" borderId="4" xfId="0" applyFont="1" applyBorder="1" applyAlignment="1">
      <alignment horizontal="center"/>
    </xf>
  </cellXfs>
  <cellStyles count="3">
    <cellStyle name="Hyperlink" xfId="1" builtinId="8"/>
    <cellStyle name="Normal" xfId="0" builtinId="0"/>
    <cellStyle name="Normal 2" xfId="2" xr:uid="{E14D3674-039E-4586-B983-DD274F8F7112}"/>
  </cellStyles>
  <dxfs count="0"/>
  <tableStyles count="1" defaultTableStyle="TableStyleMedium2" defaultPivotStyle="PivotStyleLight16">
    <tableStyle name="Invisible" pivot="0" table="0" count="0" xr9:uid="{0B1FE2AF-6D72-413E-A096-49C7B60FF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59</xdr:col>
      <xdr:colOff>13990</xdr:colOff>
      <xdr:row>0</xdr:row>
      <xdr:rowOff>0</xdr:rowOff>
    </xdr:from>
    <xdr:to>
      <xdr:col>59</xdr:col>
      <xdr:colOff>13990</xdr:colOff>
      <xdr:row>119</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35722714" y="0"/>
          <a:ext cx="0" cy="187073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19008</xdr:colOff>
      <xdr:row>0</xdr:row>
      <xdr:rowOff>0</xdr:rowOff>
    </xdr:from>
    <xdr:to>
      <xdr:col>78</xdr:col>
      <xdr:colOff>19008</xdr:colOff>
      <xdr:row>103</xdr:row>
      <xdr:rowOff>136921</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46762946" y="0"/>
          <a:ext cx="0" cy="1154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P35" dT="2022-09-16T10:03:00.58" personId="{6AE02F28-EECC-4040-93BD-26CB9CF8932E}" id="{CFF3BC2E-892D-4995-B558-D2A9395BF1AF}">
    <text>NGNI 1080.2</text>
  </threadedComment>
  <threadedComment ref="AT35" dT="2022-09-16T10:02:53.72" personId="{6AE02F28-EECC-4040-93BD-26CB9CF8932E}" id="{E621A5CA-53E8-48F9-80F2-12D076620DD9}">
    <text>NGNI 2711.5</text>
  </threadedComment>
  <threadedComment ref="BB35" dT="2025-03-01T02:07:28.50" personId="{6AE02F28-EECC-4040-93BD-26CB9CF8932E}" id="{D3D5216B-4988-49C7-99A4-DA91FFA880E8}">
    <text>1366 reported</text>
  </threadedComment>
  <threadedComment ref="BB36" dT="2025-03-01T02:07:37.13" personId="{6AE02F28-EECC-4040-93BD-26CB9CF8932E}" id="{A95EDEE9-78F2-4942-8307-5D690E42CB8B}">
    <text>11.86 reported</text>
  </threadedComment>
  <threadedComment ref="BF36" dT="2025-03-01T02:05:57.11" personId="{6AE02F28-EECC-4040-93BD-26CB9CF8932E}" id="{C838F7CA-FAD9-482A-B48C-72B198B21072}">
    <text>Reported 12.07, including 0.11 acquired IPR&amp;D</text>
  </threadedComment>
  <threadedComment ref="BZ39" dT="2025-03-01T01:58:52.97" personId="{6AE02F28-EECC-4040-93BD-26CB9CF8932E}" id="{2471E570-2248-4E4F-8018-AEC8997DEC40}">
    <text>+10% excluding Ronapreve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55"/>
  <sheetViews>
    <sheetView zoomScale="137" zoomScaleNormal="160" workbookViewId="0">
      <selection activeCell="A2" sqref="A2"/>
    </sheetView>
  </sheetViews>
  <sheetFormatPr defaultColWidth="8.85546875" defaultRowHeight="12.75" x14ac:dyDescent="0.2"/>
  <cols>
    <col min="1" max="1" width="3.7109375" customWidth="1"/>
    <col min="2" max="2" width="23.7109375" customWidth="1"/>
    <col min="3" max="3" width="25.140625" customWidth="1"/>
    <col min="4" max="4" width="10.42578125" bestFit="1" customWidth="1"/>
    <col min="5" max="5" width="11.7109375" customWidth="1"/>
    <col min="6" max="6" width="13.85546875" customWidth="1"/>
  </cols>
  <sheetData>
    <row r="2" spans="2:11" x14ac:dyDescent="0.2">
      <c r="B2" s="18" t="s">
        <v>48</v>
      </c>
      <c r="C2" s="19" t="s">
        <v>47</v>
      </c>
      <c r="D2" s="19" t="s">
        <v>46</v>
      </c>
      <c r="E2" s="19" t="s">
        <v>44</v>
      </c>
      <c r="F2" s="19" t="s">
        <v>43</v>
      </c>
      <c r="G2" s="20" t="s">
        <v>42</v>
      </c>
      <c r="I2" t="s">
        <v>41</v>
      </c>
      <c r="J2" s="21">
        <v>565</v>
      </c>
      <c r="K2" s="22"/>
    </row>
    <row r="3" spans="2:11" x14ac:dyDescent="0.2">
      <c r="B3" s="23" t="s">
        <v>40</v>
      </c>
      <c r="C3" s="24" t="s">
        <v>39</v>
      </c>
      <c r="D3" s="53">
        <v>39479</v>
      </c>
      <c r="E3" s="25"/>
      <c r="F3" s="26" t="s">
        <v>38</v>
      </c>
      <c r="G3" s="27"/>
      <c r="I3" t="s">
        <v>37</v>
      </c>
      <c r="J3" s="28">
        <f>107.507536+1.817146</f>
        <v>109.324682</v>
      </c>
      <c r="K3" s="22" t="s">
        <v>321</v>
      </c>
    </row>
    <row r="4" spans="2:11" x14ac:dyDescent="0.2">
      <c r="B4" s="29" t="s">
        <v>273</v>
      </c>
      <c r="C4" s="35" t="s">
        <v>30</v>
      </c>
      <c r="D4" s="52">
        <v>40865</v>
      </c>
      <c r="E4" s="30" t="s">
        <v>258</v>
      </c>
      <c r="F4" s="30" t="s">
        <v>238</v>
      </c>
      <c r="G4" s="46"/>
      <c r="I4" t="s">
        <v>34</v>
      </c>
      <c r="J4" s="1">
        <f>J2*J3</f>
        <v>61768.445329999995</v>
      </c>
      <c r="K4" s="14"/>
    </row>
    <row r="5" spans="2:11" x14ac:dyDescent="0.2">
      <c r="B5" s="29" t="s">
        <v>272</v>
      </c>
      <c r="C5" s="30" t="s">
        <v>232</v>
      </c>
      <c r="D5" s="52">
        <v>41124</v>
      </c>
      <c r="E5" s="30" t="s">
        <v>233</v>
      </c>
      <c r="F5" s="30" t="s">
        <v>238</v>
      </c>
      <c r="G5" s="31"/>
      <c r="I5" t="s">
        <v>32</v>
      </c>
      <c r="J5" s="1">
        <v>17531</v>
      </c>
      <c r="K5" s="22" t="s">
        <v>319</v>
      </c>
    </row>
    <row r="6" spans="2:11" x14ac:dyDescent="0.2">
      <c r="B6" s="29" t="s">
        <v>253</v>
      </c>
      <c r="C6" s="35" t="s">
        <v>254</v>
      </c>
      <c r="D6" s="52">
        <v>42209</v>
      </c>
      <c r="E6" s="30" t="s">
        <v>233</v>
      </c>
      <c r="F6" s="30" t="s">
        <v>255</v>
      </c>
      <c r="G6" s="46"/>
      <c r="I6" t="s">
        <v>29</v>
      </c>
      <c r="J6" s="1">
        <v>1984</v>
      </c>
      <c r="K6" s="22" t="s">
        <v>319</v>
      </c>
    </row>
    <row r="7" spans="2:11" x14ac:dyDescent="0.2">
      <c r="B7" s="29" t="s">
        <v>33</v>
      </c>
      <c r="C7" s="30" t="s">
        <v>235</v>
      </c>
      <c r="D7" s="52">
        <v>42822</v>
      </c>
      <c r="E7" s="30" t="s">
        <v>233</v>
      </c>
      <c r="F7" s="30" t="s">
        <v>234</v>
      </c>
      <c r="G7" s="31"/>
      <c r="I7" s="34" t="s">
        <v>26</v>
      </c>
      <c r="J7" s="1">
        <f>J4-J5+J6</f>
        <v>46221.445329999995</v>
      </c>
    </row>
    <row r="8" spans="2:11" x14ac:dyDescent="0.2">
      <c r="B8" s="29" t="s">
        <v>256</v>
      </c>
      <c r="C8" s="35" t="s">
        <v>25</v>
      </c>
      <c r="D8" s="52">
        <v>42969</v>
      </c>
      <c r="E8" s="30" t="s">
        <v>233</v>
      </c>
      <c r="F8" s="30" t="s">
        <v>257</v>
      </c>
      <c r="G8" s="46"/>
      <c r="I8" s="34"/>
      <c r="J8" s="1"/>
    </row>
    <row r="9" spans="2:11" x14ac:dyDescent="0.2">
      <c r="B9" s="29" t="s">
        <v>236</v>
      </c>
      <c r="C9" s="30" t="s">
        <v>259</v>
      </c>
      <c r="D9" s="52">
        <v>43371</v>
      </c>
      <c r="E9" s="30"/>
      <c r="F9" s="30" t="s">
        <v>237</v>
      </c>
      <c r="G9" s="31"/>
      <c r="I9" s="34" t="s">
        <v>366</v>
      </c>
      <c r="J9" s="1"/>
    </row>
    <row r="10" spans="2:11" x14ac:dyDescent="0.2">
      <c r="B10" s="29" t="s">
        <v>446</v>
      </c>
      <c r="C10" s="30" t="s">
        <v>261</v>
      </c>
      <c r="D10" s="52">
        <v>45156</v>
      </c>
      <c r="E10" s="58">
        <v>1</v>
      </c>
      <c r="F10" s="30" t="s">
        <v>262</v>
      </c>
      <c r="G10" s="31"/>
      <c r="I10" s="34" t="s">
        <v>316</v>
      </c>
      <c r="J10" s="1"/>
    </row>
    <row r="11" spans="2:11" x14ac:dyDescent="0.2">
      <c r="B11" s="37" t="s">
        <v>279</v>
      </c>
      <c r="C11" s="35" t="s">
        <v>254</v>
      </c>
      <c r="D11" s="52">
        <v>44238</v>
      </c>
      <c r="E11" s="59">
        <v>1</v>
      </c>
      <c r="F11" s="30" t="s">
        <v>280</v>
      </c>
      <c r="G11" s="46"/>
      <c r="I11" s="34" t="s">
        <v>358</v>
      </c>
      <c r="J11" s="36"/>
    </row>
    <row r="12" spans="2:11" x14ac:dyDescent="0.2">
      <c r="B12" s="18"/>
      <c r="C12" s="19"/>
      <c r="D12" s="19" t="s">
        <v>27</v>
      </c>
      <c r="E12" s="19"/>
      <c r="F12" s="19"/>
      <c r="G12" s="20"/>
      <c r="I12" s="34" t="s">
        <v>359</v>
      </c>
    </row>
    <row r="13" spans="2:11" x14ac:dyDescent="0.2">
      <c r="B13" s="23" t="s">
        <v>449</v>
      </c>
      <c r="C13" s="24" t="s">
        <v>268</v>
      </c>
      <c r="D13" s="26" t="s">
        <v>263</v>
      </c>
      <c r="E13" s="25">
        <v>1</v>
      </c>
      <c r="F13" s="26" t="s">
        <v>266</v>
      </c>
      <c r="G13" s="61">
        <f>129.4+96.3+66</f>
        <v>291.7</v>
      </c>
    </row>
    <row r="14" spans="2:11" x14ac:dyDescent="0.2">
      <c r="B14" s="29" t="s">
        <v>274</v>
      </c>
      <c r="C14" s="30" t="s">
        <v>275</v>
      </c>
      <c r="D14" s="30" t="s">
        <v>267</v>
      </c>
      <c r="E14" s="59">
        <v>1</v>
      </c>
      <c r="F14" s="30" t="s">
        <v>276</v>
      </c>
      <c r="G14" s="31"/>
    </row>
    <row r="15" spans="2:11" x14ac:dyDescent="0.2">
      <c r="B15" s="29" t="s">
        <v>503</v>
      </c>
      <c r="C15" s="35" t="s">
        <v>271</v>
      </c>
      <c r="D15" s="30" t="s">
        <v>263</v>
      </c>
      <c r="E15" s="58">
        <v>1</v>
      </c>
      <c r="F15" s="30" t="s">
        <v>270</v>
      </c>
      <c r="G15" s="31">
        <f>141.9+78.7+45.5</f>
        <v>266.10000000000002</v>
      </c>
    </row>
    <row r="16" spans="2:11" x14ac:dyDescent="0.2">
      <c r="B16" s="29" t="s">
        <v>264</v>
      </c>
      <c r="C16" s="30" t="s">
        <v>386</v>
      </c>
      <c r="D16" s="30" t="s">
        <v>267</v>
      </c>
      <c r="E16" s="58">
        <v>1</v>
      </c>
      <c r="F16" s="30" t="s">
        <v>387</v>
      </c>
      <c r="G16" s="31">
        <f>215.5+112.2+43.4</f>
        <v>371.09999999999997</v>
      </c>
    </row>
    <row r="17" spans="2:9" s="45" customFormat="1" x14ac:dyDescent="0.2">
      <c r="B17" s="67" t="s">
        <v>434</v>
      </c>
      <c r="C17" s="68" t="s">
        <v>441</v>
      </c>
      <c r="D17" s="68" t="s">
        <v>267</v>
      </c>
      <c r="E17" s="69"/>
      <c r="F17" s="68" t="s">
        <v>435</v>
      </c>
      <c r="G17" s="70">
        <f>96.2+70.3+26.5</f>
        <v>193</v>
      </c>
    </row>
    <row r="18" spans="2:9" x14ac:dyDescent="0.2">
      <c r="B18" s="29" t="s">
        <v>413</v>
      </c>
      <c r="C18" s="30" t="s">
        <v>282</v>
      </c>
      <c r="D18" s="30" t="s">
        <v>453</v>
      </c>
      <c r="E18" s="35"/>
      <c r="F18" s="30" t="s">
        <v>283</v>
      </c>
      <c r="G18" s="31"/>
    </row>
    <row r="19" spans="2:9" x14ac:dyDescent="0.2">
      <c r="B19" s="29" t="s">
        <v>281</v>
      </c>
      <c r="C19" s="30" t="s">
        <v>282</v>
      </c>
      <c r="D19" s="30" t="s">
        <v>453</v>
      </c>
      <c r="E19" s="35"/>
      <c r="F19" s="30" t="s">
        <v>283</v>
      </c>
      <c r="G19" s="31"/>
    </row>
    <row r="20" spans="2:9" x14ac:dyDescent="0.2">
      <c r="B20" s="37" t="s">
        <v>510</v>
      </c>
      <c r="C20" s="35" t="s">
        <v>289</v>
      </c>
      <c r="D20" s="30" t="s">
        <v>267</v>
      </c>
      <c r="E20" s="35" t="s">
        <v>287</v>
      </c>
      <c r="F20" s="30" t="s">
        <v>288</v>
      </c>
      <c r="G20" s="31"/>
    </row>
    <row r="21" spans="2:9" x14ac:dyDescent="0.2">
      <c r="B21" s="37" t="s">
        <v>290</v>
      </c>
      <c r="C21" s="30" t="s">
        <v>291</v>
      </c>
      <c r="D21" s="30"/>
      <c r="E21" s="35"/>
      <c r="F21" s="30" t="s">
        <v>292</v>
      </c>
      <c r="G21" s="31"/>
    </row>
    <row r="22" spans="2:9" x14ac:dyDescent="0.2">
      <c r="B22" s="29" t="s">
        <v>430</v>
      </c>
      <c r="C22" s="30" t="s">
        <v>433</v>
      </c>
      <c r="D22" s="30" t="s">
        <v>393</v>
      </c>
      <c r="E22" s="58">
        <v>1</v>
      </c>
      <c r="F22" s="30" t="s">
        <v>431</v>
      </c>
      <c r="G22" s="31"/>
    </row>
    <row r="23" spans="2:9" x14ac:dyDescent="0.2">
      <c r="B23" s="37" t="s">
        <v>388</v>
      </c>
      <c r="C23" s="30" t="s">
        <v>389</v>
      </c>
      <c r="D23" s="30" t="s">
        <v>390</v>
      </c>
      <c r="E23" s="35" t="s">
        <v>391</v>
      </c>
      <c r="F23" s="30"/>
      <c r="G23" s="31"/>
      <c r="I23" t="s">
        <v>450</v>
      </c>
    </row>
    <row r="24" spans="2:9" x14ac:dyDescent="0.2">
      <c r="B24" s="29" t="s">
        <v>277</v>
      </c>
      <c r="C24" s="30" t="s">
        <v>432</v>
      </c>
      <c r="D24" s="30" t="s">
        <v>393</v>
      </c>
      <c r="E24" s="58">
        <v>1</v>
      </c>
      <c r="F24" s="30" t="s">
        <v>278</v>
      </c>
      <c r="G24" s="31"/>
    </row>
    <row r="25" spans="2:9" x14ac:dyDescent="0.2">
      <c r="B25" s="37" t="s">
        <v>293</v>
      </c>
      <c r="C25" s="30" t="s">
        <v>259</v>
      </c>
      <c r="D25" s="30"/>
      <c r="E25" s="35"/>
      <c r="F25" s="30" t="s">
        <v>294</v>
      </c>
      <c r="G25" s="31"/>
    </row>
    <row r="26" spans="2:9" x14ac:dyDescent="0.2">
      <c r="B26" s="37" t="s">
        <v>284</v>
      </c>
      <c r="C26" s="30" t="s">
        <v>285</v>
      </c>
      <c r="D26" s="30"/>
      <c r="E26" s="35"/>
      <c r="F26" s="30" t="s">
        <v>286</v>
      </c>
      <c r="G26" s="31"/>
    </row>
    <row r="27" spans="2:9" x14ac:dyDescent="0.2">
      <c r="B27" s="37" t="s">
        <v>454</v>
      </c>
      <c r="C27" s="30" t="s">
        <v>455</v>
      </c>
      <c r="D27" s="30"/>
      <c r="E27" s="35"/>
      <c r="F27" s="30" t="s">
        <v>456</v>
      </c>
      <c r="G27" s="31"/>
    </row>
    <row r="28" spans="2:9" x14ac:dyDescent="0.2">
      <c r="B28" s="37" t="s">
        <v>295</v>
      </c>
      <c r="C28" s="30"/>
      <c r="D28" s="30"/>
      <c r="E28" s="35"/>
      <c r="F28" s="30" t="s">
        <v>296</v>
      </c>
      <c r="G28" s="31"/>
    </row>
    <row r="29" spans="2:9" x14ac:dyDescent="0.2">
      <c r="B29" s="37" t="s">
        <v>457</v>
      </c>
      <c r="C29" s="30" t="s">
        <v>458</v>
      </c>
      <c r="D29" s="30" t="s">
        <v>393</v>
      </c>
      <c r="E29" s="35"/>
      <c r="F29" s="30" t="s">
        <v>459</v>
      </c>
      <c r="G29" s="31"/>
    </row>
    <row r="30" spans="2:9" x14ac:dyDescent="0.2">
      <c r="B30" s="37" t="s">
        <v>297</v>
      </c>
      <c r="C30" s="30"/>
      <c r="D30" s="30"/>
      <c r="E30" s="35"/>
      <c r="F30" s="30" t="s">
        <v>298</v>
      </c>
      <c r="G30" s="31"/>
    </row>
    <row r="31" spans="2:9" x14ac:dyDescent="0.2">
      <c r="B31" s="37" t="s">
        <v>506</v>
      </c>
      <c r="C31" s="30" t="s">
        <v>507</v>
      </c>
      <c r="D31" s="30" t="s">
        <v>393</v>
      </c>
      <c r="E31" s="35"/>
      <c r="F31" s="30" t="s">
        <v>508</v>
      </c>
      <c r="G31" s="31"/>
    </row>
    <row r="32" spans="2:9" x14ac:dyDescent="0.2">
      <c r="B32" s="37" t="s">
        <v>392</v>
      </c>
      <c r="C32" s="30" t="s">
        <v>504</v>
      </c>
      <c r="D32" s="30" t="s">
        <v>393</v>
      </c>
      <c r="E32" s="35"/>
      <c r="F32" s="30" t="s">
        <v>505</v>
      </c>
      <c r="G32" s="31"/>
    </row>
    <row r="33" spans="2:7" x14ac:dyDescent="0.2">
      <c r="B33" s="37" t="s">
        <v>299</v>
      </c>
      <c r="C33" s="30" t="s">
        <v>300</v>
      </c>
      <c r="D33" s="30"/>
      <c r="E33" s="35"/>
      <c r="F33" s="30" t="s">
        <v>301</v>
      </c>
      <c r="G33" s="31"/>
    </row>
    <row r="34" spans="2:7" x14ac:dyDescent="0.2">
      <c r="B34" s="47" t="s">
        <v>24</v>
      </c>
      <c r="C34" s="33" t="s">
        <v>23</v>
      </c>
      <c r="D34" s="33" t="s">
        <v>22</v>
      </c>
      <c r="E34" s="32"/>
      <c r="F34" s="33" t="s">
        <v>21</v>
      </c>
      <c r="G34" s="38"/>
    </row>
    <row r="35" spans="2:7" x14ac:dyDescent="0.2">
      <c r="B35" s="60"/>
      <c r="C35" s="30"/>
      <c r="D35" s="30"/>
      <c r="E35" s="35"/>
      <c r="F35" s="30"/>
      <c r="G35" s="35"/>
    </row>
    <row r="36" spans="2:7" x14ac:dyDescent="0.2">
      <c r="B36" s="34" t="s">
        <v>509</v>
      </c>
      <c r="C36" s="35"/>
      <c r="D36" s="35"/>
      <c r="E36" s="35"/>
      <c r="F36" s="39" t="s">
        <v>19</v>
      </c>
      <c r="G36" s="35"/>
    </row>
    <row r="37" spans="2:7" x14ac:dyDescent="0.2">
      <c r="B37" s="34"/>
      <c r="C37" s="35"/>
      <c r="D37" s="35"/>
      <c r="E37" s="40"/>
      <c r="F37" s="39" t="s">
        <v>18</v>
      </c>
      <c r="G37" s="35"/>
    </row>
    <row r="38" spans="2:7" x14ac:dyDescent="0.2">
      <c r="B38" s="34"/>
      <c r="C38" s="35"/>
      <c r="D38" s="35"/>
      <c r="E38" s="40"/>
      <c r="F38" s="39" t="s">
        <v>17</v>
      </c>
      <c r="G38" s="35"/>
    </row>
    <row r="39" spans="2:7" x14ac:dyDescent="0.2">
      <c r="B39" s="34"/>
      <c r="C39" s="35"/>
      <c r="D39" s="35"/>
      <c r="E39" s="40"/>
      <c r="F39" s="39" t="s">
        <v>16</v>
      </c>
      <c r="G39" s="35"/>
    </row>
    <row r="40" spans="2:7" x14ac:dyDescent="0.2">
      <c r="C40" s="35"/>
      <c r="D40" s="35"/>
      <c r="E40" s="35"/>
      <c r="F40" s="39" t="s">
        <v>15</v>
      </c>
      <c r="G40" s="35"/>
    </row>
    <row r="41" spans="2:7" x14ac:dyDescent="0.2">
      <c r="C41" s="35"/>
      <c r="D41" s="35"/>
      <c r="E41" s="35"/>
      <c r="F41" s="39" t="s">
        <v>14</v>
      </c>
      <c r="G41" s="35"/>
    </row>
    <row r="42" spans="2:7" x14ac:dyDescent="0.2">
      <c r="C42" s="35"/>
      <c r="D42" s="35"/>
      <c r="E42" s="35"/>
      <c r="F42" s="39" t="s">
        <v>13</v>
      </c>
      <c r="G42" s="35"/>
    </row>
    <row r="43" spans="2:7" x14ac:dyDescent="0.2">
      <c r="C43" s="35"/>
      <c r="D43" s="35"/>
      <c r="E43" s="35"/>
      <c r="F43" s="39" t="s">
        <v>12</v>
      </c>
      <c r="G43" s="35"/>
    </row>
    <row r="44" spans="2:7" x14ac:dyDescent="0.2">
      <c r="C44" s="35"/>
      <c r="D44" s="35"/>
      <c r="E44" s="35"/>
      <c r="F44" s="39" t="s">
        <v>11</v>
      </c>
      <c r="G44" s="35"/>
    </row>
    <row r="45" spans="2:7" x14ac:dyDescent="0.2">
      <c r="C45" s="35"/>
      <c r="D45" s="35"/>
      <c r="E45" s="35"/>
      <c r="F45" s="41" t="s">
        <v>10</v>
      </c>
      <c r="G45" s="35"/>
    </row>
    <row r="46" spans="2:7" x14ac:dyDescent="0.2">
      <c r="C46" s="35"/>
      <c r="D46" s="35"/>
      <c r="E46" s="35"/>
      <c r="F46" s="41" t="s">
        <v>9</v>
      </c>
      <c r="G46" s="35"/>
    </row>
    <row r="47" spans="2:7" x14ac:dyDescent="0.2">
      <c r="C47" s="35"/>
      <c r="D47" s="35"/>
      <c r="E47" s="35"/>
      <c r="F47" s="41" t="s">
        <v>8</v>
      </c>
      <c r="G47" s="35"/>
    </row>
    <row r="48" spans="2:7" x14ac:dyDescent="0.2">
      <c r="C48" s="35"/>
      <c r="D48" s="35"/>
      <c r="E48" s="35"/>
      <c r="F48" s="41" t="s">
        <v>7</v>
      </c>
      <c r="G48" s="35"/>
    </row>
    <row r="49" spans="3:7" x14ac:dyDescent="0.2">
      <c r="C49" s="35"/>
      <c r="D49" s="35"/>
      <c r="E49" s="35"/>
      <c r="F49" s="41" t="s">
        <v>6</v>
      </c>
      <c r="G49" s="35"/>
    </row>
    <row r="50" spans="3:7" x14ac:dyDescent="0.2">
      <c r="C50" s="35"/>
      <c r="D50" s="35"/>
      <c r="E50" s="35"/>
      <c r="F50" s="41" t="s">
        <v>5</v>
      </c>
      <c r="G50" s="35"/>
    </row>
    <row r="51" spans="3:7" x14ac:dyDescent="0.2">
      <c r="C51" s="35"/>
      <c r="D51" s="35"/>
      <c r="E51" s="35"/>
      <c r="F51" s="41" t="s">
        <v>4</v>
      </c>
      <c r="G51" s="35"/>
    </row>
    <row r="52" spans="3:7" x14ac:dyDescent="0.2">
      <c r="C52" s="35"/>
      <c r="D52" s="35"/>
      <c r="E52" s="35"/>
      <c r="F52" s="41" t="s">
        <v>3</v>
      </c>
      <c r="G52" s="35"/>
    </row>
    <row r="53" spans="3:7" x14ac:dyDescent="0.2">
      <c r="C53" s="35"/>
      <c r="D53" s="35"/>
      <c r="E53" s="35"/>
      <c r="F53" s="41" t="s">
        <v>2</v>
      </c>
      <c r="G53" s="35"/>
    </row>
    <row r="54" spans="3:7" x14ac:dyDescent="0.2">
      <c r="C54" s="35"/>
      <c r="D54" s="35"/>
      <c r="E54" s="35"/>
      <c r="F54" s="41" t="s">
        <v>1</v>
      </c>
      <c r="G54" s="35"/>
    </row>
    <row r="55" spans="3:7" x14ac:dyDescent="0.2">
      <c r="C55" s="35"/>
      <c r="D55" s="35"/>
      <c r="E55" s="35"/>
      <c r="F55" s="41" t="s">
        <v>0</v>
      </c>
      <c r="G55" s="35"/>
    </row>
  </sheetData>
  <hyperlinks>
    <hyperlink ref="B3" location="Arcalyst!A1" display="Arcalyst" xr:uid="{BDF22BBF-5632-43C4-825A-494559AE5BB9}"/>
    <hyperlink ref="B5" location="Zaltrap!A1" display="Zaltrap" xr:uid="{B1A779BE-0169-48CB-AB42-981661C5EA87}"/>
    <hyperlink ref="B4" location="Eylea!A1" display="Eylea (aflibercept)" xr:uid="{632465B5-10C7-43D8-A04F-89D049587F0F}"/>
    <hyperlink ref="B7" location="Dupixent!A1" display="Dupixent (dupilumab)" xr:uid="{4B303E05-22EB-4F26-B307-EFDE28905187}"/>
    <hyperlink ref="B6" location="Praluent!A1" display="Praluent (alirocumab)" xr:uid="{1FBBB777-8F0A-401F-910F-1D5972FED37A}"/>
    <hyperlink ref="B8" location="Kevzara!A1" display="Kevzara (sarilumab)" xr:uid="{87937E02-CEC4-452E-83BE-A472FFD8A1F3}"/>
    <hyperlink ref="B9" location="Libtayo!A1" display="Libtayo (cemiplimab)" xr:uid="{7F5D17B9-00FE-47D6-87D0-5B2F24F89B0F}"/>
    <hyperlink ref="B15" location="linvoseltamab!A1" display="linvoseltamab" xr:uid="{9EF34322-B5DE-405A-A223-F00FD69E4AC1}"/>
    <hyperlink ref="B13" location="odronextamab!A1" display="odronextamab" xr:uid="{FE466630-238D-4B10-B392-91FDCFBDEABC}"/>
    <hyperlink ref="B19" location="REGN7508!A1" display="REGN7508" xr:uid="{BA9EED3F-C6E1-4F40-977A-6B122D6ED6A2}"/>
    <hyperlink ref="B18" location="REGN9933!A1" display="REGN9933" xr:uid="{6073BB30-626C-4AE9-9CD5-C89B25A1BDE7}"/>
    <hyperlink ref="B10" location="pozelimab!A1" display="pozelimab" xr:uid="{6758568C-53ED-40C0-98D9-15C8F236D3F7}"/>
    <hyperlink ref="B14" location="mibavademab!A1" display="mibavademab" xr:uid="{A20A17B8-FD21-43F7-B1CD-F75FC75815B8}"/>
    <hyperlink ref="B22" location="trevogrumab!A1" display="trevogrumab" xr:uid="{866D274B-E9D2-484F-A5BA-7720D3D8A32E}"/>
    <hyperlink ref="B17" location="itepekimab!A1" display="itepekimab" xr:uid="{C265B947-394F-4472-95E2-5CE0E7DE9965}"/>
    <hyperlink ref="B24" location="garetosmab!A1" display="garetosmab" xr:uid="{35EFDBA7-99E5-41BD-BE7A-2291D620CC0F}"/>
    <hyperlink ref="B16" location="fianlimab!A1" display="fianlimab" xr:uid="{A89220F1-FBF2-4AD8-849A-7F678951CCD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1EC2-5A4B-49FE-82E1-AE238EDCA55D}">
  <dimension ref="A1:C8"/>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404</v>
      </c>
    </row>
    <row r="3" spans="1:3" x14ac:dyDescent="0.2">
      <c r="B3" t="s">
        <v>377</v>
      </c>
      <c r="C3" t="s">
        <v>430</v>
      </c>
    </row>
    <row r="4" spans="1:3" x14ac:dyDescent="0.2">
      <c r="B4" t="s">
        <v>409</v>
      </c>
      <c r="C4" t="s">
        <v>437</v>
      </c>
    </row>
    <row r="5" spans="1:3" x14ac:dyDescent="0.2">
      <c r="B5" t="s">
        <v>47</v>
      </c>
      <c r="C5" t="s">
        <v>433</v>
      </c>
    </row>
    <row r="6" spans="1:3" x14ac:dyDescent="0.2">
      <c r="B6" t="s">
        <v>65</v>
      </c>
    </row>
    <row r="7" spans="1:3" x14ac:dyDescent="0.2">
      <c r="C7" s="54" t="s">
        <v>438</v>
      </c>
    </row>
    <row r="8" spans="1:3" x14ac:dyDescent="0.2">
      <c r="C8" t="s">
        <v>440</v>
      </c>
    </row>
  </sheetData>
  <hyperlinks>
    <hyperlink ref="A1" location="Main!A1" display="Main" xr:uid="{F4896753-C538-48A4-AE58-1958C6BB606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812C-74CD-4756-9BF1-6B7F162CA2F2}">
  <dimension ref="A1:C12"/>
  <sheetViews>
    <sheetView zoomScale="235" zoomScaleNormal="235" workbookViewId="0">
      <selection activeCell="C13" sqref="C13"/>
    </sheetView>
  </sheetViews>
  <sheetFormatPr defaultRowHeight="12.75" x14ac:dyDescent="0.2"/>
  <cols>
    <col min="1" max="1" width="5" bestFit="1" customWidth="1"/>
    <col min="2" max="2" width="12" bestFit="1" customWidth="1"/>
  </cols>
  <sheetData>
    <row r="1" spans="1:3" x14ac:dyDescent="0.2">
      <c r="A1" s="13" t="s">
        <v>78</v>
      </c>
    </row>
    <row r="2" spans="1:3" x14ac:dyDescent="0.2">
      <c r="B2" t="s">
        <v>404</v>
      </c>
    </row>
    <row r="3" spans="1:3" x14ac:dyDescent="0.2">
      <c r="B3" t="s">
        <v>377</v>
      </c>
      <c r="C3" t="s">
        <v>264</v>
      </c>
    </row>
    <row r="4" spans="1:3" x14ac:dyDescent="0.2">
      <c r="B4" t="s">
        <v>47</v>
      </c>
      <c r="C4" t="s">
        <v>475</v>
      </c>
    </row>
    <row r="5" spans="1:3" x14ac:dyDescent="0.2">
      <c r="B5" t="s">
        <v>409</v>
      </c>
      <c r="C5" t="s">
        <v>476</v>
      </c>
    </row>
    <row r="6" spans="1:3" x14ac:dyDescent="0.2">
      <c r="B6" t="s">
        <v>65</v>
      </c>
    </row>
    <row r="7" spans="1:3" x14ac:dyDescent="0.2">
      <c r="C7" s="54" t="s">
        <v>477</v>
      </c>
    </row>
    <row r="8" spans="1:3" x14ac:dyDescent="0.2">
      <c r="C8" t="s">
        <v>461</v>
      </c>
    </row>
    <row r="11" spans="1:3" x14ac:dyDescent="0.2">
      <c r="C11" s="54" t="s">
        <v>478</v>
      </c>
    </row>
    <row r="12" spans="1:3" x14ac:dyDescent="0.2">
      <c r="C12" t="s">
        <v>479</v>
      </c>
    </row>
  </sheetData>
  <hyperlinks>
    <hyperlink ref="A1" location="Main!A1" display="Main" xr:uid="{AB40CBEC-4532-4BF6-8274-758E729BB87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3F31-5886-4D2F-9CC5-0FEF387C8ED8}">
  <dimension ref="A1:C7"/>
  <sheetViews>
    <sheetView zoomScale="205" zoomScaleNormal="205" workbookViewId="0"/>
  </sheetViews>
  <sheetFormatPr defaultRowHeight="12.75" x14ac:dyDescent="0.2"/>
  <cols>
    <col min="1" max="1" width="5" bestFit="1" customWidth="1"/>
    <col min="2" max="2" width="12" bestFit="1" customWidth="1"/>
  </cols>
  <sheetData>
    <row r="1" spans="1:3" x14ac:dyDescent="0.2">
      <c r="A1" s="13" t="s">
        <v>78</v>
      </c>
    </row>
    <row r="2" spans="1:3" x14ac:dyDescent="0.2">
      <c r="B2" t="s">
        <v>404</v>
      </c>
    </row>
    <row r="3" spans="1:3" x14ac:dyDescent="0.2">
      <c r="B3" t="s">
        <v>377</v>
      </c>
      <c r="C3" t="s">
        <v>277</v>
      </c>
    </row>
    <row r="4" spans="1:3" x14ac:dyDescent="0.2">
      <c r="B4" t="s">
        <v>47</v>
      </c>
      <c r="C4" t="s">
        <v>467</v>
      </c>
    </row>
    <row r="5" spans="1:3" x14ac:dyDescent="0.2">
      <c r="B5" t="s">
        <v>409</v>
      </c>
      <c r="C5" t="s">
        <v>468</v>
      </c>
    </row>
    <row r="6" spans="1:3" x14ac:dyDescent="0.2">
      <c r="B6" t="s">
        <v>65</v>
      </c>
    </row>
    <row r="7" spans="1:3" x14ac:dyDescent="0.2">
      <c r="C7" s="54" t="s">
        <v>469</v>
      </c>
    </row>
  </sheetData>
  <hyperlinks>
    <hyperlink ref="A1" location="Main!A1" display="Main" xr:uid="{48E87823-DE66-4E27-B714-E9C7F575BF9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7835F-6C5E-42B0-A176-0B0DAC34DD63}">
  <dimension ref="A1:C13"/>
  <sheetViews>
    <sheetView zoomScale="220" zoomScaleNormal="22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404</v>
      </c>
    </row>
    <row r="3" spans="1:3" x14ac:dyDescent="0.2">
      <c r="B3" t="s">
        <v>377</v>
      </c>
      <c r="C3" t="s">
        <v>434</v>
      </c>
    </row>
    <row r="4" spans="1:3" x14ac:dyDescent="0.2">
      <c r="B4" t="s">
        <v>409</v>
      </c>
      <c r="C4" t="s">
        <v>435</v>
      </c>
    </row>
    <row r="5" spans="1:3" x14ac:dyDescent="0.2">
      <c r="B5" t="s">
        <v>47</v>
      </c>
      <c r="C5" t="s">
        <v>436</v>
      </c>
    </row>
    <row r="6" spans="1:3" x14ac:dyDescent="0.2">
      <c r="B6" t="s">
        <v>65</v>
      </c>
    </row>
    <row r="7" spans="1:3" x14ac:dyDescent="0.2">
      <c r="C7" s="54" t="s">
        <v>439</v>
      </c>
    </row>
    <row r="10" spans="1:3" x14ac:dyDescent="0.2">
      <c r="C10" s="54" t="s">
        <v>442</v>
      </c>
    </row>
    <row r="11" spans="1:3" x14ac:dyDescent="0.2">
      <c r="C11" t="s">
        <v>443</v>
      </c>
    </row>
    <row r="13" spans="1:3" x14ac:dyDescent="0.2">
      <c r="C13" t="s">
        <v>444</v>
      </c>
    </row>
  </sheetData>
  <hyperlinks>
    <hyperlink ref="A1" location="Main!A1" display="Main" xr:uid="{1A25C32C-88C8-4231-90CC-4A4B737BC16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E96A6-ABE8-4587-9E4B-81D5B9206A84}">
  <dimension ref="A1:C12"/>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404</v>
      </c>
      <c r="C2" t="s">
        <v>281</v>
      </c>
    </row>
    <row r="3" spans="1:3" x14ac:dyDescent="0.2">
      <c r="B3" t="s">
        <v>47</v>
      </c>
    </row>
    <row r="4" spans="1:3" x14ac:dyDescent="0.2">
      <c r="B4" t="s">
        <v>409</v>
      </c>
      <c r="C4" t="s">
        <v>414</v>
      </c>
    </row>
    <row r="5" spans="1:3" x14ac:dyDescent="0.2">
      <c r="C5" t="s">
        <v>415</v>
      </c>
    </row>
    <row r="6" spans="1:3" x14ac:dyDescent="0.2">
      <c r="B6" t="s">
        <v>65</v>
      </c>
    </row>
    <row r="7" spans="1:3" x14ac:dyDescent="0.2">
      <c r="C7" s="54" t="s">
        <v>452</v>
      </c>
    </row>
    <row r="11" spans="1:3" x14ac:dyDescent="0.2">
      <c r="C11" s="54" t="s">
        <v>416</v>
      </c>
    </row>
    <row r="12" spans="1:3" x14ac:dyDescent="0.2">
      <c r="C12" t="s">
        <v>417</v>
      </c>
    </row>
  </sheetData>
  <hyperlinks>
    <hyperlink ref="A1" location="Main!A1" display="Main" xr:uid="{ECED9906-3877-4162-A6E8-6EDFB5D2C55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7FB1-7A08-4161-BF26-C3B1E1BB2FA2}">
  <dimension ref="A1:C12"/>
  <sheetViews>
    <sheetView zoomScale="190" zoomScaleNormal="190" workbookViewId="0">
      <selection activeCell="C7" sqref="C7"/>
    </sheetView>
  </sheetViews>
  <sheetFormatPr defaultRowHeight="12.75" x14ac:dyDescent="0.2"/>
  <cols>
    <col min="1" max="1" width="5" bestFit="1" customWidth="1"/>
    <col min="2" max="2" width="12.28515625" bestFit="1" customWidth="1"/>
  </cols>
  <sheetData>
    <row r="1" spans="1:3" x14ac:dyDescent="0.2">
      <c r="A1" s="13" t="s">
        <v>78</v>
      </c>
    </row>
    <row r="2" spans="1:3" x14ac:dyDescent="0.2">
      <c r="B2" t="s">
        <v>404</v>
      </c>
      <c r="C2" t="s">
        <v>413</v>
      </c>
    </row>
    <row r="3" spans="1:3" x14ac:dyDescent="0.2">
      <c r="B3" t="s">
        <v>47</v>
      </c>
    </row>
    <row r="4" spans="1:3" x14ac:dyDescent="0.2">
      <c r="B4" t="s">
        <v>409</v>
      </c>
      <c r="C4" t="s">
        <v>418</v>
      </c>
    </row>
    <row r="5" spans="1:3" x14ac:dyDescent="0.2">
      <c r="C5" t="s">
        <v>419</v>
      </c>
    </row>
    <row r="6" spans="1:3" x14ac:dyDescent="0.2">
      <c r="B6" t="s">
        <v>65</v>
      </c>
    </row>
    <row r="7" spans="1:3" x14ac:dyDescent="0.2">
      <c r="C7" s="54" t="s">
        <v>452</v>
      </c>
    </row>
    <row r="11" spans="1:3" x14ac:dyDescent="0.2">
      <c r="C11" s="54" t="s">
        <v>416</v>
      </c>
    </row>
    <row r="12" spans="1:3" x14ac:dyDescent="0.2">
      <c r="C12" t="s">
        <v>417</v>
      </c>
    </row>
  </sheetData>
  <hyperlinks>
    <hyperlink ref="A1" location="Main!A1" display="Main" xr:uid="{DE93BB85-5A91-4184-9544-84BA7E4856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ColWidth="9.140625"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78</v>
      </c>
    </row>
    <row r="2" spans="1:4" x14ac:dyDescent="0.2">
      <c r="B2" s="2" t="s">
        <v>77</v>
      </c>
      <c r="C2" s="2" t="s">
        <v>76</v>
      </c>
    </row>
    <row r="3" spans="1:4" x14ac:dyDescent="0.2">
      <c r="B3" s="2" t="s">
        <v>75</v>
      </c>
      <c r="C3" s="2" t="s">
        <v>74</v>
      </c>
    </row>
    <row r="4" spans="1:4" x14ac:dyDescent="0.2">
      <c r="B4" s="2" t="s">
        <v>47</v>
      </c>
      <c r="C4" s="2" t="s">
        <v>73</v>
      </c>
    </row>
    <row r="5" spans="1:4" x14ac:dyDescent="0.2">
      <c r="C5" s="2" t="s">
        <v>72</v>
      </c>
    </row>
    <row r="6" spans="1:4" x14ac:dyDescent="0.2">
      <c r="B6" s="2" t="s">
        <v>43</v>
      </c>
      <c r="C6" s="2" t="s">
        <v>71</v>
      </c>
    </row>
    <row r="7" spans="1:4" x14ac:dyDescent="0.2">
      <c r="C7" s="2" t="s">
        <v>70</v>
      </c>
    </row>
    <row r="8" spans="1:4" x14ac:dyDescent="0.2">
      <c r="C8" s="2" t="s">
        <v>69</v>
      </c>
    </row>
    <row r="9" spans="1:4" x14ac:dyDescent="0.2">
      <c r="C9" s="2" t="s">
        <v>68</v>
      </c>
    </row>
    <row r="10" spans="1:4" x14ac:dyDescent="0.2">
      <c r="C10" s="2" t="s">
        <v>67</v>
      </c>
    </row>
    <row r="11" spans="1:4" x14ac:dyDescent="0.2">
      <c r="C11" s="2" t="s">
        <v>66</v>
      </c>
    </row>
    <row r="12" spans="1:4" x14ac:dyDescent="0.2">
      <c r="B12" s="2" t="s">
        <v>65</v>
      </c>
    </row>
    <row r="13" spans="1:4" x14ac:dyDescent="0.2">
      <c r="C13" s="7" t="s">
        <v>64</v>
      </c>
    </row>
    <row r="14" spans="1:4" x14ac:dyDescent="0.2">
      <c r="C14" s="2" t="s">
        <v>63</v>
      </c>
    </row>
    <row r="15" spans="1:4" x14ac:dyDescent="0.2">
      <c r="D15" s="2" t="s">
        <v>62</v>
      </c>
    </row>
    <row r="16" spans="1:4" x14ac:dyDescent="0.2">
      <c r="C16" s="2" t="s">
        <v>61</v>
      </c>
    </row>
    <row r="17" spans="3:6" x14ac:dyDescent="0.2">
      <c r="D17" s="2" t="s">
        <v>60</v>
      </c>
    </row>
    <row r="18" spans="3:6" x14ac:dyDescent="0.2">
      <c r="C18" s="2" t="s">
        <v>59</v>
      </c>
    </row>
    <row r="19" spans="3:6" x14ac:dyDescent="0.2">
      <c r="D19" s="6" t="s">
        <v>58</v>
      </c>
    </row>
    <row r="21" spans="3:6" x14ac:dyDescent="0.2">
      <c r="C21" s="5" t="s">
        <v>57</v>
      </c>
    </row>
    <row r="22" spans="3:6" x14ac:dyDescent="0.2">
      <c r="C22" s="2" t="s">
        <v>56</v>
      </c>
      <c r="D22" s="3"/>
    </row>
    <row r="23" spans="3:6" x14ac:dyDescent="0.2">
      <c r="D23" s="2" t="s">
        <v>55</v>
      </c>
      <c r="E23" s="2" t="s">
        <v>54</v>
      </c>
      <c r="F23" s="2" t="s">
        <v>53</v>
      </c>
    </row>
    <row r="24" spans="3:6" x14ac:dyDescent="0.2">
      <c r="C24" s="4" t="s">
        <v>52</v>
      </c>
      <c r="D24" s="3">
        <v>1.23</v>
      </c>
      <c r="E24" s="2">
        <v>0.35</v>
      </c>
      <c r="F24" s="2">
        <v>0.34</v>
      </c>
    </row>
    <row r="26" spans="3:6" x14ac:dyDescent="0.2">
      <c r="C26" s="2" t="s">
        <v>51</v>
      </c>
    </row>
    <row r="27" spans="3:6" x14ac:dyDescent="0.2">
      <c r="C27" s="2" t="s">
        <v>50</v>
      </c>
    </row>
    <row r="28" spans="3:6" x14ac:dyDescent="0.2">
      <c r="C28" s="2" t="s">
        <v>49</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defaultColWidth="9.140625" defaultRowHeight="12.75" x14ac:dyDescent="0.2"/>
  <cols>
    <col min="1" max="1" width="5" style="9" bestFit="1" customWidth="1"/>
    <col min="2" max="2" width="17.42578125" style="9" bestFit="1" customWidth="1"/>
    <col min="3" max="3" width="9.140625" style="9"/>
    <col min="4" max="4" width="10.85546875" style="9" bestFit="1" customWidth="1"/>
    <col min="5" max="16384" width="9.140625" style="9"/>
  </cols>
  <sheetData>
    <row r="1" spans="1:6" x14ac:dyDescent="0.2">
      <c r="A1" s="8" t="s">
        <v>78</v>
      </c>
      <c r="B1" s="2"/>
      <c r="C1" s="2"/>
      <c r="D1" s="2"/>
    </row>
    <row r="2" spans="1:6" x14ac:dyDescent="0.2">
      <c r="A2" s="2"/>
      <c r="B2" s="2" t="s">
        <v>77</v>
      </c>
      <c r="C2" s="2" t="s">
        <v>36</v>
      </c>
      <c r="D2" s="2"/>
    </row>
    <row r="3" spans="1:6" x14ac:dyDescent="0.2">
      <c r="A3" s="2"/>
      <c r="B3" s="2" t="s">
        <v>75</v>
      </c>
      <c r="C3" s="9" t="s">
        <v>134</v>
      </c>
      <c r="D3" s="2"/>
    </row>
    <row r="4" spans="1:6" x14ac:dyDescent="0.2">
      <c r="A4" s="2"/>
      <c r="B4" s="2" t="s">
        <v>43</v>
      </c>
      <c r="C4" s="2" t="s">
        <v>152</v>
      </c>
      <c r="D4" s="2"/>
    </row>
    <row r="5" spans="1:6" x14ac:dyDescent="0.2">
      <c r="A5" s="2"/>
      <c r="B5" s="2" t="s">
        <v>47</v>
      </c>
      <c r="C5" s="2" t="s">
        <v>35</v>
      </c>
      <c r="D5" s="2"/>
    </row>
    <row r="6" spans="1:6" x14ac:dyDescent="0.2">
      <c r="A6" s="2"/>
      <c r="B6" s="2" t="s">
        <v>45</v>
      </c>
      <c r="C6" s="2"/>
      <c r="D6" s="2"/>
    </row>
    <row r="7" spans="1:6" x14ac:dyDescent="0.2">
      <c r="A7" s="2"/>
      <c r="B7" s="2" t="s">
        <v>44</v>
      </c>
      <c r="C7" s="2" t="s">
        <v>151</v>
      </c>
      <c r="D7" s="2"/>
    </row>
    <row r="8" spans="1:6" x14ac:dyDescent="0.2">
      <c r="A8" s="2"/>
      <c r="B8" s="2" t="s">
        <v>131</v>
      </c>
      <c r="C8" s="2" t="s">
        <v>150</v>
      </c>
      <c r="D8" s="2"/>
    </row>
    <row r="9" spans="1:6" x14ac:dyDescent="0.2">
      <c r="A9" s="2"/>
      <c r="B9" s="2" t="s">
        <v>65</v>
      </c>
      <c r="C9" s="2"/>
      <c r="D9" s="2"/>
    </row>
    <row r="11" spans="1:6" x14ac:dyDescent="0.2">
      <c r="C11" s="10" t="s">
        <v>149</v>
      </c>
    </row>
    <row r="12" spans="1:6" x14ac:dyDescent="0.2">
      <c r="C12" s="9" t="s">
        <v>148</v>
      </c>
      <c r="E12" s="9" t="s">
        <v>147</v>
      </c>
    </row>
    <row r="13" spans="1:6" x14ac:dyDescent="0.2">
      <c r="C13" s="9" t="s">
        <v>146</v>
      </c>
      <c r="D13" s="9" t="s">
        <v>145</v>
      </c>
      <c r="E13" s="9" t="s">
        <v>144</v>
      </c>
      <c r="F13" s="9" t="s">
        <v>143</v>
      </c>
    </row>
    <row r="14" spans="1:6" x14ac:dyDescent="0.2">
      <c r="B14" s="9" t="s">
        <v>116</v>
      </c>
      <c r="C14" s="9">
        <v>292</v>
      </c>
      <c r="D14" s="9">
        <v>293</v>
      </c>
      <c r="E14" s="9">
        <v>612</v>
      </c>
      <c r="F14" s="9">
        <v>614</v>
      </c>
    </row>
    <row r="15" spans="1:6" x14ac:dyDescent="0.2">
      <c r="B15" s="9" t="s">
        <v>142</v>
      </c>
      <c r="C15" s="11">
        <v>8.5999999999999993E-2</v>
      </c>
      <c r="D15" s="11">
        <v>0.22700000000000001</v>
      </c>
      <c r="E15" s="11">
        <v>0.111</v>
      </c>
      <c r="F15" s="11">
        <v>0.19800000000000001</v>
      </c>
    </row>
    <row r="16" spans="1:6" x14ac:dyDescent="0.2">
      <c r="B16" s="9" t="s">
        <v>141</v>
      </c>
      <c r="C16" s="9">
        <v>4.5</v>
      </c>
      <c r="D16" s="9">
        <v>7.5</v>
      </c>
      <c r="E16" s="9">
        <v>4.7</v>
      </c>
      <c r="F16" s="9">
        <v>6.9</v>
      </c>
    </row>
    <row r="17" spans="2:6" x14ac:dyDescent="0.2">
      <c r="B17" s="9" t="s">
        <v>140</v>
      </c>
      <c r="C17" s="9">
        <v>10.8</v>
      </c>
      <c r="D17" s="9">
        <v>12.9</v>
      </c>
      <c r="E17" s="9">
        <v>12.1</v>
      </c>
      <c r="F17" s="9">
        <v>13.5</v>
      </c>
    </row>
    <row r="19" spans="2:6" x14ac:dyDescent="0.2">
      <c r="C19" s="9" t="s">
        <v>139</v>
      </c>
    </row>
    <row r="20" spans="2:6" x14ac:dyDescent="0.2">
      <c r="C20" s="9" t="s">
        <v>138</v>
      </c>
    </row>
    <row r="22" spans="2:6" x14ac:dyDescent="0.2">
      <c r="C22" s="10" t="s">
        <v>137</v>
      </c>
    </row>
    <row r="23" spans="2:6" x14ac:dyDescent="0.2">
      <c r="C23" s="9" t="s">
        <v>136</v>
      </c>
    </row>
    <row r="24" spans="2:6" x14ac:dyDescent="0.2">
      <c r="C24" s="9" t="s">
        <v>135</v>
      </c>
    </row>
  </sheetData>
  <hyperlinks>
    <hyperlink ref="A1" location="Main!A1" display="Main" xr:uid="{C182237B-2283-4E6B-8D81-C09B2FE4724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ColWidth="9.140625" defaultRowHeight="12.75" x14ac:dyDescent="0.2"/>
  <cols>
    <col min="1" max="1" width="5" style="2" bestFit="1" customWidth="1"/>
    <col min="2" max="2" width="12.42578125" style="2" customWidth="1"/>
    <col min="3" max="16384" width="9.140625" style="2"/>
  </cols>
  <sheetData>
    <row r="1" spans="1:3" x14ac:dyDescent="0.2">
      <c r="A1" s="8" t="s">
        <v>78</v>
      </c>
    </row>
    <row r="2" spans="1:3" x14ac:dyDescent="0.2">
      <c r="B2" s="2" t="s">
        <v>77</v>
      </c>
      <c r="C2" s="2" t="s">
        <v>171</v>
      </c>
    </row>
    <row r="3" spans="1:3" x14ac:dyDescent="0.2">
      <c r="B3" s="2" t="s">
        <v>75</v>
      </c>
      <c r="C3" s="2" t="s">
        <v>170</v>
      </c>
    </row>
    <row r="4" spans="1:3" x14ac:dyDescent="0.2">
      <c r="B4" s="2" t="s">
        <v>47</v>
      </c>
      <c r="C4" s="2" t="s">
        <v>169</v>
      </c>
    </row>
    <row r="5" spans="1:3" x14ac:dyDescent="0.2">
      <c r="B5" s="2" t="s">
        <v>43</v>
      </c>
      <c r="C5" s="2" t="s">
        <v>168</v>
      </c>
    </row>
    <row r="6" spans="1:3" x14ac:dyDescent="0.2">
      <c r="B6" s="2" t="s">
        <v>44</v>
      </c>
      <c r="C6" s="2" t="s">
        <v>167</v>
      </c>
    </row>
    <row r="7" spans="1:3" x14ac:dyDescent="0.2">
      <c r="B7" s="2" t="s">
        <v>65</v>
      </c>
    </row>
    <row r="8" spans="1:3" x14ac:dyDescent="0.2">
      <c r="C8" s="5" t="s">
        <v>166</v>
      </c>
    </row>
    <row r="10" spans="1:3" x14ac:dyDescent="0.2">
      <c r="C10" s="5" t="s">
        <v>165</v>
      </c>
    </row>
    <row r="11" spans="1:3" x14ac:dyDescent="0.2">
      <c r="C11" s="5"/>
    </row>
    <row r="12" spans="1:3" x14ac:dyDescent="0.2">
      <c r="C12" s="5" t="s">
        <v>164</v>
      </c>
    </row>
    <row r="13" spans="1:3" x14ac:dyDescent="0.2">
      <c r="C13" s="5"/>
    </row>
    <row r="14" spans="1:3" x14ac:dyDescent="0.2">
      <c r="C14" s="5" t="s">
        <v>163</v>
      </c>
    </row>
    <row r="16" spans="1:3" x14ac:dyDescent="0.2">
      <c r="C16" s="5" t="s">
        <v>162</v>
      </c>
    </row>
    <row r="17" spans="3:3" x14ac:dyDescent="0.2">
      <c r="C17" s="2" t="s">
        <v>161</v>
      </c>
    </row>
    <row r="18" spans="3:3" x14ac:dyDescent="0.2">
      <c r="C18" s="2" t="s">
        <v>160</v>
      </c>
    </row>
    <row r="20" spans="3:3" x14ac:dyDescent="0.2">
      <c r="C20" s="5" t="s">
        <v>159</v>
      </c>
    </row>
    <row r="21" spans="3:3" x14ac:dyDescent="0.2">
      <c r="C21" s="2" t="s">
        <v>158</v>
      </c>
    </row>
    <row r="22" spans="3:3" x14ac:dyDescent="0.2">
      <c r="C22" s="2" t="s">
        <v>157</v>
      </c>
    </row>
    <row r="24" spans="3:3" x14ac:dyDescent="0.2">
      <c r="C24" s="5" t="s">
        <v>156</v>
      </c>
    </row>
    <row r="25" spans="3:3" x14ac:dyDescent="0.2">
      <c r="C25" s="2" t="s">
        <v>155</v>
      </c>
    </row>
    <row r="27" spans="3:3" x14ac:dyDescent="0.2">
      <c r="C27" s="12" t="s">
        <v>154</v>
      </c>
    </row>
    <row r="28" spans="3:3" x14ac:dyDescent="0.2">
      <c r="C28" s="12" t="s">
        <v>153</v>
      </c>
    </row>
  </sheetData>
  <hyperlinks>
    <hyperlink ref="A1" location="Main!A1" display="Main" xr:uid="{3B461243-A27C-412E-8A2C-014DB1DF39EA}"/>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3" x14ac:dyDescent="0.2">
      <c r="A1" s="13" t="s">
        <v>78</v>
      </c>
    </row>
    <row r="2" spans="1:3" x14ac:dyDescent="0.2">
      <c r="B2" s="9" t="s">
        <v>77</v>
      </c>
      <c r="C2" s="9" t="s">
        <v>208</v>
      </c>
    </row>
    <row r="3" spans="1:3" x14ac:dyDescent="0.2">
      <c r="B3" s="9" t="s">
        <v>75</v>
      </c>
      <c r="C3" s="9" t="s">
        <v>185</v>
      </c>
    </row>
    <row r="4" spans="1:3" x14ac:dyDescent="0.2">
      <c r="B4" s="9" t="s">
        <v>43</v>
      </c>
      <c r="C4" s="9" t="s">
        <v>184</v>
      </c>
    </row>
    <row r="5" spans="1:3" x14ac:dyDescent="0.2">
      <c r="B5" s="9" t="s">
        <v>47</v>
      </c>
      <c r="C5" s="9" t="s">
        <v>183</v>
      </c>
    </row>
    <row r="6" spans="1:3" x14ac:dyDescent="0.2">
      <c r="B6" s="9" t="s">
        <v>45</v>
      </c>
      <c r="C6" s="9" t="s">
        <v>182</v>
      </c>
    </row>
    <row r="7" spans="1:3" x14ac:dyDescent="0.2">
      <c r="B7" s="9" t="s">
        <v>44</v>
      </c>
      <c r="C7" s="9" t="s">
        <v>20</v>
      </c>
    </row>
    <row r="8" spans="1:3" x14ac:dyDescent="0.2">
      <c r="B8" s="9" t="s">
        <v>131</v>
      </c>
      <c r="C8" s="9" t="s">
        <v>181</v>
      </c>
    </row>
    <row r="9" spans="1:3" x14ac:dyDescent="0.2">
      <c r="B9" s="9" t="s">
        <v>65</v>
      </c>
    </row>
    <row r="10" spans="1:3" x14ac:dyDescent="0.2">
      <c r="C10" s="10" t="s">
        <v>180</v>
      </c>
    </row>
    <row r="13" spans="1:3" x14ac:dyDescent="0.2">
      <c r="C13" s="10" t="s">
        <v>179</v>
      </c>
    </row>
    <row r="14" spans="1:3" x14ac:dyDescent="0.2">
      <c r="C14" s="9" t="s">
        <v>178</v>
      </c>
    </row>
    <row r="15" spans="1:3" x14ac:dyDescent="0.2">
      <c r="C15" s="9" t="s">
        <v>177</v>
      </c>
    </row>
    <row r="16" spans="1:3" x14ac:dyDescent="0.2">
      <c r="C16" s="9" t="s">
        <v>176</v>
      </c>
    </row>
    <row r="17" spans="3:3" x14ac:dyDescent="0.2">
      <c r="C17" s="9" t="s">
        <v>175</v>
      </c>
    </row>
    <row r="19" spans="3:3" x14ac:dyDescent="0.2">
      <c r="C19" s="10" t="s">
        <v>174</v>
      </c>
    </row>
    <row r="20" spans="3:3" x14ac:dyDescent="0.2">
      <c r="C20" s="9" t="s">
        <v>173</v>
      </c>
    </row>
    <row r="21" spans="3:3" x14ac:dyDescent="0.2">
      <c r="C21" s="9" t="s">
        <v>172</v>
      </c>
    </row>
  </sheetData>
  <hyperlinks>
    <hyperlink ref="A1" location="Main!A1" display="Main" xr:uid="{018ACD3C-B36E-4B21-86E9-837BC80B5F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DZ97"/>
  <sheetViews>
    <sheetView tabSelected="1" zoomScale="190" zoomScaleNormal="190" workbookViewId="0">
      <pane xSplit="2" ySplit="2" topLeftCell="CG37" activePane="bottomRight" state="frozen"/>
      <selection pane="topRight" activeCell="C1" sqref="C1"/>
      <selection pane="bottomLeft" activeCell="A3" sqref="A3"/>
      <selection pane="bottomRight" activeCell="CM47" sqref="CM47"/>
    </sheetView>
  </sheetViews>
  <sheetFormatPr defaultColWidth="8.85546875" defaultRowHeight="12.75" x14ac:dyDescent="0.2"/>
  <cols>
    <col min="1" max="1" width="5" bestFit="1" customWidth="1"/>
    <col min="2" max="2" width="20" bestFit="1" customWidth="1"/>
    <col min="3" max="34" width="8.85546875" style="14"/>
    <col min="35" max="50" width="9.140625" style="14"/>
    <col min="91" max="91" width="10.7109375" bestFit="1" customWidth="1"/>
  </cols>
  <sheetData>
    <row r="1" spans="1:98" x14ac:dyDescent="0.2">
      <c r="A1" s="13" t="s">
        <v>78</v>
      </c>
    </row>
    <row r="2" spans="1:98" x14ac:dyDescent="0.2">
      <c r="C2" s="14" t="s">
        <v>354</v>
      </c>
      <c r="D2" s="14" t="s">
        <v>355</v>
      </c>
      <c r="E2" s="14" t="s">
        <v>356</v>
      </c>
      <c r="F2" s="14" t="s">
        <v>357</v>
      </c>
      <c r="G2" s="14" t="s">
        <v>350</v>
      </c>
      <c r="H2" s="14" t="s">
        <v>351</v>
      </c>
      <c r="I2" s="14" t="s">
        <v>352</v>
      </c>
      <c r="J2" s="14" t="s">
        <v>353</v>
      </c>
      <c r="K2" s="14" t="s">
        <v>346</v>
      </c>
      <c r="L2" s="14" t="s">
        <v>347</v>
      </c>
      <c r="M2" s="14" t="s">
        <v>348</v>
      </c>
      <c r="N2" s="14" t="s">
        <v>349</v>
      </c>
      <c r="O2" s="14" t="s">
        <v>342</v>
      </c>
      <c r="P2" s="14" t="s">
        <v>343</v>
      </c>
      <c r="Q2" s="14" t="s">
        <v>344</v>
      </c>
      <c r="R2" s="14" t="s">
        <v>345</v>
      </c>
      <c r="S2" s="14" t="s">
        <v>338</v>
      </c>
      <c r="T2" s="14" t="s">
        <v>339</v>
      </c>
      <c r="U2" s="14" t="s">
        <v>340</v>
      </c>
      <c r="V2" s="14" t="s">
        <v>341</v>
      </c>
      <c r="W2" s="14" t="s">
        <v>334</v>
      </c>
      <c r="X2" s="14" t="s">
        <v>335</v>
      </c>
      <c r="Y2" s="14" t="s">
        <v>336</v>
      </c>
      <c r="Z2" s="14" t="s">
        <v>337</v>
      </c>
      <c r="AA2" s="14" t="s">
        <v>330</v>
      </c>
      <c r="AB2" s="14" t="s">
        <v>331</v>
      </c>
      <c r="AC2" s="14" t="s">
        <v>332</v>
      </c>
      <c r="AD2" s="14" t="s">
        <v>333</v>
      </c>
      <c r="AE2" s="14" t="s">
        <v>326</v>
      </c>
      <c r="AF2" s="14" t="s">
        <v>327</v>
      </c>
      <c r="AG2" s="14" t="s">
        <v>328</v>
      </c>
      <c r="AH2" s="14" t="s">
        <v>329</v>
      </c>
      <c r="AI2" s="14" t="s">
        <v>249</v>
      </c>
      <c r="AJ2" s="14" t="s">
        <v>250</v>
      </c>
      <c r="AK2" s="14" t="s">
        <v>251</v>
      </c>
      <c r="AL2" s="14" t="s">
        <v>252</v>
      </c>
      <c r="AM2" s="14" t="s">
        <v>196</v>
      </c>
      <c r="AN2" s="14" t="s">
        <v>197</v>
      </c>
      <c r="AO2" s="14" t="s">
        <v>198</v>
      </c>
      <c r="AP2" s="14" t="s">
        <v>199</v>
      </c>
      <c r="AQ2" s="14" t="s">
        <v>200</v>
      </c>
      <c r="AR2" s="14" t="s">
        <v>201</v>
      </c>
      <c r="AS2" s="14" t="s">
        <v>202</v>
      </c>
      <c r="AT2" s="14" t="s">
        <v>203</v>
      </c>
      <c r="AU2" s="14" t="s">
        <v>204</v>
      </c>
      <c r="AV2" s="14" t="s">
        <v>28</v>
      </c>
      <c r="AW2" s="14" t="s">
        <v>205</v>
      </c>
      <c r="AX2" s="14" t="s">
        <v>206</v>
      </c>
      <c r="AY2" s="14" t="s">
        <v>243</v>
      </c>
      <c r="AZ2" s="14" t="s">
        <v>244</v>
      </c>
      <c r="BA2" s="14" t="s">
        <v>245</v>
      </c>
      <c r="BB2" s="14" t="s">
        <v>246</v>
      </c>
      <c r="BC2" s="14" t="s">
        <v>318</v>
      </c>
      <c r="BD2" s="14" t="s">
        <v>319</v>
      </c>
      <c r="BE2" s="14" t="s">
        <v>320</v>
      </c>
      <c r="BF2" s="14" t="s">
        <v>321</v>
      </c>
      <c r="BG2" s="14" t="s">
        <v>322</v>
      </c>
      <c r="BH2" s="14" t="s">
        <v>323</v>
      </c>
      <c r="BI2" s="14" t="s">
        <v>324</v>
      </c>
      <c r="BJ2" s="14" t="s">
        <v>325</v>
      </c>
      <c r="BL2">
        <v>2010</v>
      </c>
      <c r="BM2">
        <f>+BL2+1</f>
        <v>2011</v>
      </c>
      <c r="BN2">
        <f t="shared" ref="BN2:CT2" si="0">+BM2+1</f>
        <v>2012</v>
      </c>
      <c r="BO2">
        <f t="shared" si="0"/>
        <v>2013</v>
      </c>
      <c r="BP2">
        <f t="shared" si="0"/>
        <v>2014</v>
      </c>
      <c r="BQ2">
        <f t="shared" si="0"/>
        <v>2015</v>
      </c>
      <c r="BR2">
        <f t="shared" si="0"/>
        <v>2016</v>
      </c>
      <c r="BS2">
        <f t="shared" si="0"/>
        <v>2017</v>
      </c>
      <c r="BT2">
        <f t="shared" si="0"/>
        <v>2018</v>
      </c>
      <c r="BU2">
        <f t="shared" si="0"/>
        <v>2019</v>
      </c>
      <c r="BV2">
        <f t="shared" si="0"/>
        <v>2020</v>
      </c>
      <c r="BW2">
        <f t="shared" si="0"/>
        <v>2021</v>
      </c>
      <c r="BX2">
        <f t="shared" si="0"/>
        <v>2022</v>
      </c>
      <c r="BY2">
        <f t="shared" si="0"/>
        <v>2023</v>
      </c>
      <c r="BZ2">
        <f t="shared" si="0"/>
        <v>2024</v>
      </c>
      <c r="CA2">
        <f t="shared" si="0"/>
        <v>2025</v>
      </c>
      <c r="CB2">
        <f t="shared" si="0"/>
        <v>2026</v>
      </c>
      <c r="CC2">
        <f t="shared" si="0"/>
        <v>2027</v>
      </c>
      <c r="CD2">
        <f t="shared" si="0"/>
        <v>2028</v>
      </c>
      <c r="CE2">
        <f t="shared" si="0"/>
        <v>2029</v>
      </c>
      <c r="CF2">
        <f t="shared" si="0"/>
        <v>2030</v>
      </c>
      <c r="CG2">
        <f t="shared" si="0"/>
        <v>2031</v>
      </c>
      <c r="CH2">
        <f t="shared" si="0"/>
        <v>2032</v>
      </c>
      <c r="CI2">
        <f t="shared" si="0"/>
        <v>2033</v>
      </c>
      <c r="CJ2">
        <f t="shared" si="0"/>
        <v>2034</v>
      </c>
      <c r="CK2">
        <f t="shared" si="0"/>
        <v>2035</v>
      </c>
      <c r="CL2">
        <f t="shared" si="0"/>
        <v>2036</v>
      </c>
      <c r="CM2">
        <f t="shared" si="0"/>
        <v>2037</v>
      </c>
      <c r="CN2">
        <f t="shared" si="0"/>
        <v>2038</v>
      </c>
      <c r="CO2">
        <f t="shared" si="0"/>
        <v>2039</v>
      </c>
      <c r="CP2">
        <f t="shared" si="0"/>
        <v>2040</v>
      </c>
      <c r="CQ2">
        <f t="shared" si="0"/>
        <v>2041</v>
      </c>
      <c r="CR2">
        <f t="shared" si="0"/>
        <v>2042</v>
      </c>
      <c r="CS2">
        <f t="shared" si="0"/>
        <v>2043</v>
      </c>
      <c r="CT2">
        <f t="shared" si="0"/>
        <v>2044</v>
      </c>
    </row>
    <row r="3" spans="1:98" s="1" customFormat="1" x14ac:dyDescent="0.2">
      <c r="B3" s="1" t="s">
        <v>31</v>
      </c>
      <c r="C3" s="15">
        <v>0</v>
      </c>
      <c r="D3" s="15">
        <v>0</v>
      </c>
      <c r="E3" s="15">
        <v>0</v>
      </c>
      <c r="F3" s="15">
        <v>24.8</v>
      </c>
      <c r="G3" s="15">
        <v>123.5</v>
      </c>
      <c r="H3" s="15">
        <v>194</v>
      </c>
      <c r="I3" s="15">
        <v>244.4</v>
      </c>
      <c r="J3" s="15">
        <f>837.9-I3-H3-G3</f>
        <v>276</v>
      </c>
      <c r="K3" s="15">
        <v>313.89999999999998</v>
      </c>
      <c r="L3" s="15">
        <v>329.8</v>
      </c>
      <c r="M3" s="15">
        <v>363.1</v>
      </c>
      <c r="N3" s="15">
        <f>+BO3-M3-L3-K3</f>
        <v>401.9</v>
      </c>
      <c r="O3" s="15"/>
      <c r="P3" s="15"/>
      <c r="Q3" s="15"/>
      <c r="R3" s="15"/>
      <c r="S3" s="15"/>
      <c r="T3" s="15"/>
      <c r="U3" s="15"/>
      <c r="V3" s="15"/>
      <c r="W3" s="15"/>
      <c r="X3" s="15"/>
      <c r="Y3" s="15"/>
      <c r="Z3" s="15"/>
      <c r="AA3" s="15"/>
      <c r="AB3" s="15"/>
      <c r="AC3" s="15"/>
      <c r="AD3" s="15"/>
      <c r="AE3" s="15"/>
      <c r="AF3" s="15"/>
      <c r="AG3" s="15"/>
      <c r="AH3" s="15"/>
      <c r="AI3" s="15">
        <v>1074.0999999999999</v>
      </c>
      <c r="AJ3" s="15">
        <v>1160</v>
      </c>
      <c r="AK3" s="15"/>
      <c r="AL3" s="15"/>
      <c r="AM3" s="15">
        <v>1172</v>
      </c>
      <c r="AN3" s="15">
        <v>1114</v>
      </c>
      <c r="AO3" s="15">
        <v>1318</v>
      </c>
      <c r="AP3" s="15">
        <v>1343</v>
      </c>
      <c r="AQ3" s="15">
        <v>1347</v>
      </c>
      <c r="AR3" s="15">
        <v>1425</v>
      </c>
      <c r="AS3" s="15">
        <v>1473</v>
      </c>
      <c r="AT3" s="15">
        <v>1547</v>
      </c>
      <c r="AU3" s="15">
        <v>1518</v>
      </c>
      <c r="AV3" s="15">
        <v>1621</v>
      </c>
      <c r="AW3" s="15">
        <v>1629</v>
      </c>
      <c r="AX3" s="15">
        <v>1496</v>
      </c>
      <c r="AY3" s="15">
        <v>1434</v>
      </c>
      <c r="AZ3" s="15">
        <v>1500</v>
      </c>
      <c r="BA3" s="15">
        <v>1448</v>
      </c>
      <c r="BB3" s="15">
        <v>1338</v>
      </c>
      <c r="BC3" s="15">
        <v>1202</v>
      </c>
      <c r="BD3" s="15">
        <v>1231</v>
      </c>
      <c r="BE3" s="15">
        <v>1144.5999999999999</v>
      </c>
      <c r="BF3" s="15">
        <v>1190</v>
      </c>
      <c r="BG3" s="15">
        <v>736</v>
      </c>
      <c r="BH3" s="15">
        <f>+BG3*0.85</f>
        <v>625.6</v>
      </c>
      <c r="BI3" s="15">
        <f>+BH3*0.85</f>
        <v>531.76</v>
      </c>
      <c r="BJ3" s="15">
        <f>+BI3*0.85</f>
        <v>451.99599999999998</v>
      </c>
      <c r="BM3" s="1">
        <f>SUM(C3:F3)</f>
        <v>24.8</v>
      </c>
      <c r="BN3" s="1">
        <f>SUM(G3:J3)</f>
        <v>837.9</v>
      </c>
      <c r="BO3" s="1">
        <v>1408.7</v>
      </c>
      <c r="BP3" s="1">
        <v>1736.4</v>
      </c>
      <c r="BQ3" s="1">
        <v>2676</v>
      </c>
      <c r="BR3" s="1">
        <v>3323.1</v>
      </c>
      <c r="BS3" s="1">
        <v>3701.9</v>
      </c>
      <c r="BT3" s="1">
        <v>4076.7</v>
      </c>
      <c r="BU3" s="1">
        <v>4644.2</v>
      </c>
      <c r="BV3" s="1">
        <f>SUM(AM3:AP3)</f>
        <v>4947</v>
      </c>
      <c r="BW3" s="1">
        <f>SUM(AQ3:AT3)</f>
        <v>5792</v>
      </c>
      <c r="BX3" s="1">
        <f>SUM(AU3:AX3)</f>
        <v>6264</v>
      </c>
      <c r="BY3" s="1">
        <f>SUM(AY3:BB3)</f>
        <v>5720</v>
      </c>
      <c r="BZ3" s="1">
        <f>SUM(Model!BC3:BF3)</f>
        <v>4767.6000000000004</v>
      </c>
      <c r="CA3" s="1">
        <f>SUM(BG3:BJ3)</f>
        <v>2345.3559999999998</v>
      </c>
      <c r="CB3" s="1">
        <f>CA3*0.7</f>
        <v>1641.7491999999997</v>
      </c>
      <c r="CC3" s="1">
        <f t="shared" ref="CC3:CK3" si="1">CB3*0.7</f>
        <v>1149.2244399999997</v>
      </c>
      <c r="CD3" s="1">
        <f t="shared" si="1"/>
        <v>804.45710799999972</v>
      </c>
      <c r="CE3" s="1">
        <f t="shared" si="1"/>
        <v>563.11997559999975</v>
      </c>
      <c r="CF3" s="1">
        <f t="shared" si="1"/>
        <v>394.18398291999978</v>
      </c>
      <c r="CG3" s="1">
        <f t="shared" si="1"/>
        <v>275.92878804399982</v>
      </c>
      <c r="CH3" s="1">
        <f t="shared" si="1"/>
        <v>193.15015163079985</v>
      </c>
      <c r="CI3" s="1">
        <f t="shared" si="1"/>
        <v>135.2051061415599</v>
      </c>
      <c r="CJ3" s="1">
        <f t="shared" si="1"/>
        <v>94.643574299091924</v>
      </c>
      <c r="CK3" s="1">
        <f t="shared" si="1"/>
        <v>66.25050200936434</v>
      </c>
    </row>
    <row r="4" spans="1:98" s="1" customFormat="1" x14ac:dyDescent="0.2">
      <c r="B4" s="1" t="s">
        <v>317</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v>0</v>
      </c>
      <c r="AZ4" s="15">
        <v>0</v>
      </c>
      <c r="BA4" s="15">
        <v>43</v>
      </c>
      <c r="BB4" s="15">
        <v>123</v>
      </c>
      <c r="BC4" s="15">
        <v>200</v>
      </c>
      <c r="BD4" s="15">
        <v>304</v>
      </c>
      <c r="BE4" s="15">
        <v>392.3</v>
      </c>
      <c r="BF4" s="15">
        <v>305</v>
      </c>
      <c r="BG4" s="15">
        <v>307</v>
      </c>
      <c r="BH4" s="15">
        <f>+BG4+15</f>
        <v>322</v>
      </c>
      <c r="BI4" s="15">
        <f>+BH4+15</f>
        <v>337</v>
      </c>
      <c r="BJ4" s="15">
        <f>+BI4+15</f>
        <v>352</v>
      </c>
      <c r="BY4" s="1">
        <f>SUM(AY4:BB4)</f>
        <v>166</v>
      </c>
      <c r="BZ4" s="1">
        <f>SUM(Model!BC4:BF4)</f>
        <v>1201.3</v>
      </c>
      <c r="CA4" s="1">
        <f>SUM(BG4:BJ4)</f>
        <v>1318</v>
      </c>
      <c r="CB4" s="1">
        <f>+CA4*1.1</f>
        <v>1449.8000000000002</v>
      </c>
      <c r="CC4" s="1">
        <f>+CB4*0.7</f>
        <v>1014.86</v>
      </c>
      <c r="CD4" s="1">
        <f t="shared" ref="CD4:CK4" si="2">+CC4*0.7</f>
        <v>710.40199999999993</v>
      </c>
      <c r="CE4" s="1">
        <f t="shared" si="2"/>
        <v>497.28139999999991</v>
      </c>
      <c r="CF4" s="1">
        <f t="shared" si="2"/>
        <v>348.09697999999992</v>
      </c>
      <c r="CG4" s="1">
        <f t="shared" si="2"/>
        <v>243.66788599999992</v>
      </c>
      <c r="CH4" s="1">
        <f t="shared" si="2"/>
        <v>170.56752019999993</v>
      </c>
      <c r="CI4" s="1">
        <f t="shared" si="2"/>
        <v>119.39726413999995</v>
      </c>
      <c r="CJ4" s="1">
        <f t="shared" si="2"/>
        <v>83.578084897999958</v>
      </c>
      <c r="CK4" s="1">
        <f t="shared" si="2"/>
        <v>58.504659428599965</v>
      </c>
    </row>
    <row r="5" spans="1:98" s="1" customFormat="1" x14ac:dyDescent="0.2">
      <c r="B5" s="1" t="s">
        <v>207</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v>26.8</v>
      </c>
      <c r="AJ5" s="15">
        <v>40.799999999999997</v>
      </c>
      <c r="AK5" s="15"/>
      <c r="AL5" s="15"/>
      <c r="AM5" s="15">
        <v>61.7</v>
      </c>
      <c r="AN5" s="15">
        <v>63.3</v>
      </c>
      <c r="AO5" s="15">
        <v>72</v>
      </c>
      <c r="AP5" s="15">
        <v>74</v>
      </c>
      <c r="AQ5" s="15">
        <v>69</v>
      </c>
      <c r="AR5" s="15">
        <v>78</v>
      </c>
      <c r="AS5" s="15">
        <v>78</v>
      </c>
      <c r="AT5" s="15">
        <v>81</v>
      </c>
      <c r="AU5" s="15">
        <v>79</v>
      </c>
      <c r="AV5" s="15">
        <v>91</v>
      </c>
      <c r="AW5" s="15">
        <f>95+31</f>
        <v>126</v>
      </c>
      <c r="AX5" s="15">
        <f>110+42</f>
        <v>152</v>
      </c>
      <c r="AY5" s="1">
        <v>177</v>
      </c>
      <c r="AZ5" s="1">
        <v>210</v>
      </c>
      <c r="BA5" s="1">
        <v>232</v>
      </c>
      <c r="BB5" s="1">
        <v>244</v>
      </c>
      <c r="BC5" s="1">
        <v>264</v>
      </c>
      <c r="BD5" s="1">
        <v>297</v>
      </c>
      <c r="BE5" s="1">
        <v>288.60000000000002</v>
      </c>
      <c r="BF5" s="1">
        <v>367</v>
      </c>
      <c r="BG5" s="1">
        <v>285</v>
      </c>
      <c r="BH5" s="1">
        <f>+BD5*1.2</f>
        <v>356.4</v>
      </c>
      <c r="BI5" s="1">
        <f>+BE5*1.2</f>
        <v>346.32</v>
      </c>
      <c r="BJ5" s="1">
        <f>+BF5*1.2</f>
        <v>440.4</v>
      </c>
      <c r="BT5" s="1">
        <v>14.8</v>
      </c>
      <c r="BU5" s="1">
        <v>175.7</v>
      </c>
      <c r="BV5" s="1">
        <f t="shared" ref="BV5:BV24" si="3">SUM(AM5:AP5)</f>
        <v>271</v>
      </c>
      <c r="BW5" s="1">
        <f t="shared" ref="BW5:BW24" si="4">SUM(AQ5:AT5)</f>
        <v>306</v>
      </c>
      <c r="BX5" s="1">
        <f t="shared" ref="BX5:BX24" si="5">SUM(AU5:AX5)</f>
        <v>448</v>
      </c>
      <c r="BY5" s="1">
        <f t="shared" ref="BY5:BY24" si="6">SUM(AY5:BB5)</f>
        <v>863</v>
      </c>
      <c r="BZ5" s="1">
        <f>SUM(Model!BC5:BF5)</f>
        <v>1216.5999999999999</v>
      </c>
      <c r="CA5" s="1">
        <f>SUM(BG5:BJ5)</f>
        <v>1428.12</v>
      </c>
      <c r="CB5" s="1">
        <f t="shared" ref="CB5:CK5" si="7">CA5*1.01</f>
        <v>1442.4011999999998</v>
      </c>
      <c r="CC5" s="1">
        <f t="shared" si="7"/>
        <v>1456.8252119999997</v>
      </c>
      <c r="CD5" s="1">
        <f t="shared" si="7"/>
        <v>1471.3934641199996</v>
      </c>
      <c r="CE5" s="1">
        <f t="shared" si="7"/>
        <v>1486.1073987611996</v>
      </c>
      <c r="CF5" s="1">
        <f t="shared" si="7"/>
        <v>1500.9684727488116</v>
      </c>
      <c r="CG5" s="1">
        <f t="shared" si="7"/>
        <v>1515.9781574762997</v>
      </c>
      <c r="CH5" s="1">
        <f t="shared" si="7"/>
        <v>1531.1379390510626</v>
      </c>
      <c r="CI5" s="1">
        <f t="shared" si="7"/>
        <v>1546.4493184415733</v>
      </c>
      <c r="CJ5" s="1">
        <f>+CI5*0.9</f>
        <v>1391.8043865974159</v>
      </c>
      <c r="CK5" s="1">
        <f>+CJ5*0.7</f>
        <v>974.26307061819114</v>
      </c>
    </row>
    <row r="6" spans="1:98" s="1" customFormat="1" x14ac:dyDescent="0.2">
      <c r="B6" s="1" t="s">
        <v>208</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v>0</v>
      </c>
      <c r="AJ6" s="15">
        <v>26.5</v>
      </c>
      <c r="AK6" s="15"/>
      <c r="AL6" s="15"/>
      <c r="AM6" s="15">
        <v>0</v>
      </c>
      <c r="AN6" s="15">
        <v>47.2</v>
      </c>
      <c r="AO6" s="15">
        <v>49</v>
      </c>
      <c r="AP6" s="15">
        <v>55</v>
      </c>
      <c r="AQ6" s="15">
        <v>43</v>
      </c>
      <c r="AR6" s="15">
        <v>42</v>
      </c>
      <c r="AS6" s="15">
        <v>45</v>
      </c>
      <c r="AT6" s="15">
        <v>40</v>
      </c>
      <c r="AU6" s="15">
        <v>34</v>
      </c>
      <c r="AV6" s="15">
        <v>31</v>
      </c>
      <c r="AW6" s="15">
        <v>30</v>
      </c>
      <c r="AX6" s="15">
        <v>36</v>
      </c>
      <c r="AY6" s="1">
        <v>40</v>
      </c>
      <c r="AZ6" s="1">
        <v>41</v>
      </c>
      <c r="BA6" s="1">
        <v>40</v>
      </c>
      <c r="BB6" s="1">
        <v>61</v>
      </c>
      <c r="BC6" s="1">
        <v>70</v>
      </c>
      <c r="BD6" s="1">
        <v>56</v>
      </c>
      <c r="BE6" s="1">
        <v>52.9</v>
      </c>
      <c r="BF6" s="1">
        <v>63</v>
      </c>
      <c r="BG6" s="1">
        <v>57</v>
      </c>
      <c r="BH6" s="1">
        <f>+BD6</f>
        <v>56</v>
      </c>
      <c r="BI6" s="1">
        <f>+BE6</f>
        <v>52.9</v>
      </c>
      <c r="BJ6" s="1">
        <f>+BF6</f>
        <v>63</v>
      </c>
      <c r="BT6" s="1">
        <v>181.3</v>
      </c>
      <c r="BU6" s="1">
        <v>126</v>
      </c>
      <c r="BV6" s="1">
        <f t="shared" si="3"/>
        <v>151.19999999999999</v>
      </c>
      <c r="BW6" s="1">
        <f t="shared" si="4"/>
        <v>170</v>
      </c>
      <c r="BX6" s="1">
        <f t="shared" si="5"/>
        <v>131</v>
      </c>
      <c r="BY6" s="1">
        <f t="shared" si="6"/>
        <v>182</v>
      </c>
      <c r="BZ6" s="1">
        <f>SUM(Model!BC6:BF6)</f>
        <v>241.9</v>
      </c>
      <c r="CA6" s="1">
        <f>SUM(BG6:BJ6)</f>
        <v>228.9</v>
      </c>
      <c r="CB6" s="1">
        <f t="shared" ref="CB6:CK8" si="8">CA6*1.01</f>
        <v>231.18900000000002</v>
      </c>
      <c r="CC6" s="1">
        <f t="shared" si="8"/>
        <v>233.50089000000003</v>
      </c>
      <c r="CD6" s="1">
        <f t="shared" si="8"/>
        <v>235.83589890000002</v>
      </c>
      <c r="CE6" s="1">
        <f t="shared" si="8"/>
        <v>238.19425788900003</v>
      </c>
      <c r="CF6" s="1">
        <f t="shared" si="8"/>
        <v>240.57620046789003</v>
      </c>
      <c r="CG6" s="1">
        <f t="shared" si="8"/>
        <v>242.98196247256894</v>
      </c>
      <c r="CH6" s="1">
        <f t="shared" si="8"/>
        <v>245.41178209729463</v>
      </c>
      <c r="CI6" s="1">
        <f t="shared" si="8"/>
        <v>247.86589991826759</v>
      </c>
      <c r="CJ6" s="1">
        <f t="shared" si="8"/>
        <v>250.34455891745026</v>
      </c>
      <c r="CK6" s="1">
        <f t="shared" si="8"/>
        <v>252.84800450662476</v>
      </c>
    </row>
    <row r="7" spans="1:98" s="1" customFormat="1" x14ac:dyDescent="0.2">
      <c r="B7" s="1" t="s">
        <v>247</v>
      </c>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v>0</v>
      </c>
      <c r="AJ7" s="15">
        <v>0</v>
      </c>
      <c r="AK7" s="15"/>
      <c r="AL7" s="15"/>
      <c r="AM7" s="15">
        <v>0</v>
      </c>
      <c r="AN7" s="15">
        <v>0</v>
      </c>
      <c r="AO7" s="15">
        <v>40</v>
      </c>
      <c r="AP7" s="15">
        <v>146</v>
      </c>
      <c r="AQ7" s="15">
        <v>262</v>
      </c>
      <c r="AR7" s="15">
        <v>2591</v>
      </c>
      <c r="AS7" s="15">
        <v>677</v>
      </c>
      <c r="AT7" s="15">
        <v>2298</v>
      </c>
      <c r="AU7" s="15">
        <v>0</v>
      </c>
      <c r="AV7" s="15">
        <v>0</v>
      </c>
      <c r="AW7" s="15">
        <v>3</v>
      </c>
      <c r="AX7" s="15">
        <v>0</v>
      </c>
      <c r="AY7" s="15">
        <v>2</v>
      </c>
      <c r="AZ7" s="15">
        <v>2</v>
      </c>
      <c r="BA7" s="15">
        <v>4</v>
      </c>
      <c r="BB7" s="15">
        <v>62</v>
      </c>
      <c r="BC7" s="15">
        <v>1</v>
      </c>
      <c r="BD7" s="15">
        <v>0</v>
      </c>
      <c r="BE7" s="15">
        <v>35.6</v>
      </c>
      <c r="BF7" s="15">
        <v>40</v>
      </c>
      <c r="BG7" s="15">
        <v>0</v>
      </c>
      <c r="BH7" s="15">
        <v>0</v>
      </c>
      <c r="BI7" s="1">
        <v>0</v>
      </c>
      <c r="BJ7" s="1">
        <v>0</v>
      </c>
      <c r="BT7" s="1">
        <v>0</v>
      </c>
      <c r="BU7" s="1">
        <v>0</v>
      </c>
      <c r="BV7" s="1">
        <f t="shared" si="3"/>
        <v>186</v>
      </c>
      <c r="BW7" s="1">
        <f t="shared" si="4"/>
        <v>5828</v>
      </c>
      <c r="BX7" s="1">
        <f t="shared" si="5"/>
        <v>3</v>
      </c>
      <c r="BY7" s="1">
        <f t="shared" si="6"/>
        <v>70</v>
      </c>
      <c r="BZ7" s="1">
        <f>SUM(Model!BC7:BF7)</f>
        <v>76.599999999999994</v>
      </c>
    </row>
    <row r="8" spans="1:98" s="1" customFormat="1" x14ac:dyDescent="0.2">
      <c r="B8" s="1" t="s">
        <v>209</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v>0</v>
      </c>
      <c r="AJ8" s="15">
        <v>0</v>
      </c>
      <c r="AK8" s="15"/>
      <c r="AL8" s="15"/>
      <c r="AM8" s="15">
        <v>0</v>
      </c>
      <c r="AN8" s="15">
        <v>0</v>
      </c>
      <c r="AO8" s="15">
        <v>0</v>
      </c>
      <c r="AP8" s="15">
        <v>0</v>
      </c>
      <c r="AQ8" s="15">
        <v>1</v>
      </c>
      <c r="AR8" s="15">
        <v>2</v>
      </c>
      <c r="AS8" s="15">
        <v>7</v>
      </c>
      <c r="AT8" s="15">
        <v>9</v>
      </c>
      <c r="AU8" s="15">
        <v>8</v>
      </c>
      <c r="AV8" s="15">
        <v>11</v>
      </c>
      <c r="AW8" s="15">
        <v>14</v>
      </c>
      <c r="AX8" s="15">
        <v>15</v>
      </c>
      <c r="AY8" s="1">
        <v>15</v>
      </c>
      <c r="AZ8" s="1">
        <v>19</v>
      </c>
      <c r="BA8" s="1">
        <v>19</v>
      </c>
      <c r="BB8" s="1">
        <v>24</v>
      </c>
      <c r="BC8" s="1">
        <v>24</v>
      </c>
      <c r="BD8" s="1">
        <v>31</v>
      </c>
      <c r="BE8" s="1">
        <v>32.4</v>
      </c>
      <c r="BF8" s="1">
        <v>38</v>
      </c>
      <c r="BG8" s="1">
        <v>31</v>
      </c>
      <c r="BH8" s="1">
        <f>+BD8+1</f>
        <v>32</v>
      </c>
      <c r="BI8" s="1">
        <f>+BE8+1</f>
        <v>33.4</v>
      </c>
      <c r="BJ8" s="1">
        <f>+BF8+1</f>
        <v>39</v>
      </c>
      <c r="BT8" s="1">
        <v>0</v>
      </c>
      <c r="BU8" s="1">
        <v>0</v>
      </c>
      <c r="BV8" s="1">
        <f t="shared" si="3"/>
        <v>0</v>
      </c>
      <c r="BW8" s="1">
        <f t="shared" si="4"/>
        <v>19</v>
      </c>
      <c r="BX8" s="1">
        <f t="shared" si="5"/>
        <v>48</v>
      </c>
      <c r="BY8" s="1">
        <f t="shared" si="6"/>
        <v>77</v>
      </c>
      <c r="BZ8" s="1">
        <f>SUM(Model!BC8:BF8)</f>
        <v>125.4</v>
      </c>
      <c r="CA8" s="1">
        <f>SUM(BG8:BJ8)</f>
        <v>135.4</v>
      </c>
      <c r="CB8" s="1">
        <f t="shared" si="8"/>
        <v>136.75400000000002</v>
      </c>
      <c r="CC8" s="1">
        <f t="shared" si="8"/>
        <v>138.12154000000001</v>
      </c>
      <c r="CD8" s="1">
        <f t="shared" si="8"/>
        <v>139.50275540000001</v>
      </c>
      <c r="CE8" s="1">
        <f t="shared" si="8"/>
        <v>140.89778295400001</v>
      </c>
      <c r="CF8" s="1">
        <f t="shared" si="8"/>
        <v>142.30676078354</v>
      </c>
      <c r="CG8" s="1">
        <f t="shared" si="8"/>
        <v>143.72982839137541</v>
      </c>
      <c r="CH8" s="1">
        <f t="shared" si="8"/>
        <v>145.16712667528915</v>
      </c>
      <c r="CI8" s="1">
        <f t="shared" si="8"/>
        <v>146.61879794204205</v>
      </c>
      <c r="CJ8" s="1">
        <f t="shared" si="8"/>
        <v>148.08498592146248</v>
      </c>
      <c r="CK8" s="1">
        <f t="shared" si="8"/>
        <v>149.56583578067711</v>
      </c>
    </row>
    <row r="9" spans="1:98" s="1" customFormat="1" x14ac:dyDescent="0.2">
      <c r="B9" s="1" t="s">
        <v>231</v>
      </c>
      <c r="C9" s="15">
        <v>4.4000000000000004</v>
      </c>
      <c r="D9" s="15">
        <v>5.0389999999999997</v>
      </c>
      <c r="E9" s="15">
        <v>5.5</v>
      </c>
      <c r="F9" s="15">
        <f>19.9-E9-D9-C9</f>
        <v>4.9609999999999985</v>
      </c>
      <c r="G9" s="15">
        <v>4.4000000000000004</v>
      </c>
      <c r="H9" s="15">
        <v>5.5</v>
      </c>
      <c r="I9" s="15">
        <v>4.8</v>
      </c>
      <c r="J9" s="15">
        <f>20.2-I9-H9-G9</f>
        <v>5.4999999999999982</v>
      </c>
      <c r="K9" s="15">
        <v>4.8</v>
      </c>
      <c r="L9" s="15">
        <v>4.0999999999999996</v>
      </c>
      <c r="M9" s="15">
        <v>4</v>
      </c>
      <c r="N9" s="15">
        <f t="shared" ref="N9:N13" si="9">+BO9-M9-L9-K9</f>
        <v>4.200000000000002</v>
      </c>
      <c r="O9" s="15"/>
      <c r="P9" s="15"/>
      <c r="Q9" s="15"/>
      <c r="R9" s="15"/>
      <c r="S9" s="15"/>
      <c r="T9" s="15"/>
      <c r="U9" s="15"/>
      <c r="V9" s="15"/>
      <c r="W9" s="15"/>
      <c r="X9" s="15"/>
      <c r="Y9" s="15"/>
      <c r="Z9" s="15"/>
      <c r="AA9" s="15"/>
      <c r="AB9" s="15"/>
      <c r="AC9" s="15"/>
      <c r="AD9" s="15"/>
      <c r="AE9" s="15"/>
      <c r="AF9" s="15"/>
      <c r="AG9" s="15"/>
      <c r="AH9" s="15"/>
      <c r="AI9" s="15">
        <v>3.5</v>
      </c>
      <c r="AJ9" s="15">
        <v>4.2</v>
      </c>
      <c r="AK9" s="15"/>
      <c r="AL9" s="15"/>
      <c r="AM9" s="15">
        <v>3</v>
      </c>
      <c r="AN9" s="15">
        <v>2.7</v>
      </c>
      <c r="AO9" s="15">
        <v>3</v>
      </c>
      <c r="AP9" s="15">
        <v>4</v>
      </c>
      <c r="AQ9" s="15">
        <v>3</v>
      </c>
      <c r="AR9" s="15">
        <v>0</v>
      </c>
      <c r="AS9" s="15">
        <v>0</v>
      </c>
      <c r="AT9" s="15">
        <v>0</v>
      </c>
      <c r="AU9" s="15">
        <v>0</v>
      </c>
      <c r="AV9" s="15">
        <v>0</v>
      </c>
      <c r="AW9" s="15">
        <v>0</v>
      </c>
      <c r="AX9" s="15">
        <v>0</v>
      </c>
      <c r="AY9" s="15">
        <v>0</v>
      </c>
      <c r="AZ9" s="15">
        <v>0</v>
      </c>
      <c r="BA9" s="15">
        <v>0</v>
      </c>
      <c r="BB9" s="15"/>
      <c r="BC9" s="15"/>
      <c r="BD9" s="15"/>
      <c r="BE9" s="15"/>
      <c r="BF9" s="15"/>
      <c r="BG9" s="15"/>
      <c r="BH9" s="15"/>
      <c r="BL9" s="1">
        <v>25.254000000000001</v>
      </c>
      <c r="BM9" s="1">
        <f>SUM(C9:F9)</f>
        <v>19.899999999999999</v>
      </c>
      <c r="BN9" s="1">
        <f>SUM(G9:J9)</f>
        <v>20.199999999999996</v>
      </c>
      <c r="BO9" s="1">
        <v>17.100000000000001</v>
      </c>
      <c r="BP9" s="1">
        <v>14.4</v>
      </c>
      <c r="BQ9" s="1">
        <v>13.5</v>
      </c>
      <c r="BR9" s="1">
        <v>15.3</v>
      </c>
      <c r="BS9" s="1">
        <v>16.5</v>
      </c>
      <c r="BT9" s="1">
        <v>14.7</v>
      </c>
      <c r="BU9" s="1">
        <v>14.5</v>
      </c>
      <c r="BV9" s="1">
        <f t="shared" si="3"/>
        <v>12.7</v>
      </c>
      <c r="BW9" s="1">
        <f t="shared" si="4"/>
        <v>3</v>
      </c>
      <c r="BX9" s="1">
        <f t="shared" si="5"/>
        <v>0</v>
      </c>
      <c r="BY9" s="1">
        <f t="shared" si="6"/>
        <v>0</v>
      </c>
      <c r="BZ9" s="1">
        <f>SUM(Model!BC9:BF9)</f>
        <v>0</v>
      </c>
    </row>
    <row r="10" spans="1:98" s="1" customFormat="1" x14ac:dyDescent="0.2">
      <c r="B10" s="1" t="s">
        <v>264</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CA10" s="1">
        <v>0</v>
      </c>
      <c r="CB10" s="1">
        <v>300</v>
      </c>
      <c r="CC10" s="1">
        <v>600</v>
      </c>
      <c r="CD10" s="1">
        <v>900</v>
      </c>
      <c r="CE10" s="1">
        <v>1200</v>
      </c>
      <c r="CF10" s="1">
        <f>+CE10*1.1</f>
        <v>1320</v>
      </c>
      <c r="CG10" s="1">
        <f>+CF10*1.1</f>
        <v>1452.0000000000002</v>
      </c>
      <c r="CH10" s="1">
        <f>+CG10*1.1</f>
        <v>1597.2000000000003</v>
      </c>
      <c r="CI10" s="1">
        <f>+CH10*1.1</f>
        <v>1756.9200000000005</v>
      </c>
      <c r="CJ10" s="1">
        <f>+CI10*1.1</f>
        <v>1932.6120000000008</v>
      </c>
      <c r="CK10" s="1">
        <f>+CJ10*1.1</f>
        <v>2125.8732000000009</v>
      </c>
    </row>
    <row r="11" spans="1:98" s="1" customFormat="1" x14ac:dyDescent="0.2">
      <c r="B11" s="1" t="s">
        <v>434</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CA11" s="1">
        <v>0</v>
      </c>
      <c r="CB11" s="1">
        <v>300</v>
      </c>
      <c r="CC11" s="1">
        <v>600</v>
      </c>
      <c r="CD11" s="1">
        <v>900</v>
      </c>
      <c r="CE11" s="1">
        <v>1200</v>
      </c>
      <c r="CF11" s="1">
        <f>+CE11*1.1</f>
        <v>1320</v>
      </c>
      <c r="CG11" s="1">
        <f>+CF11*1.1</f>
        <v>1452.0000000000002</v>
      </c>
      <c r="CH11" s="1">
        <f>+CG11*1.1</f>
        <v>1597.2000000000003</v>
      </c>
      <c r="CI11" s="1">
        <f>+CH11*1.1</f>
        <v>1756.9200000000005</v>
      </c>
      <c r="CJ11" s="1">
        <f>+CI11*1.1</f>
        <v>1932.6120000000008</v>
      </c>
      <c r="CK11" s="1">
        <f>+CJ11*1.1</f>
        <v>2125.8732000000009</v>
      </c>
    </row>
    <row r="12" spans="1:98" s="1" customFormat="1" x14ac:dyDescent="0.2">
      <c r="B12" s="1" t="s">
        <v>511</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CA12" s="1">
        <v>0</v>
      </c>
      <c r="CB12" s="1">
        <v>100</v>
      </c>
      <c r="CC12" s="1">
        <v>200</v>
      </c>
      <c r="CD12" s="1">
        <v>300</v>
      </c>
      <c r="CE12" s="1">
        <f>+CD12*1.01</f>
        <v>303</v>
      </c>
      <c r="CF12" s="1">
        <f t="shared" ref="CF12:CK12" si="10">+CE12*1.01</f>
        <v>306.03000000000003</v>
      </c>
      <c r="CG12" s="1">
        <f t="shared" si="10"/>
        <v>309.09030000000001</v>
      </c>
      <c r="CH12" s="1">
        <f t="shared" si="10"/>
        <v>312.18120300000004</v>
      </c>
      <c r="CI12" s="1">
        <f t="shared" si="10"/>
        <v>315.30301503000004</v>
      </c>
      <c r="CJ12" s="1">
        <f t="shared" si="10"/>
        <v>318.45604518030007</v>
      </c>
      <c r="CK12" s="1">
        <f t="shared" si="10"/>
        <v>321.64060563210307</v>
      </c>
    </row>
    <row r="13" spans="1:98" s="1" customFormat="1" x14ac:dyDescent="0.2">
      <c r="B13" s="1" t="s">
        <v>20</v>
      </c>
      <c r="C13" s="15">
        <v>85.328999999999994</v>
      </c>
      <c r="D13" s="15">
        <v>84.445999999999998</v>
      </c>
      <c r="E13" s="15">
        <v>79.8</v>
      </c>
      <c r="F13" s="15">
        <f>326.6-E13-D13-C13</f>
        <v>77.02500000000002</v>
      </c>
      <c r="G13" s="15">
        <v>85.004999999999995</v>
      </c>
      <c r="H13" s="15">
        <v>88.988</v>
      </c>
      <c r="I13" s="15">
        <v>145</v>
      </c>
      <c r="J13" s="15">
        <f>423.8-I13-H13-G13</f>
        <v>104.80700000000002</v>
      </c>
      <c r="K13" s="15">
        <v>99.272999999999996</v>
      </c>
      <c r="L13" s="15">
        <v>85.528999999999996</v>
      </c>
      <c r="M13" s="15">
        <v>134.35900000000001</v>
      </c>
      <c r="N13" s="15">
        <f t="shared" si="9"/>
        <v>110.93899999999999</v>
      </c>
      <c r="O13" s="15"/>
      <c r="P13" s="15"/>
      <c r="Q13" s="15"/>
      <c r="R13" s="15"/>
      <c r="S13" s="15"/>
      <c r="T13" s="15"/>
      <c r="U13" s="15"/>
      <c r="V13" s="15"/>
      <c r="W13" s="15"/>
      <c r="X13" s="15"/>
      <c r="Y13" s="15"/>
      <c r="Z13" s="15"/>
      <c r="AA13" s="15"/>
      <c r="AB13" s="15"/>
      <c r="AC13" s="15"/>
      <c r="AD13" s="15"/>
      <c r="AE13" s="15"/>
      <c r="AF13" s="15"/>
      <c r="AG13" s="15"/>
      <c r="AH13" s="15"/>
      <c r="AI13" s="15">
        <f t="shared" ref="AI13:AJ13" si="11">SUM(AI14:AI16)</f>
        <v>0</v>
      </c>
      <c r="AJ13" s="15">
        <f t="shared" si="11"/>
        <v>0</v>
      </c>
      <c r="AK13" s="15"/>
      <c r="AL13" s="15"/>
      <c r="AM13" s="15">
        <f t="shared" ref="AM13:AS13" si="12">SUM(AM14:AM16)</f>
        <v>246.9</v>
      </c>
      <c r="AN13" s="15">
        <f t="shared" si="12"/>
        <v>269.10000000000002</v>
      </c>
      <c r="AO13" s="15">
        <f t="shared" si="12"/>
        <v>353.3</v>
      </c>
      <c r="AP13" s="15">
        <f t="shared" si="12"/>
        <v>317.10000000000002</v>
      </c>
      <c r="AQ13" s="15">
        <f t="shared" si="12"/>
        <v>364.80000000000007</v>
      </c>
      <c r="AR13" s="15">
        <f t="shared" si="12"/>
        <v>437.7</v>
      </c>
      <c r="AS13" s="15">
        <f t="shared" si="12"/>
        <v>581.80000000000007</v>
      </c>
      <c r="AT13" s="15">
        <f>SUM(AT14:AT16)</f>
        <v>517.9</v>
      </c>
      <c r="AU13" s="15">
        <f>SUM(AU14:AU16)</f>
        <v>630.9</v>
      </c>
      <c r="AV13" s="15">
        <f>SUM(AV14:AV16)</f>
        <v>677.5</v>
      </c>
      <c r="AW13" s="15">
        <f>SUM(AW14:AW16)</f>
        <v>711.4</v>
      </c>
      <c r="AX13" s="15">
        <f>SUM(AX14:AX16)</f>
        <v>835.9</v>
      </c>
      <c r="AY13" s="15">
        <v>798</v>
      </c>
      <c r="AZ13" s="15">
        <v>944</v>
      </c>
      <c r="BA13" s="15">
        <v>1065</v>
      </c>
      <c r="BB13" s="15">
        <v>993</v>
      </c>
      <c r="BC13" s="15">
        <v>910</v>
      </c>
      <c r="BD13" s="15">
        <v>1146</v>
      </c>
      <c r="BE13" s="15">
        <f>SUM(BE14:BE16)</f>
        <v>1263.3999999999999</v>
      </c>
      <c r="BF13" s="15">
        <v>1213</v>
      </c>
      <c r="BG13" s="15">
        <v>1183</v>
      </c>
      <c r="BH13" s="15">
        <f>+BD13*1.2</f>
        <v>1375.2</v>
      </c>
      <c r="BI13" s="15">
        <f>+BE13*1.2</f>
        <v>1516.0799999999997</v>
      </c>
      <c r="BJ13" s="15">
        <f>+BF13*1.2</f>
        <v>1455.6</v>
      </c>
      <c r="BL13" s="1">
        <v>311.33199999999999</v>
      </c>
      <c r="BM13" s="1">
        <f>SUM(C13:F13)</f>
        <v>326.60000000000002</v>
      </c>
      <c r="BN13" s="1">
        <f>SUM(G13:J13)</f>
        <v>423.8</v>
      </c>
      <c r="BO13" s="1">
        <v>430.1</v>
      </c>
      <c r="BP13" s="1">
        <v>541.29999999999995</v>
      </c>
      <c r="BQ13" s="1">
        <v>758.9</v>
      </c>
      <c r="BR13" s="1">
        <v>658.7</v>
      </c>
      <c r="BS13" s="1">
        <v>877.2</v>
      </c>
      <c r="BT13" s="1">
        <v>1111.0999999999999</v>
      </c>
      <c r="BU13" s="1">
        <v>1426.8</v>
      </c>
      <c r="BV13" s="1">
        <f t="shared" si="3"/>
        <v>1186.4000000000001</v>
      </c>
      <c r="BW13" s="1">
        <f t="shared" si="4"/>
        <v>1902.2000000000003</v>
      </c>
      <c r="BX13" s="1">
        <f t="shared" si="5"/>
        <v>2855.7000000000003</v>
      </c>
      <c r="BY13" s="1">
        <f t="shared" si="6"/>
        <v>3800</v>
      </c>
      <c r="BZ13" s="1">
        <f>SUM(Model!BC13:BF13)</f>
        <v>4532.3999999999996</v>
      </c>
      <c r="CA13" s="1">
        <f>SUM(BG13:BJ13)</f>
        <v>5529.8799999999992</v>
      </c>
      <c r="CB13" s="1">
        <f>CA13*1.1</f>
        <v>6082.8679999999995</v>
      </c>
      <c r="CC13" s="1">
        <f>CB13*1.1</f>
        <v>6691.1548000000003</v>
      </c>
      <c r="CD13" s="1">
        <f>CC13*1.05</f>
        <v>7025.7125400000004</v>
      </c>
      <c r="CE13" s="1">
        <f>CD13*1.05</f>
        <v>7376.9981670000006</v>
      </c>
      <c r="CF13" s="1">
        <f>CE13*1.05</f>
        <v>7745.8480753500007</v>
      </c>
      <c r="CG13" s="1">
        <f>CF13*1.05</f>
        <v>8133.1404791175009</v>
      </c>
      <c r="CH13" s="1">
        <f>+CG13*0.8</f>
        <v>6506.5123832940008</v>
      </c>
      <c r="CI13" s="1">
        <f>+CH13*0.7</f>
        <v>4554.5586683058</v>
      </c>
      <c r="CJ13" s="1">
        <f>+CI13*0.6</f>
        <v>2732.7352009834799</v>
      </c>
      <c r="CK13" s="1">
        <f>+CJ13*0.6</f>
        <v>1639.6411205900879</v>
      </c>
    </row>
    <row r="14" spans="1:98" s="1" customFormat="1" x14ac:dyDescent="0.2">
      <c r="B14" s="1" t="s">
        <v>225</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v>170.9</v>
      </c>
      <c r="AN14" s="15">
        <v>171.9</v>
      </c>
      <c r="AO14" s="15">
        <v>212.8</v>
      </c>
      <c r="AP14" s="15">
        <v>229.6</v>
      </c>
      <c r="AQ14" s="15">
        <v>260.60000000000002</v>
      </c>
      <c r="AR14" s="15">
        <v>327.60000000000002</v>
      </c>
      <c r="AS14" s="15">
        <v>387</v>
      </c>
      <c r="AT14" s="15">
        <v>387.8</v>
      </c>
      <c r="AU14" s="15">
        <v>415.3</v>
      </c>
      <c r="AV14" s="15">
        <v>496.6</v>
      </c>
      <c r="AW14" s="15">
        <v>551.1</v>
      </c>
      <c r="AX14" s="15">
        <v>619</v>
      </c>
      <c r="BE14" s="1">
        <v>1088.3</v>
      </c>
      <c r="BV14" s="1">
        <f t="shared" si="3"/>
        <v>785.2</v>
      </c>
      <c r="BW14" s="1">
        <f t="shared" si="4"/>
        <v>1363</v>
      </c>
      <c r="BX14" s="1">
        <f t="shared" si="5"/>
        <v>2082</v>
      </c>
      <c r="BY14" s="1">
        <v>3136.5</v>
      </c>
      <c r="BZ14" s="1">
        <v>3923.5</v>
      </c>
    </row>
    <row r="15" spans="1:98" s="1" customFormat="1" x14ac:dyDescent="0.2">
      <c r="B15" s="1" t="s">
        <v>226</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v>80.099999999999994</v>
      </c>
      <c r="AN15" s="15">
        <v>100.6</v>
      </c>
      <c r="AO15" s="15">
        <v>94.3</v>
      </c>
      <c r="AP15" s="15">
        <v>93</v>
      </c>
      <c r="AQ15" s="15">
        <v>105.6</v>
      </c>
      <c r="AR15" s="15">
        <v>110.9</v>
      </c>
      <c r="AS15" s="15">
        <v>144.69999999999999</v>
      </c>
      <c r="AT15" s="15">
        <v>127.6</v>
      </c>
      <c r="AU15" s="15">
        <v>160.80000000000001</v>
      </c>
      <c r="AV15" s="15">
        <v>145.5</v>
      </c>
      <c r="AW15" s="15">
        <v>160.5</v>
      </c>
      <c r="AX15" s="15">
        <v>166.9</v>
      </c>
      <c r="BE15" s="1">
        <v>175.1</v>
      </c>
      <c r="BV15" s="1">
        <f t="shared" si="3"/>
        <v>368</v>
      </c>
      <c r="BW15" s="1">
        <f t="shared" si="4"/>
        <v>488.79999999999995</v>
      </c>
      <c r="BX15" s="1">
        <f t="shared" si="5"/>
        <v>633.70000000000005</v>
      </c>
      <c r="BY15" s="1">
        <v>613</v>
      </c>
      <c r="BZ15" s="1">
        <v>607.9</v>
      </c>
    </row>
    <row r="16" spans="1:98" s="1" customFormat="1" x14ac:dyDescent="0.2">
      <c r="B16" s="1" t="s">
        <v>227</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f>-6.2+2.1</f>
        <v>-4.0999999999999996</v>
      </c>
      <c r="AN16" s="15">
        <f>-6.4+3</f>
        <v>-3.4000000000000004</v>
      </c>
      <c r="AO16" s="15">
        <f>50-4.7+0.9</f>
        <v>46.199999999999996</v>
      </c>
      <c r="AP16" s="15">
        <f>-8.4+2.9</f>
        <v>-5.5</v>
      </c>
      <c r="AQ16" s="15">
        <f>-6.1+4.7</f>
        <v>-1.3999999999999995</v>
      </c>
      <c r="AR16" s="15">
        <f>-3.5+2.7</f>
        <v>-0.79999999999999982</v>
      </c>
      <c r="AS16" s="15">
        <f>50+3.1-3</f>
        <v>50.1</v>
      </c>
      <c r="AT16" s="15">
        <f>-1+3.5</f>
        <v>2.5</v>
      </c>
      <c r="AU16" s="15">
        <f>50+2.8+2</f>
        <v>54.8</v>
      </c>
      <c r="AV16" s="15">
        <f>28.9+3.9+2.6</f>
        <v>35.4</v>
      </c>
      <c r="AW16" s="15">
        <v>-0.2</v>
      </c>
      <c r="AX16" s="15">
        <v>50</v>
      </c>
      <c r="BV16" s="1">
        <f t="shared" si="3"/>
        <v>33.199999999999996</v>
      </c>
      <c r="BW16" s="1">
        <f t="shared" si="4"/>
        <v>50.400000000000006</v>
      </c>
      <c r="BX16" s="1">
        <f t="shared" si="5"/>
        <v>140</v>
      </c>
      <c r="BY16" s="1">
        <v>50</v>
      </c>
    </row>
    <row r="17" spans="2:89" s="1" customFormat="1" x14ac:dyDescent="0.2">
      <c r="B17" s="1" t="s">
        <v>228</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v>557.29999999999995</v>
      </c>
      <c r="AK17" s="15"/>
      <c r="AL17" s="15"/>
      <c r="AM17" s="15">
        <v>855</v>
      </c>
      <c r="AN17" s="15">
        <v>945</v>
      </c>
      <c r="AO17" s="15">
        <v>1072.5999999999999</v>
      </c>
      <c r="AP17" s="15">
        <v>1172</v>
      </c>
      <c r="AQ17" s="15">
        <v>1262.9000000000001</v>
      </c>
      <c r="AR17" s="15">
        <v>1499</v>
      </c>
      <c r="AS17" s="15">
        <v>1662.9</v>
      </c>
      <c r="AT17" s="15">
        <v>1773.8</v>
      </c>
      <c r="AU17" s="15">
        <v>1810.4</v>
      </c>
      <c r="AV17" s="15">
        <v>2091.8000000000002</v>
      </c>
      <c r="AW17" s="15">
        <v>2330.1</v>
      </c>
      <c r="AX17" s="15">
        <v>2448.9</v>
      </c>
      <c r="AY17" s="1">
        <v>2485</v>
      </c>
      <c r="AZ17" s="1">
        <v>2789.4</v>
      </c>
      <c r="BA17" s="1">
        <v>3097.6</v>
      </c>
      <c r="BB17" s="1">
        <v>3216.1</v>
      </c>
      <c r="BC17" s="1">
        <v>3076.8</v>
      </c>
      <c r="BD17" s="1">
        <v>3556.4</v>
      </c>
      <c r="BE17" s="1">
        <v>3817.2</v>
      </c>
      <c r="BF17" s="1">
        <v>3697.6</v>
      </c>
      <c r="BG17" s="1">
        <v>3670</v>
      </c>
      <c r="BQ17" s="1">
        <v>0</v>
      </c>
      <c r="BR17" s="1">
        <v>0</v>
      </c>
      <c r="BS17" s="1">
        <v>256.5</v>
      </c>
      <c r="BT17" s="1">
        <v>922</v>
      </c>
      <c r="BU17" s="1">
        <v>2315.6</v>
      </c>
      <c r="BV17" s="1">
        <f t="shared" si="3"/>
        <v>4044.6</v>
      </c>
      <c r="BW17" s="1">
        <f t="shared" si="4"/>
        <v>6198.6</v>
      </c>
      <c r="BX17" s="1">
        <f t="shared" si="5"/>
        <v>8681.2000000000007</v>
      </c>
      <c r="BY17" s="1">
        <f t="shared" si="6"/>
        <v>11588.1</v>
      </c>
      <c r="BZ17" s="1">
        <f>SUM(BC17:BF17)</f>
        <v>14148.000000000002</v>
      </c>
    </row>
    <row r="18" spans="2:89" s="1" customFormat="1" x14ac:dyDescent="0.2">
      <c r="B18" s="1" t="s">
        <v>229</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v>73.7</v>
      </c>
      <c r="AK18" s="15"/>
      <c r="AL18" s="15"/>
      <c r="AM18" s="15"/>
      <c r="AN18" s="15">
        <v>86.6</v>
      </c>
      <c r="AO18" s="15">
        <v>91.5</v>
      </c>
      <c r="AP18" s="15">
        <v>100.9</v>
      </c>
      <c r="AQ18" s="15">
        <v>104.6</v>
      </c>
      <c r="AR18" s="15">
        <v>99.4</v>
      </c>
      <c r="AS18" s="15">
        <v>114.5</v>
      </c>
      <c r="AT18" s="15">
        <v>102.6</v>
      </c>
      <c r="AU18" s="15">
        <v>111.4</v>
      </c>
      <c r="AV18" s="15">
        <v>108.9</v>
      </c>
      <c r="AW18" s="15">
        <v>113.7</v>
      </c>
      <c r="AX18" s="15">
        <v>133.4</v>
      </c>
      <c r="AY18" s="1">
        <v>145.9</v>
      </c>
      <c r="AZ18" s="1">
        <v>140.30000000000001</v>
      </c>
      <c r="BA18" s="1">
        <v>165.5</v>
      </c>
      <c r="BB18" s="1">
        <v>187.2</v>
      </c>
      <c r="BC18" s="1">
        <v>201.3</v>
      </c>
      <c r="BD18" s="1">
        <v>191.9</v>
      </c>
      <c r="BE18" s="1">
        <v>191.4</v>
      </c>
      <c r="BF18" s="1">
        <v>180.4</v>
      </c>
      <c r="BQ18" s="1">
        <f>9.5+1</f>
        <v>10.5</v>
      </c>
      <c r="BR18" s="1">
        <f>94.4+21.9</f>
        <v>116.30000000000001</v>
      </c>
      <c r="BS18" s="1">
        <f>131.4+63.3</f>
        <v>194.7</v>
      </c>
      <c r="BV18" s="1">
        <f t="shared" si="3"/>
        <v>279</v>
      </c>
      <c r="BW18" s="1">
        <f t="shared" si="4"/>
        <v>421.1</v>
      </c>
      <c r="BX18" s="1">
        <f t="shared" si="5"/>
        <v>467.4</v>
      </c>
      <c r="BY18" s="1">
        <f t="shared" si="6"/>
        <v>638.90000000000009</v>
      </c>
      <c r="BZ18" s="1">
        <f>SUM(BC18:BF18)</f>
        <v>765</v>
      </c>
    </row>
    <row r="19" spans="2:89" s="1" customFormat="1" x14ac:dyDescent="0.2">
      <c r="B19" s="1" t="s">
        <v>382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BQ19" s="1">
        <v>85.7</v>
      </c>
      <c r="BR19" s="1">
        <v>72.3</v>
      </c>
      <c r="BS19" s="1">
        <v>83.8</v>
      </c>
    </row>
    <row r="20" spans="2:89" s="1" customFormat="1" x14ac:dyDescent="0.2">
      <c r="B20" s="1" t="s">
        <v>230</v>
      </c>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v>58.5</v>
      </c>
      <c r="AK20" s="15"/>
      <c r="AL20" s="15"/>
      <c r="AM20" s="15"/>
      <c r="AN20" s="15">
        <v>68.3</v>
      </c>
      <c r="AO20" s="15">
        <v>70</v>
      </c>
      <c r="AP20" s="15">
        <v>71.5</v>
      </c>
      <c r="AQ20" s="15">
        <v>69.099999999999994</v>
      </c>
      <c r="AR20" s="15">
        <v>66.7</v>
      </c>
      <c r="AS20" s="15">
        <v>97.8</v>
      </c>
      <c r="AT20" s="15">
        <v>103.9</v>
      </c>
      <c r="AU20" s="15">
        <v>106.4</v>
      </c>
      <c r="AV20" s="15">
        <v>82.3</v>
      </c>
      <c r="AW20" s="15">
        <v>88.1</v>
      </c>
      <c r="AX20" s="15">
        <v>81.2</v>
      </c>
      <c r="AY20" s="1">
        <v>78.5</v>
      </c>
      <c r="AZ20" s="1">
        <v>99.5</v>
      </c>
      <c r="BA20" s="1">
        <v>95.7</v>
      </c>
      <c r="BB20" s="1">
        <v>112.2</v>
      </c>
      <c r="BC20" s="1">
        <v>94.1</v>
      </c>
      <c r="BD20" s="1">
        <v>109.7</v>
      </c>
      <c r="BE20" s="1">
        <v>120.1</v>
      </c>
      <c r="BF20" s="1">
        <v>134.80000000000001</v>
      </c>
      <c r="BQ20" s="1">
        <v>0</v>
      </c>
      <c r="BR20" s="1">
        <v>0</v>
      </c>
      <c r="BS20" s="1">
        <v>13.3</v>
      </c>
      <c r="BV20" s="1">
        <f t="shared" si="3"/>
        <v>209.8</v>
      </c>
      <c r="BW20" s="1">
        <f t="shared" si="4"/>
        <v>337.5</v>
      </c>
      <c r="BX20" s="1">
        <f t="shared" si="5"/>
        <v>357.99999999999994</v>
      </c>
      <c r="BY20" s="1">
        <f t="shared" si="6"/>
        <v>385.9</v>
      </c>
      <c r="BZ20" s="1">
        <f>SUM(BC20:BF20)</f>
        <v>458.7</v>
      </c>
    </row>
    <row r="21" spans="2:89" s="1" customFormat="1" x14ac:dyDescent="0.2">
      <c r="B21" s="1" t="s">
        <v>360</v>
      </c>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BQ21" s="1">
        <v>1413.3</v>
      </c>
      <c r="BR21" s="1">
        <v>1872.3</v>
      </c>
      <c r="BS21" s="1">
        <v>2226.9</v>
      </c>
      <c r="BT21" s="48" t="s">
        <v>361</v>
      </c>
      <c r="BU21" s="48" t="s">
        <v>362</v>
      </c>
      <c r="BV21" s="48">
        <v>2962</v>
      </c>
    </row>
    <row r="22" spans="2:89" s="1" customFormat="1" x14ac:dyDescent="0.2">
      <c r="B22" s="1" t="s">
        <v>210</v>
      </c>
      <c r="C22" s="15">
        <v>12.481</v>
      </c>
      <c r="D22" s="15">
        <v>11.122999999999999</v>
      </c>
      <c r="E22" s="15">
        <v>10.1</v>
      </c>
      <c r="F22" s="15">
        <f>43.1-E22-D22-C22</f>
        <v>9.3960000000000026</v>
      </c>
      <c r="G22" s="15">
        <v>12.483000000000001</v>
      </c>
      <c r="H22" s="15">
        <v>9.1240000000000006</v>
      </c>
      <c r="I22" s="15">
        <v>26.7</v>
      </c>
      <c r="J22" s="15">
        <f>70.1-I22-H22-G22</f>
        <v>21.792999999999989</v>
      </c>
      <c r="K22" s="15">
        <v>14.907</v>
      </c>
      <c r="L22" s="15">
        <v>31.103999999999999</v>
      </c>
      <c r="M22" s="15">
        <v>88.582999999999998</v>
      </c>
      <c r="N22" s="15">
        <f>+BO22-M22-L22-K22</f>
        <v>85.706000000000017</v>
      </c>
      <c r="O22" s="15"/>
      <c r="P22" s="15"/>
      <c r="Q22" s="15"/>
      <c r="R22" s="15"/>
      <c r="S22" s="15"/>
      <c r="T22" s="15"/>
      <c r="U22" s="15"/>
      <c r="V22" s="15"/>
      <c r="W22" s="15"/>
      <c r="X22" s="15"/>
      <c r="Y22" s="15"/>
      <c r="Z22" s="15"/>
      <c r="AA22" s="15"/>
      <c r="AB22" s="15"/>
      <c r="AC22" s="15"/>
      <c r="AD22" s="15"/>
      <c r="AE22" s="15"/>
      <c r="AF22" s="15"/>
      <c r="AG22" s="15"/>
      <c r="AH22" s="15"/>
      <c r="AI22" s="15">
        <v>264</v>
      </c>
      <c r="AJ22" s="15"/>
      <c r="AK22" s="15"/>
      <c r="AL22" s="15"/>
      <c r="AM22" s="15">
        <v>281.39999999999998</v>
      </c>
      <c r="AN22" s="15">
        <v>244.2</v>
      </c>
      <c r="AO22" s="15">
        <v>299.89999999999998</v>
      </c>
      <c r="AP22" s="15">
        <v>360.6</v>
      </c>
      <c r="AQ22" s="15">
        <v>322.8</v>
      </c>
      <c r="AR22" s="15">
        <v>349</v>
      </c>
      <c r="AS22" s="15">
        <v>365</v>
      </c>
      <c r="AT22" s="15">
        <v>372.4</v>
      </c>
      <c r="AU22" s="15">
        <v>385.3</v>
      </c>
      <c r="AV22" s="15">
        <v>358</v>
      </c>
      <c r="AW22" s="15">
        <v>333</v>
      </c>
      <c r="AX22" s="15">
        <v>355.1</v>
      </c>
      <c r="AY22" s="15">
        <v>357</v>
      </c>
      <c r="AZ22" s="15">
        <v>377</v>
      </c>
      <c r="BA22" s="15">
        <v>377</v>
      </c>
      <c r="BB22" s="15">
        <v>377</v>
      </c>
      <c r="BC22" s="15">
        <v>356</v>
      </c>
      <c r="BD22" s="15">
        <v>375</v>
      </c>
      <c r="BE22" s="15">
        <f>367.6+23.2</f>
        <v>390.8</v>
      </c>
      <c r="BF22" s="15">
        <v>377</v>
      </c>
      <c r="BG22" s="15">
        <v>344</v>
      </c>
      <c r="BH22" s="15">
        <f>+BD22*0.8</f>
        <v>300</v>
      </c>
      <c r="BI22" s="15">
        <f>+BE22*0.8</f>
        <v>312.64000000000004</v>
      </c>
      <c r="BJ22" s="15">
        <f>+BF22*0.8</f>
        <v>301.60000000000002</v>
      </c>
      <c r="BM22" s="1">
        <f>SUM(C22:F22)</f>
        <v>43.1</v>
      </c>
      <c r="BN22" s="1">
        <f>SUM(G22:J22)</f>
        <v>70.099999999999994</v>
      </c>
      <c r="BO22" s="1">
        <v>220.3</v>
      </c>
      <c r="BP22" s="1">
        <v>495.6</v>
      </c>
      <c r="BQ22" s="1">
        <v>580.5</v>
      </c>
      <c r="BR22" s="1">
        <v>744.3</v>
      </c>
      <c r="BS22" s="1">
        <v>938.1</v>
      </c>
      <c r="BT22" s="1">
        <v>1076.7</v>
      </c>
      <c r="BU22" s="1">
        <v>1188.8</v>
      </c>
      <c r="BV22" s="1">
        <f t="shared" si="3"/>
        <v>1186.0999999999999</v>
      </c>
      <c r="BW22" s="1">
        <f t="shared" si="4"/>
        <v>1409.1999999999998</v>
      </c>
      <c r="BX22" s="1">
        <f t="shared" si="5"/>
        <v>1431.4</v>
      </c>
      <c r="BY22" s="1">
        <f t="shared" si="6"/>
        <v>1488</v>
      </c>
      <c r="BZ22" s="1">
        <f>SUM(Model!BC22:BF22)</f>
        <v>1498.8</v>
      </c>
      <c r="CA22" s="1">
        <f>SUM(BG22:BJ22)</f>
        <v>1258.2400000000002</v>
      </c>
      <c r="CB22" s="1">
        <f t="shared" ref="CB22:CK22" si="13">CA22*0.8</f>
        <v>1006.5920000000002</v>
      </c>
      <c r="CC22" s="1">
        <f t="shared" si="13"/>
        <v>805.27360000000022</v>
      </c>
      <c r="CD22" s="1">
        <f t="shared" si="13"/>
        <v>644.21888000000024</v>
      </c>
      <c r="CE22" s="1">
        <f t="shared" si="13"/>
        <v>515.37510400000019</v>
      </c>
      <c r="CF22" s="1">
        <f t="shared" si="13"/>
        <v>412.30008320000019</v>
      </c>
      <c r="CG22" s="1">
        <f t="shared" si="13"/>
        <v>329.8400665600002</v>
      </c>
      <c r="CH22" s="1">
        <f t="shared" si="13"/>
        <v>263.87205324800016</v>
      </c>
      <c r="CI22" s="1">
        <f t="shared" si="13"/>
        <v>211.09764259840014</v>
      </c>
      <c r="CJ22" s="1">
        <f t="shared" si="13"/>
        <v>168.87811407872013</v>
      </c>
      <c r="CK22" s="1">
        <f t="shared" si="13"/>
        <v>135.10249126297612</v>
      </c>
    </row>
    <row r="23" spans="2:89" s="1" customFormat="1" x14ac:dyDescent="0.2">
      <c r="B23" s="1" t="s">
        <v>211</v>
      </c>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v>0</v>
      </c>
      <c r="AJ23" s="15">
        <v>0</v>
      </c>
      <c r="AK23" s="15">
        <v>0</v>
      </c>
      <c r="AL23" s="15">
        <v>0</v>
      </c>
      <c r="AM23" s="15">
        <v>0</v>
      </c>
      <c r="AN23" s="15">
        <v>0</v>
      </c>
      <c r="AO23" s="15">
        <v>0</v>
      </c>
      <c r="AP23" s="15">
        <v>0</v>
      </c>
      <c r="AQ23" s="15">
        <v>66.8</v>
      </c>
      <c r="AR23" s="15">
        <v>168</v>
      </c>
      <c r="AS23" s="15">
        <v>127.1</v>
      </c>
      <c r="AT23" s="15">
        <v>0</v>
      </c>
      <c r="AU23" s="15">
        <v>216.3</v>
      </c>
      <c r="AV23" s="15">
        <v>8</v>
      </c>
      <c r="AW23" s="15">
        <v>6</v>
      </c>
      <c r="AX23" s="15">
        <v>396.4</v>
      </c>
      <c r="AY23" s="1">
        <v>223</v>
      </c>
      <c r="AZ23" s="1">
        <v>-4</v>
      </c>
      <c r="BC23" s="1">
        <v>1</v>
      </c>
      <c r="BD23" s="1">
        <v>3</v>
      </c>
      <c r="BE23" s="1">
        <v>0.5</v>
      </c>
      <c r="BV23" s="1">
        <f t="shared" si="3"/>
        <v>0</v>
      </c>
      <c r="BW23" s="1">
        <f t="shared" si="4"/>
        <v>361.9</v>
      </c>
      <c r="BX23" s="1">
        <f t="shared" si="5"/>
        <v>626.70000000000005</v>
      </c>
      <c r="BY23" s="1">
        <f t="shared" si="6"/>
        <v>219</v>
      </c>
      <c r="BZ23" s="1">
        <f>SUM(BC23:BF23)</f>
        <v>4.5</v>
      </c>
    </row>
    <row r="24" spans="2:89" s="1" customFormat="1" x14ac:dyDescent="0.2">
      <c r="B24" s="1" t="s">
        <v>212</v>
      </c>
      <c r="C24" s="15">
        <f t="shared" ref="C24" si="14">7.845+2.122</f>
        <v>9.9669999999999987</v>
      </c>
      <c r="D24" s="15">
        <f>5.228+1.974</f>
        <v>7.202</v>
      </c>
      <c r="E24" s="15">
        <f>5.9+1.5</f>
        <v>7.4</v>
      </c>
      <c r="F24" s="15">
        <f>24.8+6.6-E24-D24-C24</f>
        <v>6.8310000000000031</v>
      </c>
      <c r="G24" s="15">
        <f>5.893+0.477</f>
        <v>6.37</v>
      </c>
      <c r="H24" s="15">
        <f>5.893+0.875</f>
        <v>6.7679999999999998</v>
      </c>
      <c r="I24" s="15">
        <f>5.9+0.9</f>
        <v>6.8000000000000007</v>
      </c>
      <c r="J24" s="15">
        <f>23.6+2.9-I24-H24-G24</f>
        <v>6.5619999999999985</v>
      </c>
      <c r="K24" s="15">
        <f>5.893+0.851</f>
        <v>6.7439999999999998</v>
      </c>
      <c r="L24" s="15">
        <f>5.893+1.223</f>
        <v>7.1159999999999997</v>
      </c>
      <c r="M24" s="15">
        <f>5.893+1.074</f>
        <v>6.9669999999999996</v>
      </c>
      <c r="N24" s="15">
        <f>+BO24-M24-L24-K24</f>
        <v>7.6730000000000018</v>
      </c>
      <c r="O24" s="15"/>
      <c r="P24" s="15"/>
      <c r="Q24" s="15"/>
      <c r="R24" s="15"/>
      <c r="S24" s="15"/>
      <c r="T24" s="15"/>
      <c r="U24" s="15"/>
      <c r="V24" s="15"/>
      <c r="W24" s="15"/>
      <c r="X24" s="15"/>
      <c r="Y24" s="15"/>
      <c r="Z24" s="15"/>
      <c r="AA24" s="15"/>
      <c r="AB24" s="15"/>
      <c r="AC24" s="15"/>
      <c r="AD24" s="15"/>
      <c r="AE24" s="15"/>
      <c r="AF24" s="15"/>
      <c r="AG24" s="15"/>
      <c r="AH24" s="15"/>
      <c r="AI24" s="15">
        <v>22.2</v>
      </c>
      <c r="AJ24" s="15"/>
      <c r="AK24" s="15"/>
      <c r="AL24" s="15"/>
      <c r="AM24" s="15">
        <v>63.2</v>
      </c>
      <c r="AN24" s="15">
        <v>211.8</v>
      </c>
      <c r="AO24" s="15">
        <v>158.6</v>
      </c>
      <c r="AP24" s="15"/>
      <c r="AQ24" s="15">
        <v>50</v>
      </c>
      <c r="AR24" s="15">
        <v>46</v>
      </c>
      <c r="AS24" s="15">
        <v>99</v>
      </c>
      <c r="AT24" s="15">
        <v>86.2</v>
      </c>
      <c r="AU24" s="15">
        <v>94</v>
      </c>
      <c r="AV24" s="15">
        <v>59</v>
      </c>
      <c r="AW24" s="15">
        <v>84</v>
      </c>
      <c r="AX24" s="15">
        <v>127.7</v>
      </c>
      <c r="AY24" s="1">
        <v>116</v>
      </c>
      <c r="AZ24" s="1">
        <v>69</v>
      </c>
      <c r="BA24" s="1">
        <f>138-3</f>
        <v>135</v>
      </c>
      <c r="BB24" s="1">
        <v>212</v>
      </c>
      <c r="BC24" s="1">
        <v>117</v>
      </c>
      <c r="BD24" s="1">
        <v>104</v>
      </c>
      <c r="BE24" s="1">
        <f>114.2+6</f>
        <v>120.2</v>
      </c>
      <c r="BF24" s="1">
        <f>17+179</f>
        <v>196</v>
      </c>
      <c r="BG24" s="1">
        <f>4+82</f>
        <v>86</v>
      </c>
      <c r="BH24" s="1">
        <f>+BD24</f>
        <v>104</v>
      </c>
      <c r="BI24" s="1">
        <f>+BE24</f>
        <v>120.2</v>
      </c>
      <c r="BJ24" s="1">
        <f>+BF24</f>
        <v>196</v>
      </c>
      <c r="BM24" s="1">
        <f>SUM(C24:F24)</f>
        <v>31.4</v>
      </c>
      <c r="BN24" s="1">
        <v>26.5</v>
      </c>
      <c r="BO24" s="1">
        <v>28.5</v>
      </c>
      <c r="BP24" s="1">
        <v>31.9</v>
      </c>
      <c r="BQ24" s="1">
        <v>74.8</v>
      </c>
      <c r="BR24" s="1">
        <v>119</v>
      </c>
      <c r="BS24" s="1">
        <v>338.5</v>
      </c>
      <c r="BT24" s="1">
        <v>416.8</v>
      </c>
      <c r="BU24" s="1">
        <v>413.4</v>
      </c>
      <c r="BV24" s="1">
        <f t="shared" si="3"/>
        <v>433.6</v>
      </c>
      <c r="BW24" s="1">
        <f t="shared" si="4"/>
        <v>281.2</v>
      </c>
      <c r="BX24" s="1">
        <f t="shared" si="5"/>
        <v>364.7</v>
      </c>
      <c r="BY24" s="1">
        <f t="shared" si="6"/>
        <v>532</v>
      </c>
      <c r="BZ24" s="1">
        <f>SUM(BC24:BF24)</f>
        <v>537.20000000000005</v>
      </c>
      <c r="CA24" s="1">
        <f>SUM(BG24:BJ24)</f>
        <v>506.2</v>
      </c>
      <c r="CB24" s="1">
        <f>+CA24*0.9</f>
        <v>455.58</v>
      </c>
      <c r="CC24" s="1">
        <f t="shared" ref="CC24:CK24" si="15">+CB24*0.9</f>
        <v>410.02199999999999</v>
      </c>
      <c r="CD24" s="1">
        <f t="shared" si="15"/>
        <v>369.01979999999998</v>
      </c>
      <c r="CE24" s="1">
        <f t="shared" si="15"/>
        <v>332.11781999999999</v>
      </c>
      <c r="CF24" s="1">
        <f t="shared" si="15"/>
        <v>298.90603800000002</v>
      </c>
      <c r="CG24" s="1">
        <f t="shared" si="15"/>
        <v>269.01543420000002</v>
      </c>
      <c r="CH24" s="1">
        <f t="shared" si="15"/>
        <v>242.11389078000002</v>
      </c>
      <c r="CI24" s="1">
        <f t="shared" si="15"/>
        <v>217.90250170200002</v>
      </c>
      <c r="CJ24" s="1">
        <f t="shared" si="15"/>
        <v>196.11225153180001</v>
      </c>
      <c r="CK24" s="1">
        <f t="shared" si="15"/>
        <v>176.50102637862003</v>
      </c>
    </row>
    <row r="25" spans="2:89" s="16" customFormat="1" x14ac:dyDescent="0.2">
      <c r="B25" s="16" t="s">
        <v>213</v>
      </c>
      <c r="C25" s="17">
        <f t="shared" ref="C25:F25" si="16">+C24+C22+C13+C3+C9</f>
        <v>112.17699999999999</v>
      </c>
      <c r="D25" s="17">
        <f t="shared" si="16"/>
        <v>107.81</v>
      </c>
      <c r="E25" s="17">
        <f t="shared" si="16"/>
        <v>102.8</v>
      </c>
      <c r="F25" s="17">
        <f t="shared" si="16"/>
        <v>123.01300000000002</v>
      </c>
      <c r="G25" s="17">
        <f>+G24+G22+G13+G3+G9</f>
        <v>231.75800000000001</v>
      </c>
      <c r="H25" s="17">
        <f t="shared" ref="H25:N25" si="17">+H24+H22+H13+H3+H9</f>
        <v>304.38</v>
      </c>
      <c r="I25" s="17">
        <f t="shared" si="17"/>
        <v>427.7</v>
      </c>
      <c r="J25" s="17">
        <f t="shared" si="17"/>
        <v>414.66200000000003</v>
      </c>
      <c r="K25" s="17">
        <f t="shared" si="17"/>
        <v>439.62399999999997</v>
      </c>
      <c r="L25" s="17">
        <f t="shared" si="17"/>
        <v>457.649</v>
      </c>
      <c r="M25" s="17">
        <f t="shared" si="17"/>
        <v>597.00900000000001</v>
      </c>
      <c r="N25" s="17">
        <f t="shared" si="17"/>
        <v>610.41800000000001</v>
      </c>
      <c r="O25" s="17"/>
      <c r="P25" s="17"/>
      <c r="Q25" s="17"/>
      <c r="R25" s="17"/>
      <c r="S25" s="17"/>
      <c r="T25" s="17"/>
      <c r="U25" s="17"/>
      <c r="V25" s="17"/>
      <c r="W25" s="17"/>
      <c r="X25" s="17"/>
      <c r="Y25" s="17"/>
      <c r="Z25" s="17"/>
      <c r="AA25" s="17"/>
      <c r="AB25" s="17"/>
      <c r="AC25" s="17"/>
      <c r="AD25" s="17"/>
      <c r="AE25" s="17"/>
      <c r="AF25" s="17"/>
      <c r="AG25" s="17"/>
      <c r="AH25" s="17"/>
      <c r="AI25" s="17">
        <f t="shared" ref="AI25:AJ25" si="18">SUM(AI3:AI13)+AI22+AI23+AI24</f>
        <v>1390.6</v>
      </c>
      <c r="AJ25" s="17">
        <f t="shared" si="18"/>
        <v>1231.5</v>
      </c>
      <c r="AK25" s="17"/>
      <c r="AL25" s="17"/>
      <c r="AM25" s="17">
        <f t="shared" ref="AM25:AP25" si="19">SUM(AM3:AM13)+AM22+AM23+AM24</f>
        <v>1828.2</v>
      </c>
      <c r="AN25" s="17">
        <f t="shared" si="19"/>
        <v>1952.3000000000002</v>
      </c>
      <c r="AO25" s="17">
        <f t="shared" si="19"/>
        <v>2293.7999999999997</v>
      </c>
      <c r="AP25" s="17">
        <f t="shared" si="19"/>
        <v>2299.6999999999998</v>
      </c>
      <c r="AQ25" s="17">
        <f t="shared" ref="AQ25:AV25" si="20">SUM(AQ3:AQ13)+AQ22+AQ23+AQ24</f>
        <v>2529.4000000000005</v>
      </c>
      <c r="AR25" s="17">
        <f t="shared" si="20"/>
        <v>5138.7</v>
      </c>
      <c r="AS25" s="17">
        <f>SUM(AS3:AS13)+AS22+AS23+AS24</f>
        <v>3452.9</v>
      </c>
      <c r="AT25" s="17">
        <f t="shared" si="20"/>
        <v>4951.4999999999991</v>
      </c>
      <c r="AU25" s="17">
        <f t="shared" si="20"/>
        <v>2965.5000000000005</v>
      </c>
      <c r="AV25" s="17">
        <f t="shared" si="20"/>
        <v>2856.5</v>
      </c>
      <c r="AW25" s="17">
        <f t="shared" ref="AW25:BJ25" si="21">SUM(AW3:AW13)+AW22+AW23+AW24</f>
        <v>2936.4</v>
      </c>
      <c r="AX25" s="17">
        <f t="shared" si="21"/>
        <v>3414.1</v>
      </c>
      <c r="AY25" s="17">
        <f t="shared" si="21"/>
        <v>3162</v>
      </c>
      <c r="AZ25" s="17">
        <f t="shared" si="21"/>
        <v>3158</v>
      </c>
      <c r="BA25" s="17">
        <f t="shared" si="21"/>
        <v>3363</v>
      </c>
      <c r="BB25" s="17">
        <f t="shared" si="21"/>
        <v>3434</v>
      </c>
      <c r="BC25" s="17">
        <f t="shared" si="21"/>
        <v>3145</v>
      </c>
      <c r="BD25" s="17">
        <f t="shared" si="21"/>
        <v>3547</v>
      </c>
      <c r="BE25" s="17">
        <f t="shared" si="21"/>
        <v>3721.3</v>
      </c>
      <c r="BF25" s="17">
        <f t="shared" si="21"/>
        <v>3789</v>
      </c>
      <c r="BG25" s="17">
        <f t="shared" si="21"/>
        <v>3029</v>
      </c>
      <c r="BH25" s="17">
        <f t="shared" si="21"/>
        <v>3171.2</v>
      </c>
      <c r="BI25" s="17">
        <f t="shared" si="21"/>
        <v>3250.2999999999997</v>
      </c>
      <c r="BJ25" s="17">
        <f t="shared" si="21"/>
        <v>3299.596</v>
      </c>
      <c r="BL25" s="17">
        <f t="shared" ref="BL25:BU25" si="22">SUM(BL3:BL13)+BL22+BL23+BL24</f>
        <v>336.58600000000001</v>
      </c>
      <c r="BM25" s="17">
        <f>SUM(BM3:BM13)+BM22+BM23+BM24</f>
        <v>445.8</v>
      </c>
      <c r="BN25" s="17">
        <f t="shared" si="22"/>
        <v>1378.5</v>
      </c>
      <c r="BO25" s="17">
        <f t="shared" si="22"/>
        <v>2104.7000000000003</v>
      </c>
      <c r="BP25" s="17">
        <f t="shared" si="22"/>
        <v>2819.6000000000004</v>
      </c>
      <c r="BQ25" s="17">
        <f>SUM(BQ3:BQ13)+BQ22+BQ23+BQ24</f>
        <v>4103.7</v>
      </c>
      <c r="BR25" s="17">
        <f>SUM(BR3:BR13)+BR22+BR23+BR24</f>
        <v>4860.4000000000005</v>
      </c>
      <c r="BS25" s="17">
        <f t="shared" si="22"/>
        <v>5872.2000000000007</v>
      </c>
      <c r="BT25" s="17">
        <f t="shared" si="22"/>
        <v>6892.1</v>
      </c>
      <c r="BU25" s="17">
        <f t="shared" si="22"/>
        <v>7989.4</v>
      </c>
      <c r="BV25" s="17">
        <f t="shared" ref="BV25:CA25" si="23">SUM(BV3:BV13)+BV22+BV23+BV24</f>
        <v>8374</v>
      </c>
      <c r="BW25" s="17">
        <f t="shared" si="23"/>
        <v>16072.500000000002</v>
      </c>
      <c r="BX25" s="17">
        <f t="shared" si="23"/>
        <v>12172.500000000002</v>
      </c>
      <c r="BY25" s="17">
        <f t="shared" si="23"/>
        <v>13117</v>
      </c>
      <c r="BZ25" s="17">
        <f t="shared" si="23"/>
        <v>14202.3</v>
      </c>
      <c r="CA25" s="17">
        <f t="shared" si="23"/>
        <v>12750.096</v>
      </c>
      <c r="CB25" s="17">
        <f t="shared" ref="CB25:CK25" si="24">SUM(CB3:CB13)+CB22+CB23+CB24</f>
        <v>13146.9334</v>
      </c>
      <c r="CC25" s="17">
        <f t="shared" si="24"/>
        <v>13298.982482000001</v>
      </c>
      <c r="CD25" s="17">
        <f t="shared" si="24"/>
        <v>13500.542446419999</v>
      </c>
      <c r="CE25" s="17">
        <f t="shared" si="24"/>
        <v>13853.091906204199</v>
      </c>
      <c r="CF25" s="17">
        <f t="shared" si="24"/>
        <v>14029.216593470241</v>
      </c>
      <c r="CG25" s="17">
        <f t="shared" si="24"/>
        <v>14367.372902261744</v>
      </c>
      <c r="CH25" s="17">
        <f t="shared" si="24"/>
        <v>12804.514049976447</v>
      </c>
      <c r="CI25" s="17">
        <f t="shared" si="24"/>
        <v>11008.238214219644</v>
      </c>
      <c r="CJ25" s="17">
        <f t="shared" si="24"/>
        <v>9249.8612024077211</v>
      </c>
      <c r="CK25" s="17">
        <f t="shared" si="24"/>
        <v>8026.0637162072462</v>
      </c>
    </row>
    <row r="26" spans="2:89" s="1" customFormat="1" x14ac:dyDescent="0.2">
      <c r="B26" s="1" t="s">
        <v>214</v>
      </c>
      <c r="C26" s="15">
        <v>0.38200000000000001</v>
      </c>
      <c r="D26" s="15">
        <v>0.39500000000000002</v>
      </c>
      <c r="E26" s="15">
        <v>0.45</v>
      </c>
      <c r="F26" s="15">
        <f>BM26-E26-D26-C26</f>
        <v>2.9889999999999999</v>
      </c>
      <c r="G26" s="15">
        <v>12.298</v>
      </c>
      <c r="H26" s="15">
        <v>21.843</v>
      </c>
      <c r="I26" s="15">
        <v>20.145</v>
      </c>
      <c r="J26" s="15">
        <f>+BN26-I26-H26-G26</f>
        <v>30.168999999999997</v>
      </c>
      <c r="K26" s="15">
        <v>29.055</v>
      </c>
      <c r="L26" s="15">
        <f>27.283+12.33</f>
        <v>39.613</v>
      </c>
      <c r="M26" s="15">
        <f>28.253+10.32</f>
        <v>38.573</v>
      </c>
      <c r="N26" s="15">
        <f>+BO26-M26-L26-K26</f>
        <v>48.114000000000011</v>
      </c>
      <c r="O26" s="15"/>
      <c r="P26" s="15"/>
      <c r="Q26" s="15"/>
      <c r="R26" s="15"/>
      <c r="S26" s="15"/>
      <c r="T26" s="15"/>
      <c r="U26" s="15"/>
      <c r="V26" s="15"/>
      <c r="W26" s="15"/>
      <c r="X26" s="15"/>
      <c r="Y26" s="15"/>
      <c r="Z26" s="15"/>
      <c r="AA26" s="15"/>
      <c r="AB26" s="15"/>
      <c r="AC26" s="15"/>
      <c r="AD26" s="15"/>
      <c r="AE26" s="15"/>
      <c r="AF26" s="15"/>
      <c r="AG26" s="15"/>
      <c r="AH26" s="15"/>
      <c r="AI26" s="15"/>
      <c r="AJ26" s="15">
        <v>58.2</v>
      </c>
      <c r="AK26" s="15"/>
      <c r="AL26" s="15"/>
      <c r="AM26" s="15">
        <f>78.8+138.5</f>
        <v>217.3</v>
      </c>
      <c r="AN26" s="15">
        <f>93.2+173</f>
        <v>266.2</v>
      </c>
      <c r="AO26" s="15">
        <v>122</v>
      </c>
      <c r="AP26" s="15">
        <f>166+173.5</f>
        <v>339.5</v>
      </c>
      <c r="AQ26" s="15">
        <f>183.2+124.8</f>
        <v>308</v>
      </c>
      <c r="AR26" s="15">
        <f>539.4+154.3</f>
        <v>693.7</v>
      </c>
      <c r="AS26" s="15">
        <v>224</v>
      </c>
      <c r="AT26" s="15">
        <f>559+170.9</f>
        <v>729.9</v>
      </c>
      <c r="AU26" s="15">
        <f>207.3+197.6</f>
        <v>404.9</v>
      </c>
      <c r="AV26" s="15">
        <f>149.2+147.9</f>
        <v>297.10000000000002</v>
      </c>
      <c r="AW26" s="15">
        <v>109</v>
      </c>
      <c r="AX26" s="15">
        <f>302.2+238.4-133.7-19.7</f>
        <v>387.20000000000005</v>
      </c>
      <c r="AY26" s="15">
        <v>168</v>
      </c>
      <c r="AZ26" s="15">
        <v>163</v>
      </c>
      <c r="BA26" s="15">
        <v>180.8</v>
      </c>
      <c r="BB26" s="15">
        <f>258.9+210.2</f>
        <v>469.09999999999997</v>
      </c>
      <c r="BC26" s="15">
        <v>196</v>
      </c>
      <c r="BD26" s="15">
        <v>214</v>
      </c>
      <c r="BE26" s="15">
        <v>217.4</v>
      </c>
      <c r="BF26" s="15">
        <f>270.8+238.6</f>
        <v>509.4</v>
      </c>
      <c r="BG26" s="15">
        <v>217</v>
      </c>
      <c r="BH26" s="1">
        <f t="shared" ref="BH26:BI26" si="25">+BH25-BH27</f>
        <v>221.98399999999992</v>
      </c>
      <c r="BI26" s="1">
        <f t="shared" si="25"/>
        <v>227.52099999999973</v>
      </c>
      <c r="BJ26" s="1">
        <f>+BJ25-BJ27</f>
        <v>230.97172</v>
      </c>
      <c r="BM26" s="1">
        <v>4.2160000000000002</v>
      </c>
      <c r="BN26" s="1">
        <v>84.454999999999998</v>
      </c>
      <c r="BO26" s="1">
        <f>118.048+37.307</f>
        <v>155.35500000000002</v>
      </c>
      <c r="BP26" s="1">
        <f>129.03+75.988</f>
        <v>205.018</v>
      </c>
      <c r="BQ26" s="1">
        <f>151.007+241.702</f>
        <v>392.709</v>
      </c>
      <c r="BV26" s="1">
        <f t="shared" ref="BV26" si="26">SUM(AM26:AP26)</f>
        <v>945</v>
      </c>
      <c r="BW26" s="1">
        <f t="shared" ref="BW26" si="27">SUM(AQ26:AT26)</f>
        <v>1955.6</v>
      </c>
      <c r="BX26" s="1">
        <f t="shared" ref="BX26" si="28">SUM(AU26:AX26)</f>
        <v>1198.2</v>
      </c>
      <c r="BY26" s="1">
        <f t="shared" ref="BY26" si="29">SUM(AY26:BB26)</f>
        <v>980.9</v>
      </c>
      <c r="BZ26" s="1">
        <f>SUM(BC26:BF26)</f>
        <v>1136.8</v>
      </c>
    </row>
    <row r="27" spans="2:89" s="1" customFormat="1" x14ac:dyDescent="0.2">
      <c r="B27" s="1" t="s">
        <v>215</v>
      </c>
      <c r="C27" s="15">
        <f t="shared" ref="C27:F27" si="30">+C25-C26</f>
        <v>111.79499999999999</v>
      </c>
      <c r="D27" s="15">
        <f t="shared" si="30"/>
        <v>107.41500000000001</v>
      </c>
      <c r="E27" s="15">
        <f t="shared" si="30"/>
        <v>102.35</v>
      </c>
      <c r="F27" s="15">
        <f t="shared" si="30"/>
        <v>120.02400000000002</v>
      </c>
      <c r="G27" s="15">
        <f t="shared" ref="G27:N27" si="31">+G25-G26</f>
        <v>219.46</v>
      </c>
      <c r="H27" s="15">
        <f t="shared" si="31"/>
        <v>282.53699999999998</v>
      </c>
      <c r="I27" s="15">
        <f t="shared" si="31"/>
        <v>407.55500000000001</v>
      </c>
      <c r="J27" s="15">
        <f t="shared" si="31"/>
        <v>384.49300000000005</v>
      </c>
      <c r="K27" s="15">
        <f t="shared" si="31"/>
        <v>410.56899999999996</v>
      </c>
      <c r="L27" s="15">
        <f t="shared" si="31"/>
        <v>418.036</v>
      </c>
      <c r="M27" s="15">
        <f t="shared" si="31"/>
        <v>558.43600000000004</v>
      </c>
      <c r="N27" s="15">
        <f t="shared" si="31"/>
        <v>562.30399999999997</v>
      </c>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f t="shared" ref="AM27" si="32">+AM25-AM26</f>
        <v>1610.9</v>
      </c>
      <c r="AN27" s="15">
        <f t="shared" ref="AN27:AV27" si="33">+AN25-AN26</f>
        <v>1686.1000000000001</v>
      </c>
      <c r="AO27" s="15">
        <f t="shared" si="33"/>
        <v>2171.7999999999997</v>
      </c>
      <c r="AP27" s="15">
        <f t="shared" si="33"/>
        <v>1960.1999999999998</v>
      </c>
      <c r="AQ27" s="15">
        <f t="shared" si="33"/>
        <v>2221.4000000000005</v>
      </c>
      <c r="AR27" s="15">
        <f t="shared" si="33"/>
        <v>4445</v>
      </c>
      <c r="AS27" s="15">
        <f t="shared" si="33"/>
        <v>3228.9</v>
      </c>
      <c r="AT27" s="15">
        <f t="shared" si="33"/>
        <v>4221.5999999999995</v>
      </c>
      <c r="AU27" s="15">
        <f t="shared" si="33"/>
        <v>2560.6000000000004</v>
      </c>
      <c r="AV27" s="15">
        <f t="shared" si="33"/>
        <v>2559.4</v>
      </c>
      <c r="AW27" s="15">
        <f>+AW25-AW26</f>
        <v>2827.4</v>
      </c>
      <c r="AX27" s="15">
        <f>+AX25-AX26</f>
        <v>3026.8999999999996</v>
      </c>
      <c r="AY27" s="15">
        <f>AY25-AY26</f>
        <v>2994</v>
      </c>
      <c r="AZ27" s="15">
        <f>AZ25-AZ26</f>
        <v>2995</v>
      </c>
      <c r="BA27" s="15">
        <f>+BA25-BA26</f>
        <v>3182.2</v>
      </c>
      <c r="BB27" s="15">
        <f>+BB25-BB26</f>
        <v>2964.9</v>
      </c>
      <c r="BC27" s="15">
        <f>BC25-BC26</f>
        <v>2949</v>
      </c>
      <c r="BD27" s="15">
        <f>BD25-BD26</f>
        <v>3333</v>
      </c>
      <c r="BE27" s="15">
        <f>+BE25-BE26</f>
        <v>3503.9</v>
      </c>
      <c r="BF27" s="15">
        <f>+BF25-BF26</f>
        <v>3279.6</v>
      </c>
      <c r="BG27" s="15">
        <f>+BG25-BG26</f>
        <v>2812</v>
      </c>
      <c r="BH27" s="15">
        <f>+BH25*0.93</f>
        <v>2949.2159999999999</v>
      </c>
      <c r="BI27" s="15">
        <f>+BI25*0.93</f>
        <v>3022.779</v>
      </c>
      <c r="BJ27" s="15">
        <f>+BJ25*0.93</f>
        <v>3068.62428</v>
      </c>
      <c r="BM27" s="1">
        <f>+BM25-BM26</f>
        <v>441.584</v>
      </c>
      <c r="BN27" s="1">
        <f>+BN25-BN26</f>
        <v>1294.0450000000001</v>
      </c>
      <c r="BO27" s="1">
        <f>+BO25-BO26</f>
        <v>1949.3450000000003</v>
      </c>
      <c r="BP27" s="1">
        <f>+BP25-BP26</f>
        <v>2614.5820000000003</v>
      </c>
      <c r="BQ27" s="1">
        <f>+BQ25-BQ26</f>
        <v>3710.991</v>
      </c>
      <c r="BV27" s="1">
        <f>+BV25-BV26</f>
        <v>7429</v>
      </c>
      <c r="BW27" s="1">
        <f t="shared" ref="BW27:BY27" si="34">+BW25-BW26</f>
        <v>14116.900000000001</v>
      </c>
      <c r="BX27" s="1">
        <f t="shared" si="34"/>
        <v>10974.300000000001</v>
      </c>
      <c r="BY27" s="1">
        <f t="shared" si="34"/>
        <v>12136.1</v>
      </c>
      <c r="BZ27" s="1">
        <f>+BZ25-BZ26</f>
        <v>13065.5</v>
      </c>
      <c r="CA27" s="1">
        <f>CA25*0.9</f>
        <v>11475.0864</v>
      </c>
      <c r="CB27" s="1">
        <f t="shared" ref="CB27:CK27" si="35">CB25*0.9</f>
        <v>11832.24006</v>
      </c>
      <c r="CC27" s="1">
        <f t="shared" si="35"/>
        <v>11969.084233800002</v>
      </c>
      <c r="CD27" s="1">
        <f t="shared" si="35"/>
        <v>12150.488201777998</v>
      </c>
      <c r="CE27" s="1">
        <f t="shared" si="35"/>
        <v>12467.78271558378</v>
      </c>
      <c r="CF27" s="1">
        <f t="shared" si="35"/>
        <v>12626.294934123216</v>
      </c>
      <c r="CG27" s="1">
        <f t="shared" si="35"/>
        <v>12930.63561203557</v>
      </c>
      <c r="CH27" s="1">
        <f t="shared" si="35"/>
        <v>11524.062644978803</v>
      </c>
      <c r="CI27" s="1">
        <f t="shared" si="35"/>
        <v>9907.4143927976802</v>
      </c>
      <c r="CJ27" s="1">
        <f t="shared" si="35"/>
        <v>8324.8750821669491</v>
      </c>
      <c r="CK27" s="1">
        <f t="shared" si="35"/>
        <v>7223.4573445865217</v>
      </c>
    </row>
    <row r="28" spans="2:89" s="1" customFormat="1" x14ac:dyDescent="0.2">
      <c r="B28" s="1" t="s">
        <v>216</v>
      </c>
      <c r="C28" s="15">
        <v>129.392</v>
      </c>
      <c r="D28" s="15">
        <v>143.149</v>
      </c>
      <c r="E28" s="15">
        <v>127.92400000000001</v>
      </c>
      <c r="F28" s="15">
        <f>BM28-E28-D28-C28</f>
        <v>129.041</v>
      </c>
      <c r="G28" s="15">
        <v>138.86199999999999</v>
      </c>
      <c r="H28" s="15">
        <v>147.37299999999999</v>
      </c>
      <c r="I28" s="15">
        <v>158.29499999999999</v>
      </c>
      <c r="J28" s="15">
        <f>+BN28-I28-H28-G28</f>
        <v>181.02400000000003</v>
      </c>
      <c r="K28" s="15">
        <v>180.29900000000001</v>
      </c>
      <c r="L28" s="15">
        <v>187.46299999999999</v>
      </c>
      <c r="M28" s="15">
        <v>224.04499999999999</v>
      </c>
      <c r="N28" s="15">
        <f>+BO28-M28-L28-K28</f>
        <v>268.1400000000001</v>
      </c>
      <c r="O28" s="15"/>
      <c r="P28" s="15"/>
      <c r="Q28" s="15"/>
      <c r="R28" s="15"/>
      <c r="S28" s="15"/>
      <c r="T28" s="15"/>
      <c r="U28" s="15"/>
      <c r="V28" s="15"/>
      <c r="W28" s="15"/>
      <c r="X28" s="15"/>
      <c r="Y28" s="15"/>
      <c r="Z28" s="15"/>
      <c r="AA28" s="15"/>
      <c r="AB28" s="15"/>
      <c r="AC28" s="15"/>
      <c r="AD28" s="15"/>
      <c r="AE28" s="15"/>
      <c r="AF28" s="15"/>
      <c r="AG28" s="15"/>
      <c r="AH28" s="15"/>
      <c r="AI28" s="15"/>
      <c r="AJ28" s="15">
        <v>426.2</v>
      </c>
      <c r="AK28" s="15"/>
      <c r="AL28" s="15"/>
      <c r="AM28" s="15">
        <v>583.9</v>
      </c>
      <c r="AN28" s="15">
        <v>580.1</v>
      </c>
      <c r="AO28" s="15">
        <v>629</v>
      </c>
      <c r="AP28" s="15">
        <v>675</v>
      </c>
      <c r="AQ28" s="15">
        <v>742.9</v>
      </c>
      <c r="AR28" s="15">
        <v>714.2</v>
      </c>
      <c r="AS28" s="15">
        <v>592</v>
      </c>
      <c r="AT28" s="15">
        <v>639</v>
      </c>
      <c r="AU28" s="15">
        <v>843.8</v>
      </c>
      <c r="AV28" s="15">
        <f>794.3-14.6</f>
        <v>779.69999999999993</v>
      </c>
      <c r="AW28" s="15">
        <v>817</v>
      </c>
      <c r="AX28" s="15">
        <f>1043.1-1.4</f>
        <v>1041.6999999999998</v>
      </c>
      <c r="AY28" s="1">
        <v>960</v>
      </c>
      <c r="AZ28" s="1">
        <v>974</v>
      </c>
      <c r="BA28" s="1">
        <v>954.4</v>
      </c>
      <c r="BB28" s="1">
        <v>1030.9000000000001</v>
      </c>
      <c r="BC28" s="1">
        <v>1122</v>
      </c>
      <c r="BD28" s="1">
        <v>1072</v>
      </c>
      <c r="BE28" s="15">
        <v>1145.8</v>
      </c>
      <c r="BF28" s="1">
        <v>1223.5999999999999</v>
      </c>
      <c r="BG28" s="1">
        <v>1186</v>
      </c>
      <c r="BH28" s="1">
        <f>+BD28</f>
        <v>1072</v>
      </c>
      <c r="BI28" s="1">
        <f>+BE28</f>
        <v>1145.8</v>
      </c>
      <c r="BJ28" s="1">
        <f>+BF28</f>
        <v>1223.5999999999999</v>
      </c>
      <c r="BM28" s="1">
        <v>529.50599999999997</v>
      </c>
      <c r="BN28" s="1">
        <v>625.55399999999997</v>
      </c>
      <c r="BO28" s="1">
        <v>859.947</v>
      </c>
      <c r="BP28" s="1">
        <v>1271.3530000000001</v>
      </c>
      <c r="BQ28" s="1">
        <v>1620.577</v>
      </c>
      <c r="BV28" s="1">
        <f t="shared" ref="BV28:BV29" si="36">SUM(AM28:AP28)</f>
        <v>2468</v>
      </c>
      <c r="BW28" s="1">
        <f t="shared" ref="BW28:BW29" si="37">SUM(AQ28:AT28)</f>
        <v>2688.1</v>
      </c>
      <c r="BX28" s="1">
        <f t="shared" ref="BX28:BX29" si="38">SUM(AU28:AX28)</f>
        <v>3482.2</v>
      </c>
      <c r="BY28" s="1">
        <f t="shared" ref="BY28:BY29" si="39">SUM(AY28:BB28)</f>
        <v>3919.3</v>
      </c>
      <c r="BZ28" s="1">
        <f>SUM(BC28:BF28)</f>
        <v>4563.3999999999996</v>
      </c>
    </row>
    <row r="29" spans="2:89" s="1" customFormat="1" x14ac:dyDescent="0.2">
      <c r="B29" s="1" t="s">
        <v>217</v>
      </c>
      <c r="C29" s="15">
        <v>23.411000000000001</v>
      </c>
      <c r="D29" s="15">
        <v>24.585000000000001</v>
      </c>
      <c r="E29" s="15">
        <v>32.915999999999997</v>
      </c>
      <c r="F29" s="15">
        <f>BM29-E29-D29-C29</f>
        <v>36.348999999999997</v>
      </c>
      <c r="G29" s="15">
        <v>58.427999999999997</v>
      </c>
      <c r="H29" s="15">
        <v>47.704999999999998</v>
      </c>
      <c r="I29" s="15">
        <v>46.883000000000003</v>
      </c>
      <c r="J29" s="15">
        <f>+BN29-I29-H29-G29</f>
        <v>57.73899999999999</v>
      </c>
      <c r="K29" s="15">
        <v>77.260000000000005</v>
      </c>
      <c r="L29" s="15">
        <v>72.462999999999994</v>
      </c>
      <c r="M29" s="15">
        <v>97.606999999999999</v>
      </c>
      <c r="N29" s="15">
        <f>+BO29-M29-L29-K29</f>
        <v>82.085000000000022</v>
      </c>
      <c r="O29" s="15"/>
      <c r="P29" s="15"/>
      <c r="Q29" s="15"/>
      <c r="R29" s="15"/>
      <c r="S29" s="15"/>
      <c r="T29" s="15"/>
      <c r="U29" s="15"/>
      <c r="V29" s="15"/>
      <c r="W29" s="15"/>
      <c r="X29" s="15"/>
      <c r="Y29" s="15"/>
      <c r="Z29" s="15"/>
      <c r="AA29" s="15"/>
      <c r="AB29" s="15"/>
      <c r="AC29" s="15"/>
      <c r="AD29" s="15"/>
      <c r="AE29" s="15"/>
      <c r="AF29" s="15"/>
      <c r="AG29" s="15"/>
      <c r="AH29" s="15"/>
      <c r="AI29" s="15"/>
      <c r="AJ29" s="15">
        <v>251.9</v>
      </c>
      <c r="AK29" s="15"/>
      <c r="AL29" s="15"/>
      <c r="AM29" s="15">
        <f>367.3-20.2</f>
        <v>347.1</v>
      </c>
      <c r="AN29" s="15">
        <v>301.39999999999998</v>
      </c>
      <c r="AO29" s="15">
        <v>291</v>
      </c>
      <c r="AP29" s="15">
        <v>381</v>
      </c>
      <c r="AQ29" s="15">
        <v>405.6</v>
      </c>
      <c r="AR29" s="15">
        <v>414.7</v>
      </c>
      <c r="AS29" s="15">
        <v>391</v>
      </c>
      <c r="AT29" s="15">
        <v>495</v>
      </c>
      <c r="AU29" s="15">
        <v>450</v>
      </c>
      <c r="AV29" s="15">
        <f>476.3-1.1</f>
        <v>475.2</v>
      </c>
      <c r="AW29" s="15">
        <v>467</v>
      </c>
      <c r="AX29" s="15">
        <f>660.5-3.5</f>
        <v>657</v>
      </c>
      <c r="AY29" s="15">
        <v>515</v>
      </c>
      <c r="AZ29" s="15">
        <v>562</v>
      </c>
      <c r="BA29" s="15">
        <v>533.70000000000005</v>
      </c>
      <c r="BB29" s="15">
        <v>621.79999999999995</v>
      </c>
      <c r="BC29" s="15">
        <v>584</v>
      </c>
      <c r="BD29" s="15">
        <v>667</v>
      </c>
      <c r="BE29" s="15">
        <v>613.1</v>
      </c>
      <c r="BF29" s="15">
        <v>680.6</v>
      </c>
      <c r="BG29" s="15">
        <v>537</v>
      </c>
      <c r="BH29" s="1">
        <f>+BD29</f>
        <v>667</v>
      </c>
      <c r="BI29" s="1">
        <f>+BE29</f>
        <v>613.1</v>
      </c>
      <c r="BJ29" s="1">
        <f>+BF29</f>
        <v>680.6</v>
      </c>
      <c r="BM29" s="1">
        <v>117.261</v>
      </c>
      <c r="BN29" s="1">
        <v>210.755</v>
      </c>
      <c r="BO29" s="1">
        <v>329.41500000000002</v>
      </c>
      <c r="BP29" s="1">
        <v>504.755</v>
      </c>
      <c r="BQ29" s="1">
        <v>838.52599999999995</v>
      </c>
      <c r="BV29" s="1">
        <f t="shared" si="36"/>
        <v>1320.5</v>
      </c>
      <c r="BW29" s="1">
        <f t="shared" si="37"/>
        <v>1706.3</v>
      </c>
      <c r="BX29" s="1">
        <f t="shared" si="38"/>
        <v>2049.1999999999998</v>
      </c>
      <c r="BY29" s="1">
        <f t="shared" si="39"/>
        <v>2232.5</v>
      </c>
      <c r="BZ29" s="1">
        <f>SUM(BC29:BF29)</f>
        <v>2544.6999999999998</v>
      </c>
      <c r="CA29" s="1">
        <f>CA25*0.2</f>
        <v>2550.0192000000002</v>
      </c>
      <c r="CB29" s="1">
        <f>CB25*0.2</f>
        <v>2629.3866800000001</v>
      </c>
      <c r="CC29" s="1">
        <f t="shared" ref="CC29:CK29" si="40">CC25*0.2</f>
        <v>2659.7964964000003</v>
      </c>
      <c r="CD29" s="1">
        <f t="shared" si="40"/>
        <v>2700.1084892839999</v>
      </c>
      <c r="CE29" s="1">
        <f t="shared" si="40"/>
        <v>2770.6183812408399</v>
      </c>
      <c r="CF29" s="1">
        <f t="shared" si="40"/>
        <v>2805.8433186940483</v>
      </c>
      <c r="CG29" s="1">
        <f t="shared" si="40"/>
        <v>2873.4745804523491</v>
      </c>
      <c r="CH29" s="1">
        <f t="shared" si="40"/>
        <v>2560.9028099952898</v>
      </c>
      <c r="CI29" s="1">
        <f t="shared" si="40"/>
        <v>2201.6476428439287</v>
      </c>
      <c r="CJ29" s="1">
        <f t="shared" si="40"/>
        <v>1849.9722404815443</v>
      </c>
      <c r="CK29" s="1">
        <f t="shared" si="40"/>
        <v>1605.2127432414493</v>
      </c>
    </row>
    <row r="30" spans="2:89" s="1" customFormat="1" x14ac:dyDescent="0.2">
      <c r="B30" s="1" t="s">
        <v>218</v>
      </c>
      <c r="C30" s="15">
        <f t="shared" ref="C30" si="41">+C29+C28</f>
        <v>152.803</v>
      </c>
      <c r="D30" s="15">
        <f t="shared" ref="D30:G30" si="42">+D29+D28</f>
        <v>167.73400000000001</v>
      </c>
      <c r="E30" s="15">
        <f t="shared" si="42"/>
        <v>160.84</v>
      </c>
      <c r="F30" s="15">
        <f t="shared" si="42"/>
        <v>165.39</v>
      </c>
      <c r="G30" s="15">
        <f t="shared" si="42"/>
        <v>197.29</v>
      </c>
      <c r="H30" s="15">
        <f t="shared" ref="H30:N30" si="43">+H29+H28</f>
        <v>195.07799999999997</v>
      </c>
      <c r="I30" s="15">
        <f t="shared" si="43"/>
        <v>205.178</v>
      </c>
      <c r="J30" s="15">
        <f t="shared" si="43"/>
        <v>238.76300000000003</v>
      </c>
      <c r="K30" s="15">
        <f t="shared" si="43"/>
        <v>257.55900000000003</v>
      </c>
      <c r="L30" s="15">
        <f t="shared" si="43"/>
        <v>259.92599999999999</v>
      </c>
      <c r="M30" s="15">
        <f t="shared" si="43"/>
        <v>321.65199999999999</v>
      </c>
      <c r="N30" s="15">
        <f t="shared" si="43"/>
        <v>350.22500000000014</v>
      </c>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f t="shared" ref="AM30" si="44">+AM29+AM28</f>
        <v>931</v>
      </c>
      <c r="AN30" s="15">
        <f>+AN29+AN28</f>
        <v>881.5</v>
      </c>
      <c r="AO30" s="15">
        <f t="shared" ref="AO30:AS30" si="45">+AO29+AO28</f>
        <v>920</v>
      </c>
      <c r="AP30" s="15">
        <f t="shared" si="45"/>
        <v>1056</v>
      </c>
      <c r="AQ30" s="15">
        <f t="shared" si="45"/>
        <v>1148.5</v>
      </c>
      <c r="AR30" s="15">
        <f t="shared" si="45"/>
        <v>1128.9000000000001</v>
      </c>
      <c r="AS30" s="15">
        <f t="shared" si="45"/>
        <v>983</v>
      </c>
      <c r="AT30" s="15">
        <f>+AT29+AT28</f>
        <v>1134</v>
      </c>
      <c r="AU30" s="15">
        <f>+AU29+AU28</f>
        <v>1293.8</v>
      </c>
      <c r="AV30" s="15">
        <f>+AV29+AV28</f>
        <v>1254.8999999999999</v>
      </c>
      <c r="AW30" s="15">
        <f>+AW29+AW28</f>
        <v>1284</v>
      </c>
      <c r="AX30" s="15">
        <f>+AX29+AX28</f>
        <v>1698.6999999999998</v>
      </c>
      <c r="AY30" s="15">
        <f t="shared" ref="AY30:BB30" si="46">+AY29+AY28</f>
        <v>1475</v>
      </c>
      <c r="AZ30" s="15">
        <f t="shared" si="46"/>
        <v>1536</v>
      </c>
      <c r="BA30" s="15">
        <f t="shared" si="46"/>
        <v>1488.1</v>
      </c>
      <c r="BB30" s="15">
        <f t="shared" si="46"/>
        <v>1652.7</v>
      </c>
      <c r="BC30" s="15">
        <f t="shared" ref="BC30:BD30" si="47">+BC29+BC28</f>
        <v>1706</v>
      </c>
      <c r="BD30" s="15">
        <f t="shared" si="47"/>
        <v>1739</v>
      </c>
      <c r="BE30" s="15">
        <f t="shared" ref="BE30:BF30" si="48">+BE29+BE28</f>
        <v>1758.9</v>
      </c>
      <c r="BF30" s="15">
        <f t="shared" si="48"/>
        <v>1904.1999999999998</v>
      </c>
      <c r="BG30" s="15">
        <f t="shared" ref="BG30:BJ30" si="49">+BG29+BG28</f>
        <v>1723</v>
      </c>
      <c r="BH30" s="15">
        <f t="shared" si="49"/>
        <v>1739</v>
      </c>
      <c r="BI30" s="15">
        <f t="shared" si="49"/>
        <v>1758.9</v>
      </c>
      <c r="BJ30" s="15">
        <f t="shared" si="49"/>
        <v>1904.1999999999998</v>
      </c>
      <c r="BM30" s="1">
        <f>+BM29+BM28</f>
        <v>646.76699999999994</v>
      </c>
      <c r="BN30" s="1">
        <f>+BN29+BN28</f>
        <v>836.30899999999997</v>
      </c>
      <c r="BO30" s="1">
        <f>+BO29+BO28</f>
        <v>1189.3620000000001</v>
      </c>
      <c r="BP30" s="1">
        <f>+BP29+BP28</f>
        <v>1776.1080000000002</v>
      </c>
      <c r="BQ30" s="1">
        <f>+BQ29+BQ28</f>
        <v>2459.1030000000001</v>
      </c>
      <c r="BV30" s="1">
        <f>+BV28+BV29</f>
        <v>3788.5</v>
      </c>
      <c r="BW30" s="1">
        <f t="shared" ref="BW30:BY30" si="50">+BW28+BW29</f>
        <v>4394.3999999999996</v>
      </c>
      <c r="BX30" s="1">
        <f t="shared" si="50"/>
        <v>5531.4</v>
      </c>
      <c r="BY30" s="1">
        <f t="shared" si="50"/>
        <v>6151.8</v>
      </c>
      <c r="BZ30" s="1">
        <f t="shared" ref="BZ30:CK30" si="51">+BZ28+BZ29</f>
        <v>7108.0999999999995</v>
      </c>
      <c r="CA30" s="1">
        <f t="shared" si="51"/>
        <v>2550.0192000000002</v>
      </c>
      <c r="CB30" s="1">
        <f t="shared" si="51"/>
        <v>2629.3866800000001</v>
      </c>
      <c r="CC30" s="1">
        <f t="shared" si="51"/>
        <v>2659.7964964000003</v>
      </c>
      <c r="CD30" s="1">
        <f t="shared" si="51"/>
        <v>2700.1084892839999</v>
      </c>
      <c r="CE30" s="1">
        <f t="shared" si="51"/>
        <v>2770.6183812408399</v>
      </c>
      <c r="CF30" s="1">
        <f t="shared" si="51"/>
        <v>2805.8433186940483</v>
      </c>
      <c r="CG30" s="1">
        <f t="shared" si="51"/>
        <v>2873.4745804523491</v>
      </c>
      <c r="CH30" s="1">
        <f t="shared" si="51"/>
        <v>2560.9028099952898</v>
      </c>
      <c r="CI30" s="1">
        <f t="shared" si="51"/>
        <v>2201.6476428439287</v>
      </c>
      <c r="CJ30" s="1">
        <f t="shared" si="51"/>
        <v>1849.9722404815443</v>
      </c>
      <c r="CK30" s="1">
        <f t="shared" si="51"/>
        <v>1605.2127432414493</v>
      </c>
    </row>
    <row r="31" spans="2:89" s="1" customFormat="1" x14ac:dyDescent="0.2">
      <c r="B31" s="1" t="s">
        <v>219</v>
      </c>
      <c r="C31" s="15">
        <f t="shared" ref="C31" si="52">+C27-C30</f>
        <v>-41.00800000000001</v>
      </c>
      <c r="D31" s="15">
        <f t="shared" ref="D31:G31" si="53">+D27-D30</f>
        <v>-60.319000000000003</v>
      </c>
      <c r="E31" s="15">
        <f t="shared" si="53"/>
        <v>-58.490000000000009</v>
      </c>
      <c r="F31" s="15">
        <f t="shared" si="53"/>
        <v>-45.365999999999971</v>
      </c>
      <c r="G31" s="15">
        <f t="shared" si="53"/>
        <v>22.170000000000016</v>
      </c>
      <c r="H31" s="15">
        <f t="shared" ref="H31:N31" si="54">+H27-H30</f>
        <v>87.459000000000003</v>
      </c>
      <c r="I31" s="15">
        <f t="shared" si="54"/>
        <v>202.37700000000001</v>
      </c>
      <c r="J31" s="15">
        <f t="shared" si="54"/>
        <v>145.73000000000002</v>
      </c>
      <c r="K31" s="15">
        <f t="shared" si="54"/>
        <v>153.00999999999993</v>
      </c>
      <c r="L31" s="15">
        <f t="shared" si="54"/>
        <v>158.11000000000001</v>
      </c>
      <c r="M31" s="15">
        <f t="shared" si="54"/>
        <v>236.78400000000005</v>
      </c>
      <c r="N31" s="15">
        <f t="shared" si="54"/>
        <v>212.07899999999984</v>
      </c>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f>+AM27-AM30</f>
        <v>679.90000000000009</v>
      </c>
      <c r="AN31" s="15">
        <f>+AN27-AN30</f>
        <v>804.60000000000014</v>
      </c>
      <c r="AO31" s="15">
        <f t="shared" ref="AO31:AS31" si="55">+AO27-AO30</f>
        <v>1251.7999999999997</v>
      </c>
      <c r="AP31" s="15">
        <f t="shared" si="55"/>
        <v>904.19999999999982</v>
      </c>
      <c r="AQ31" s="15">
        <f t="shared" si="55"/>
        <v>1072.9000000000005</v>
      </c>
      <c r="AR31" s="15">
        <f t="shared" si="55"/>
        <v>3316.1</v>
      </c>
      <c r="AS31" s="15">
        <f t="shared" si="55"/>
        <v>2245.9</v>
      </c>
      <c r="AT31" s="15">
        <f>+AT27-AT30</f>
        <v>3087.5999999999995</v>
      </c>
      <c r="AU31" s="15">
        <f>+AU27-AU30</f>
        <v>1266.8000000000004</v>
      </c>
      <c r="AV31" s="15">
        <f>+AV27-AV30</f>
        <v>1304.5000000000002</v>
      </c>
      <c r="AW31" s="15">
        <f>+AW27-AW30</f>
        <v>1543.4</v>
      </c>
      <c r="AX31" s="15">
        <f>+AX27-AX30</f>
        <v>1328.1999999999998</v>
      </c>
      <c r="AY31" s="15">
        <f t="shared" ref="AY31:BB31" si="56">+AY27-AY30</f>
        <v>1519</v>
      </c>
      <c r="AZ31" s="15">
        <f t="shared" si="56"/>
        <v>1459</v>
      </c>
      <c r="BA31" s="15">
        <f t="shared" si="56"/>
        <v>1694.1</v>
      </c>
      <c r="BB31" s="15">
        <f t="shared" si="56"/>
        <v>1312.2</v>
      </c>
      <c r="BC31" s="15">
        <f t="shared" ref="BC31:BD31" si="57">+BC27-BC30</f>
        <v>1243</v>
      </c>
      <c r="BD31" s="15">
        <f t="shared" si="57"/>
        <v>1594</v>
      </c>
      <c r="BE31" s="15">
        <f t="shared" ref="BE31" si="58">+BE27-BE30</f>
        <v>1745</v>
      </c>
      <c r="BF31" s="15">
        <f>+BF27-BF30</f>
        <v>1375.4</v>
      </c>
      <c r="BG31" s="15">
        <f t="shared" ref="BG31:BJ31" si="59">+BG27-BG30</f>
        <v>1089</v>
      </c>
      <c r="BH31" s="15">
        <f t="shared" si="59"/>
        <v>1210.2159999999999</v>
      </c>
      <c r="BI31" s="15">
        <f t="shared" si="59"/>
        <v>1263.8789999999999</v>
      </c>
      <c r="BJ31" s="15">
        <f t="shared" si="59"/>
        <v>1164.4242800000002</v>
      </c>
      <c r="BM31" s="1">
        <f>+BM27-BM30</f>
        <v>-205.18299999999994</v>
      </c>
      <c r="BN31" s="1">
        <f>+BN27-BN30</f>
        <v>457.7360000000001</v>
      </c>
      <c r="BO31" s="1">
        <f>+BO27-BO30</f>
        <v>759.98300000000017</v>
      </c>
      <c r="BP31" s="1">
        <f>+BP27-BP30</f>
        <v>838.47400000000016</v>
      </c>
      <c r="BQ31" s="1">
        <f>+BQ27-BQ30</f>
        <v>1251.8879999999999</v>
      </c>
      <c r="BV31" s="1">
        <f>+BV27-BV30</f>
        <v>3640.5</v>
      </c>
      <c r="BW31" s="1">
        <f t="shared" ref="BW31:BY31" si="60">+BW27-BW30</f>
        <v>9722.5000000000018</v>
      </c>
      <c r="BX31" s="1">
        <f t="shared" si="60"/>
        <v>5442.9000000000015</v>
      </c>
      <c r="BY31" s="1">
        <f t="shared" si="60"/>
        <v>5984.3</v>
      </c>
      <c r="BZ31" s="1">
        <f t="shared" ref="BZ31:CK31" si="61">+BZ27-BZ30</f>
        <v>5957.4000000000005</v>
      </c>
      <c r="CA31" s="1">
        <f t="shared" si="61"/>
        <v>8925.0671999999995</v>
      </c>
      <c r="CB31" s="1">
        <f t="shared" si="61"/>
        <v>9202.8533800000005</v>
      </c>
      <c r="CC31" s="1">
        <f t="shared" si="61"/>
        <v>9309.2877374000018</v>
      </c>
      <c r="CD31" s="1">
        <f t="shared" si="61"/>
        <v>9450.3797124939993</v>
      </c>
      <c r="CE31" s="1">
        <f t="shared" si="61"/>
        <v>9697.1643343429405</v>
      </c>
      <c r="CF31" s="1">
        <f t="shared" si="61"/>
        <v>9820.4516154291668</v>
      </c>
      <c r="CG31" s="1">
        <f t="shared" si="61"/>
        <v>10057.161031583222</v>
      </c>
      <c r="CH31" s="1">
        <f t="shared" si="61"/>
        <v>8963.1598349835131</v>
      </c>
      <c r="CI31" s="1">
        <f t="shared" si="61"/>
        <v>7705.7667499537511</v>
      </c>
      <c r="CJ31" s="1">
        <f t="shared" si="61"/>
        <v>6474.9028416854053</v>
      </c>
      <c r="CK31" s="1">
        <f t="shared" si="61"/>
        <v>5618.2446013450726</v>
      </c>
    </row>
    <row r="32" spans="2:89" s="1" customFormat="1" x14ac:dyDescent="0.2">
      <c r="B32" s="1" t="s">
        <v>220</v>
      </c>
      <c r="C32" s="15">
        <v>-2.6819999999999999</v>
      </c>
      <c r="D32" s="15">
        <f>-4.047+0.998</f>
        <v>-3.0489999999999995</v>
      </c>
      <c r="E32" s="15">
        <v>-3.3460000000000001</v>
      </c>
      <c r="F32" s="15">
        <f>BM32-E32-D32-C32</f>
        <v>-8.6560000000000006</v>
      </c>
      <c r="G32" s="15">
        <v>-10.55</v>
      </c>
      <c r="H32" s="15">
        <v>-10.734999999999999</v>
      </c>
      <c r="I32" s="15">
        <v>-10.896000000000001</v>
      </c>
      <c r="J32" s="15">
        <f>+BN32-I32-H32-G32</f>
        <v>-11.111000000000001</v>
      </c>
      <c r="K32" s="15">
        <v>-11.218999999999999</v>
      </c>
      <c r="L32" s="15">
        <v>-10.411</v>
      </c>
      <c r="M32" s="15">
        <v>-11.118</v>
      </c>
      <c r="N32" s="15">
        <f>+BO32-M32-L32-K32</f>
        <v>-13.919999999999996</v>
      </c>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f>40.4+25.3</f>
        <v>65.7</v>
      </c>
      <c r="AN32" s="15">
        <f>-50.2+7.9</f>
        <v>-42.300000000000004</v>
      </c>
      <c r="AO32" s="15">
        <v>-54.8</v>
      </c>
      <c r="AP32" s="15">
        <v>57.6</v>
      </c>
      <c r="AQ32" s="15">
        <f>40.5-14.6</f>
        <v>25.9</v>
      </c>
      <c r="AR32" s="15">
        <f>-14.4-31.3</f>
        <v>-45.7</v>
      </c>
      <c r="AS32" s="15">
        <v>-30.6</v>
      </c>
      <c r="AT32" s="15">
        <f>15.8-136.3</f>
        <v>-120.50000000000001</v>
      </c>
      <c r="AU32" s="15">
        <f>20.2-197.4</f>
        <v>-177.20000000000002</v>
      </c>
      <c r="AV32" s="15">
        <f>-133.6-13.1-17.4</f>
        <v>-164.1</v>
      </c>
      <c r="AW32" s="15">
        <v>32.6</v>
      </c>
      <c r="AX32" s="15">
        <f>195.3-17.4-80.5</f>
        <v>97.4</v>
      </c>
      <c r="BB32" s="1">
        <f>193-18.3+0.5-58.1</f>
        <v>117.1</v>
      </c>
      <c r="BC32" s="1">
        <v>-16.100000000000001</v>
      </c>
      <c r="BF32" s="1">
        <f>-21.6-10.5+212.9</f>
        <v>180.8</v>
      </c>
      <c r="BG32" s="1">
        <v>-8.6999999999999993</v>
      </c>
      <c r="BM32" s="1">
        <v>-17.733000000000001</v>
      </c>
      <c r="BN32" s="1">
        <v>-43.292000000000002</v>
      </c>
      <c r="BO32" s="1">
        <f>-46.437-0.231</f>
        <v>-46.667999999999999</v>
      </c>
      <c r="BP32" s="1">
        <f>8.157-37.372</f>
        <v>-29.215</v>
      </c>
      <c r="BQ32" s="1">
        <f>-14.241+6.283</f>
        <v>-7.9579999999999993</v>
      </c>
      <c r="BV32" s="1">
        <f t="shared" ref="BV32" si="62">SUM(AM32:AP32)</f>
        <v>26.200000000000003</v>
      </c>
      <c r="BW32" s="1">
        <f t="shared" ref="BW32" si="63">SUM(AQ32:AT32)</f>
        <v>-170.90000000000003</v>
      </c>
      <c r="BX32" s="1">
        <f t="shared" ref="BX32" si="64">SUM(AU32:AX32)</f>
        <v>-211.29999999999998</v>
      </c>
      <c r="BY32" s="1">
        <f t="shared" ref="BY32" si="65">SUM(AY32:BB32)</f>
        <v>117.1</v>
      </c>
      <c r="BZ32" s="1">
        <f>SUM(BC32:BF32)</f>
        <v>164.70000000000002</v>
      </c>
    </row>
    <row r="33" spans="2:130" s="1" customFormat="1" x14ac:dyDescent="0.2">
      <c r="B33" s="1" t="s">
        <v>221</v>
      </c>
      <c r="C33" s="15">
        <f t="shared" ref="C33:F33" si="66">+C31+C32</f>
        <v>-43.690000000000012</v>
      </c>
      <c r="D33" s="15">
        <f t="shared" si="66"/>
        <v>-63.368000000000002</v>
      </c>
      <c r="E33" s="15">
        <f t="shared" si="66"/>
        <v>-61.836000000000013</v>
      </c>
      <c r="F33" s="15">
        <f t="shared" si="66"/>
        <v>-54.02199999999997</v>
      </c>
      <c r="G33" s="15">
        <f t="shared" ref="G33:N33" si="67">+G31+G32</f>
        <v>11.620000000000015</v>
      </c>
      <c r="H33" s="15">
        <f t="shared" si="67"/>
        <v>76.724000000000004</v>
      </c>
      <c r="I33" s="15">
        <f t="shared" si="67"/>
        <v>191.48099999999999</v>
      </c>
      <c r="J33" s="15">
        <f t="shared" si="67"/>
        <v>134.61900000000003</v>
      </c>
      <c r="K33" s="15">
        <f t="shared" si="67"/>
        <v>141.79099999999994</v>
      </c>
      <c r="L33" s="15">
        <f t="shared" si="67"/>
        <v>147.69900000000001</v>
      </c>
      <c r="M33" s="15">
        <f t="shared" si="67"/>
        <v>225.66600000000005</v>
      </c>
      <c r="N33" s="15">
        <f t="shared" si="67"/>
        <v>198.15899999999985</v>
      </c>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f t="shared" ref="AM33" si="68">AM31+AM32</f>
        <v>745.60000000000014</v>
      </c>
      <c r="AN33" s="15">
        <f t="shared" ref="AN33:AX33" si="69">AN31+AN32</f>
        <v>762.30000000000018</v>
      </c>
      <c r="AO33" s="15">
        <f t="shared" si="69"/>
        <v>1196.9999999999998</v>
      </c>
      <c r="AP33" s="15">
        <f t="shared" si="69"/>
        <v>961.79999999999984</v>
      </c>
      <c r="AQ33" s="15">
        <f t="shared" si="69"/>
        <v>1098.8000000000006</v>
      </c>
      <c r="AR33" s="15">
        <f t="shared" si="69"/>
        <v>3270.4</v>
      </c>
      <c r="AS33" s="15">
        <f t="shared" si="69"/>
        <v>2215.3000000000002</v>
      </c>
      <c r="AT33" s="15">
        <f t="shared" si="69"/>
        <v>2967.0999999999995</v>
      </c>
      <c r="AU33" s="15">
        <f t="shared" si="69"/>
        <v>1089.6000000000004</v>
      </c>
      <c r="AV33" s="15">
        <f t="shared" si="69"/>
        <v>1140.4000000000003</v>
      </c>
      <c r="AW33" s="15">
        <f t="shared" si="69"/>
        <v>1576</v>
      </c>
      <c r="AX33" s="15">
        <f t="shared" si="69"/>
        <v>1425.6</v>
      </c>
      <c r="AY33" s="15">
        <f t="shared" ref="AY33" si="70">AY31+AY32</f>
        <v>1519</v>
      </c>
      <c r="AZ33" s="15">
        <f t="shared" ref="AZ33" si="71">AZ31+AZ32</f>
        <v>1459</v>
      </c>
      <c r="BA33" s="15">
        <f t="shared" ref="BA33" si="72">BA31+BA32</f>
        <v>1694.1</v>
      </c>
      <c r="BB33" s="15">
        <f t="shared" ref="BB33:BF33" si="73">BB31+BB32</f>
        <v>1429.3</v>
      </c>
      <c r="BC33" s="15">
        <f t="shared" si="73"/>
        <v>1226.9000000000001</v>
      </c>
      <c r="BD33" s="15">
        <f t="shared" si="73"/>
        <v>1594</v>
      </c>
      <c r="BE33" s="15">
        <f t="shared" si="73"/>
        <v>1745</v>
      </c>
      <c r="BF33" s="15">
        <f t="shared" si="73"/>
        <v>1556.2</v>
      </c>
      <c r="BG33" s="15">
        <f t="shared" ref="BG33:BJ33" si="74">BG31+BG32</f>
        <v>1080.3</v>
      </c>
      <c r="BH33" s="15">
        <f t="shared" si="74"/>
        <v>1210.2159999999999</v>
      </c>
      <c r="BI33" s="15">
        <f t="shared" si="74"/>
        <v>1263.8789999999999</v>
      </c>
      <c r="BJ33" s="15">
        <f t="shared" si="74"/>
        <v>1164.4242800000002</v>
      </c>
      <c r="BM33" s="1">
        <f>+BM31+BM32</f>
        <v>-222.91599999999994</v>
      </c>
      <c r="BN33" s="1">
        <f>+BN31+BN32</f>
        <v>414.44400000000007</v>
      </c>
      <c r="BO33" s="1">
        <f>+BO31+BO32</f>
        <v>713.31500000000017</v>
      </c>
      <c r="BP33" s="1">
        <f>+BP31+BP32</f>
        <v>809.25900000000013</v>
      </c>
      <c r="BQ33" s="1">
        <f>+BQ31+BQ32</f>
        <v>1243.9299999999998</v>
      </c>
      <c r="BV33" s="1">
        <f>+BV31+BV32</f>
        <v>3666.7</v>
      </c>
      <c r="BW33" s="1">
        <f t="shared" ref="BW33:CK33" si="75">+BW31+BW32</f>
        <v>9551.6000000000022</v>
      </c>
      <c r="BX33" s="1">
        <f t="shared" si="75"/>
        <v>5231.6000000000013</v>
      </c>
      <c r="BY33" s="1">
        <f t="shared" si="75"/>
        <v>6101.4000000000005</v>
      </c>
      <c r="BZ33" s="1">
        <f t="shared" si="75"/>
        <v>6122.1</v>
      </c>
      <c r="CA33" s="1">
        <f t="shared" si="75"/>
        <v>8925.0671999999995</v>
      </c>
      <c r="CB33" s="1">
        <f t="shared" si="75"/>
        <v>9202.8533800000005</v>
      </c>
      <c r="CC33" s="1">
        <f t="shared" si="75"/>
        <v>9309.2877374000018</v>
      </c>
      <c r="CD33" s="1">
        <f t="shared" si="75"/>
        <v>9450.3797124939993</v>
      </c>
      <c r="CE33" s="1">
        <f t="shared" si="75"/>
        <v>9697.1643343429405</v>
      </c>
      <c r="CF33" s="1">
        <f t="shared" si="75"/>
        <v>9820.4516154291668</v>
      </c>
      <c r="CG33" s="1">
        <f t="shared" si="75"/>
        <v>10057.161031583222</v>
      </c>
      <c r="CH33" s="1">
        <f t="shared" si="75"/>
        <v>8963.1598349835131</v>
      </c>
      <c r="CI33" s="1">
        <f t="shared" si="75"/>
        <v>7705.7667499537511</v>
      </c>
      <c r="CJ33" s="1">
        <f t="shared" si="75"/>
        <v>6474.9028416854053</v>
      </c>
      <c r="CK33" s="1">
        <f t="shared" si="75"/>
        <v>5618.2446013450726</v>
      </c>
    </row>
    <row r="34" spans="2:130" s="1" customFormat="1" x14ac:dyDescent="0.2">
      <c r="B34" s="1" t="s">
        <v>222</v>
      </c>
      <c r="C34" s="15">
        <v>-0.216</v>
      </c>
      <c r="D34" s="15">
        <v>-0.86299999999999999</v>
      </c>
      <c r="E34" s="15">
        <v>0.56200000000000006</v>
      </c>
      <c r="F34" s="15">
        <f>BM34-E34-D34-C34</f>
        <v>-0.61499999999999999</v>
      </c>
      <c r="G34" s="15">
        <v>0</v>
      </c>
      <c r="H34" s="15">
        <v>0</v>
      </c>
      <c r="I34" s="15">
        <v>0</v>
      </c>
      <c r="J34" s="15">
        <f>+BN34-I34-H34-G34</f>
        <v>0</v>
      </c>
      <c r="K34" s="15">
        <v>42.957000000000001</v>
      </c>
      <c r="L34" s="15">
        <v>60.316000000000003</v>
      </c>
      <c r="M34" s="15">
        <v>84.378</v>
      </c>
      <c r="N34" s="15">
        <f>+BO34-M34-L34-K34</f>
        <v>101.34700000000001</v>
      </c>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v>44</v>
      </c>
      <c r="AN34" s="15">
        <v>21.6</v>
      </c>
      <c r="AO34" s="15">
        <v>156.19999999999999</v>
      </c>
      <c r="AP34" s="15">
        <v>75.400000000000006</v>
      </c>
      <c r="AQ34" s="15">
        <v>137.80000000000001</v>
      </c>
      <c r="AR34" s="15">
        <v>653.9</v>
      </c>
      <c r="AS34" s="15">
        <v>184.4</v>
      </c>
      <c r="AT34" s="15">
        <v>274.39999999999998</v>
      </c>
      <c r="AU34" s="15">
        <v>87.6</v>
      </c>
      <c r="AV34" s="15">
        <v>111.1</v>
      </c>
      <c r="AW34" s="15">
        <v>194.1</v>
      </c>
      <c r="AX34" s="15">
        <v>127.6</v>
      </c>
      <c r="AY34" s="15">
        <f t="shared" ref="AY34:BA34" si="76">+AY33*0.15</f>
        <v>227.85</v>
      </c>
      <c r="AZ34" s="15">
        <f t="shared" si="76"/>
        <v>218.85</v>
      </c>
      <c r="BA34" s="15">
        <f t="shared" si="76"/>
        <v>254.11499999999998</v>
      </c>
      <c r="BB34" s="15">
        <f>-12+45.3</f>
        <v>33.299999999999997</v>
      </c>
      <c r="BC34" s="15">
        <f>+BC33*0.061</f>
        <v>74.840900000000005</v>
      </c>
      <c r="BD34" s="15"/>
      <c r="BE34" s="15"/>
      <c r="BF34" s="15">
        <f>40.4+112.5</f>
        <v>152.9</v>
      </c>
      <c r="BG34" s="15">
        <f>+BG33*0.116</f>
        <v>125.31480000000001</v>
      </c>
      <c r="BH34" s="15">
        <f>+BH33*0.12</f>
        <v>145.22591999999997</v>
      </c>
      <c r="BI34" s="15">
        <f>+BI33*0.12</f>
        <v>151.66547999999997</v>
      </c>
      <c r="BJ34" s="15">
        <f>+BJ33*0.12</f>
        <v>139.73091360000001</v>
      </c>
      <c r="BM34" s="1">
        <v>-1.1319999999999999</v>
      </c>
      <c r="BN34" s="1">
        <v>0</v>
      </c>
      <c r="BO34" s="1">
        <v>288.99799999999999</v>
      </c>
      <c r="BP34" s="1">
        <v>427.673</v>
      </c>
      <c r="BQ34" s="1">
        <v>589.04100000000005</v>
      </c>
      <c r="BV34" s="1">
        <f t="shared" ref="BV34" si="77">SUM(AM34:AP34)</f>
        <v>297.2</v>
      </c>
      <c r="BW34" s="1">
        <f t="shared" ref="BW34" si="78">SUM(AQ34:AT34)</f>
        <v>1250.5</v>
      </c>
      <c r="BX34" s="1">
        <f t="shared" ref="BX34" si="79">SUM(AU34:AX34)</f>
        <v>520.4</v>
      </c>
      <c r="BY34" s="1">
        <f t="shared" ref="BY34" si="80">SUM(AY34:BB34)</f>
        <v>734.1149999999999</v>
      </c>
      <c r="BZ34" s="1">
        <f>SUM(BC34:BF34)</f>
        <v>227.74090000000001</v>
      </c>
      <c r="CA34" s="1">
        <f>CA33*0.15</f>
        <v>1338.7600799999998</v>
      </c>
      <c r="CB34" s="1">
        <f t="shared" ref="CB34:CK34" si="81">CB33*0.15</f>
        <v>1380.428007</v>
      </c>
      <c r="CC34" s="1">
        <f t="shared" si="81"/>
        <v>1396.3931606100002</v>
      </c>
      <c r="CD34" s="1">
        <f t="shared" si="81"/>
        <v>1417.5569568740998</v>
      </c>
      <c r="CE34" s="1">
        <f t="shared" si="81"/>
        <v>1454.5746501514411</v>
      </c>
      <c r="CF34" s="1">
        <f t="shared" si="81"/>
        <v>1473.067742314375</v>
      </c>
      <c r="CG34" s="1">
        <f t="shared" si="81"/>
        <v>1508.5741547374832</v>
      </c>
      <c r="CH34" s="1">
        <f t="shared" si="81"/>
        <v>1344.4739752475268</v>
      </c>
      <c r="CI34" s="1">
        <f t="shared" si="81"/>
        <v>1155.8650124930625</v>
      </c>
      <c r="CJ34" s="1">
        <f t="shared" si="81"/>
        <v>971.23542625281073</v>
      </c>
      <c r="CK34" s="1">
        <f t="shared" si="81"/>
        <v>842.73669020176089</v>
      </c>
    </row>
    <row r="35" spans="2:130" s="1" customFormat="1" x14ac:dyDescent="0.2">
      <c r="B35" s="1" t="s">
        <v>223</v>
      </c>
      <c r="C35" s="15">
        <f t="shared" ref="C35" si="82">+C33-C34</f>
        <v>-43.474000000000011</v>
      </c>
      <c r="D35" s="15">
        <f t="shared" ref="D35:N35" si="83">+D33-D34</f>
        <v>-62.505000000000003</v>
      </c>
      <c r="E35" s="15">
        <f t="shared" si="83"/>
        <v>-62.39800000000001</v>
      </c>
      <c r="F35" s="15">
        <f t="shared" si="83"/>
        <v>-53.406999999999968</v>
      </c>
      <c r="G35" s="15">
        <f t="shared" si="83"/>
        <v>11.620000000000015</v>
      </c>
      <c r="H35" s="15">
        <f t="shared" si="83"/>
        <v>76.724000000000004</v>
      </c>
      <c r="I35" s="15">
        <f t="shared" si="83"/>
        <v>191.48099999999999</v>
      </c>
      <c r="J35" s="15">
        <f t="shared" si="83"/>
        <v>134.61900000000003</v>
      </c>
      <c r="K35" s="15">
        <f t="shared" si="83"/>
        <v>98.833999999999946</v>
      </c>
      <c r="L35" s="15">
        <f t="shared" si="83"/>
        <v>87.38300000000001</v>
      </c>
      <c r="M35" s="15">
        <f t="shared" si="83"/>
        <v>141.28800000000007</v>
      </c>
      <c r="N35" s="15">
        <f t="shared" si="83"/>
        <v>96.811999999999841</v>
      </c>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f t="shared" ref="AM35" si="84">+AM33-AM34</f>
        <v>701.60000000000014</v>
      </c>
      <c r="AN35" s="15">
        <f t="shared" ref="AN35:AX35" si="85">+AN33-AN34</f>
        <v>740.70000000000016</v>
      </c>
      <c r="AO35" s="15">
        <f t="shared" si="85"/>
        <v>1040.7999999999997</v>
      </c>
      <c r="AP35" s="15">
        <f t="shared" si="85"/>
        <v>886.39999999999986</v>
      </c>
      <c r="AQ35" s="15">
        <f t="shared" si="85"/>
        <v>961.00000000000068</v>
      </c>
      <c r="AR35" s="15">
        <f t="shared" si="85"/>
        <v>2616.5</v>
      </c>
      <c r="AS35" s="15">
        <f t="shared" si="85"/>
        <v>2030.9</v>
      </c>
      <c r="AT35" s="15">
        <f t="shared" si="85"/>
        <v>2692.6999999999994</v>
      </c>
      <c r="AU35" s="15">
        <f t="shared" si="85"/>
        <v>1002.0000000000003</v>
      </c>
      <c r="AV35" s="15">
        <f t="shared" si="85"/>
        <v>1029.3000000000004</v>
      </c>
      <c r="AW35" s="15">
        <f t="shared" si="85"/>
        <v>1381.9</v>
      </c>
      <c r="AX35" s="15">
        <f t="shared" si="85"/>
        <v>1298</v>
      </c>
      <c r="AY35" s="15">
        <f t="shared" ref="AY35" si="86">+AY33-AY34</f>
        <v>1291.1500000000001</v>
      </c>
      <c r="AZ35" s="15">
        <f t="shared" ref="AZ35" si="87">+AZ33-AZ34</f>
        <v>1240.1500000000001</v>
      </c>
      <c r="BA35" s="15">
        <f t="shared" ref="BA35" si="88">+BA33-BA34</f>
        <v>1439.9849999999999</v>
      </c>
      <c r="BB35" s="15">
        <f t="shared" ref="BB35:BF35" si="89">+BB33-BB34</f>
        <v>1396</v>
      </c>
      <c r="BC35" s="15">
        <f t="shared" si="89"/>
        <v>1152.0591000000002</v>
      </c>
      <c r="BD35" s="15">
        <f t="shared" si="89"/>
        <v>1594</v>
      </c>
      <c r="BE35" s="15">
        <f t="shared" si="89"/>
        <v>1745</v>
      </c>
      <c r="BF35" s="15">
        <f t="shared" si="89"/>
        <v>1403.3</v>
      </c>
      <c r="BG35" s="15">
        <f t="shared" ref="BG35:BJ35" si="90">+BG33-BG34</f>
        <v>954.98519999999996</v>
      </c>
      <c r="BH35" s="15">
        <f t="shared" si="90"/>
        <v>1064.99008</v>
      </c>
      <c r="BI35" s="15">
        <f t="shared" si="90"/>
        <v>1112.21352</v>
      </c>
      <c r="BJ35" s="15">
        <f t="shared" si="90"/>
        <v>1024.6933664000003</v>
      </c>
      <c r="BL35" s="1">
        <f t="shared" ref="BL35:BQ35" si="91">+BL33-BL34</f>
        <v>0</v>
      </c>
      <c r="BM35" s="1">
        <f t="shared" si="91"/>
        <v>-221.78399999999993</v>
      </c>
      <c r="BN35" s="1">
        <f t="shared" si="91"/>
        <v>414.44400000000007</v>
      </c>
      <c r="BO35" s="1">
        <f t="shared" si="91"/>
        <v>424.31700000000018</v>
      </c>
      <c r="BP35" s="1">
        <f t="shared" si="91"/>
        <v>381.58600000000013</v>
      </c>
      <c r="BQ35" s="1">
        <f t="shared" si="91"/>
        <v>654.88899999999978</v>
      </c>
      <c r="BV35" s="1">
        <f>+BV33-BV34</f>
        <v>3369.5</v>
      </c>
      <c r="BW35" s="1">
        <f t="shared" ref="BW35:CK35" si="92">+BW33-BW34</f>
        <v>8301.1000000000022</v>
      </c>
      <c r="BX35" s="1">
        <f t="shared" si="92"/>
        <v>4711.2000000000016</v>
      </c>
      <c r="BY35" s="1">
        <f t="shared" si="92"/>
        <v>5367.2850000000008</v>
      </c>
      <c r="BZ35" s="1">
        <f t="shared" si="92"/>
        <v>5894.3591000000006</v>
      </c>
      <c r="CA35" s="1">
        <f t="shared" si="92"/>
        <v>7586.3071199999995</v>
      </c>
      <c r="CB35" s="1">
        <f t="shared" si="92"/>
        <v>7822.425373</v>
      </c>
      <c r="CC35" s="1">
        <f t="shared" si="92"/>
        <v>7912.8945767900013</v>
      </c>
      <c r="CD35" s="1">
        <f t="shared" si="92"/>
        <v>8032.8227556198999</v>
      </c>
      <c r="CE35" s="1">
        <f t="shared" si="92"/>
        <v>8242.5896841915001</v>
      </c>
      <c r="CF35" s="1">
        <f t="shared" si="92"/>
        <v>8347.3838731147916</v>
      </c>
      <c r="CG35" s="1">
        <f t="shared" si="92"/>
        <v>8548.5868768457385</v>
      </c>
      <c r="CH35" s="1">
        <f t="shared" si="92"/>
        <v>7618.685859735986</v>
      </c>
      <c r="CI35" s="1">
        <f t="shared" si="92"/>
        <v>6549.9017374606883</v>
      </c>
      <c r="CJ35" s="1">
        <f t="shared" si="92"/>
        <v>5503.6674154325947</v>
      </c>
      <c r="CK35" s="1">
        <f>+CK33-CK34</f>
        <v>4775.5079111433115</v>
      </c>
      <c r="CL35" s="1">
        <f>CK35*(1+$CM$39)</f>
        <v>4632.2426738090116</v>
      </c>
      <c r="CM35" s="1">
        <f t="shared" ref="CM35:DZ35" si="93">CL35*(1+$CM$39)</f>
        <v>4493.2753935947412</v>
      </c>
      <c r="CN35" s="1">
        <f t="shared" si="93"/>
        <v>4358.477131786899</v>
      </c>
      <c r="CO35" s="1">
        <f t="shared" si="93"/>
        <v>4227.7228178332916</v>
      </c>
      <c r="CP35" s="1">
        <f t="shared" si="93"/>
        <v>4100.8911332982925</v>
      </c>
      <c r="CQ35" s="1">
        <f t="shared" si="93"/>
        <v>3977.8643992993434</v>
      </c>
      <c r="CR35" s="1">
        <f t="shared" si="93"/>
        <v>3858.5284673203628</v>
      </c>
      <c r="CS35" s="1">
        <f t="shared" si="93"/>
        <v>3742.7726133007518</v>
      </c>
      <c r="CT35" s="1">
        <f t="shared" si="93"/>
        <v>3630.4894349017291</v>
      </c>
      <c r="CU35" s="1">
        <f t="shared" si="93"/>
        <v>3521.5747518546773</v>
      </c>
      <c r="CV35" s="1">
        <f t="shared" si="93"/>
        <v>3415.927509299037</v>
      </c>
      <c r="CW35" s="1">
        <f t="shared" si="93"/>
        <v>3313.4496840200659</v>
      </c>
      <c r="CX35" s="1">
        <f t="shared" si="93"/>
        <v>3214.0461934994637</v>
      </c>
      <c r="CY35" s="1">
        <f t="shared" si="93"/>
        <v>3117.6248076944798</v>
      </c>
      <c r="CZ35" s="1">
        <f t="shared" si="93"/>
        <v>3024.0960634636454</v>
      </c>
      <c r="DA35" s="1">
        <f t="shared" si="93"/>
        <v>2933.3731815597357</v>
      </c>
      <c r="DB35" s="1">
        <f t="shared" si="93"/>
        <v>2845.3719861129434</v>
      </c>
      <c r="DC35" s="1">
        <f t="shared" si="93"/>
        <v>2760.0108265295548</v>
      </c>
      <c r="DD35" s="1">
        <f t="shared" si="93"/>
        <v>2677.210501733668</v>
      </c>
      <c r="DE35" s="1">
        <f t="shared" si="93"/>
        <v>2596.8941866816581</v>
      </c>
      <c r="DF35" s="1">
        <f t="shared" si="93"/>
        <v>2518.9873610812083</v>
      </c>
      <c r="DG35" s="1">
        <f t="shared" si="93"/>
        <v>2443.4177402487721</v>
      </c>
      <c r="DH35" s="1">
        <f t="shared" si="93"/>
        <v>2370.115208041309</v>
      </c>
      <c r="DI35" s="1">
        <f t="shared" si="93"/>
        <v>2299.0117518000698</v>
      </c>
      <c r="DJ35" s="1">
        <f t="shared" si="93"/>
        <v>2230.0413992460676</v>
      </c>
      <c r="DK35" s="1">
        <f t="shared" si="93"/>
        <v>2163.1401572686855</v>
      </c>
      <c r="DL35" s="1">
        <f t="shared" si="93"/>
        <v>2098.2459525506247</v>
      </c>
      <c r="DM35" s="1">
        <f t="shared" si="93"/>
        <v>2035.2985739741059</v>
      </c>
      <c r="DN35" s="1">
        <f t="shared" si="93"/>
        <v>1974.2396167548827</v>
      </c>
      <c r="DO35" s="1">
        <f t="shared" si="93"/>
        <v>1915.0124282522361</v>
      </c>
      <c r="DP35" s="1">
        <f t="shared" si="93"/>
        <v>1857.5620554046689</v>
      </c>
      <c r="DQ35" s="1">
        <f t="shared" si="93"/>
        <v>1801.8351937425286</v>
      </c>
      <c r="DR35" s="1">
        <f t="shared" si="93"/>
        <v>1747.7801379302527</v>
      </c>
      <c r="DS35" s="1">
        <f t="shared" si="93"/>
        <v>1695.346733792345</v>
      </c>
      <c r="DT35" s="1">
        <f t="shared" si="93"/>
        <v>1644.4863317785746</v>
      </c>
      <c r="DU35" s="1">
        <f t="shared" si="93"/>
        <v>1595.1517418252174</v>
      </c>
      <c r="DV35" s="1">
        <f t="shared" si="93"/>
        <v>1547.2971895704609</v>
      </c>
      <c r="DW35" s="1">
        <f t="shared" si="93"/>
        <v>1500.878273883347</v>
      </c>
      <c r="DX35" s="1">
        <f t="shared" si="93"/>
        <v>1455.8519256668465</v>
      </c>
      <c r="DY35" s="1">
        <f t="shared" si="93"/>
        <v>1412.1763678968409</v>
      </c>
      <c r="DZ35" s="1">
        <f t="shared" si="93"/>
        <v>1369.8110768599356</v>
      </c>
    </row>
    <row r="36" spans="2:130" s="45" customFormat="1" x14ac:dyDescent="0.2">
      <c r="B36" s="16" t="s">
        <v>224</v>
      </c>
      <c r="C36" s="55">
        <f t="shared" ref="C36:N36" si="94">+C35/C37</f>
        <v>-0.48758439694040073</v>
      </c>
      <c r="D36" s="55">
        <f t="shared" si="94"/>
        <v>-0.69115175372639215</v>
      </c>
      <c r="E36" s="55">
        <f t="shared" si="94"/>
        <v>-0.68534586912110373</v>
      </c>
      <c r="F36" s="55">
        <f t="shared" si="94"/>
        <v>-0.58659359005337919</v>
      </c>
      <c r="G36" s="55">
        <f t="shared" si="94"/>
        <v>0.10785824345146394</v>
      </c>
      <c r="H36" s="55">
        <f t="shared" si="94"/>
        <v>0.6964335962674848</v>
      </c>
      <c r="I36" s="55">
        <f t="shared" si="94"/>
        <v>1.6531209531209532</v>
      </c>
      <c r="J36" s="55">
        <f t="shared" si="94"/>
        <v>1.1622118622118625</v>
      </c>
      <c r="K36" s="55">
        <f t="shared" si="94"/>
        <v>0.90367471587012727</v>
      </c>
      <c r="L36" s="55">
        <f t="shared" si="94"/>
        <v>0.78680893210877012</v>
      </c>
      <c r="M36" s="55">
        <f t="shared" si="94"/>
        <v>1.2105592350466536</v>
      </c>
      <c r="N36" s="55">
        <f t="shared" si="94"/>
        <v>0.82948771773495533</v>
      </c>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55">
        <f t="shared" ref="AM36" si="95">+AM35/AM37</f>
        <v>6.0955690703735899</v>
      </c>
      <c r="AN36" s="55">
        <f t="shared" ref="AN36:AX36" si="96">+AN35/AN37</f>
        <v>6.2087175188600181</v>
      </c>
      <c r="AO36" s="55">
        <f t="shared" si="96"/>
        <v>9.1378402107111469</v>
      </c>
      <c r="AP36" s="55">
        <f t="shared" si="96"/>
        <v>7.900178253119428</v>
      </c>
      <c r="AQ36" s="55">
        <f t="shared" si="96"/>
        <v>8.5727029438001843</v>
      </c>
      <c r="AR36" s="55">
        <f t="shared" si="96"/>
        <v>23.319964349376114</v>
      </c>
      <c r="AS36" s="55">
        <f t="shared" si="96"/>
        <v>17.830553116769096</v>
      </c>
      <c r="AT36" s="55">
        <f t="shared" si="96"/>
        <v>23.787102473498226</v>
      </c>
      <c r="AU36" s="55">
        <f t="shared" si="96"/>
        <v>8.7358326068003507</v>
      </c>
      <c r="AV36" s="55">
        <f t="shared" si="96"/>
        <v>8.9194107452339715</v>
      </c>
      <c r="AW36" s="55">
        <f t="shared" si="96"/>
        <v>12.250886524822697</v>
      </c>
      <c r="AX36" s="55">
        <f t="shared" si="96"/>
        <v>11.385964912280702</v>
      </c>
      <c r="AY36" s="55">
        <f t="shared" ref="AY36" si="97">+AY35/AY37</f>
        <v>11.325877192982457</v>
      </c>
      <c r="AZ36" s="55">
        <f t="shared" ref="AZ36" si="98">+AZ35/AZ37</f>
        <v>10.878508771929825</v>
      </c>
      <c r="BA36" s="55">
        <f t="shared" ref="BA36" si="99">+BA35/BA37</f>
        <v>12.554359197907583</v>
      </c>
      <c r="BB36" s="55">
        <f t="shared" ref="BB36:BJ36" si="100">+BB35/BB37</f>
        <v>12.118055555555555</v>
      </c>
      <c r="BC36" s="55">
        <f t="shared" si="100"/>
        <v>10.000513020833335</v>
      </c>
      <c r="BD36" s="55">
        <f t="shared" si="100"/>
        <v>13.836805555555555</v>
      </c>
      <c r="BE36" s="55">
        <f t="shared" si="100"/>
        <v>14.863713798977853</v>
      </c>
      <c r="BF36" s="55">
        <f t="shared" si="100"/>
        <v>12.192006950477845</v>
      </c>
      <c r="BG36" s="55">
        <f t="shared" si="100"/>
        <v>8.5879964028776978</v>
      </c>
      <c r="BH36" s="55">
        <f t="shared" si="100"/>
        <v>9.57724892086331</v>
      </c>
      <c r="BI36" s="55">
        <f t="shared" si="100"/>
        <v>10.001920143884892</v>
      </c>
      <c r="BJ36" s="55">
        <f t="shared" si="100"/>
        <v>9.2148684028777001</v>
      </c>
      <c r="BL36" s="56">
        <f t="shared" ref="BL36:BQ36" si="101">+BL35/BL37</f>
        <v>0</v>
      </c>
      <c r="BM36" s="56">
        <f t="shared" si="101"/>
        <v>-2.4476768568590654</v>
      </c>
      <c r="BN36" s="56">
        <f t="shared" si="101"/>
        <v>3.5919294170667873</v>
      </c>
      <c r="BO36" s="56">
        <f t="shared" si="101"/>
        <v>3.8127145296073337</v>
      </c>
      <c r="BP36" s="56">
        <f t="shared" si="101"/>
        <v>3.3645701991835164</v>
      </c>
      <c r="BQ36" s="56">
        <f t="shared" si="101"/>
        <v>5.683320315889957</v>
      </c>
      <c r="BV36" s="56">
        <f>+BV35/BV37</f>
        <v>29.268186753528777</v>
      </c>
      <c r="BW36" s="56">
        <f t="shared" ref="BW36:CK36" si="102">+BW35/BW37</f>
        <v>73.558706247230845</v>
      </c>
      <c r="BX36" s="56">
        <f t="shared" si="102"/>
        <v>41.244911359159566</v>
      </c>
      <c r="BY36" s="56">
        <f t="shared" si="102"/>
        <v>46.886088665647527</v>
      </c>
      <c r="BZ36" s="56">
        <f t="shared" si="102"/>
        <v>50.934189673795643</v>
      </c>
      <c r="CA36" s="56">
        <f t="shared" si="102"/>
        <v>68.222186330935244</v>
      </c>
      <c r="CB36" s="56">
        <f t="shared" si="102"/>
        <v>70.345551915467624</v>
      </c>
      <c r="CC36" s="56">
        <f t="shared" si="102"/>
        <v>71.159123891996416</v>
      </c>
      <c r="CD36" s="56">
        <f t="shared" si="102"/>
        <v>72.237614708812046</v>
      </c>
      <c r="CE36" s="56">
        <f t="shared" si="102"/>
        <v>74.124007951362415</v>
      </c>
      <c r="CF36" s="56">
        <f t="shared" si="102"/>
        <v>75.066401736643812</v>
      </c>
      <c r="CG36" s="56">
        <f t="shared" si="102"/>
        <v>76.875781266598366</v>
      </c>
      <c r="CH36" s="56">
        <f t="shared" si="102"/>
        <v>68.513362047985481</v>
      </c>
      <c r="CI36" s="56">
        <f t="shared" si="102"/>
        <v>58.901994041912666</v>
      </c>
      <c r="CJ36" s="56">
        <f t="shared" si="102"/>
        <v>49.493412009285919</v>
      </c>
      <c r="CK36" s="56">
        <f t="shared" si="102"/>
        <v>42.945215028267185</v>
      </c>
    </row>
    <row r="37" spans="2:130" s="1" customFormat="1" x14ac:dyDescent="0.2">
      <c r="B37" s="1" t="s">
        <v>37</v>
      </c>
      <c r="C37" s="15">
        <v>89.162000000000006</v>
      </c>
      <c r="D37" s="15">
        <v>90.436000000000007</v>
      </c>
      <c r="E37" s="15">
        <v>91.046000000000006</v>
      </c>
      <c r="F37" s="49">
        <f>+E37</f>
        <v>91.046000000000006</v>
      </c>
      <c r="G37" s="15">
        <v>107.73399999999999</v>
      </c>
      <c r="H37" s="15">
        <v>110.167</v>
      </c>
      <c r="I37" s="15">
        <v>115.83</v>
      </c>
      <c r="J37" s="49">
        <f>+I37</f>
        <v>115.83</v>
      </c>
      <c r="K37" s="15">
        <v>109.369</v>
      </c>
      <c r="L37" s="15">
        <v>111.06</v>
      </c>
      <c r="M37" s="15">
        <v>116.71299999999999</v>
      </c>
      <c r="N37" s="49">
        <f>+M37</f>
        <v>116.71299999999999</v>
      </c>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v>115.1</v>
      </c>
      <c r="AN37" s="15">
        <v>119.3</v>
      </c>
      <c r="AO37" s="15">
        <v>113.9</v>
      </c>
      <c r="AP37" s="15">
        <v>112.2</v>
      </c>
      <c r="AQ37" s="15">
        <v>112.1</v>
      </c>
      <c r="AR37" s="15">
        <v>112.2</v>
      </c>
      <c r="AS37" s="15">
        <v>113.9</v>
      </c>
      <c r="AT37" s="15">
        <v>113.2</v>
      </c>
      <c r="AU37" s="15">
        <v>114.7</v>
      </c>
      <c r="AV37" s="15">
        <v>115.4</v>
      </c>
      <c r="AW37" s="15">
        <v>112.8</v>
      </c>
      <c r="AX37" s="15">
        <v>114</v>
      </c>
      <c r="AY37" s="15">
        <f t="shared" ref="AY37:BD37" si="103">+AX37</f>
        <v>114</v>
      </c>
      <c r="AZ37" s="15">
        <f t="shared" si="103"/>
        <v>114</v>
      </c>
      <c r="BA37" s="15">
        <v>114.7</v>
      </c>
      <c r="BB37" s="15">
        <v>115.2</v>
      </c>
      <c r="BC37" s="15">
        <f t="shared" si="103"/>
        <v>115.2</v>
      </c>
      <c r="BD37" s="15">
        <f t="shared" si="103"/>
        <v>115.2</v>
      </c>
      <c r="BE37" s="15">
        <v>117.4</v>
      </c>
      <c r="BF37" s="15">
        <v>115.1</v>
      </c>
      <c r="BG37" s="15">
        <v>111.2</v>
      </c>
      <c r="BH37" s="15">
        <f t="shared" ref="BH37:BJ37" si="104">+BG37</f>
        <v>111.2</v>
      </c>
      <c r="BI37" s="15">
        <f t="shared" si="104"/>
        <v>111.2</v>
      </c>
      <c r="BJ37" s="15">
        <f t="shared" si="104"/>
        <v>111.2</v>
      </c>
      <c r="BL37" s="1">
        <v>82.926000000000002</v>
      </c>
      <c r="BM37" s="1">
        <v>90.61</v>
      </c>
      <c r="BN37" s="1">
        <v>115.38200000000001</v>
      </c>
      <c r="BO37" s="1">
        <v>111.29</v>
      </c>
      <c r="BP37" s="1">
        <v>113.413</v>
      </c>
      <c r="BQ37" s="1">
        <v>115.23</v>
      </c>
      <c r="BV37" s="1">
        <f>AVERAGE(AM37:AP37)</f>
        <v>115.12499999999999</v>
      </c>
      <c r="BW37" s="1">
        <f>AVERAGE(AQ37:AT37)</f>
        <v>112.85000000000001</v>
      </c>
      <c r="BX37" s="1">
        <f>AVERAGE(AU37:AX37)</f>
        <v>114.22500000000001</v>
      </c>
      <c r="BY37" s="1">
        <f>AVERAGE(AY37:BB37)</f>
        <v>114.47499999999999</v>
      </c>
      <c r="BZ37" s="1">
        <f>AVERAGE(BC37:BF37)</f>
        <v>115.72499999999999</v>
      </c>
      <c r="CA37" s="1">
        <f>+BJ37</f>
        <v>111.2</v>
      </c>
      <c r="CB37" s="1">
        <f t="shared" ref="CB37:CK37" si="105">CA37</f>
        <v>111.2</v>
      </c>
      <c r="CC37" s="1">
        <f t="shared" si="105"/>
        <v>111.2</v>
      </c>
      <c r="CD37" s="1">
        <f t="shared" si="105"/>
        <v>111.2</v>
      </c>
      <c r="CE37" s="1">
        <f t="shared" si="105"/>
        <v>111.2</v>
      </c>
      <c r="CF37" s="1">
        <f t="shared" si="105"/>
        <v>111.2</v>
      </c>
      <c r="CG37" s="1">
        <f t="shared" si="105"/>
        <v>111.2</v>
      </c>
      <c r="CH37" s="1">
        <f t="shared" si="105"/>
        <v>111.2</v>
      </c>
      <c r="CI37" s="1">
        <f t="shared" si="105"/>
        <v>111.2</v>
      </c>
      <c r="CJ37" s="1">
        <f t="shared" si="105"/>
        <v>111.2</v>
      </c>
      <c r="CK37" s="1">
        <f t="shared" si="105"/>
        <v>111.2</v>
      </c>
    </row>
    <row r="39" spans="2:130" s="45" customFormat="1" x14ac:dyDescent="0.2">
      <c r="B39" s="16" t="s">
        <v>240</v>
      </c>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4">
        <f t="shared" ref="AQ39" si="106">AQ25/AM25-1</f>
        <v>0.38354665791488918</v>
      </c>
      <c r="AR39" s="44">
        <f t="shared" ref="AR39" si="107">AR25/AN25-1</f>
        <v>1.6321262101111507</v>
      </c>
      <c r="AS39" s="44">
        <f t="shared" ref="AS39:AU39" si="108">AS25/AO25-1</f>
        <v>0.50531868515127765</v>
      </c>
      <c r="AT39" s="44">
        <f t="shared" si="108"/>
        <v>1.153106926990477</v>
      </c>
      <c r="AU39" s="44">
        <f t="shared" si="108"/>
        <v>0.17241242982525495</v>
      </c>
      <c r="AV39" s="44">
        <f>AV25/AR25-1</f>
        <v>-0.44412010819857162</v>
      </c>
      <c r="AW39" s="44">
        <f t="shared" ref="AW39" si="109">AW25/AS25-1</f>
        <v>-0.14958440730979761</v>
      </c>
      <c r="AX39" s="44">
        <f>AX25/AT25-1</f>
        <v>-0.31049177017065521</v>
      </c>
      <c r="AY39" s="44">
        <f t="shared" ref="AY39" si="110">AY25/AU25-1</f>
        <v>6.626201315123903E-2</v>
      </c>
      <c r="AZ39" s="44">
        <f t="shared" ref="AZ39" si="111">AZ25/AV25-1</f>
        <v>0.10554874846840545</v>
      </c>
      <c r="BA39" s="44">
        <f t="shared" ref="BA39" si="112">BA25/AW25-1</f>
        <v>0.14527993461381272</v>
      </c>
      <c r="BB39" s="44">
        <f t="shared" ref="BB39:BJ39" si="113">BB25/AX25-1</f>
        <v>5.8287689288538669E-3</v>
      </c>
      <c r="BC39" s="44">
        <f t="shared" si="113"/>
        <v>-5.3763440860215006E-3</v>
      </c>
      <c r="BD39" s="44">
        <f t="shared" si="113"/>
        <v>0.12317922735908793</v>
      </c>
      <c r="BE39" s="44">
        <f t="shared" si="113"/>
        <v>0.10654177817424926</v>
      </c>
      <c r="BF39" s="44">
        <f t="shared" si="113"/>
        <v>0.10337798485730931</v>
      </c>
      <c r="BG39" s="44">
        <f t="shared" si="113"/>
        <v>-3.6883942766295696E-2</v>
      </c>
      <c r="BH39" s="44">
        <f t="shared" si="113"/>
        <v>-0.10594868903298571</v>
      </c>
      <c r="BI39" s="44">
        <f t="shared" si="113"/>
        <v>-0.12656867223819646</v>
      </c>
      <c r="BJ39" s="44">
        <f t="shared" si="113"/>
        <v>-0.12916442333069411</v>
      </c>
      <c r="BM39" s="51">
        <f t="shared" ref="BM39:BY39" si="114">+BM25/BL25-1</f>
        <v>0.32447576548044177</v>
      </c>
      <c r="BN39" s="51">
        <f t="shared" si="114"/>
        <v>2.0921938088829068</v>
      </c>
      <c r="BO39" s="51">
        <f t="shared" si="114"/>
        <v>0.52680449764236514</v>
      </c>
      <c r="BP39" s="51">
        <f t="shared" si="114"/>
        <v>0.33966836128664424</v>
      </c>
      <c r="BQ39" s="51">
        <f t="shared" si="114"/>
        <v>0.45541920839835415</v>
      </c>
      <c r="BR39" s="51">
        <f t="shared" si="114"/>
        <v>0.18439457075322285</v>
      </c>
      <c r="BS39" s="51">
        <f t="shared" si="114"/>
        <v>0.20817216689984375</v>
      </c>
      <c r="BT39" s="51">
        <f t="shared" si="114"/>
        <v>0.17368277647219088</v>
      </c>
      <c r="BU39" s="51">
        <f t="shared" si="114"/>
        <v>0.15921127087534992</v>
      </c>
      <c r="BV39" s="51">
        <f t="shared" si="114"/>
        <v>4.8138783888652448E-2</v>
      </c>
      <c r="BW39" s="51">
        <f t="shared" si="114"/>
        <v>0.91933365177931714</v>
      </c>
      <c r="BX39" s="51">
        <f t="shared" si="114"/>
        <v>-0.24265048996733551</v>
      </c>
      <c r="BY39" s="51">
        <f t="shared" si="114"/>
        <v>7.7592934894228582E-2</v>
      </c>
      <c r="BZ39" s="51">
        <f>+BZ25/BY25-1</f>
        <v>8.2739955782572094E-2</v>
      </c>
      <c r="CL39" t="s">
        <v>363</v>
      </c>
      <c r="CM39" s="50">
        <v>-0.03</v>
      </c>
    </row>
    <row r="40" spans="2:130" s="45" customFormat="1" x14ac:dyDescent="0.2">
      <c r="B40" s="16" t="s">
        <v>248</v>
      </c>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2">
        <f t="shared" ref="AQ40" si="115">+AQ3/AM3-1</f>
        <v>0.14931740614334466</v>
      </c>
      <c r="AR40" s="42">
        <f t="shared" ref="AR40" si="116">+AR3/AN3-1</f>
        <v>0.2791741472172351</v>
      </c>
      <c r="AS40" s="42">
        <f>+AS3/AO3-1</f>
        <v>0.11760242792109254</v>
      </c>
      <c r="AT40" s="42">
        <f t="shared" ref="AT40:BD40" si="117">+AT3/AP3-1</f>
        <v>0.15189873417721511</v>
      </c>
      <c r="AU40" s="42">
        <f t="shared" si="117"/>
        <v>0.12694877505567925</v>
      </c>
      <c r="AV40" s="42">
        <f t="shared" si="117"/>
        <v>0.13754385964912275</v>
      </c>
      <c r="AW40" s="42">
        <f t="shared" si="117"/>
        <v>0.10590631364562109</v>
      </c>
      <c r="AX40" s="42">
        <f>+AX3/AT3-1</f>
        <v>-3.2967032967032961E-2</v>
      </c>
      <c r="AY40" s="42">
        <f t="shared" si="117"/>
        <v>-5.5335968379446654E-2</v>
      </c>
      <c r="AZ40" s="42">
        <f t="shared" si="117"/>
        <v>-7.464528069093157E-2</v>
      </c>
      <c r="BA40" s="42">
        <f t="shared" si="117"/>
        <v>-0.11111111111111116</v>
      </c>
      <c r="BB40" s="42">
        <f t="shared" si="117"/>
        <v>-0.10561497326203206</v>
      </c>
      <c r="BC40" s="42">
        <f t="shared" si="117"/>
        <v>-0.1617852161785216</v>
      </c>
      <c r="BD40" s="42">
        <f t="shared" si="117"/>
        <v>-0.17933333333333334</v>
      </c>
      <c r="BE40" s="42">
        <f t="shared" ref="BE40" si="118">+BE3/BA3-1</f>
        <v>-0.20953038674033153</v>
      </c>
      <c r="BF40" s="42">
        <f>+BF3/BB3-1</f>
        <v>-0.11061285500747386</v>
      </c>
      <c r="BG40" s="42">
        <f t="shared" ref="BG40" si="119">+BG3/BC3-1</f>
        <v>-0.38768718801996671</v>
      </c>
      <c r="BH40" s="42">
        <f t="shared" ref="BH40" si="120">+BH3/BD3-1</f>
        <v>-0.49179528838342812</v>
      </c>
      <c r="BI40" s="42">
        <f t="shared" ref="BI40" si="121">+BI3/BE3-1</f>
        <v>-0.53541848680761839</v>
      </c>
      <c r="BJ40" s="42">
        <f t="shared" ref="BJ40" si="122">+BJ3/BF3-1</f>
        <v>-0.6201714285714286</v>
      </c>
      <c r="BM40" s="51"/>
      <c r="BN40" s="51">
        <f t="shared" ref="BN40:BZ40" si="123">BN3/BM3-1</f>
        <v>32.786290322580641</v>
      </c>
      <c r="BO40" s="51">
        <f t="shared" si="123"/>
        <v>0.68122687671559867</v>
      </c>
      <c r="BP40" s="51">
        <f t="shared" si="123"/>
        <v>0.2326258252289346</v>
      </c>
      <c r="BQ40" s="51">
        <f t="shared" si="123"/>
        <v>0.54111955770559761</v>
      </c>
      <c r="BR40" s="51">
        <f t="shared" si="123"/>
        <v>0.24181614349775771</v>
      </c>
      <c r="BS40" s="51">
        <f t="shared" si="123"/>
        <v>0.11398994914387184</v>
      </c>
      <c r="BT40" s="51">
        <f t="shared" si="123"/>
        <v>0.10124530646424801</v>
      </c>
      <c r="BU40" s="51">
        <f t="shared" si="123"/>
        <v>0.13920573012485593</v>
      </c>
      <c r="BV40" s="51">
        <f t="shared" si="123"/>
        <v>6.5199603806898931E-2</v>
      </c>
      <c r="BW40" s="51">
        <f t="shared" si="123"/>
        <v>0.17081059227814843</v>
      </c>
      <c r="BX40" s="51">
        <f t="shared" si="123"/>
        <v>8.1491712707182362E-2</v>
      </c>
      <c r="BY40" s="51">
        <f t="shared" si="123"/>
        <v>-8.6845466155811013E-2</v>
      </c>
      <c r="BZ40" s="51">
        <f t="shared" si="123"/>
        <v>-0.1665034965034965</v>
      </c>
      <c r="CL40" t="s">
        <v>364</v>
      </c>
      <c r="CM40" s="50">
        <v>0.08</v>
      </c>
    </row>
    <row r="41" spans="2:130" s="45" customFormat="1" x14ac:dyDescent="0.2">
      <c r="B41" s="16" t="s">
        <v>381</v>
      </c>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2"/>
      <c r="AR41" s="42"/>
      <c r="AS41" s="42"/>
      <c r="AT41" s="42"/>
      <c r="AU41" s="42"/>
      <c r="AV41" s="42"/>
      <c r="AW41" s="42"/>
      <c r="AX41" s="42"/>
      <c r="AY41" s="42"/>
      <c r="AZ41" s="42"/>
      <c r="BA41" s="42"/>
      <c r="BB41" s="42"/>
      <c r="BC41" s="42"/>
      <c r="BD41" s="42"/>
      <c r="BE41" s="42"/>
      <c r="BF41" s="42">
        <f>(BF3+BF4)/(BB3+BB4)-1</f>
        <v>2.3271731690622799E-2</v>
      </c>
      <c r="BG41" s="42">
        <f>(BG3+BG4)/(BC3+BC4)-1</f>
        <v>-0.25606276747503565</v>
      </c>
      <c r="BH41" s="42">
        <f>(BH3+BH4)/(BD3+BD4)-1</f>
        <v>-0.38267100977198698</v>
      </c>
      <c r="BI41" s="42">
        <f>(BI3+BI4)/(BE3+BE4)-1</f>
        <v>-0.43473225323703557</v>
      </c>
      <c r="BJ41" s="42">
        <f>(BJ3+BJ4)/(BF3+BF4)-1</f>
        <v>-0.46221003344481604</v>
      </c>
      <c r="BU41" s="51"/>
      <c r="BV41" s="51"/>
      <c r="BW41" s="51"/>
      <c r="BX41" s="51"/>
      <c r="BY41" s="51">
        <f>SUM(BY3:BY4)/SUM(BX3:BX4)-1</f>
        <v>-6.0344827586206851E-2</v>
      </c>
      <c r="BZ41" s="51">
        <f>SUM(BZ3:BZ4)/SUM(BY3:BY4)-1</f>
        <v>1.4084267753992519E-2</v>
      </c>
      <c r="CL41" t="s">
        <v>365</v>
      </c>
      <c r="CM41" s="1">
        <f>NPV(CM40,CB35:EA35)+Main!J5-Main!J6+CA35</f>
        <v>92880.275305134055</v>
      </c>
    </row>
    <row r="42" spans="2:130" x14ac:dyDescent="0.2">
      <c r="B42" s="1" t="s">
        <v>241</v>
      </c>
      <c r="AQ42" s="42">
        <f t="shared" ref="AQ42" si="124">AQ13/AM13-1</f>
        <v>0.47752126366950209</v>
      </c>
      <c r="AR42" s="42">
        <f t="shared" ref="AR42" si="125">AR13/AN13-1</f>
        <v>0.6265328874024525</v>
      </c>
      <c r="AS42" s="42">
        <f>AS13/AO13-1</f>
        <v>0.64675912821964343</v>
      </c>
      <c r="AT42" s="42">
        <f t="shared" ref="AT42:AW42" si="126">AT13/AP13-1</f>
        <v>0.63323872595395758</v>
      </c>
      <c r="AU42" s="42">
        <f t="shared" si="126"/>
        <v>0.72944078947368385</v>
      </c>
      <c r="AV42" s="42">
        <f t="shared" si="126"/>
        <v>0.54786383367603375</v>
      </c>
      <c r="AW42" s="42">
        <f t="shared" si="126"/>
        <v>0.22275696115503596</v>
      </c>
      <c r="AX42" s="42">
        <f>AX13/AT13-1</f>
        <v>0.61401815022205053</v>
      </c>
      <c r="AY42" s="42">
        <f t="shared" ref="AY42" si="127">AY13/AU13-1</f>
        <v>0.26485972420351889</v>
      </c>
      <c r="AZ42" s="42">
        <f t="shared" ref="AZ42" si="128">AZ13/AV13-1</f>
        <v>0.39335793357933579</v>
      </c>
      <c r="BA42" s="42">
        <f t="shared" ref="BA42" si="129">BA13/AW13-1</f>
        <v>0.4970480742198482</v>
      </c>
      <c r="BB42" s="42">
        <f t="shared" ref="BB42:BD42" si="130">BB13/AX13-1</f>
        <v>0.18794114128484263</v>
      </c>
      <c r="BC42" s="42">
        <f t="shared" si="130"/>
        <v>0.14035087719298245</v>
      </c>
      <c r="BD42" s="42">
        <f t="shared" si="130"/>
        <v>0.21398305084745761</v>
      </c>
      <c r="BE42" s="42">
        <f t="shared" ref="BE42" si="131">BE13/BA13-1</f>
        <v>0.18629107981220638</v>
      </c>
      <c r="BF42" s="42">
        <f t="shared" ref="BF42" si="132">BF13/BB13-1</f>
        <v>0.22155085599194368</v>
      </c>
      <c r="BG42" s="42">
        <f t="shared" ref="BG42" si="133">BG13/BC13-1</f>
        <v>0.30000000000000004</v>
      </c>
      <c r="BH42" s="42">
        <f t="shared" ref="BH42" si="134">BH13/BD13-1</f>
        <v>0.19999999999999996</v>
      </c>
      <c r="BI42" s="42">
        <f t="shared" ref="BI42" si="135">BI13/BE13-1</f>
        <v>0.19999999999999996</v>
      </c>
      <c r="BJ42" s="42">
        <f t="shared" ref="BJ42" si="136">BJ13/BF13-1</f>
        <v>0.19999999999999996</v>
      </c>
      <c r="CL42" t="s">
        <v>512</v>
      </c>
      <c r="CM42" s="21">
        <f>CM41/Main!J3</f>
        <v>849.58193891781968</v>
      </c>
    </row>
    <row r="43" spans="2:130" x14ac:dyDescent="0.2">
      <c r="B43" s="1" t="s">
        <v>242</v>
      </c>
      <c r="AQ43" s="42">
        <f t="shared" ref="AQ43" si="137">AQ17/AM17-1</f>
        <v>0.47707602339181299</v>
      </c>
      <c r="AR43" s="42">
        <f t="shared" ref="AR43" si="138">AR17/AN17-1</f>
        <v>0.58624338624338623</v>
      </c>
      <c r="AS43" s="42">
        <f>AS17/AO17-1</f>
        <v>0.55034495618124213</v>
      </c>
      <c r="AT43" s="42">
        <f t="shared" ref="AT43:AW43" si="139">AT17/AP17-1</f>
        <v>0.51348122866894186</v>
      </c>
      <c r="AU43" s="42">
        <f t="shared" si="139"/>
        <v>0.43352601156069359</v>
      </c>
      <c r="AV43" s="42">
        <f t="shared" si="139"/>
        <v>0.39546364242828558</v>
      </c>
      <c r="AW43" s="42">
        <f t="shared" si="139"/>
        <v>0.40122677250586314</v>
      </c>
      <c r="AX43" s="42">
        <f>AX17/AT17-1</f>
        <v>0.38059533205547424</v>
      </c>
      <c r="AY43" s="42">
        <f t="shared" ref="AY43" si="140">AY17/AU17-1</f>
        <v>0.37262483429076432</v>
      </c>
      <c r="AZ43" s="42">
        <f t="shared" ref="AZ43" si="141">AZ17/AV17-1</f>
        <v>0.33349268572521273</v>
      </c>
      <c r="BA43" s="42">
        <f t="shared" ref="BA43" si="142">BA17/AW17-1</f>
        <v>0.32938500493541056</v>
      </c>
      <c r="BB43" s="42">
        <f t="shared" ref="BB43:BD43" si="143">BB17/AX17-1</f>
        <v>0.31328351504757235</v>
      </c>
      <c r="BC43" s="42">
        <f t="shared" si="143"/>
        <v>0.23814889336016098</v>
      </c>
      <c r="BD43" s="42">
        <f t="shared" si="143"/>
        <v>0.2749695274969528</v>
      </c>
      <c r="BE43" s="42">
        <f t="shared" ref="BE43" si="144">BE17/BA17-1</f>
        <v>0.23230888429752072</v>
      </c>
      <c r="BF43" s="42">
        <f t="shared" ref="BF43" si="145">BF17/BB17-1</f>
        <v>0.14971549392120886</v>
      </c>
      <c r="BG43" s="42">
        <f t="shared" ref="BG43" si="146">BG17/BC17-1</f>
        <v>0.19279771190847628</v>
      </c>
      <c r="BH43" s="42">
        <f t="shared" ref="BH43" si="147">BH17/BD17-1</f>
        <v>-1</v>
      </c>
      <c r="BI43" s="42">
        <f t="shared" ref="BI43" si="148">BI17/BE17-1</f>
        <v>-1</v>
      </c>
      <c r="BJ43" s="42">
        <f t="shared" ref="BJ43" si="149">BJ17/BF17-1</f>
        <v>-1</v>
      </c>
      <c r="BW43" s="50">
        <f t="shared" ref="BW43:BY43" si="150">+BW17/BV17-1</f>
        <v>0.53256193443109345</v>
      </c>
      <c r="BX43" s="50">
        <f t="shared" si="150"/>
        <v>0.40050979253379793</v>
      </c>
      <c r="BY43" s="50">
        <f t="shared" si="150"/>
        <v>0.33485002073446068</v>
      </c>
      <c r="BZ43" s="50">
        <f>+BZ17/BY17-1</f>
        <v>0.22090765526704126</v>
      </c>
    </row>
    <row r="44" spans="2:130" x14ac:dyDescent="0.2">
      <c r="B44" s="1" t="s">
        <v>385</v>
      </c>
      <c r="AQ44" s="42"/>
      <c r="AR44" s="42"/>
      <c r="AS44" s="42"/>
      <c r="AT44" s="42"/>
      <c r="AU44" s="42"/>
      <c r="AV44" s="42"/>
      <c r="AW44" s="42"/>
      <c r="AX44" s="42"/>
      <c r="AY44" s="42"/>
      <c r="AZ44" s="42"/>
      <c r="BA44" s="42"/>
      <c r="BB44" s="42"/>
      <c r="BC44" s="42"/>
      <c r="BD44" s="42"/>
      <c r="BE44" s="42"/>
      <c r="BF44" s="42"/>
      <c r="BG44" s="42"/>
      <c r="BH44" s="42"/>
      <c r="BI44" s="42"/>
      <c r="BJ44" s="42"/>
      <c r="BW44" s="50"/>
      <c r="BX44" s="50"/>
      <c r="BY44" s="50"/>
      <c r="BZ44" s="50">
        <f>+BZ5/BY5-1</f>
        <v>0.40973348783314001</v>
      </c>
    </row>
    <row r="46" spans="2:130" x14ac:dyDescent="0.2">
      <c r="B46" s="1" t="s">
        <v>215</v>
      </c>
      <c r="AM46" s="42">
        <f t="shared" ref="AM46" si="151">+AM27/AM25</f>
        <v>0.88113991904605626</v>
      </c>
      <c r="AN46" s="42">
        <f t="shared" ref="AN46:AU46" si="152">+AN27/AN25</f>
        <v>0.863648004917277</v>
      </c>
      <c r="AO46" s="42">
        <f t="shared" si="152"/>
        <v>0.94681314848722642</v>
      </c>
      <c r="AP46" s="42">
        <f t="shared" si="152"/>
        <v>0.85237204852806892</v>
      </c>
      <c r="AQ46" s="42">
        <f t="shared" si="152"/>
        <v>0.87823199177670597</v>
      </c>
      <c r="AR46" s="42">
        <f t="shared" si="152"/>
        <v>0.86500476774281432</v>
      </c>
      <c r="AS46" s="42">
        <f t="shared" si="152"/>
        <v>0.93512699470010718</v>
      </c>
      <c r="AT46" s="42">
        <f t="shared" si="152"/>
        <v>0.85259012420478653</v>
      </c>
      <c r="AU46" s="42">
        <f t="shared" si="152"/>
        <v>0.86346315966953291</v>
      </c>
      <c r="AV46" s="42">
        <f>+AV27/AV25</f>
        <v>0.89599159810957474</v>
      </c>
      <c r="AW46" s="42">
        <f t="shared" ref="AW46" si="153">+AW27/AW25</f>
        <v>0.96287971665985561</v>
      </c>
      <c r="AX46" s="42">
        <f t="shared" ref="AX46:BJ46" si="154">+AX27/AX25</f>
        <v>0.88658797340441109</v>
      </c>
      <c r="AY46" s="42">
        <f t="shared" si="154"/>
        <v>0.94686907020872868</v>
      </c>
      <c r="AZ46" s="42">
        <f t="shared" si="154"/>
        <v>0.94838505383153893</v>
      </c>
      <c r="BA46" s="42">
        <f t="shared" si="154"/>
        <v>0.94623847754980661</v>
      </c>
      <c r="BB46" s="42">
        <f t="shared" si="154"/>
        <v>0.8633954571927781</v>
      </c>
      <c r="BC46" s="42">
        <f t="shared" si="154"/>
        <v>0.93767885532591411</v>
      </c>
      <c r="BD46" s="42">
        <f t="shared" si="154"/>
        <v>0.93966732449957713</v>
      </c>
      <c r="BE46" s="42">
        <f t="shared" si="154"/>
        <v>0.94157955553166905</v>
      </c>
      <c r="BF46" s="42">
        <f t="shared" si="154"/>
        <v>0.86555819477434681</v>
      </c>
      <c r="BG46" s="42">
        <f t="shared" si="154"/>
        <v>0.92835919445361503</v>
      </c>
      <c r="BH46" s="42">
        <f t="shared" si="154"/>
        <v>0.93</v>
      </c>
      <c r="BI46" s="42">
        <f t="shared" si="154"/>
        <v>0.93</v>
      </c>
      <c r="BJ46" s="42">
        <f t="shared" si="154"/>
        <v>0.93</v>
      </c>
    </row>
    <row r="48" spans="2:130" x14ac:dyDescent="0.2">
      <c r="B48" s="1" t="s">
        <v>397</v>
      </c>
      <c r="BD48" s="1">
        <f>+BD49-BD62</f>
        <v>15547.800000000001</v>
      </c>
      <c r="BE48" s="1">
        <f>+BE49-BE62</f>
        <v>16303.400000000001</v>
      </c>
      <c r="BF48" s="1">
        <f>+BF49-BF62</f>
        <v>15928.199999999999</v>
      </c>
      <c r="BG48" s="1">
        <f>+BG49-BG62</f>
        <v>15640.900000000001</v>
      </c>
      <c r="BZ48" s="1">
        <f>+BZ49-BZ62</f>
        <v>15928.199999999999</v>
      </c>
    </row>
    <row r="49" spans="2:78" s="1" customFormat="1" x14ac:dyDescent="0.2">
      <c r="B49" s="1" t="s">
        <v>32</v>
      </c>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f>3105.9+4636.4+6591.8</f>
        <v>14334.099999999999</v>
      </c>
      <c r="BB49" s="1">
        <v>16241.3</v>
      </c>
      <c r="BD49" s="1">
        <f>1920.7+7888.3+7722.4</f>
        <v>17531.400000000001</v>
      </c>
      <c r="BE49" s="1">
        <f>2011.8+7784.7+8490.9</f>
        <v>18287.400000000001</v>
      </c>
      <c r="BF49" s="1">
        <v>17912.599999999999</v>
      </c>
      <c r="BG49" s="1">
        <v>17625.7</v>
      </c>
      <c r="BZ49" s="1">
        <f>+BF49</f>
        <v>17912.599999999999</v>
      </c>
    </row>
    <row r="50" spans="2:78" s="1" customFormat="1" x14ac:dyDescent="0.2">
      <c r="B50" s="1" t="s">
        <v>302</v>
      </c>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v>5328.7</v>
      </c>
      <c r="BB50" s="1">
        <v>5667.3</v>
      </c>
      <c r="BD50" s="1">
        <v>5717.1</v>
      </c>
      <c r="BE50" s="1">
        <v>6107.1</v>
      </c>
      <c r="BF50" s="1">
        <v>6211.9</v>
      </c>
      <c r="BG50" s="1">
        <v>5561</v>
      </c>
      <c r="BZ50" s="1">
        <f t="shared" ref="BZ50:BZ56" si="155">+BF50</f>
        <v>6211.9</v>
      </c>
    </row>
    <row r="51" spans="2:78" s="1" customFormat="1" x14ac:dyDescent="0.2">
      <c r="B51" s="1" t="s">
        <v>303</v>
      </c>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v>2401.9</v>
      </c>
      <c r="BB51" s="1">
        <v>2580.5</v>
      </c>
      <c r="BD51" s="1">
        <v>2873.6</v>
      </c>
      <c r="BE51" s="1">
        <v>3018</v>
      </c>
      <c r="BF51" s="1">
        <v>3087.3</v>
      </c>
      <c r="BG51" s="1">
        <v>3192.4</v>
      </c>
      <c r="BZ51" s="1">
        <f t="shared" si="155"/>
        <v>3087.3</v>
      </c>
    </row>
    <row r="52" spans="2:78" s="1" customFormat="1" x14ac:dyDescent="0.2">
      <c r="B52" s="1" t="s">
        <v>304</v>
      </c>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v>411.2</v>
      </c>
      <c r="BB52" s="1">
        <v>0</v>
      </c>
      <c r="BD52" s="1">
        <v>681.9</v>
      </c>
      <c r="BE52" s="1">
        <v>412</v>
      </c>
      <c r="BF52" s="1">
        <v>0</v>
      </c>
      <c r="BG52" s="1">
        <v>0</v>
      </c>
      <c r="BZ52" s="1">
        <f t="shared" si="155"/>
        <v>0</v>
      </c>
    </row>
    <row r="53" spans="2:78" s="1" customFormat="1" x14ac:dyDescent="0.2">
      <c r="B53" s="1" t="s">
        <v>305</v>
      </c>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v>3763</v>
      </c>
      <c r="BB53" s="1">
        <v>4146.3999999999996</v>
      </c>
      <c r="BD53" s="1">
        <v>4305.8999999999996</v>
      </c>
      <c r="BE53" s="1">
        <v>4439.2</v>
      </c>
      <c r="BF53" s="1">
        <v>4599.7</v>
      </c>
      <c r="BG53" s="1">
        <v>4694.2</v>
      </c>
      <c r="BZ53" s="1">
        <f t="shared" si="155"/>
        <v>4599.7</v>
      </c>
    </row>
    <row r="54" spans="2:78" s="1" customFormat="1" x14ac:dyDescent="0.2">
      <c r="B54" s="1" t="s">
        <v>306</v>
      </c>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v>915.5</v>
      </c>
      <c r="BB54" s="1">
        <v>1038.5999999999999</v>
      </c>
      <c r="BD54" s="1">
        <v>1102.2</v>
      </c>
      <c r="BE54" s="1">
        <v>1120.0999999999999</v>
      </c>
      <c r="BF54" s="1">
        <v>1148.5999999999999</v>
      </c>
      <c r="BG54" s="1">
        <v>1167</v>
      </c>
      <c r="BZ54" s="1">
        <f t="shared" si="155"/>
        <v>1148.5999999999999</v>
      </c>
    </row>
    <row r="55" spans="2:78" s="1" customFormat="1" x14ac:dyDescent="0.2">
      <c r="B55" s="1" t="s">
        <v>222</v>
      </c>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v>1723.7</v>
      </c>
      <c r="BB55" s="1">
        <v>2575.4</v>
      </c>
      <c r="BD55" s="1">
        <v>2880.9</v>
      </c>
      <c r="BE55" s="1">
        <v>3015.1</v>
      </c>
      <c r="BF55" s="1">
        <v>3314.1</v>
      </c>
      <c r="BG55" s="1">
        <v>3442.9</v>
      </c>
      <c r="BZ55" s="1">
        <f t="shared" si="155"/>
        <v>3314.1</v>
      </c>
    </row>
    <row r="56" spans="2:78" s="1" customFormat="1" x14ac:dyDescent="0.2">
      <c r="B56" s="1" t="s">
        <v>307</v>
      </c>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v>336.4</v>
      </c>
      <c r="BB56" s="1">
        <v>830.7</v>
      </c>
      <c r="BD56" s="1">
        <v>993.8</v>
      </c>
      <c r="BE56" s="1">
        <v>1043</v>
      </c>
      <c r="BF56" s="1">
        <v>1485.2</v>
      </c>
      <c r="BG56" s="1">
        <v>1862</v>
      </c>
      <c r="BZ56" s="1">
        <f t="shared" si="155"/>
        <v>1485.2</v>
      </c>
    </row>
    <row r="57" spans="2:78" s="1" customFormat="1" x14ac:dyDescent="0.2">
      <c r="B57" s="1" t="s">
        <v>308</v>
      </c>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f>SUM(AX49:AX56)</f>
        <v>29214.500000000004</v>
      </c>
      <c r="BB57" s="1">
        <f>SUM(BB49:BB56)</f>
        <v>33080.199999999997</v>
      </c>
      <c r="BD57" s="1">
        <f>SUM(BD49:BD56)</f>
        <v>36086.800000000003</v>
      </c>
      <c r="BE57" s="1">
        <f>SUM(BE49:BE56)</f>
        <v>37441.9</v>
      </c>
      <c r="BF57" s="1">
        <f>SUM(BF49:BF56)</f>
        <v>37759.399999999994</v>
      </c>
      <c r="BG57" s="1">
        <f>SUM(BG49:BG56)</f>
        <v>37545.200000000004</v>
      </c>
      <c r="BZ57" s="1">
        <f>SUM(BZ49:BZ56)</f>
        <v>37759.399999999994</v>
      </c>
    </row>
    <row r="58" spans="2:78" x14ac:dyDescent="0.2">
      <c r="BD58" s="1"/>
    </row>
    <row r="59" spans="2:78" x14ac:dyDescent="0.2">
      <c r="B59" s="1" t="s">
        <v>309</v>
      </c>
      <c r="AX59" s="15">
        <v>589.20000000000005</v>
      </c>
      <c r="BB59" s="1">
        <v>3818.6</v>
      </c>
      <c r="BD59" s="1">
        <v>561.70000000000005</v>
      </c>
      <c r="BE59" s="1">
        <v>497.3</v>
      </c>
      <c r="BF59" s="1">
        <v>4888</v>
      </c>
      <c r="BG59" s="1">
        <v>4621.7</v>
      </c>
      <c r="BZ59" s="1">
        <f>+BF59</f>
        <v>4888</v>
      </c>
    </row>
    <row r="60" spans="2:78" x14ac:dyDescent="0.2">
      <c r="B60" s="1" t="s">
        <v>310</v>
      </c>
      <c r="AX60" s="15">
        <v>2074.1999999999998</v>
      </c>
      <c r="BB60" s="1">
        <v>0</v>
      </c>
      <c r="BD60" s="1">
        <v>2360.9</v>
      </c>
      <c r="BE60" s="1">
        <v>2536.5</v>
      </c>
      <c r="BF60" s="1">
        <v>0</v>
      </c>
      <c r="BG60" s="1">
        <v>0</v>
      </c>
      <c r="BZ60" s="1">
        <f t="shared" ref="BZ60:BZ65" si="156">+BF60</f>
        <v>0</v>
      </c>
    </row>
    <row r="61" spans="2:78" x14ac:dyDescent="0.2">
      <c r="B61" s="1" t="s">
        <v>311</v>
      </c>
      <c r="AX61" s="15">
        <f>477.9+69.8</f>
        <v>547.69999999999993</v>
      </c>
      <c r="BB61" s="1">
        <v>585.6</v>
      </c>
      <c r="BD61" s="1">
        <f>586+205.6</f>
        <v>791.6</v>
      </c>
      <c r="BE61" s="1">
        <f>627.2+207.4</f>
        <v>834.6</v>
      </c>
      <c r="BF61" s="1">
        <v>813.4</v>
      </c>
      <c r="BG61" s="1">
        <v>831.1</v>
      </c>
      <c r="BZ61" s="1">
        <f t="shared" si="156"/>
        <v>813.4</v>
      </c>
    </row>
    <row r="62" spans="2:78" x14ac:dyDescent="0.2">
      <c r="B62" t="s">
        <v>29</v>
      </c>
      <c r="AX62" s="15">
        <v>1981.4</v>
      </c>
      <c r="BB62" s="1">
        <v>1982.9</v>
      </c>
      <c r="BD62" s="1">
        <v>1983.6</v>
      </c>
      <c r="BE62" s="1">
        <v>1984</v>
      </c>
      <c r="BF62" s="1">
        <v>1984.4</v>
      </c>
      <c r="BG62" s="1">
        <v>1984.8</v>
      </c>
      <c r="BZ62" s="1">
        <f t="shared" si="156"/>
        <v>1984.4</v>
      </c>
    </row>
    <row r="63" spans="2:78" x14ac:dyDescent="0.2">
      <c r="B63" s="1" t="s">
        <v>312</v>
      </c>
      <c r="AX63" s="15">
        <v>720</v>
      </c>
      <c r="BB63">
        <v>720</v>
      </c>
      <c r="BD63" s="1">
        <v>720</v>
      </c>
      <c r="BE63" s="1">
        <v>720</v>
      </c>
      <c r="BF63">
        <v>720</v>
      </c>
      <c r="BG63">
        <v>720</v>
      </c>
      <c r="BZ63" s="1">
        <f t="shared" si="156"/>
        <v>720</v>
      </c>
    </row>
    <row r="64" spans="2:78" s="1" customFormat="1" x14ac:dyDescent="0.2">
      <c r="B64" s="1" t="s">
        <v>315</v>
      </c>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v>638</v>
      </c>
      <c r="BB64" s="1">
        <v>0</v>
      </c>
      <c r="BD64" s="1">
        <v>1463.2</v>
      </c>
      <c r="BE64" s="1">
        <v>1543.6</v>
      </c>
      <c r="BF64" s="1">
        <v>0</v>
      </c>
      <c r="BG64" s="1">
        <v>0</v>
      </c>
      <c r="BZ64" s="1">
        <f t="shared" si="156"/>
        <v>0</v>
      </c>
    </row>
    <row r="65" spans="2:78" x14ac:dyDescent="0.2">
      <c r="B65" s="1" t="s">
        <v>314</v>
      </c>
      <c r="AX65" s="15">
        <v>22664</v>
      </c>
      <c r="BB65" s="1">
        <v>25973.1</v>
      </c>
      <c r="BD65" s="1">
        <v>28205.8</v>
      </c>
      <c r="BE65" s="1">
        <v>29325.9</v>
      </c>
      <c r="BF65" s="1">
        <v>29353.599999999999</v>
      </c>
      <c r="BG65" s="1">
        <v>29387.599999999999</v>
      </c>
      <c r="BZ65" s="1">
        <f t="shared" si="156"/>
        <v>29353.599999999999</v>
      </c>
    </row>
    <row r="66" spans="2:78" x14ac:dyDescent="0.2">
      <c r="B66" t="s">
        <v>313</v>
      </c>
      <c r="AX66" s="15">
        <f>SUM(AX59:AX65)</f>
        <v>29214.5</v>
      </c>
      <c r="BB66" s="1">
        <f>SUM(BB59:BB65)</f>
        <v>33080.199999999997</v>
      </c>
      <c r="BD66" s="1">
        <f>SUM(BD59:BD65)</f>
        <v>36086.800000000003</v>
      </c>
      <c r="BE66" s="1">
        <f>SUM(BE59:BE65)</f>
        <v>37441.9</v>
      </c>
      <c r="BF66" s="1">
        <f>SUM(BF59:BF65)</f>
        <v>37759.399999999994</v>
      </c>
      <c r="BG66" s="1">
        <f>SUM(BG59:BG65)</f>
        <v>37545.199999999997</v>
      </c>
      <c r="BZ66" s="1">
        <f>SUM(BZ59:BZ65)</f>
        <v>37759.399999999994</v>
      </c>
    </row>
    <row r="67" spans="2:78" x14ac:dyDescent="0.2">
      <c r="AX67" s="15"/>
      <c r="BB67" s="1"/>
      <c r="BF67" s="1"/>
    </row>
    <row r="68" spans="2:78" x14ac:dyDescent="0.2">
      <c r="B68" s="1" t="s">
        <v>483</v>
      </c>
      <c r="AX68" s="15"/>
      <c r="BB68" s="1">
        <f t="shared" ref="BB68:BE68" si="157">+BB35</f>
        <v>1396</v>
      </c>
      <c r="BC68" s="1">
        <f t="shared" si="157"/>
        <v>1152.0591000000002</v>
      </c>
      <c r="BD68" s="1">
        <f t="shared" si="157"/>
        <v>1594</v>
      </c>
      <c r="BE68" s="1">
        <f t="shared" si="157"/>
        <v>1745</v>
      </c>
      <c r="BF68" s="1">
        <f>+BF35</f>
        <v>1403.3</v>
      </c>
      <c r="BG68" s="1">
        <f>+BG35</f>
        <v>954.98519999999996</v>
      </c>
      <c r="BX68" s="1">
        <f t="shared" ref="BX68:BZ68" si="158">+BX35</f>
        <v>4711.2000000000016</v>
      </c>
      <c r="BY68" s="1">
        <f t="shared" si="158"/>
        <v>5367.2850000000008</v>
      </c>
      <c r="BZ68" s="1">
        <f t="shared" si="158"/>
        <v>5894.3591000000006</v>
      </c>
    </row>
    <row r="69" spans="2:78" s="1" customFormat="1" x14ac:dyDescent="0.2">
      <c r="B69" s="1" t="s">
        <v>484</v>
      </c>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BD69" s="1">
        <f>2154.3-BC69</f>
        <v>2154.3000000000002</v>
      </c>
      <c r="BE69" s="1">
        <f>3494.9-BD69-BC69</f>
        <v>1340.6</v>
      </c>
      <c r="BF69" s="1">
        <f>+BZ69-BE69-BD69-BC69</f>
        <v>917.70000000000027</v>
      </c>
      <c r="BX69" s="1">
        <v>4338.3999999999996</v>
      </c>
      <c r="BY69" s="1">
        <v>3953.6</v>
      </c>
      <c r="BZ69" s="1">
        <v>4412.6000000000004</v>
      </c>
    </row>
    <row r="70" spans="2:78" s="1" customFormat="1" x14ac:dyDescent="0.2">
      <c r="B70" s="1" t="s">
        <v>486</v>
      </c>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BD70" s="1">
        <f>234.8-BC70</f>
        <v>234.8</v>
      </c>
      <c r="BE70" s="1">
        <f>356.5-BD70-BC70</f>
        <v>121.69999999999999</v>
      </c>
      <c r="BF70" s="1">
        <f t="shared" ref="BF70:BF76" si="159">+BZ70-BE70-BD70-BC70</f>
        <v>126.39999999999998</v>
      </c>
      <c r="BX70" s="1">
        <v>341.4</v>
      </c>
      <c r="BY70" s="1">
        <v>421</v>
      </c>
      <c r="BZ70" s="1">
        <v>482.9</v>
      </c>
    </row>
    <row r="71" spans="2:78" s="1" customFormat="1" x14ac:dyDescent="0.2">
      <c r="B71" s="1" t="s">
        <v>485</v>
      </c>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BD71" s="1">
        <f>453.3-BC71</f>
        <v>453.3</v>
      </c>
      <c r="BE71" s="1">
        <f>678.4-BD71-BC71</f>
        <v>225.09999999999997</v>
      </c>
      <c r="BF71" s="1">
        <f t="shared" si="159"/>
        <v>304.40000000000003</v>
      </c>
      <c r="BX71" s="1">
        <v>725</v>
      </c>
      <c r="BY71" s="1">
        <v>885</v>
      </c>
      <c r="BZ71" s="1">
        <v>982.8</v>
      </c>
    </row>
    <row r="72" spans="2:78" s="1" customFormat="1" x14ac:dyDescent="0.2">
      <c r="B72" s="1" t="s">
        <v>487</v>
      </c>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BD72" s="1">
        <f>-196.5-BC72</f>
        <v>-196.5</v>
      </c>
      <c r="BE72" s="1">
        <f>-331.2-BD72-BC72</f>
        <v>-134.69999999999999</v>
      </c>
      <c r="BF72" s="1">
        <f t="shared" si="159"/>
        <v>212.89999999999998</v>
      </c>
      <c r="BX72" s="1">
        <v>36.799999999999997</v>
      </c>
      <c r="BY72" s="1">
        <v>266.39999999999998</v>
      </c>
      <c r="BZ72" s="1">
        <v>-118.3</v>
      </c>
    </row>
    <row r="73" spans="2:78" s="1" customFormat="1" x14ac:dyDescent="0.2">
      <c r="B73" s="1" t="s">
        <v>488</v>
      </c>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BD73" s="1">
        <f>-2.9-BC73</f>
        <v>-2.9</v>
      </c>
      <c r="BE73" s="1">
        <f>-31.9-BD73-BC73</f>
        <v>-29</v>
      </c>
      <c r="BF73" s="1">
        <f t="shared" si="159"/>
        <v>55.4</v>
      </c>
      <c r="BX73" s="1">
        <v>368</v>
      </c>
      <c r="BY73" s="1">
        <v>-0.1</v>
      </c>
      <c r="BZ73" s="1">
        <v>23.5</v>
      </c>
    </row>
    <row r="74" spans="2:78" s="1" customFormat="1" x14ac:dyDescent="0.2">
      <c r="B74" s="1" t="s">
        <v>489</v>
      </c>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BD74" s="1">
        <f>-308.5-BC74</f>
        <v>-308.5</v>
      </c>
      <c r="BE74" s="1">
        <f>-477.1-BD74-BC74</f>
        <v>-168.60000000000002</v>
      </c>
      <c r="BF74" s="1">
        <f t="shared" si="159"/>
        <v>-280.19999999999993</v>
      </c>
      <c r="BX74" s="1">
        <v>-746.4</v>
      </c>
      <c r="BY74" s="1">
        <v>-837.8</v>
      </c>
      <c r="BZ74" s="1">
        <v>-757.3</v>
      </c>
    </row>
    <row r="75" spans="2:78" s="1" customFormat="1" x14ac:dyDescent="0.2">
      <c r="B75" s="1" t="s">
        <v>490</v>
      </c>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BD75" s="1">
        <v>0</v>
      </c>
      <c r="BE75" s="1">
        <v>0</v>
      </c>
      <c r="BF75" s="1">
        <f t="shared" si="159"/>
        <v>12.6</v>
      </c>
      <c r="BX75" s="1">
        <v>195</v>
      </c>
      <c r="BY75" s="1">
        <v>0</v>
      </c>
      <c r="BZ75" s="1">
        <v>12.6</v>
      </c>
    </row>
    <row r="76" spans="2:78" s="1" customFormat="1" x14ac:dyDescent="0.2">
      <c r="B76" s="1" t="s">
        <v>491</v>
      </c>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BD76" s="1">
        <f>-47.3-337.6-604.2+206+315.1</f>
        <v>-468.00000000000011</v>
      </c>
      <c r="BE76" s="1">
        <f>-436.2-502-352.2+249+509.5-BD76-BC76</f>
        <v>-63.899999999999977</v>
      </c>
      <c r="BF76" s="1">
        <f t="shared" si="159"/>
        <v>-86.399999999999977</v>
      </c>
      <c r="BX76" s="1">
        <f>707.8-696.5-148.6+32.4-138.4</f>
        <v>-243.30000000000004</v>
      </c>
      <c r="BY76" s="1">
        <f>-338.8-271.7-120.1+37.9+598.6</f>
        <v>-94.100000000000023</v>
      </c>
      <c r="BZ76" s="1">
        <f>-554-619.7-407.5+227.8+735.1</f>
        <v>-618.30000000000007</v>
      </c>
    </row>
    <row r="77" spans="2:78" s="1" customFormat="1" x14ac:dyDescent="0.2">
      <c r="B77" s="1" t="s">
        <v>492</v>
      </c>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BC77" s="1">
        <f t="shared" ref="BC77" si="160">SUM(BC69:BC76)</f>
        <v>0</v>
      </c>
      <c r="BD77" s="1">
        <f>SUM(BD69:BD76)</f>
        <v>1866.5000000000005</v>
      </c>
      <c r="BE77" s="1">
        <f>SUM(BE69:BE76)</f>
        <v>1291.1999999999998</v>
      </c>
      <c r="BF77" s="1">
        <f>SUM(BF69:BF76)</f>
        <v>1262.8000000000006</v>
      </c>
      <c r="BX77" s="1">
        <f>SUM(BX69:BX76)</f>
        <v>5014.8999999999996</v>
      </c>
      <c r="BY77" s="1">
        <f>SUM(BY69:BY76)</f>
        <v>4593.9999999999991</v>
      </c>
      <c r="BZ77" s="1">
        <f>SUM(BZ69:BZ76)</f>
        <v>4420.5</v>
      </c>
    </row>
    <row r="78" spans="2:78" x14ac:dyDescent="0.2">
      <c r="BU78" s="50"/>
      <c r="BV78" s="50"/>
      <c r="BW78" s="50"/>
      <c r="BX78" s="50"/>
      <c r="BY78" s="50"/>
    </row>
    <row r="79" spans="2:78" s="1" customFormat="1" x14ac:dyDescent="0.2">
      <c r="B79" s="1" t="s">
        <v>494</v>
      </c>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BE79" s="1">
        <f>-14664.5+12445.3-BD79-BC79</f>
        <v>-2219.2000000000007</v>
      </c>
      <c r="BF79" s="1">
        <f t="shared" ref="BF79:BF82" si="161">+BZ79-BE79-BD79-BC79</f>
        <v>629.09999999999854</v>
      </c>
      <c r="BX79" s="1">
        <f>-7487.9+5550.5</f>
        <v>-1937.3999999999996</v>
      </c>
      <c r="BY79" s="1">
        <f>-11646+9442.2</f>
        <v>-2203.7999999999993</v>
      </c>
      <c r="BZ79" s="1">
        <f>-16617.4+15027.3</f>
        <v>-1590.1000000000022</v>
      </c>
    </row>
    <row r="80" spans="2:78" s="1" customFormat="1" x14ac:dyDescent="0.2">
      <c r="B80" s="1" t="s">
        <v>495</v>
      </c>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BE80" s="1">
        <f>-556.3-BD80-BC80+20.1</f>
        <v>-536.19999999999993</v>
      </c>
      <c r="BF80" s="1">
        <f t="shared" si="161"/>
        <v>-199.60000000000002</v>
      </c>
      <c r="BX80" s="1">
        <v>-590.1</v>
      </c>
      <c r="BY80" s="1">
        <v>-718.6</v>
      </c>
      <c r="BZ80" s="1">
        <f>-755.9+20.1</f>
        <v>-735.8</v>
      </c>
    </row>
    <row r="81" spans="2:78" s="1" customFormat="1" x14ac:dyDescent="0.2">
      <c r="B81" s="1" t="s">
        <v>207</v>
      </c>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BE81" s="1">
        <f>-58.3-BD81-BC81</f>
        <v>-58.3</v>
      </c>
      <c r="BF81" s="1">
        <f t="shared" si="161"/>
        <v>-67.400000000000006</v>
      </c>
      <c r="BX81" s="1">
        <v>-1026.8</v>
      </c>
      <c r="BY81" s="1">
        <v>-207.8</v>
      </c>
      <c r="BZ81" s="1">
        <v>-125.7</v>
      </c>
    </row>
    <row r="82" spans="2:78" s="1" customFormat="1" x14ac:dyDescent="0.2">
      <c r="B82" s="1" t="s">
        <v>496</v>
      </c>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BE82" s="1">
        <f>-5-BD82-BC82</f>
        <v>-5</v>
      </c>
      <c r="BF82" s="1">
        <f t="shared" si="161"/>
        <v>-11.5</v>
      </c>
      <c r="BX82" s="1">
        <v>-230.3</v>
      </c>
      <c r="BY82" s="1">
        <v>-54.9</v>
      </c>
      <c r="BZ82" s="1">
        <v>-16.5</v>
      </c>
    </row>
    <row r="83" spans="2:78" s="1" customFormat="1" x14ac:dyDescent="0.2">
      <c r="B83" s="1" t="s">
        <v>493</v>
      </c>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BE83" s="1">
        <f>SUM(BE79:BE82)</f>
        <v>-2818.7000000000007</v>
      </c>
      <c r="BF83" s="1">
        <f>SUM(BF79:BF82)</f>
        <v>350.59999999999854</v>
      </c>
      <c r="BX83" s="1">
        <f>SUM(BX79:BX82)</f>
        <v>-3784.5999999999995</v>
      </c>
      <c r="BY83" s="1">
        <f>SUM(BY79:BY82)</f>
        <v>-3185.0999999999995</v>
      </c>
      <c r="BZ83" s="1">
        <f>SUM(BZ79:BZ82)</f>
        <v>-2468.1000000000022</v>
      </c>
    </row>
    <row r="84" spans="2:78" x14ac:dyDescent="0.2">
      <c r="BU84" s="50"/>
      <c r="BV84" s="50"/>
      <c r="BW84" s="50"/>
      <c r="BX84" s="50"/>
      <c r="BY84" s="50"/>
    </row>
    <row r="85" spans="2:78" s="1" customFormat="1" x14ac:dyDescent="0.2">
      <c r="B85" s="1" t="s">
        <v>497</v>
      </c>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BE85" s="1">
        <f>1374.4-BD85-BC85</f>
        <v>1374.4</v>
      </c>
      <c r="BF85" s="1">
        <f t="shared" ref="BF85:BF88" si="162">+BZ85-BE85-BD85-BC85</f>
        <v>90.899999999999864</v>
      </c>
      <c r="BX85" s="1">
        <v>1519.5</v>
      </c>
      <c r="BY85" s="1">
        <v>1145.5</v>
      </c>
      <c r="BZ85" s="1">
        <v>1465.3</v>
      </c>
    </row>
    <row r="86" spans="2:78" s="1" customFormat="1" x14ac:dyDescent="0.2">
      <c r="B86" s="1" t="s">
        <v>498</v>
      </c>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BE86" s="1">
        <f>-775.7-BD86-BC86</f>
        <v>-775.7</v>
      </c>
      <c r="BF86" s="1">
        <f t="shared" si="162"/>
        <v>-253.39999999999986</v>
      </c>
      <c r="BX86" s="1">
        <v>-445.7</v>
      </c>
      <c r="BY86" s="1">
        <v>-700.6</v>
      </c>
      <c r="BZ86" s="1">
        <v>-1029.0999999999999</v>
      </c>
    </row>
    <row r="87" spans="2:78" s="1" customFormat="1" x14ac:dyDescent="0.2">
      <c r="B87" s="1" t="s">
        <v>499</v>
      </c>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BE87" s="1">
        <f>-1630.3-BD87-BC87</f>
        <v>-1630.3</v>
      </c>
      <c r="BF87" s="1">
        <f t="shared" si="162"/>
        <v>-973.00000000000023</v>
      </c>
      <c r="BX87" s="1">
        <v>-2082.8000000000002</v>
      </c>
      <c r="BY87" s="1">
        <v>-2235</v>
      </c>
      <c r="BZ87" s="1">
        <v>-2603.3000000000002</v>
      </c>
    </row>
    <row r="88" spans="2:78" s="1" customFormat="1" x14ac:dyDescent="0.2">
      <c r="B88" s="1" t="s">
        <v>212</v>
      </c>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BE88" s="1">
        <f>-33.4-BD88-BC88</f>
        <v>-33.4</v>
      </c>
      <c r="BF88" s="1">
        <f t="shared" si="162"/>
        <v>0</v>
      </c>
      <c r="BX88" s="1">
        <v>0</v>
      </c>
      <c r="BY88" s="1">
        <v>0</v>
      </c>
      <c r="BZ88" s="1">
        <v>-33.4</v>
      </c>
    </row>
    <row r="89" spans="2:78" s="1" customFormat="1" x14ac:dyDescent="0.2">
      <c r="B89" s="1" t="s">
        <v>500</v>
      </c>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BE89" s="1">
        <f t="shared" ref="BE89:BF89" si="163">SUM(BE85:BE88)</f>
        <v>-1065</v>
      </c>
      <c r="BF89" s="1">
        <f t="shared" si="163"/>
        <v>-1135.5000000000002</v>
      </c>
      <c r="BX89" s="1">
        <f t="shared" ref="BX89:BY89" si="164">SUM(BX85:BX88)</f>
        <v>-1009.0000000000002</v>
      </c>
      <c r="BY89" s="1">
        <f t="shared" si="164"/>
        <v>-1790.1</v>
      </c>
      <c r="BZ89" s="1">
        <f>SUM(BZ85:BZ88)</f>
        <v>-2200.5000000000005</v>
      </c>
    </row>
    <row r="90" spans="2:78" s="1" customFormat="1" x14ac:dyDescent="0.2">
      <c r="B90" s="1" t="s">
        <v>501</v>
      </c>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BE90" s="1">
        <v>0</v>
      </c>
      <c r="BF90" s="1">
        <v>0</v>
      </c>
      <c r="BX90" s="1">
        <v>0</v>
      </c>
      <c r="BY90" s="1">
        <v>-0.4</v>
      </c>
      <c r="BZ90" s="1">
        <v>-0.7</v>
      </c>
    </row>
    <row r="91" spans="2:78" s="1" customFormat="1" x14ac:dyDescent="0.2">
      <c r="B91" s="1" t="s">
        <v>502</v>
      </c>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BE91" s="1">
        <f>+BE90+BE89+BE83+BE77</f>
        <v>-2592.5000000000009</v>
      </c>
      <c r="BF91" s="1">
        <f>+BF90+BF89+BF83+BF77</f>
        <v>477.89999999999895</v>
      </c>
      <c r="BX91" s="1">
        <f>+BX90+BX89+BX83+BX77</f>
        <v>221.30000000000018</v>
      </c>
      <c r="BY91" s="1">
        <f>+BY90+BY89+BY83+BY77</f>
        <v>-381.60000000000036</v>
      </c>
      <c r="BZ91" s="1">
        <f>+BZ90+BZ89+BZ83+BZ77</f>
        <v>-248.80000000000291</v>
      </c>
    </row>
    <row r="92" spans="2:78" x14ac:dyDescent="0.2">
      <c r="BU92" s="50"/>
      <c r="BV92" s="50"/>
      <c r="BW92" s="50"/>
      <c r="BX92" s="50"/>
      <c r="BY92" s="50"/>
    </row>
    <row r="93" spans="2:78" x14ac:dyDescent="0.2">
      <c r="B93" s="1" t="s">
        <v>383</v>
      </c>
      <c r="BL93">
        <v>32.79</v>
      </c>
      <c r="BM93">
        <v>55.36</v>
      </c>
      <c r="BN93">
        <v>170.85</v>
      </c>
      <c r="BO93">
        <v>274.89</v>
      </c>
      <c r="BP93">
        <v>409.72</v>
      </c>
      <c r="BQ93">
        <v>542.16999999999996</v>
      </c>
      <c r="BR93">
        <v>366.62</v>
      </c>
      <c r="BS93">
        <v>375.48</v>
      </c>
      <c r="BT93">
        <v>373.02</v>
      </c>
      <c r="BU93" s="21">
        <v>375</v>
      </c>
      <c r="BV93">
        <v>482.49</v>
      </c>
      <c r="BW93">
        <v>630.71</v>
      </c>
      <c r="BX93">
        <v>720.56</v>
      </c>
      <c r="BY93">
        <v>877.16</v>
      </c>
      <c r="BZ93">
        <v>711.42</v>
      </c>
    </row>
    <row r="94" spans="2:78" s="45" customFormat="1" x14ac:dyDescent="0.2">
      <c r="B94" s="16" t="s">
        <v>384</v>
      </c>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BM94" s="51">
        <f t="shared" ref="BM94:BZ94" si="165">+BM93/BL93-1</f>
        <v>0.6883196096370845</v>
      </c>
      <c r="BN94" s="51">
        <f t="shared" si="165"/>
        <v>2.0861632947976876</v>
      </c>
      <c r="BO94" s="51">
        <f t="shared" si="165"/>
        <v>0.60895522388059709</v>
      </c>
      <c r="BP94" s="51">
        <f t="shared" si="165"/>
        <v>0.49048710393248229</v>
      </c>
      <c r="BQ94" s="51">
        <f t="shared" si="165"/>
        <v>0.32326954993654189</v>
      </c>
      <c r="BR94" s="51">
        <f t="shared" si="165"/>
        <v>-0.32379143073205818</v>
      </c>
      <c r="BS94" s="51">
        <f t="shared" si="165"/>
        <v>2.4166712126997947E-2</v>
      </c>
      <c r="BT94" s="51">
        <f t="shared" si="165"/>
        <v>-6.5516139341643687E-3</v>
      </c>
      <c r="BU94" s="51">
        <f t="shared" si="165"/>
        <v>5.3080263792826266E-3</v>
      </c>
      <c r="BV94" s="51">
        <f t="shared" si="165"/>
        <v>0.28664000000000001</v>
      </c>
      <c r="BW94" s="51">
        <f t="shared" si="165"/>
        <v>0.30719807664407561</v>
      </c>
      <c r="BX94" s="51">
        <f t="shared" si="165"/>
        <v>0.14245849915174946</v>
      </c>
      <c r="BY94" s="51">
        <f t="shared" si="165"/>
        <v>0.21733096480515157</v>
      </c>
      <c r="BZ94" s="51">
        <f t="shared" si="165"/>
        <v>-0.18895070454649099</v>
      </c>
    </row>
    <row r="95" spans="2:78" x14ac:dyDescent="0.2">
      <c r="B95" s="1"/>
      <c r="BM95" s="1">
        <f t="shared" ref="BM95:BZ95" si="166">+BM93/$BL$93</f>
        <v>1.6883196096370845</v>
      </c>
      <c r="BN95" s="1">
        <f t="shared" si="166"/>
        <v>5.2104300091491309</v>
      </c>
      <c r="BO95" s="1">
        <f t="shared" si="166"/>
        <v>8.3833485818847215</v>
      </c>
      <c r="BP95" s="1">
        <f t="shared" si="166"/>
        <v>12.49527294906984</v>
      </c>
      <c r="BQ95" s="1">
        <f t="shared" si="166"/>
        <v>16.534614211649892</v>
      </c>
      <c r="BR95" s="1">
        <f t="shared" si="166"/>
        <v>11.180847819457153</v>
      </c>
      <c r="BS95" s="1">
        <f t="shared" si="166"/>
        <v>11.451052150045747</v>
      </c>
      <c r="BT95" s="1">
        <f t="shared" si="166"/>
        <v>11.376029277218663</v>
      </c>
      <c r="BU95" s="1">
        <f t="shared" si="166"/>
        <v>11.436413540713632</v>
      </c>
      <c r="BV95" s="1">
        <f t="shared" si="166"/>
        <v>14.714547118023788</v>
      </c>
      <c r="BW95" s="1">
        <f t="shared" si="166"/>
        <v>19.234827691369322</v>
      </c>
      <c r="BX95" s="1">
        <f t="shared" si="166"/>
        <v>21.974992375724305</v>
      </c>
      <c r="BY95" s="1">
        <f t="shared" si="166"/>
        <v>26.750838670326317</v>
      </c>
      <c r="BZ95" s="1">
        <f t="shared" si="166"/>
        <v>21.696248856358647</v>
      </c>
    </row>
    <row r="96" spans="2:78" x14ac:dyDescent="0.2">
      <c r="B96" s="1"/>
      <c r="BM96" s="1"/>
      <c r="BN96" s="1"/>
      <c r="BO96" s="1"/>
    </row>
    <row r="97" spans="2:78" s="45" customFormat="1" x14ac:dyDescent="0.2">
      <c r="B97" s="16" t="s">
        <v>240</v>
      </c>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BM97" s="51">
        <f t="shared" ref="BM97:BZ97" si="167">BM25/BL25-1</f>
        <v>0.32447576548044177</v>
      </c>
      <c r="BN97" s="51">
        <f t="shared" si="167"/>
        <v>2.0921938088829068</v>
      </c>
      <c r="BO97" s="51">
        <f t="shared" si="167"/>
        <v>0.52680449764236514</v>
      </c>
      <c r="BP97" s="51">
        <f t="shared" si="167"/>
        <v>0.33966836128664424</v>
      </c>
      <c r="BQ97" s="51">
        <f t="shared" si="167"/>
        <v>0.45541920839835415</v>
      </c>
      <c r="BR97" s="51">
        <f t="shared" si="167"/>
        <v>0.18439457075322285</v>
      </c>
      <c r="BS97" s="51">
        <f t="shared" si="167"/>
        <v>0.20817216689984375</v>
      </c>
      <c r="BT97" s="51">
        <f t="shared" si="167"/>
        <v>0.17368277647219088</v>
      </c>
      <c r="BU97" s="51">
        <f t="shared" si="167"/>
        <v>0.15921127087534992</v>
      </c>
      <c r="BV97" s="51">
        <f t="shared" si="167"/>
        <v>4.8138783888652448E-2</v>
      </c>
      <c r="BW97" s="51">
        <f t="shared" si="167"/>
        <v>0.91933365177931714</v>
      </c>
      <c r="BX97" s="51">
        <f t="shared" si="167"/>
        <v>-0.24265048996733551</v>
      </c>
      <c r="BY97" s="51">
        <f t="shared" si="167"/>
        <v>7.7592934894228582E-2</v>
      </c>
      <c r="BZ97" s="51">
        <f t="shared" si="167"/>
        <v>8.2739955782572094E-2</v>
      </c>
    </row>
  </sheetData>
  <hyperlinks>
    <hyperlink ref="A1" location="Main!A1" display="Main" xr:uid="{D2C01981-FEC3-4A39-A852-FDD02C9DCC1E}"/>
  </hyperlink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55F3-9DBC-4C9C-B845-977453EBAB65}">
  <dimension ref="A1:C11"/>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376</v>
      </c>
      <c r="C2" t="s">
        <v>207</v>
      </c>
    </row>
    <row r="3" spans="1:3" x14ac:dyDescent="0.2">
      <c r="B3" t="s">
        <v>377</v>
      </c>
      <c r="C3" t="s">
        <v>378</v>
      </c>
    </row>
    <row r="4" spans="1:3" x14ac:dyDescent="0.2">
      <c r="B4" t="s">
        <v>47</v>
      </c>
      <c r="C4" t="s">
        <v>379</v>
      </c>
    </row>
    <row r="5" spans="1:3" x14ac:dyDescent="0.2">
      <c r="B5" t="s">
        <v>371</v>
      </c>
      <c r="C5" t="s">
        <v>380</v>
      </c>
    </row>
    <row r="6" spans="1:3" x14ac:dyDescent="0.2">
      <c r="C6" t="s">
        <v>474</v>
      </c>
    </row>
    <row r="7" spans="1:3" x14ac:dyDescent="0.2">
      <c r="B7" t="s">
        <v>65</v>
      </c>
    </row>
    <row r="8" spans="1:3" x14ac:dyDescent="0.2">
      <c r="C8" s="54" t="s">
        <v>400</v>
      </c>
    </row>
    <row r="9" spans="1:3" x14ac:dyDescent="0.2">
      <c r="C9" t="s">
        <v>401</v>
      </c>
    </row>
    <row r="11" spans="1:3" x14ac:dyDescent="0.2">
      <c r="C11" s="54" t="s">
        <v>402</v>
      </c>
    </row>
  </sheetData>
  <hyperlinks>
    <hyperlink ref="A1" location="Main!A1" display="Main" xr:uid="{3CC6F868-66C6-43A5-A280-736BC733A70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8"/>
  <sheetViews>
    <sheetView zoomScale="145" zoomScaleNormal="145"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3" x14ac:dyDescent="0.2">
      <c r="A1" s="13" t="s">
        <v>78</v>
      </c>
    </row>
    <row r="2" spans="1:3" x14ac:dyDescent="0.2">
      <c r="B2" s="9" t="s">
        <v>77</v>
      </c>
      <c r="C2" s="9" t="s">
        <v>260</v>
      </c>
    </row>
    <row r="3" spans="1:3" x14ac:dyDescent="0.2">
      <c r="B3" s="9" t="s">
        <v>75</v>
      </c>
      <c r="C3" s="9" t="s">
        <v>191</v>
      </c>
    </row>
    <row r="4" spans="1:3" x14ac:dyDescent="0.2">
      <c r="B4" s="9" t="s">
        <v>43</v>
      </c>
      <c r="C4" s="9" t="s">
        <v>190</v>
      </c>
    </row>
    <row r="5" spans="1:3" x14ac:dyDescent="0.2">
      <c r="B5" s="9" t="s">
        <v>47</v>
      </c>
      <c r="C5" s="9" t="s">
        <v>189</v>
      </c>
    </row>
    <row r="6" spans="1:3" x14ac:dyDescent="0.2">
      <c r="B6" s="9" t="s">
        <v>45</v>
      </c>
      <c r="C6" s="9" t="s">
        <v>188</v>
      </c>
    </row>
    <row r="7" spans="1:3" x14ac:dyDescent="0.2">
      <c r="B7" s="9" t="s">
        <v>371</v>
      </c>
      <c r="C7" s="9" t="s">
        <v>426</v>
      </c>
    </row>
    <row r="8" spans="1:3" x14ac:dyDescent="0.2">
      <c r="B8" s="9" t="s">
        <v>44</v>
      </c>
      <c r="C8" s="9" t="s">
        <v>20</v>
      </c>
    </row>
    <row r="9" spans="1:3" x14ac:dyDescent="0.2">
      <c r="B9" s="9" t="s">
        <v>131</v>
      </c>
    </row>
    <row r="10" spans="1:3" x14ac:dyDescent="0.2">
      <c r="B10" s="9" t="s">
        <v>65</v>
      </c>
    </row>
    <row r="11" spans="1:3" x14ac:dyDescent="0.2">
      <c r="C11" s="10" t="s">
        <v>424</v>
      </c>
    </row>
    <row r="14" spans="1:3" x14ac:dyDescent="0.2">
      <c r="C14" s="10" t="s">
        <v>425</v>
      </c>
    </row>
    <row r="17" spans="3:3" x14ac:dyDescent="0.2">
      <c r="C17" s="10" t="s">
        <v>187</v>
      </c>
    </row>
    <row r="18" spans="3:3" x14ac:dyDescent="0.2">
      <c r="C18" s="9" t="s">
        <v>186</v>
      </c>
    </row>
  </sheetData>
  <hyperlinks>
    <hyperlink ref="A1" location="Main!A1" display="Main" xr:uid="{3A765EE9-AE7C-4B13-9916-378DECED3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D23"/>
  <sheetViews>
    <sheetView zoomScale="250" zoomScaleNormal="250"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4" x14ac:dyDescent="0.2">
      <c r="A1" s="13" t="s">
        <v>78</v>
      </c>
    </row>
    <row r="2" spans="1:4" x14ac:dyDescent="0.2">
      <c r="B2" s="9" t="s">
        <v>77</v>
      </c>
      <c r="C2" s="9" t="s">
        <v>194</v>
      </c>
    </row>
    <row r="3" spans="1:4" x14ac:dyDescent="0.2">
      <c r="B3" s="9" t="s">
        <v>75</v>
      </c>
      <c r="C3" s="9" t="s">
        <v>195</v>
      </c>
    </row>
    <row r="4" spans="1:4" x14ac:dyDescent="0.2">
      <c r="B4" s="9" t="s">
        <v>43</v>
      </c>
      <c r="C4" s="9" t="s">
        <v>480</v>
      </c>
    </row>
    <row r="5" spans="1:4" x14ac:dyDescent="0.2">
      <c r="D5" s="9" t="s">
        <v>482</v>
      </c>
    </row>
    <row r="6" spans="1:4" x14ac:dyDescent="0.2">
      <c r="D6" s="9" t="s">
        <v>481</v>
      </c>
    </row>
    <row r="7" spans="1:4" x14ac:dyDescent="0.2">
      <c r="B7" s="9" t="s">
        <v>47</v>
      </c>
      <c r="C7" s="9" t="s">
        <v>399</v>
      </c>
    </row>
    <row r="8" spans="1:4" x14ac:dyDescent="0.2">
      <c r="B8" s="9" t="s">
        <v>371</v>
      </c>
      <c r="C8" s="9" t="s">
        <v>375</v>
      </c>
    </row>
    <row r="9" spans="1:4" x14ac:dyDescent="0.2">
      <c r="C9" s="9" t="s">
        <v>473</v>
      </c>
    </row>
    <row r="10" spans="1:4" x14ac:dyDescent="0.2">
      <c r="C10" s="9" t="s">
        <v>398</v>
      </c>
    </row>
    <row r="11" spans="1:4" x14ac:dyDescent="0.2">
      <c r="C11" s="9" t="s">
        <v>396</v>
      </c>
    </row>
    <row r="12" spans="1:4" x14ac:dyDescent="0.2">
      <c r="B12" s="9" t="s">
        <v>44</v>
      </c>
    </row>
    <row r="13" spans="1:4" x14ac:dyDescent="0.2">
      <c r="B13" s="9" t="s">
        <v>131</v>
      </c>
    </row>
    <row r="14" spans="1:4" x14ac:dyDescent="0.2">
      <c r="B14" s="9" t="s">
        <v>65</v>
      </c>
    </row>
    <row r="15" spans="1:4" x14ac:dyDescent="0.2">
      <c r="C15" s="10" t="s">
        <v>394</v>
      </c>
    </row>
    <row r="17" spans="3:3" x14ac:dyDescent="0.2">
      <c r="C17" s="9" t="s">
        <v>395</v>
      </c>
    </row>
    <row r="19" spans="3:3" x14ac:dyDescent="0.2">
      <c r="C19" s="10" t="s">
        <v>193</v>
      </c>
    </row>
    <row r="23" spans="3:3" x14ac:dyDescent="0.2">
      <c r="C23" s="10" t="s">
        <v>192</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80"/>
  <sheetViews>
    <sheetView zoomScale="160" zoomScaleNormal="160" workbookViewId="0"/>
  </sheetViews>
  <sheetFormatPr defaultColWidth="9.140625" defaultRowHeight="12.75" x14ac:dyDescent="0.2"/>
  <cols>
    <col min="1" max="1" width="5" style="9" bestFit="1" customWidth="1"/>
    <col min="2" max="2" width="14.28515625" style="9" customWidth="1"/>
    <col min="3" max="6" width="9.140625" style="9"/>
    <col min="7" max="7" width="12.85546875" style="9" bestFit="1" customWidth="1"/>
    <col min="8" max="8" width="9.140625" style="9"/>
    <col min="9" max="9" width="12.7109375" style="9" bestFit="1" customWidth="1"/>
    <col min="10" max="10" width="14.42578125" style="9" bestFit="1" customWidth="1"/>
    <col min="11" max="11" width="12.7109375" style="9" bestFit="1" customWidth="1"/>
    <col min="12" max="16384" width="9.140625" style="9"/>
  </cols>
  <sheetData>
    <row r="1" spans="1:3" x14ac:dyDescent="0.2">
      <c r="A1" s="62" t="s">
        <v>78</v>
      </c>
    </row>
    <row r="2" spans="1:3" x14ac:dyDescent="0.2">
      <c r="B2" s="9" t="s">
        <v>77</v>
      </c>
      <c r="C2" s="9" t="s">
        <v>367</v>
      </c>
    </row>
    <row r="3" spans="1:3" x14ac:dyDescent="0.2">
      <c r="B3" s="9" t="s">
        <v>75</v>
      </c>
      <c r="C3" s="9" t="s">
        <v>134</v>
      </c>
    </row>
    <row r="4" spans="1:3" x14ac:dyDescent="0.2">
      <c r="B4" s="9" t="s">
        <v>43</v>
      </c>
      <c r="C4" s="9" t="s">
        <v>133</v>
      </c>
    </row>
    <row r="5" spans="1:3" x14ac:dyDescent="0.2">
      <c r="B5" s="9" t="s">
        <v>47</v>
      </c>
      <c r="C5" s="9" t="s">
        <v>30</v>
      </c>
    </row>
    <row r="6" spans="1:3" x14ac:dyDescent="0.2">
      <c r="B6" s="9" t="s">
        <v>371</v>
      </c>
      <c r="C6" s="9" t="s">
        <v>372</v>
      </c>
    </row>
    <row r="7" spans="1:3" x14ac:dyDescent="0.2">
      <c r="C7" s="9" t="s">
        <v>374</v>
      </c>
    </row>
    <row r="8" spans="1:3" x14ac:dyDescent="0.2">
      <c r="C8" s="9" t="s">
        <v>466</v>
      </c>
    </row>
    <row r="9" spans="1:3" x14ac:dyDescent="0.2">
      <c r="C9" s="9" t="s">
        <v>464</v>
      </c>
    </row>
    <row r="10" spans="1:3" x14ac:dyDescent="0.2">
      <c r="C10" s="9" t="s">
        <v>465</v>
      </c>
    </row>
    <row r="11" spans="1:3" x14ac:dyDescent="0.2">
      <c r="C11" s="9" t="s">
        <v>472</v>
      </c>
    </row>
    <row r="12" spans="1:3" x14ac:dyDescent="0.2">
      <c r="B12" s="9" t="s">
        <v>45</v>
      </c>
      <c r="C12" s="9" t="s">
        <v>403</v>
      </c>
    </row>
    <row r="13" spans="1:3" x14ac:dyDescent="0.2">
      <c r="B13" s="9" t="s">
        <v>44</v>
      </c>
      <c r="C13" s="9" t="s">
        <v>132</v>
      </c>
    </row>
    <row r="14" spans="1:3" x14ac:dyDescent="0.2">
      <c r="B14" s="9" t="s">
        <v>131</v>
      </c>
      <c r="C14" s="9" t="s">
        <v>373</v>
      </c>
    </row>
    <row r="15" spans="1:3" x14ac:dyDescent="0.2">
      <c r="B15" s="9" t="s">
        <v>42</v>
      </c>
    </row>
    <row r="16" spans="1:3" x14ac:dyDescent="0.2">
      <c r="B16" s="9" t="s">
        <v>65</v>
      </c>
    </row>
    <row r="18" spans="3:11" x14ac:dyDescent="0.2">
      <c r="C18" s="10" t="s">
        <v>368</v>
      </c>
    </row>
    <row r="19" spans="3:11" x14ac:dyDescent="0.2">
      <c r="C19" s="9" t="s">
        <v>369</v>
      </c>
    </row>
    <row r="20" spans="3:11" x14ac:dyDescent="0.2">
      <c r="C20" s="9" t="s">
        <v>370</v>
      </c>
    </row>
    <row r="23" spans="3:11" x14ac:dyDescent="0.2">
      <c r="C23" s="10" t="s">
        <v>130</v>
      </c>
    </row>
    <row r="24" spans="3:11" x14ac:dyDescent="0.2">
      <c r="C24" s="9" t="s">
        <v>129</v>
      </c>
    </row>
    <row r="25" spans="3:11" x14ac:dyDescent="0.2">
      <c r="C25" s="9" t="s">
        <v>123</v>
      </c>
    </row>
    <row r="26" spans="3:11" x14ac:dyDescent="0.2">
      <c r="C26" s="9" t="s">
        <v>122</v>
      </c>
    </row>
    <row r="27" spans="3:11" x14ac:dyDescent="0.2">
      <c r="C27" s="9" t="s">
        <v>121</v>
      </c>
    </row>
    <row r="28" spans="3:11" x14ac:dyDescent="0.2">
      <c r="C28" s="9" t="s">
        <v>120</v>
      </c>
      <c r="H28" s="9" t="s">
        <v>118</v>
      </c>
      <c r="I28" s="9" t="s">
        <v>117</v>
      </c>
      <c r="J28" s="9" t="s">
        <v>115</v>
      </c>
      <c r="K28" s="9" t="s">
        <v>113</v>
      </c>
    </row>
    <row r="29" spans="3:11" x14ac:dyDescent="0.2">
      <c r="C29" s="9" t="s">
        <v>119</v>
      </c>
      <c r="E29" s="63">
        <v>0.93</v>
      </c>
      <c r="G29" s="9" t="s">
        <v>116</v>
      </c>
      <c r="H29" s="64">
        <v>304</v>
      </c>
      <c r="I29" s="64">
        <v>304</v>
      </c>
      <c r="J29" s="64">
        <v>301</v>
      </c>
      <c r="K29" s="64">
        <v>301</v>
      </c>
    </row>
    <row r="30" spans="3:11" x14ac:dyDescent="0.2">
      <c r="C30" s="9" t="s">
        <v>117</v>
      </c>
      <c r="E30" s="63">
        <v>0.96</v>
      </c>
      <c r="G30" s="9" t="s">
        <v>114</v>
      </c>
      <c r="H30" s="64">
        <v>78</v>
      </c>
      <c r="I30" s="64">
        <v>78</v>
      </c>
      <c r="J30" s="64">
        <v>78</v>
      </c>
      <c r="K30" s="64">
        <v>78</v>
      </c>
    </row>
    <row r="31" spans="3:11" x14ac:dyDescent="0.2">
      <c r="C31" s="9" t="s">
        <v>115</v>
      </c>
      <c r="E31" s="63">
        <v>0.91</v>
      </c>
      <c r="G31" s="9" t="s">
        <v>128</v>
      </c>
      <c r="H31" s="64">
        <v>57</v>
      </c>
      <c r="I31" s="64">
        <v>64</v>
      </c>
      <c r="J31" s="64">
        <v>56</v>
      </c>
      <c r="K31" s="64">
        <v>59</v>
      </c>
    </row>
    <row r="32" spans="3:11" x14ac:dyDescent="0.2">
      <c r="C32" s="9" t="s">
        <v>113</v>
      </c>
      <c r="E32" s="63">
        <v>0.91</v>
      </c>
      <c r="G32" s="9" t="s">
        <v>111</v>
      </c>
      <c r="H32" s="64">
        <v>54</v>
      </c>
      <c r="I32" s="64">
        <v>55</v>
      </c>
      <c r="J32" s="64">
        <v>56</v>
      </c>
      <c r="K32" s="64">
        <v>56</v>
      </c>
    </row>
    <row r="33" spans="3:12" x14ac:dyDescent="0.2">
      <c r="G33" s="65" t="s">
        <v>110</v>
      </c>
      <c r="H33" s="66">
        <v>0.94</v>
      </c>
      <c r="I33" s="66">
        <v>0.95</v>
      </c>
      <c r="J33" s="66">
        <v>0.96</v>
      </c>
      <c r="K33" s="66">
        <v>0.96</v>
      </c>
    </row>
    <row r="34" spans="3:12" x14ac:dyDescent="0.2">
      <c r="G34" s="65" t="s">
        <v>109</v>
      </c>
      <c r="H34" s="64">
        <v>8.1</v>
      </c>
      <c r="I34" s="64">
        <v>10.9</v>
      </c>
      <c r="J34" s="64" t="s">
        <v>127</v>
      </c>
      <c r="K34" s="64" t="s">
        <v>126</v>
      </c>
      <c r="L34" s="9" t="s">
        <v>105</v>
      </c>
    </row>
    <row r="35" spans="3:12" x14ac:dyDescent="0.2">
      <c r="G35" s="65" t="s">
        <v>104</v>
      </c>
      <c r="H35" s="64">
        <v>31</v>
      </c>
      <c r="I35" s="64">
        <v>38</v>
      </c>
      <c r="J35" s="64">
        <v>25</v>
      </c>
      <c r="K35" s="64">
        <v>31</v>
      </c>
    </row>
    <row r="36" spans="3:12" x14ac:dyDescent="0.2">
      <c r="H36" s="64"/>
      <c r="I36" s="64"/>
      <c r="J36" s="64"/>
      <c r="K36" s="64"/>
    </row>
    <row r="37" spans="3:12" x14ac:dyDescent="0.2">
      <c r="C37" s="10" t="s">
        <v>125</v>
      </c>
    </row>
    <row r="38" spans="3:12" x14ac:dyDescent="0.2">
      <c r="C38" s="9" t="s">
        <v>124</v>
      </c>
    </row>
    <row r="39" spans="3:12" x14ac:dyDescent="0.2">
      <c r="C39" s="9" t="s">
        <v>123</v>
      </c>
    </row>
    <row r="40" spans="3:12" x14ac:dyDescent="0.2">
      <c r="C40" s="9" t="s">
        <v>122</v>
      </c>
    </row>
    <row r="41" spans="3:12" x14ac:dyDescent="0.2">
      <c r="C41" s="9" t="s">
        <v>121</v>
      </c>
    </row>
    <row r="42" spans="3:12" x14ac:dyDescent="0.2">
      <c r="C42" s="9" t="s">
        <v>120</v>
      </c>
    </row>
    <row r="43" spans="3:12" x14ac:dyDescent="0.2">
      <c r="C43" s="9" t="s">
        <v>119</v>
      </c>
      <c r="E43" s="63">
        <v>0.91</v>
      </c>
      <c r="H43" s="9" t="s">
        <v>118</v>
      </c>
      <c r="I43" s="9" t="s">
        <v>117</v>
      </c>
      <c r="J43" s="9" t="s">
        <v>115</v>
      </c>
      <c r="K43" s="9" t="s">
        <v>113</v>
      </c>
    </row>
    <row r="44" spans="3:12" x14ac:dyDescent="0.2">
      <c r="C44" s="9" t="s">
        <v>117</v>
      </c>
      <c r="E44" s="63">
        <v>0.9</v>
      </c>
      <c r="G44" s="9" t="s">
        <v>116</v>
      </c>
      <c r="H44" s="64">
        <v>291</v>
      </c>
      <c r="I44" s="64">
        <v>309</v>
      </c>
      <c r="J44" s="64">
        <v>296</v>
      </c>
      <c r="K44" s="64">
        <v>306</v>
      </c>
    </row>
    <row r="45" spans="3:12" x14ac:dyDescent="0.2">
      <c r="C45" s="9" t="s">
        <v>115</v>
      </c>
      <c r="E45" s="63">
        <v>0.88</v>
      </c>
      <c r="G45" s="9" t="s">
        <v>114</v>
      </c>
      <c r="H45" s="64">
        <v>73</v>
      </c>
      <c r="I45" s="64">
        <v>74</v>
      </c>
      <c r="J45" s="64">
        <v>75</v>
      </c>
      <c r="K45" s="64">
        <v>74</v>
      </c>
    </row>
    <row r="46" spans="3:12" x14ac:dyDescent="0.2">
      <c r="C46" s="9" t="s">
        <v>113</v>
      </c>
      <c r="E46" s="63">
        <v>0.91</v>
      </c>
      <c r="G46" s="9" t="s">
        <v>112</v>
      </c>
      <c r="H46" s="64">
        <v>58</v>
      </c>
      <c r="I46" s="64">
        <v>57</v>
      </c>
      <c r="J46" s="64">
        <v>50</v>
      </c>
      <c r="K46" s="64">
        <v>57</v>
      </c>
    </row>
    <row r="47" spans="3:12" x14ac:dyDescent="0.2">
      <c r="G47" s="9" t="s">
        <v>111</v>
      </c>
      <c r="H47" s="64">
        <v>54</v>
      </c>
      <c r="I47" s="64">
        <v>53</v>
      </c>
      <c r="J47" s="64">
        <v>52</v>
      </c>
      <c r="K47" s="64">
        <v>52</v>
      </c>
    </row>
    <row r="48" spans="3:12" x14ac:dyDescent="0.2">
      <c r="G48" s="65" t="s">
        <v>110</v>
      </c>
      <c r="H48" s="66">
        <v>0.94</v>
      </c>
      <c r="I48" s="66">
        <v>0.95</v>
      </c>
      <c r="J48" s="66">
        <v>0.96</v>
      </c>
      <c r="K48" s="66">
        <v>0.96</v>
      </c>
    </row>
    <row r="49" spans="3:12" x14ac:dyDescent="0.2">
      <c r="G49" s="65" t="s">
        <v>109</v>
      </c>
      <c r="H49" s="64">
        <v>9.4</v>
      </c>
      <c r="I49" s="64" t="s">
        <v>108</v>
      </c>
      <c r="J49" s="64" t="s">
        <v>107</v>
      </c>
      <c r="K49" s="64" t="s">
        <v>106</v>
      </c>
      <c r="L49" s="9" t="s">
        <v>105</v>
      </c>
    </row>
    <row r="50" spans="3:12" x14ac:dyDescent="0.2">
      <c r="G50" s="65" t="s">
        <v>104</v>
      </c>
      <c r="H50" s="64">
        <v>34</v>
      </c>
      <c r="I50" s="64">
        <v>29</v>
      </c>
      <c r="J50" s="64">
        <v>35</v>
      </c>
      <c r="K50" s="64">
        <v>31</v>
      </c>
    </row>
    <row r="51" spans="3:12" x14ac:dyDescent="0.2">
      <c r="G51" s="65"/>
      <c r="H51" s="64"/>
      <c r="I51" s="64"/>
      <c r="J51" s="64"/>
      <c r="K51" s="64"/>
    </row>
    <row r="52" spans="3:12" x14ac:dyDescent="0.2">
      <c r="C52" s="10" t="s">
        <v>103</v>
      </c>
      <c r="G52" s="65"/>
      <c r="H52" s="64"/>
      <c r="I52" s="64"/>
      <c r="J52" s="64"/>
      <c r="K52" s="64"/>
    </row>
    <row r="53" spans="3:12" x14ac:dyDescent="0.2">
      <c r="C53" s="9" t="s">
        <v>102</v>
      </c>
      <c r="G53" s="65"/>
      <c r="H53" s="64"/>
      <c r="I53" s="64"/>
      <c r="J53" s="64"/>
      <c r="K53" s="64"/>
    </row>
    <row r="54" spans="3:12" x14ac:dyDescent="0.2">
      <c r="C54" s="9" t="s">
        <v>101</v>
      </c>
      <c r="G54" s="65"/>
      <c r="H54" s="64"/>
      <c r="I54" s="64"/>
      <c r="J54" s="64"/>
      <c r="K54" s="64"/>
    </row>
    <row r="55" spans="3:12" x14ac:dyDescent="0.2">
      <c r="C55" s="9" t="s">
        <v>100</v>
      </c>
      <c r="G55" s="65"/>
      <c r="H55" s="64"/>
      <c r="I55" s="64"/>
      <c r="J55" s="64"/>
      <c r="K55" s="64"/>
    </row>
    <row r="56" spans="3:12" x14ac:dyDescent="0.2">
      <c r="G56" s="65"/>
      <c r="H56" s="64"/>
      <c r="I56" s="64"/>
      <c r="J56" s="64"/>
      <c r="K56" s="64"/>
    </row>
    <row r="57" spans="3:12" x14ac:dyDescent="0.2">
      <c r="C57" s="10" t="s">
        <v>99</v>
      </c>
      <c r="G57" s="65"/>
      <c r="H57" s="64"/>
      <c r="I57" s="64"/>
      <c r="J57" s="64"/>
      <c r="K57" s="64"/>
    </row>
    <row r="58" spans="3:12" x14ac:dyDescent="0.2">
      <c r="C58" s="9" t="s">
        <v>98</v>
      </c>
      <c r="G58" s="65"/>
      <c r="H58" s="64"/>
      <c r="I58" s="64"/>
      <c r="J58" s="64"/>
      <c r="K58" s="64"/>
    </row>
    <row r="59" spans="3:12" x14ac:dyDescent="0.2">
      <c r="C59" s="9" t="s">
        <v>97</v>
      </c>
      <c r="G59" s="65"/>
      <c r="H59" s="64"/>
      <c r="I59" s="64"/>
      <c r="J59" s="64"/>
      <c r="K59" s="64"/>
    </row>
    <row r="60" spans="3:12" x14ac:dyDescent="0.2">
      <c r="C60" s="9" t="s">
        <v>96</v>
      </c>
      <c r="G60" s="65"/>
      <c r="H60" s="64"/>
      <c r="I60" s="64"/>
      <c r="J60" s="64"/>
      <c r="K60" s="64"/>
    </row>
    <row r="61" spans="3:12" x14ac:dyDescent="0.2">
      <c r="C61" s="9" t="s">
        <v>95</v>
      </c>
      <c r="G61" s="65"/>
      <c r="H61" s="64"/>
      <c r="I61" s="64"/>
      <c r="J61" s="64"/>
      <c r="K61" s="64"/>
    </row>
    <row r="62" spans="3:12" x14ac:dyDescent="0.2">
      <c r="C62" s="9" t="s">
        <v>94</v>
      </c>
      <c r="G62" s="65"/>
      <c r="H62" s="64"/>
      <c r="I62" s="64"/>
      <c r="J62" s="64"/>
      <c r="K62" s="64"/>
    </row>
    <row r="63" spans="3:12" x14ac:dyDescent="0.2">
      <c r="C63" s="9" t="s">
        <v>93</v>
      </c>
      <c r="G63" s="65"/>
      <c r="H63" s="64"/>
      <c r="I63" s="64"/>
      <c r="J63" s="64"/>
      <c r="K63" s="64"/>
    </row>
    <row r="64" spans="3:12" x14ac:dyDescent="0.2">
      <c r="C64" s="9" t="s">
        <v>92</v>
      </c>
      <c r="G64" s="65"/>
      <c r="H64" s="64"/>
      <c r="I64" s="64"/>
      <c r="J64" s="64"/>
      <c r="K64" s="64"/>
    </row>
    <row r="65" spans="3:11" x14ac:dyDescent="0.2">
      <c r="C65" s="9" t="s">
        <v>91</v>
      </c>
      <c r="G65" s="65"/>
      <c r="H65" s="64"/>
      <c r="I65" s="64"/>
      <c r="J65" s="64"/>
      <c r="K65" s="64"/>
    </row>
    <row r="66" spans="3:11" x14ac:dyDescent="0.2">
      <c r="C66" s="9" t="s">
        <v>90</v>
      </c>
      <c r="G66" s="65"/>
      <c r="H66" s="64"/>
      <c r="I66" s="64"/>
      <c r="J66" s="64"/>
      <c r="K66" s="64"/>
    </row>
    <row r="68" spans="3:11" x14ac:dyDescent="0.2">
      <c r="C68" s="10" t="s">
        <v>89</v>
      </c>
    </row>
    <row r="69" spans="3:11" x14ac:dyDescent="0.2">
      <c r="C69" s="9" t="s">
        <v>88</v>
      </c>
    </row>
    <row r="71" spans="3:11" x14ac:dyDescent="0.2">
      <c r="C71" s="10" t="s">
        <v>87</v>
      </c>
    </row>
    <row r="72" spans="3:11" x14ac:dyDescent="0.2">
      <c r="C72" s="9" t="s">
        <v>86</v>
      </c>
    </row>
    <row r="73" spans="3:11" x14ac:dyDescent="0.2">
      <c r="C73" s="9" t="s">
        <v>85</v>
      </c>
    </row>
    <row r="74" spans="3:11" x14ac:dyDescent="0.2">
      <c r="C74" s="9" t="s">
        <v>84</v>
      </c>
    </row>
    <row r="76" spans="3:11" x14ac:dyDescent="0.2">
      <c r="C76" s="9" t="s">
        <v>83</v>
      </c>
    </row>
    <row r="77" spans="3:11" x14ac:dyDescent="0.2">
      <c r="C77" s="9" t="s">
        <v>82</v>
      </c>
    </row>
    <row r="78" spans="3:11" x14ac:dyDescent="0.2">
      <c r="C78" s="9" t="s">
        <v>81</v>
      </c>
    </row>
    <row r="79" spans="3:11" x14ac:dyDescent="0.2">
      <c r="C79" s="9" t="s">
        <v>80</v>
      </c>
    </row>
    <row r="80" spans="3:11" x14ac:dyDescent="0.2">
      <c r="C80" s="9" t="s">
        <v>79</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02A1-3CC8-415F-A135-AB0208BB49A1}">
  <dimension ref="A1:C1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404</v>
      </c>
    </row>
    <row r="3" spans="1:3" x14ac:dyDescent="0.2">
      <c r="B3" t="s">
        <v>377</v>
      </c>
      <c r="C3" s="57" t="s">
        <v>269</v>
      </c>
    </row>
    <row r="4" spans="1:3" x14ac:dyDescent="0.2">
      <c r="B4" t="s">
        <v>47</v>
      </c>
      <c r="C4" t="s">
        <v>405</v>
      </c>
    </row>
    <row r="5" spans="1:3" x14ac:dyDescent="0.2">
      <c r="B5" t="s">
        <v>43</v>
      </c>
      <c r="C5" t="s">
        <v>270</v>
      </c>
    </row>
    <row r="6" spans="1:3" x14ac:dyDescent="0.2">
      <c r="B6" t="s">
        <v>371</v>
      </c>
      <c r="C6" t="s">
        <v>451</v>
      </c>
    </row>
    <row r="7" spans="1:3" x14ac:dyDescent="0.2">
      <c r="B7" t="s">
        <v>45</v>
      </c>
      <c r="C7" t="s">
        <v>406</v>
      </c>
    </row>
    <row r="8" spans="1:3" x14ac:dyDescent="0.2">
      <c r="B8" t="s">
        <v>65</v>
      </c>
    </row>
    <row r="9" spans="1:3" x14ac:dyDescent="0.2">
      <c r="C9" s="54" t="s">
        <v>407</v>
      </c>
    </row>
    <row r="10" spans="1:3" x14ac:dyDescent="0.2">
      <c r="C10" t="s">
        <v>408</v>
      </c>
    </row>
    <row r="14" spans="1:3" x14ac:dyDescent="0.2">
      <c r="C14" s="54" t="s">
        <v>423</v>
      </c>
    </row>
  </sheetData>
  <hyperlinks>
    <hyperlink ref="A1" location="Main!A1" display="Main" xr:uid="{EC774840-B936-4190-8846-104354FD33E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0D4E2-F63A-47DA-A63C-083C7176FD88}">
  <dimension ref="A1:C9"/>
  <sheetViews>
    <sheetView zoomScale="220" zoomScaleNormal="22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404</v>
      </c>
    </row>
    <row r="3" spans="1:3" x14ac:dyDescent="0.2">
      <c r="B3" t="s">
        <v>377</v>
      </c>
      <c r="C3" s="57" t="s">
        <v>265</v>
      </c>
    </row>
    <row r="4" spans="1:3" x14ac:dyDescent="0.2">
      <c r="B4" t="s">
        <v>47</v>
      </c>
      <c r="C4" t="s">
        <v>410</v>
      </c>
    </row>
    <row r="5" spans="1:3" x14ac:dyDescent="0.2">
      <c r="B5" t="s">
        <v>409</v>
      </c>
      <c r="C5" t="s">
        <v>266</v>
      </c>
    </row>
    <row r="6" spans="1:3" x14ac:dyDescent="0.2">
      <c r="B6" t="s">
        <v>371</v>
      </c>
      <c r="C6" t="s">
        <v>445</v>
      </c>
    </row>
    <row r="7" spans="1:3" x14ac:dyDescent="0.2">
      <c r="B7" t="s">
        <v>45</v>
      </c>
      <c r="C7" t="s">
        <v>411</v>
      </c>
    </row>
    <row r="8" spans="1:3" x14ac:dyDescent="0.2">
      <c r="C8" t="s">
        <v>412</v>
      </c>
    </row>
    <row r="9" spans="1:3" x14ac:dyDescent="0.2">
      <c r="B9" t="s">
        <v>65</v>
      </c>
    </row>
  </sheetData>
  <hyperlinks>
    <hyperlink ref="A1" location="Main!A1" display="Main" xr:uid="{987FB588-21A7-489A-86F2-5604763419A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5ED54-6015-48D1-9C01-27EEB477A3F6}">
  <dimension ref="A1:C12"/>
  <sheetViews>
    <sheetView zoomScale="190" zoomScaleNormal="19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404</v>
      </c>
    </row>
    <row r="3" spans="1:3" x14ac:dyDescent="0.2">
      <c r="B3" t="s">
        <v>377</v>
      </c>
      <c r="C3" t="s">
        <v>239</v>
      </c>
    </row>
    <row r="4" spans="1:3" x14ac:dyDescent="0.2">
      <c r="B4" t="s">
        <v>47</v>
      </c>
      <c r="C4" t="s">
        <v>448</v>
      </c>
    </row>
    <row r="5" spans="1:3" x14ac:dyDescent="0.2">
      <c r="B5" t="s">
        <v>409</v>
      </c>
      <c r="C5" t="s">
        <v>420</v>
      </c>
    </row>
    <row r="6" spans="1:3" x14ac:dyDescent="0.2">
      <c r="B6" t="s">
        <v>371</v>
      </c>
      <c r="C6" t="s">
        <v>447</v>
      </c>
    </row>
    <row r="7" spans="1:3" x14ac:dyDescent="0.2">
      <c r="B7" t="s">
        <v>65</v>
      </c>
    </row>
    <row r="8" spans="1:3" x14ac:dyDescent="0.2">
      <c r="C8" s="54" t="s">
        <v>421</v>
      </c>
    </row>
    <row r="9" spans="1:3" x14ac:dyDescent="0.2">
      <c r="C9" t="s">
        <v>422</v>
      </c>
    </row>
    <row r="11" spans="1:3" x14ac:dyDescent="0.2">
      <c r="C11" s="54" t="s">
        <v>460</v>
      </c>
    </row>
    <row r="12" spans="1:3" x14ac:dyDescent="0.2">
      <c r="C12" t="s">
        <v>461</v>
      </c>
    </row>
  </sheetData>
  <hyperlinks>
    <hyperlink ref="A1" location="Main!A1" display="Main" xr:uid="{5CE669D1-80CF-4A6F-8258-A4F55F11E73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77B6-90FA-4F6C-B6D9-3EE518AF48EE}">
  <dimension ref="A1:C11"/>
  <sheetViews>
    <sheetView zoomScale="235" zoomScaleNormal="235" workbookViewId="0"/>
  </sheetViews>
  <sheetFormatPr defaultRowHeight="12.75" x14ac:dyDescent="0.2"/>
  <cols>
    <col min="1" max="1" width="5" bestFit="1" customWidth="1"/>
    <col min="2" max="2" width="12" bestFit="1" customWidth="1"/>
  </cols>
  <sheetData>
    <row r="1" spans="1:3" x14ac:dyDescent="0.2">
      <c r="A1" s="13" t="s">
        <v>78</v>
      </c>
    </row>
    <row r="2" spans="1:3" x14ac:dyDescent="0.2">
      <c r="B2" t="s">
        <v>404</v>
      </c>
    </row>
    <row r="3" spans="1:3" x14ac:dyDescent="0.2">
      <c r="B3" t="s">
        <v>377</v>
      </c>
      <c r="C3" t="s">
        <v>274</v>
      </c>
    </row>
    <row r="4" spans="1:3" x14ac:dyDescent="0.2">
      <c r="B4" t="s">
        <v>47</v>
      </c>
      <c r="C4" t="s">
        <v>427</v>
      </c>
    </row>
    <row r="5" spans="1:3" x14ac:dyDescent="0.2">
      <c r="B5" t="s">
        <v>409</v>
      </c>
      <c r="C5" t="s">
        <v>429</v>
      </c>
    </row>
    <row r="6" spans="1:3" x14ac:dyDescent="0.2">
      <c r="B6" t="s">
        <v>65</v>
      </c>
    </row>
    <row r="7" spans="1:3" x14ac:dyDescent="0.2">
      <c r="C7" s="54" t="s">
        <v>428</v>
      </c>
    </row>
    <row r="10" spans="1:3" x14ac:dyDescent="0.2">
      <c r="C10" s="54" t="s">
        <v>462</v>
      </c>
    </row>
    <row r="11" spans="1:3" x14ac:dyDescent="0.2">
      <c r="C11" t="s">
        <v>463</v>
      </c>
    </row>
  </sheetData>
  <hyperlinks>
    <hyperlink ref="A1" location="Main!A1" display="Main" xr:uid="{82A014F1-E6C5-4EBE-86D2-5908AD151D7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5DAB-B4CB-4B04-88E0-BB12957ED39E}">
  <dimension ref="A1:C6"/>
  <sheetViews>
    <sheetView zoomScale="205" zoomScaleNormal="205" workbookViewId="0"/>
  </sheetViews>
  <sheetFormatPr defaultRowHeight="12.75" x14ac:dyDescent="0.2"/>
  <cols>
    <col min="1" max="1" width="5" bestFit="1" customWidth="1"/>
    <col min="2" max="2" width="12.140625" bestFit="1" customWidth="1"/>
    <col min="3" max="3" width="11.42578125" customWidth="1"/>
  </cols>
  <sheetData>
    <row r="1" spans="1:3" x14ac:dyDescent="0.2">
      <c r="A1" s="13" t="s">
        <v>78</v>
      </c>
    </row>
    <row r="2" spans="1:3" x14ac:dyDescent="0.2">
      <c r="B2" t="s">
        <v>404</v>
      </c>
      <c r="C2" t="s">
        <v>457</v>
      </c>
    </row>
    <row r="3" spans="1:3" x14ac:dyDescent="0.2">
      <c r="B3" t="s">
        <v>47</v>
      </c>
      <c r="C3" t="s">
        <v>458</v>
      </c>
    </row>
    <row r="4" spans="1:3" x14ac:dyDescent="0.2">
      <c r="B4" t="s">
        <v>65</v>
      </c>
    </row>
    <row r="5" spans="1:3" x14ac:dyDescent="0.2">
      <c r="C5" s="54" t="s">
        <v>470</v>
      </c>
    </row>
    <row r="6" spans="1:3" x14ac:dyDescent="0.2">
      <c r="C6" t="s">
        <v>471</v>
      </c>
    </row>
  </sheetData>
  <hyperlinks>
    <hyperlink ref="A1" location="Main!A1" display="Main" xr:uid="{D960F3C3-4F40-4D14-B223-27818EE828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Main</vt:lpstr>
      <vt:lpstr>Model</vt:lpstr>
      <vt:lpstr>Dupixent</vt:lpstr>
      <vt:lpstr>Eylea</vt:lpstr>
      <vt:lpstr>linvoseltamab</vt:lpstr>
      <vt:lpstr>odronextamab</vt:lpstr>
      <vt:lpstr>pozelimab</vt:lpstr>
      <vt:lpstr>mibavademab</vt:lpstr>
      <vt:lpstr>DB-OTO</vt:lpstr>
      <vt:lpstr>trevogrumab</vt:lpstr>
      <vt:lpstr>fianlimab</vt:lpstr>
      <vt:lpstr>garetosmab</vt:lpstr>
      <vt:lpstr>itepekimab</vt:lpstr>
      <vt:lpstr>REGN7508</vt:lpstr>
      <vt:lpstr>REGN9933</vt:lpstr>
      <vt:lpstr>Arcalyst</vt:lpstr>
      <vt:lpstr>Zaltrap</vt:lpstr>
      <vt:lpstr>VEGF Trap</vt:lpstr>
      <vt:lpstr>Praluent</vt:lpstr>
      <vt:lpstr>Libtayo</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2025-04-29T18:49:47Z</dcterms:modified>
</cp:coreProperties>
</file>