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62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371751A4-32A7-47E8-BB20-9B145179A7E1}" xr6:coauthVersionLast="47" xr6:coauthVersionMax="47" xr10:uidLastSave="{00000000-0000-0000-0000-000000000000}"/>
  <bookViews>
    <workbookView xWindow="-23640" yWindow="3300" windowWidth="22485" windowHeight="14175" activeTab="2" xr2:uid="{00000000-000D-0000-FFFF-FFFF00000000}"/>
  </bookViews>
  <sheets>
    <sheet name="Master" sheetId="22" r:id="rId1"/>
    <sheet name="Main" sheetId="2" r:id="rId2"/>
    <sheet name="Model" sheetId="1" r:id="rId3"/>
    <sheet name="Dupixent" sheetId="23" r:id="rId4"/>
    <sheet name="Lovenox" sheetId="13" r:id="rId5"/>
    <sheet name="Lantus" sheetId="18" r:id="rId6"/>
    <sheet name="Aubagio" sheetId="17" r:id="rId7"/>
    <sheet name="Plavix" sheetId="10" r:id="rId8"/>
    <sheet name="Multaq" sheetId="16" r:id="rId9"/>
    <sheet name="idraparinux" sheetId="14" r:id="rId10"/>
    <sheet name="SR 58611" sheetId="4" r:id="rId11"/>
    <sheet name="Eplivanserin" sheetId="5" r:id="rId12"/>
    <sheet name="SSR 591813" sheetId="6" r:id="rId13"/>
    <sheet name="Xaliproden" sheetId="7" r:id="rId14"/>
    <sheet name="Alvocidib" sheetId="8" r:id="rId15"/>
    <sheet name="SR 121463" sheetId="9" r:id="rId16"/>
    <sheet name="BSI-201" sheetId="19" r:id="rId17"/>
    <sheet name="Zimulti" sheetId="12" r:id="rId18"/>
    <sheet name="Failures" sheetId="11" r:id="rId1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I94" i="1" l="1"/>
  <c r="CH94" i="1"/>
  <c r="CI93" i="1"/>
  <c r="CH93" i="1"/>
  <c r="CI84" i="1"/>
  <c r="CI87" i="1" s="1"/>
  <c r="CI89" i="1" s="1"/>
  <c r="CI90" i="1" s="1"/>
  <c r="CI82" i="1"/>
  <c r="CI81" i="1"/>
  <c r="CI78" i="1"/>
  <c r="CI77" i="1"/>
  <c r="CL3" i="1"/>
  <c r="CK3" i="1"/>
  <c r="CJ3" i="1"/>
  <c r="DJ15" i="1"/>
  <c r="DJ19" i="1"/>
  <c r="DJ23" i="1"/>
  <c r="DJ22" i="1"/>
  <c r="DJ21" i="1"/>
  <c r="DJ28" i="1"/>
  <c r="DJ27" i="1"/>
  <c r="DJ31" i="1"/>
  <c r="DJ62" i="1"/>
  <c r="DJ76" i="1" l="1"/>
  <c r="CH90" i="1"/>
  <c r="CH83" i="1"/>
  <c r="CH84" i="1" s="1"/>
  <c r="CH87" i="1" s="1"/>
  <c r="CH89" i="1" s="1"/>
  <c r="CH81" i="1"/>
  <c r="CH82" i="1" s="1"/>
  <c r="CH78" i="1"/>
  <c r="CH77" i="1"/>
  <c r="CH76" i="1"/>
  <c r="DJ68" i="1"/>
  <c r="DJ70" i="1"/>
  <c r="DJ71" i="1"/>
  <c r="DJ66" i="1"/>
  <c r="DJ69" i="1"/>
  <c r="DJ67" i="1"/>
  <c r="DJ25" i="1"/>
  <c r="DJ24" i="1"/>
  <c r="DJ20" i="1"/>
  <c r="DJ13" i="1"/>
  <c r="DJ18" i="1"/>
  <c r="DJ16" i="1"/>
  <c r="DJ11" i="1"/>
  <c r="DJ10" i="1"/>
  <c r="DJ30" i="1"/>
  <c r="DJ29" i="1"/>
  <c r="DJ26" i="1"/>
  <c r="DJ32" i="1"/>
  <c r="DJ35" i="1"/>
  <c r="DJ8" i="1"/>
  <c r="DJ7" i="1"/>
  <c r="DJ17" i="1"/>
  <c r="DJ12" i="1"/>
  <c r="DJ14" i="1"/>
  <c r="DJ9" i="1"/>
  <c r="DJ6" i="1"/>
  <c r="DJ5" i="1"/>
  <c r="DJ4" i="1"/>
  <c r="CJ35" i="1"/>
  <c r="CK35" i="1" s="1"/>
  <c r="CL35" i="1" s="1"/>
  <c r="BK7" i="1"/>
  <c r="BK58" i="1"/>
  <c r="BK37" i="1"/>
  <c r="BK76" i="1" s="1"/>
  <c r="BN76" i="1"/>
  <c r="BM76" i="1"/>
  <c r="BL76" i="1"/>
  <c r="CH98" i="1"/>
  <c r="CG99" i="1"/>
  <c r="CG98" i="1"/>
  <c r="CJ32" i="1"/>
  <c r="CK32" i="1" s="1"/>
  <c r="CL32" i="1" s="1"/>
  <c r="CJ31" i="1"/>
  <c r="CK31" i="1" s="1"/>
  <c r="CL31" i="1" s="1"/>
  <c r="CJ30" i="1"/>
  <c r="CK30" i="1" s="1"/>
  <c r="CL30" i="1" s="1"/>
  <c r="CJ29" i="1"/>
  <c r="CK29" i="1" s="1"/>
  <c r="CL29" i="1" s="1"/>
  <c r="CJ28" i="1"/>
  <c r="CK28" i="1" s="1"/>
  <c r="CL28" i="1" s="1"/>
  <c r="CJ27" i="1"/>
  <c r="CK27" i="1" s="1"/>
  <c r="CL27" i="1" s="1"/>
  <c r="CJ26" i="1"/>
  <c r="CK26" i="1" s="1"/>
  <c r="CL26" i="1" s="1"/>
  <c r="CJ25" i="1"/>
  <c r="CK25" i="1" s="1"/>
  <c r="CL25" i="1" s="1"/>
  <c r="CJ24" i="1"/>
  <c r="CK24" i="1" s="1"/>
  <c r="CL24" i="1" s="1"/>
  <c r="CJ23" i="1"/>
  <c r="CK23" i="1" s="1"/>
  <c r="CL23" i="1" s="1"/>
  <c r="CJ22" i="1"/>
  <c r="CK22" i="1" s="1"/>
  <c r="CL22" i="1" s="1"/>
  <c r="CJ21" i="1"/>
  <c r="CK21" i="1" s="1"/>
  <c r="CL21" i="1" s="1"/>
  <c r="CJ20" i="1"/>
  <c r="CK20" i="1" s="1"/>
  <c r="CL20" i="1" s="1"/>
  <c r="CJ19" i="1"/>
  <c r="CK19" i="1" s="1"/>
  <c r="CL19" i="1" s="1"/>
  <c r="CJ18" i="1"/>
  <c r="CK18" i="1" s="1"/>
  <c r="CL18" i="1" s="1"/>
  <c r="CJ17" i="1"/>
  <c r="CK17" i="1" s="1"/>
  <c r="CL17" i="1" s="1"/>
  <c r="CJ68" i="1"/>
  <c r="CK68" i="1" s="1"/>
  <c r="CL68" i="1" s="1"/>
  <c r="CJ67" i="1"/>
  <c r="CK67" i="1" s="1"/>
  <c r="CL67" i="1" s="1"/>
  <c r="CJ66" i="1"/>
  <c r="CK66" i="1" s="1"/>
  <c r="CL66" i="1" s="1"/>
  <c r="CJ62" i="1"/>
  <c r="CK62" i="1" s="1"/>
  <c r="CL62" i="1" s="1"/>
  <c r="CJ61" i="1"/>
  <c r="CK61" i="1" s="1"/>
  <c r="CL61" i="1" s="1"/>
  <c r="CL71" i="1"/>
  <c r="CK71" i="1"/>
  <c r="CJ71" i="1"/>
  <c r="DJ3" i="1"/>
  <c r="CG83" i="1"/>
  <c r="CG81" i="1"/>
  <c r="CG77" i="1"/>
  <c r="CK16" i="1" l="1"/>
  <c r="CJ16" i="1"/>
  <c r="CL16" i="1"/>
  <c r="CL15" i="1"/>
  <c r="CK15" i="1"/>
  <c r="CJ15" i="1"/>
  <c r="CK14" i="1"/>
  <c r="CJ14" i="1"/>
  <c r="CL14" i="1"/>
  <c r="CJ13" i="1"/>
  <c r="CK13" i="1" s="1"/>
  <c r="CL13" i="1" s="1"/>
  <c r="CL12" i="1"/>
  <c r="CK12" i="1"/>
  <c r="CJ12" i="1"/>
  <c r="CJ11" i="1"/>
  <c r="CK11" i="1" s="1"/>
  <c r="CL11" i="1" s="1"/>
  <c r="CK9" i="1"/>
  <c r="CJ9" i="1"/>
  <c r="CL9" i="1"/>
  <c r="CJ8" i="1"/>
  <c r="CK8" i="1" s="1"/>
  <c r="CL8" i="1" s="1"/>
  <c r="CK6" i="1"/>
  <c r="CJ6" i="1"/>
  <c r="CL6" i="1"/>
  <c r="CJ5" i="1"/>
  <c r="CK5" i="1" s="1"/>
  <c r="CL5" i="1" s="1"/>
  <c r="CK4" i="1"/>
  <c r="CK99" i="1" s="1"/>
  <c r="CJ4" i="1"/>
  <c r="CJ99" i="1" s="1"/>
  <c r="CI99" i="1"/>
  <c r="CH99" i="1"/>
  <c r="CK7" i="1"/>
  <c r="CJ7" i="1"/>
  <c r="CL7" i="1"/>
  <c r="CL98" i="1"/>
  <c r="CK98" i="1"/>
  <c r="CJ98" i="1"/>
  <c r="BY83" i="1"/>
  <c r="BY81" i="1"/>
  <c r="BY77" i="1"/>
  <c r="BY37" i="1"/>
  <c r="BY7" i="1"/>
  <c r="BY72" i="1"/>
  <c r="BZ83" i="1"/>
  <c r="BZ81" i="1"/>
  <c r="BZ77" i="1"/>
  <c r="BZ37" i="1"/>
  <c r="BZ7" i="1"/>
  <c r="BZ76" i="1" s="1"/>
  <c r="BZ78" i="1" s="1"/>
  <c r="BZ93" i="1" s="1"/>
  <c r="CF70" i="1"/>
  <c r="CF76" i="1" s="1"/>
  <c r="CA83" i="1"/>
  <c r="CA81" i="1"/>
  <c r="CA77" i="1"/>
  <c r="CA70" i="1"/>
  <c r="CA7" i="1"/>
  <c r="CB83" i="1"/>
  <c r="CB81" i="1"/>
  <c r="CB77" i="1"/>
  <c r="CB7" i="1"/>
  <c r="CB70" i="1"/>
  <c r="CC83" i="1"/>
  <c r="CC81" i="1"/>
  <c r="CC77" i="1"/>
  <c r="CC70" i="1"/>
  <c r="CC7" i="1"/>
  <c r="CD83" i="1"/>
  <c r="CD81" i="1"/>
  <c r="CD77" i="1"/>
  <c r="CD7" i="1"/>
  <c r="CD70" i="1"/>
  <c r="CD76" i="1" s="1"/>
  <c r="CD78" i="1" s="1"/>
  <c r="BS99" i="1"/>
  <c r="CD99" i="1"/>
  <c r="CC99" i="1"/>
  <c r="CB99" i="1"/>
  <c r="CA99" i="1"/>
  <c r="BZ99" i="1"/>
  <c r="BY99" i="1"/>
  <c r="BX99" i="1"/>
  <c r="BW99" i="1"/>
  <c r="BV99" i="1"/>
  <c r="BU99" i="1"/>
  <c r="BT99" i="1"/>
  <c r="CF99" i="1"/>
  <c r="CE99" i="1"/>
  <c r="CF98" i="1"/>
  <c r="CE98" i="1"/>
  <c r="CE83" i="1"/>
  <c r="CE81" i="1"/>
  <c r="CE77" i="1"/>
  <c r="CE78" i="1" s="1"/>
  <c r="CE76" i="1"/>
  <c r="CF83" i="1"/>
  <c r="CF81" i="1"/>
  <c r="CF77" i="1"/>
  <c r="CG76" i="1"/>
  <c r="BZ98" i="1"/>
  <c r="BY98" i="1"/>
  <c r="BX98" i="1"/>
  <c r="BS98" i="1"/>
  <c r="BO83" i="1"/>
  <c r="BO81" i="1"/>
  <c r="BO77" i="1"/>
  <c r="BO72" i="1"/>
  <c r="BO7" i="1"/>
  <c r="BO37" i="1"/>
  <c r="BP83" i="1"/>
  <c r="BP77" i="1"/>
  <c r="BP81" i="1"/>
  <c r="BP7" i="1"/>
  <c r="BP72" i="1"/>
  <c r="BP37" i="1"/>
  <c r="BP76" i="1" s="1"/>
  <c r="BT98" i="1"/>
  <c r="BU98" i="1"/>
  <c r="BQ7" i="1"/>
  <c r="BW76" i="1"/>
  <c r="BQ72" i="1"/>
  <c r="BQ37" i="1"/>
  <c r="DF3" i="1"/>
  <c r="DH3" i="1"/>
  <c r="DG3" i="1"/>
  <c r="BV98" i="1"/>
  <c r="BR72" i="1"/>
  <c r="BR76" i="1" s="1"/>
  <c r="BW98" i="1"/>
  <c r="BS72" i="1"/>
  <c r="BS76" i="1" s="1"/>
  <c r="BQ83" i="1"/>
  <c r="BQ77" i="1"/>
  <c r="BQ81" i="1"/>
  <c r="BU83" i="1"/>
  <c r="BU77" i="1"/>
  <c r="BT83" i="1"/>
  <c r="BX83" i="1"/>
  <c r="BX77" i="1"/>
  <c r="CD98" i="1"/>
  <c r="BT77" i="1"/>
  <c r="BX81" i="1"/>
  <c r="CA98" i="1"/>
  <c r="CC98" i="1"/>
  <c r="BT72" i="1"/>
  <c r="BT76" i="1" s="1"/>
  <c r="BU72" i="1"/>
  <c r="BU76" i="1" s="1"/>
  <c r="BX37" i="1"/>
  <c r="BX72" i="1"/>
  <c r="BR83" i="1"/>
  <c r="BR77" i="1"/>
  <c r="BV83" i="1"/>
  <c r="BV81" i="1"/>
  <c r="BU81" i="1"/>
  <c r="BT81" i="1"/>
  <c r="BS81" i="1"/>
  <c r="BR81" i="1"/>
  <c r="BV77" i="1"/>
  <c r="BV64" i="1"/>
  <c r="BS83" i="1"/>
  <c r="BW83" i="1"/>
  <c r="BW81" i="1"/>
  <c r="BW77" i="1"/>
  <c r="BS77" i="1"/>
  <c r="AR64" i="1"/>
  <c r="AR76" i="1" s="1"/>
  <c r="CE93" i="1" l="1"/>
  <c r="CE82" i="1"/>
  <c r="CE84" i="1" s="1"/>
  <c r="CD82" i="1"/>
  <c r="CD93" i="1"/>
  <c r="CL4" i="1"/>
  <c r="CL99" i="1" s="1"/>
  <c r="CG96" i="1"/>
  <c r="CG78" i="1"/>
  <c r="DK3" i="1"/>
  <c r="DL3" i="1" s="1"/>
  <c r="DM3" i="1" s="1"/>
  <c r="DN3" i="1" s="1"/>
  <c r="DO3" i="1" s="1"/>
  <c r="DP3" i="1" s="1"/>
  <c r="CI98" i="1"/>
  <c r="CC82" i="1"/>
  <c r="CC84" i="1" s="1"/>
  <c r="CH96" i="1"/>
  <c r="CI76" i="1"/>
  <c r="CI96" i="1" s="1"/>
  <c r="BZ82" i="1"/>
  <c r="BZ84" i="1" s="1"/>
  <c r="CF78" i="1"/>
  <c r="CF82" i="1" s="1"/>
  <c r="CF84" i="1" s="1"/>
  <c r="CD84" i="1"/>
  <c r="BU78" i="1"/>
  <c r="BU93" i="1" s="1"/>
  <c r="BO76" i="1"/>
  <c r="BS96" i="1" s="1"/>
  <c r="BT96" i="1"/>
  <c r="BW96" i="1"/>
  <c r="BQ76" i="1"/>
  <c r="BU96" i="1" s="1"/>
  <c r="BX76" i="1"/>
  <c r="BX78" i="1" s="1"/>
  <c r="BX82" i="1" s="1"/>
  <c r="BX84" i="1" s="1"/>
  <c r="BP78" i="1"/>
  <c r="BP82" i="1" s="1"/>
  <c r="BP84" i="1" s="1"/>
  <c r="BV76" i="1"/>
  <c r="BV78" i="1" s="1"/>
  <c r="DI3" i="1"/>
  <c r="CB76" i="1"/>
  <c r="CB98" i="1"/>
  <c r="CC76" i="1"/>
  <c r="CC78" i="1" s="1"/>
  <c r="CC93" i="1" s="1"/>
  <c r="BS78" i="1"/>
  <c r="BS93" i="1" s="1"/>
  <c r="CA76" i="1"/>
  <c r="CA78" i="1" s="1"/>
  <c r="CA93" i="1" s="1"/>
  <c r="BT78" i="1"/>
  <c r="BT93" i="1" s="1"/>
  <c r="BW78" i="1"/>
  <c r="BY76" i="1"/>
  <c r="BR78" i="1"/>
  <c r="BR93" i="1" s="1"/>
  <c r="AN83" i="1"/>
  <c r="AN76" i="1"/>
  <c r="AN78" i="1" s="1"/>
  <c r="AO64" i="1"/>
  <c r="AO76" i="1" s="1"/>
  <c r="AO83" i="1"/>
  <c r="AO81" i="1"/>
  <c r="AN81" i="1"/>
  <c r="AM81" i="1"/>
  <c r="AM82" i="1" s="1"/>
  <c r="AL81" i="1"/>
  <c r="AL82" i="1" s="1"/>
  <c r="AK81" i="1"/>
  <c r="AK82" i="1" s="1"/>
  <c r="AJ81" i="1"/>
  <c r="AJ82" i="1" s="1"/>
  <c r="AI81" i="1"/>
  <c r="AI82" i="1" s="1"/>
  <c r="CC94" i="1" l="1"/>
  <c r="CC87" i="1"/>
  <c r="CC89" i="1" s="1"/>
  <c r="CC90" i="1" s="1"/>
  <c r="CD87" i="1"/>
  <c r="CD89" i="1" s="1"/>
  <c r="CD90" i="1" s="1"/>
  <c r="CD94" i="1"/>
  <c r="CG82" i="1"/>
  <c r="CG84" i="1" s="1"/>
  <c r="CG93" i="1"/>
  <c r="CE87" i="1"/>
  <c r="CE89" i="1" s="1"/>
  <c r="CE90" i="1" s="1"/>
  <c r="CE94" i="1"/>
  <c r="CF96" i="1"/>
  <c r="CB78" i="1"/>
  <c r="BO78" i="1"/>
  <c r="BO93" i="1" s="1"/>
  <c r="BT82" i="1"/>
  <c r="BT84" i="1" s="1"/>
  <c r="CA82" i="1"/>
  <c r="CA84" i="1" s="1"/>
  <c r="BY96" i="1"/>
  <c r="BY78" i="1"/>
  <c r="CJ76" i="1"/>
  <c r="CJ96" i="1" s="1"/>
  <c r="BZ87" i="1"/>
  <c r="BZ89" i="1" s="1"/>
  <c r="BZ90" i="1" s="1"/>
  <c r="BZ94" i="1"/>
  <c r="CF93" i="1"/>
  <c r="CA96" i="1"/>
  <c r="CE96" i="1"/>
  <c r="CF94" i="1"/>
  <c r="CF87" i="1"/>
  <c r="CF89" i="1" s="1"/>
  <c r="CF90" i="1" s="1"/>
  <c r="BO82" i="1"/>
  <c r="BO84" i="1" s="1"/>
  <c r="BO94" i="1" s="1"/>
  <c r="BV96" i="1"/>
  <c r="BX96" i="1"/>
  <c r="BU82" i="1"/>
  <c r="BU84" i="1" s="1"/>
  <c r="BU87" i="1" s="1"/>
  <c r="BU89" i="1" s="1"/>
  <c r="BU90" i="1" s="1"/>
  <c r="BP93" i="1"/>
  <c r="BZ96" i="1"/>
  <c r="CB96" i="1"/>
  <c r="BV93" i="1"/>
  <c r="BV82" i="1"/>
  <c r="BV84" i="1" s="1"/>
  <c r="BV87" i="1" s="1"/>
  <c r="BV89" i="1" s="1"/>
  <c r="BV90" i="1" s="1"/>
  <c r="CD96" i="1"/>
  <c r="CC96" i="1"/>
  <c r="BP94" i="1"/>
  <c r="BP87" i="1"/>
  <c r="BP89" i="1" s="1"/>
  <c r="BP90" i="1" s="1"/>
  <c r="BQ78" i="1"/>
  <c r="BQ93" i="1" s="1"/>
  <c r="BS82" i="1"/>
  <c r="BS84" i="1" s="1"/>
  <c r="BS87" i="1" s="1"/>
  <c r="BS89" i="1" s="1"/>
  <c r="BS90" i="1" s="1"/>
  <c r="BR82" i="1"/>
  <c r="BR84" i="1" s="1"/>
  <c r="BR87" i="1" s="1"/>
  <c r="BR89" i="1" s="1"/>
  <c r="BR90" i="1" s="1"/>
  <c r="BX94" i="1"/>
  <c r="BX87" i="1"/>
  <c r="BX89" i="1" s="1"/>
  <c r="BX90" i="1" s="1"/>
  <c r="BX93" i="1"/>
  <c r="BW82" i="1"/>
  <c r="BW84" i="1" s="1"/>
  <c r="BW93" i="1"/>
  <c r="BT87" i="1"/>
  <c r="BT89" i="1" s="1"/>
  <c r="BT90" i="1" s="1"/>
  <c r="BT94" i="1"/>
  <c r="AN82" i="1"/>
  <c r="AN84" i="1" s="1"/>
  <c r="AN87" i="1" s="1"/>
  <c r="AN89" i="1" s="1"/>
  <c r="AN90" i="1" s="1"/>
  <c r="CB93" i="1" l="1"/>
  <c r="CB82" i="1"/>
  <c r="CB84" i="1" s="1"/>
  <c r="CG87" i="1"/>
  <c r="CG89" i="1" s="1"/>
  <c r="CG90" i="1" s="1"/>
  <c r="CG94" i="1"/>
  <c r="BO87" i="1"/>
  <c r="BO89" i="1" s="1"/>
  <c r="BO90" i="1" s="1"/>
  <c r="CA87" i="1"/>
  <c r="CA89" i="1" s="1"/>
  <c r="CA90" i="1" s="1"/>
  <c r="CA94" i="1"/>
  <c r="BY93" i="1"/>
  <c r="BY82" i="1"/>
  <c r="BY84" i="1" s="1"/>
  <c r="CL76" i="1"/>
  <c r="CL96" i="1" s="1"/>
  <c r="CK76" i="1"/>
  <c r="CK96" i="1" s="1"/>
  <c r="BV94" i="1"/>
  <c r="BU94" i="1"/>
  <c r="BQ82" i="1"/>
  <c r="BQ84" i="1" s="1"/>
  <c r="BQ94" i="1" s="1"/>
  <c r="BS94" i="1"/>
  <c r="BR94" i="1"/>
  <c r="BW87" i="1"/>
  <c r="BW89" i="1" s="1"/>
  <c r="BW90" i="1" s="1"/>
  <c r="BW94" i="1"/>
  <c r="AO78" i="1"/>
  <c r="AO82" i="1" s="1"/>
  <c r="AO84" i="1" s="1"/>
  <c r="AO87" i="1" s="1"/>
  <c r="AO89" i="1" s="1"/>
  <c r="AO90" i="1" s="1"/>
  <c r="AM76" i="1"/>
  <c r="AL76" i="1"/>
  <c r="AK76" i="1"/>
  <c r="AJ76" i="1"/>
  <c r="AI76" i="1"/>
  <c r="CB87" i="1" l="1"/>
  <c r="CB89" i="1" s="1"/>
  <c r="CB90" i="1" s="1"/>
  <c r="CB94" i="1"/>
  <c r="BY87" i="1"/>
  <c r="BY89" i="1" s="1"/>
  <c r="BY90" i="1" s="1"/>
  <c r="BY94" i="1"/>
  <c r="BQ87" i="1"/>
  <c r="BQ89" i="1" s="1"/>
  <c r="BQ90" i="1" s="1"/>
  <c r="CV19" i="1"/>
  <c r="CV22" i="1" l="1"/>
  <c r="AG43" i="1" l="1"/>
  <c r="AH43" i="1" s="1"/>
  <c r="AG42" i="1"/>
  <c r="AH42" i="1" s="1"/>
  <c r="AG38" i="1"/>
  <c r="AH38" i="1" s="1"/>
  <c r="CV64" i="1" l="1"/>
  <c r="CW64" i="1" s="1"/>
  <c r="CV80" i="1"/>
  <c r="CV79" i="1"/>
  <c r="AF91" i="1"/>
  <c r="AG91" i="1" s="1"/>
  <c r="AH91" i="1" s="1"/>
  <c r="AE86" i="1"/>
  <c r="AF86" i="1" s="1"/>
  <c r="AG86" i="1" s="1"/>
  <c r="AH86" i="1" s="1"/>
  <c r="AE106" i="1"/>
  <c r="AF106" i="1" s="1"/>
  <c r="AE76" i="1"/>
  <c r="AE78" i="1" s="1"/>
  <c r="AE93" i="1" s="1"/>
  <c r="AF74" i="1"/>
  <c r="AG74" i="1" s="1"/>
  <c r="AH74" i="1" s="1"/>
  <c r="AF73" i="1"/>
  <c r="AG73" i="1" s="1"/>
  <c r="AH73" i="1" s="1"/>
  <c r="AH65" i="1"/>
  <c r="AG65" i="1"/>
  <c r="AF65" i="1"/>
  <c r="AF64" i="1"/>
  <c r="AG64" i="1" s="1"/>
  <c r="AH64" i="1" s="1"/>
  <c r="AF63" i="1"/>
  <c r="AG63" i="1" s="1"/>
  <c r="AH63" i="1" s="1"/>
  <c r="AF61" i="1"/>
  <c r="AG61" i="1" s="1"/>
  <c r="AH61" i="1" s="1"/>
  <c r="AG19" i="1"/>
  <c r="AG22" i="1"/>
  <c r="AH22" i="1" s="1"/>
  <c r="AG40" i="1"/>
  <c r="AH40" i="1" s="1"/>
  <c r="AG15" i="1"/>
  <c r="AH15" i="1" s="1"/>
  <c r="AF60" i="1"/>
  <c r="AG60" i="1" s="1"/>
  <c r="AH60" i="1" s="1"/>
  <c r="AG41" i="1"/>
  <c r="AH41" i="1" s="1"/>
  <c r="AG52" i="1"/>
  <c r="AH52" i="1" s="1"/>
  <c r="AG12" i="1"/>
  <c r="AH12" i="1" s="1"/>
  <c r="AG6" i="1"/>
  <c r="AH6" i="1" s="1"/>
  <c r="AH4" i="1"/>
  <c r="AG4" i="1"/>
  <c r="AD100" i="1"/>
  <c r="AD86" i="1"/>
  <c r="AD81" i="1"/>
  <c r="AA77" i="1"/>
  <c r="Z76" i="1"/>
  <c r="Z78" i="1" s="1"/>
  <c r="AE81" i="1"/>
  <c r="AC76" i="1"/>
  <c r="AC78" i="1" s="1"/>
  <c r="AC93" i="1" s="1"/>
  <c r="CV49" i="1"/>
  <c r="CW79" i="1" l="1"/>
  <c r="CW4" i="1"/>
  <c r="AH19" i="1"/>
  <c r="CW19" i="1" s="1"/>
  <c r="CW73" i="1"/>
  <c r="CX73" i="1" s="1"/>
  <c r="CY73" i="1" s="1"/>
  <c r="CZ73" i="1" s="1"/>
  <c r="DA73" i="1" s="1"/>
  <c r="DB73" i="1" s="1"/>
  <c r="DC73" i="1" s="1"/>
  <c r="AF81" i="1"/>
  <c r="AG81" i="1"/>
  <c r="AH81" i="1"/>
  <c r="AF76" i="1"/>
  <c r="AG76" i="1"/>
  <c r="AE82" i="1"/>
  <c r="AE84" i="1" s="1"/>
  <c r="AE94" i="1" s="1"/>
  <c r="AC83" i="1"/>
  <c r="AB106" i="1"/>
  <c r="CU91" i="1"/>
  <c r="CT85" i="1"/>
  <c r="CS91" i="1"/>
  <c r="CT91" i="1"/>
  <c r="AB85" i="1"/>
  <c r="AB83" i="1"/>
  <c r="AB76" i="1"/>
  <c r="AB78" i="1" s="1"/>
  <c r="AB93" i="1" s="1"/>
  <c r="CT50" i="1"/>
  <c r="CR50" i="1"/>
  <c r="DC19" i="1"/>
  <c r="AA6" i="1"/>
  <c r="AA4" i="1"/>
  <c r="AA61" i="1"/>
  <c r="AA63" i="1"/>
  <c r="AA42" i="1"/>
  <c r="CV42" i="1" s="1"/>
  <c r="AD99" i="1"/>
  <c r="CV91" i="1"/>
  <c r="AB81" i="1"/>
  <c r="AC81" i="1"/>
  <c r="AC100" i="1"/>
  <c r="V100" i="1"/>
  <c r="W100" i="1"/>
  <c r="Y100" i="1"/>
  <c r="Z100" i="1"/>
  <c r="CV44" i="1"/>
  <c r="CV60" i="1"/>
  <c r="V76" i="1"/>
  <c r="U76" i="1"/>
  <c r="T76" i="1"/>
  <c r="R76" i="1"/>
  <c r="Q76" i="1"/>
  <c r="P76" i="1"/>
  <c r="N76" i="1"/>
  <c r="M76" i="1"/>
  <c r="L76" i="1"/>
  <c r="K76" i="1"/>
  <c r="CU61" i="1"/>
  <c r="CU22" i="1"/>
  <c r="CU43" i="1"/>
  <c r="AA85" i="1"/>
  <c r="AA83" i="1"/>
  <c r="AA81" i="1"/>
  <c r="Z86" i="1"/>
  <c r="Z99" i="1"/>
  <c r="CV12" i="1"/>
  <c r="Y4" i="1"/>
  <c r="Y99" i="1" s="1"/>
  <c r="CS64" i="1"/>
  <c r="CR64" i="1"/>
  <c r="CS65" i="1"/>
  <c r="CT65" i="1"/>
  <c r="Y86" i="1"/>
  <c r="Y83" i="1"/>
  <c r="X74" i="1"/>
  <c r="CU74" i="1" s="1"/>
  <c r="Y81" i="1"/>
  <c r="Z81" i="1"/>
  <c r="W99" i="1"/>
  <c r="V99" i="1"/>
  <c r="U99" i="1"/>
  <c r="T99" i="1"/>
  <c r="R99" i="1"/>
  <c r="Q99" i="1"/>
  <c r="P99" i="1"/>
  <c r="W63" i="1"/>
  <c r="CU63" i="1" s="1"/>
  <c r="X65" i="1"/>
  <c r="CU65" i="1" s="1"/>
  <c r="X77" i="1"/>
  <c r="S64" i="1"/>
  <c r="CT64" i="1" s="1"/>
  <c r="CT6" i="1"/>
  <c r="X88" i="1"/>
  <c r="X85" i="1"/>
  <c r="CU85" i="1" s="1"/>
  <c r="X80" i="1"/>
  <c r="CU80" i="1" s="1"/>
  <c r="X79" i="1"/>
  <c r="CU79" i="1" s="1"/>
  <c r="CT43" i="1"/>
  <c r="CR43" i="1"/>
  <c r="CT48" i="1"/>
  <c r="CT45" i="1"/>
  <c r="CR45" i="1"/>
  <c r="CT38" i="1"/>
  <c r="CT44" i="1"/>
  <c r="X47" i="1"/>
  <c r="CU47" i="1" s="1"/>
  <c r="X50" i="1"/>
  <c r="CU50" i="1" s="1"/>
  <c r="X48" i="1"/>
  <c r="CU48" i="1" s="1"/>
  <c r="X45" i="1"/>
  <c r="CU45" i="1" s="1"/>
  <c r="X38" i="1"/>
  <c r="CU38" i="1" s="1"/>
  <c r="X44" i="1"/>
  <c r="CU44" i="1" s="1"/>
  <c r="X40" i="1"/>
  <c r="CU40" i="1" s="1"/>
  <c r="X15" i="1"/>
  <c r="X42" i="1"/>
  <c r="CU42" i="1" s="1"/>
  <c r="X60" i="1"/>
  <c r="CU60" i="1" s="1"/>
  <c r="X41" i="1"/>
  <c r="CU41" i="1" s="1"/>
  <c r="X52" i="1"/>
  <c r="X4" i="1"/>
  <c r="X12" i="1"/>
  <c r="CU12" i="1" s="1"/>
  <c r="X6" i="1"/>
  <c r="X100" i="1" s="1"/>
  <c r="CT86" i="1"/>
  <c r="CT88" i="1"/>
  <c r="CU88" i="1" s="1"/>
  <c r="AH76" i="1" l="1"/>
  <c r="AH78" i="1" s="1"/>
  <c r="AH77" i="1" s="1"/>
  <c r="AG78" i="1"/>
  <c r="AG82" i="1" s="1"/>
  <c r="AG84" i="1" s="1"/>
  <c r="AG85" i="1" s="1"/>
  <c r="AG87" i="1" s="1"/>
  <c r="AG89" i="1" s="1"/>
  <c r="AA99" i="1"/>
  <c r="AA76" i="1"/>
  <c r="AE96" i="1" s="1"/>
  <c r="CV4" i="1"/>
  <c r="AE99" i="1"/>
  <c r="AF78" i="1"/>
  <c r="AF77" i="1" s="1"/>
  <c r="CV6" i="1"/>
  <c r="CW6" i="1" s="1"/>
  <c r="AE100" i="1"/>
  <c r="CW80" i="1"/>
  <c r="CW81" i="1" s="1"/>
  <c r="AE87" i="1"/>
  <c r="AE89" i="1" s="1"/>
  <c r="AE90" i="1" s="1"/>
  <c r="CU4" i="1"/>
  <c r="CV83" i="1"/>
  <c r="Y76" i="1"/>
  <c r="AC96" i="1" s="1"/>
  <c r="CU81" i="1"/>
  <c r="AB100" i="1"/>
  <c r="AC99" i="1"/>
  <c r="CV15" i="1"/>
  <c r="CV38" i="1"/>
  <c r="CW38" i="1" s="1"/>
  <c r="CX38" i="1" s="1"/>
  <c r="CY38" i="1" s="1"/>
  <c r="CZ38" i="1" s="1"/>
  <c r="DA38" i="1" s="1"/>
  <c r="DB38" i="1" s="1"/>
  <c r="DC38" i="1" s="1"/>
  <c r="S76" i="1"/>
  <c r="AB99" i="1"/>
  <c r="CV43" i="1"/>
  <c r="CW43" i="1" s="1"/>
  <c r="CX43" i="1" s="1"/>
  <c r="CY43" i="1" s="1"/>
  <c r="CZ43" i="1" s="1"/>
  <c r="DA43" i="1" s="1"/>
  <c r="DB43" i="1" s="1"/>
  <c r="DC43" i="1" s="1"/>
  <c r="CV45" i="1"/>
  <c r="CW45" i="1" s="1"/>
  <c r="CX45" i="1" s="1"/>
  <c r="CY45" i="1" s="1"/>
  <c r="CZ45" i="1" s="1"/>
  <c r="DA45" i="1" s="1"/>
  <c r="DB45" i="1" s="1"/>
  <c r="DC45" i="1" s="1"/>
  <c r="CV50" i="1"/>
  <c r="CW50" i="1" s="1"/>
  <c r="CX50" i="1" s="1"/>
  <c r="CY50" i="1" s="1"/>
  <c r="CZ50" i="1" s="1"/>
  <c r="DA50" i="1" s="1"/>
  <c r="DB50" i="1" s="1"/>
  <c r="DC50" i="1" s="1"/>
  <c r="AA100" i="1"/>
  <c r="CV40" i="1"/>
  <c r="CV48" i="1"/>
  <c r="CW48" i="1" s="1"/>
  <c r="CX48" i="1" s="1"/>
  <c r="CY48" i="1" s="1"/>
  <c r="CZ48" i="1" s="1"/>
  <c r="DA48" i="1" s="1"/>
  <c r="DB48" i="1" s="1"/>
  <c r="DC48" i="1" s="1"/>
  <c r="CV47" i="1"/>
  <c r="CV65" i="1"/>
  <c r="CW65" i="1" s="1"/>
  <c r="CX65" i="1" s="1"/>
  <c r="CY65" i="1" s="1"/>
  <c r="CZ65" i="1" s="1"/>
  <c r="DA65" i="1" s="1"/>
  <c r="DB65" i="1" s="1"/>
  <c r="DC65" i="1" s="1"/>
  <c r="CV52" i="1"/>
  <c r="CV63" i="1"/>
  <c r="CU52" i="1"/>
  <c r="CU15" i="1"/>
  <c r="CU6" i="1"/>
  <c r="W64" i="1"/>
  <c r="W76" i="1" s="1"/>
  <c r="X99" i="1"/>
  <c r="CW44" i="1"/>
  <c r="CX44" i="1" s="1"/>
  <c r="CY44" i="1" s="1"/>
  <c r="CZ44" i="1" s="1"/>
  <c r="DA44" i="1" s="1"/>
  <c r="DB44" i="1" s="1"/>
  <c r="DC44" i="1" s="1"/>
  <c r="X81" i="1"/>
  <c r="V83" i="1"/>
  <c r="U78" i="1"/>
  <c r="U93" i="1" s="1"/>
  <c r="V78" i="1"/>
  <c r="V93" i="1" s="1"/>
  <c r="CT4" i="1"/>
  <c r="W86" i="1"/>
  <c r="W83" i="1"/>
  <c r="W81" i="1"/>
  <c r="CT60" i="1"/>
  <c r="CW60" i="1" s="1"/>
  <c r="CX60" i="1" s="1"/>
  <c r="CY60" i="1" s="1"/>
  <c r="CZ60" i="1" s="1"/>
  <c r="DA60" i="1" s="1"/>
  <c r="DB60" i="1" s="1"/>
  <c r="DC60" i="1" s="1"/>
  <c r="CT15" i="1"/>
  <c r="CT52" i="1"/>
  <c r="CT12" i="1"/>
  <c r="U83" i="1"/>
  <c r="U81" i="1"/>
  <c r="CT41" i="1"/>
  <c r="CT47" i="1"/>
  <c r="CT42" i="1"/>
  <c r="O60" i="1"/>
  <c r="CS60" i="1" s="1"/>
  <c r="CS79" i="1"/>
  <c r="CT80" i="1"/>
  <c r="CT79" i="1"/>
  <c r="V81" i="1"/>
  <c r="O42" i="1"/>
  <c r="CS42" i="1" s="1"/>
  <c r="O15" i="1"/>
  <c r="CS15" i="1" s="1"/>
  <c r="O43" i="1"/>
  <c r="CS43" i="1" s="1"/>
  <c r="O44" i="1"/>
  <c r="CS44" i="1" s="1"/>
  <c r="O38" i="1"/>
  <c r="CS38" i="1" s="1"/>
  <c r="O45" i="1"/>
  <c r="CS45" i="1" s="1"/>
  <c r="O48" i="1"/>
  <c r="CS48" i="1" s="1"/>
  <c r="O50" i="1"/>
  <c r="CS50" i="1" s="1"/>
  <c r="O47" i="1"/>
  <c r="CS47" i="1" s="1"/>
  <c r="CR65" i="1"/>
  <c r="CS80" i="1"/>
  <c r="CS86" i="1"/>
  <c r="CS87" i="1" s="1"/>
  <c r="CZ22" i="1"/>
  <c r="DA22" i="1" s="1"/>
  <c r="DB22" i="1" s="1"/>
  <c r="DC22" i="1" s="1"/>
  <c r="CV2" i="1"/>
  <c r="CW2" i="1" s="1"/>
  <c r="CX2" i="1" s="1"/>
  <c r="CY2" i="1" s="1"/>
  <c r="CZ2" i="1" s="1"/>
  <c r="T78" i="1"/>
  <c r="T81" i="1"/>
  <c r="T83" i="1"/>
  <c r="K4" i="2"/>
  <c r="R78" i="1"/>
  <c r="R81" i="1"/>
  <c r="R83" i="1"/>
  <c r="S81" i="1"/>
  <c r="S83" i="1"/>
  <c r="O6" i="1"/>
  <c r="O12" i="1"/>
  <c r="CS12" i="1" s="1"/>
  <c r="O4" i="1"/>
  <c r="O52" i="1"/>
  <c r="CS52" i="1" s="1"/>
  <c r="O41" i="1"/>
  <c r="CS41" i="1" s="1"/>
  <c r="O81" i="1"/>
  <c r="O83" i="1"/>
  <c r="P78" i="1"/>
  <c r="P93" i="1" s="1"/>
  <c r="P81" i="1"/>
  <c r="P83" i="1"/>
  <c r="Q78" i="1"/>
  <c r="Q81" i="1"/>
  <c r="Q83" i="1"/>
  <c r="CW91" i="1"/>
  <c r="CX91" i="1" s="1"/>
  <c r="CY91" i="1" s="1"/>
  <c r="CZ91" i="1" s="1"/>
  <c r="DA91" i="1" s="1"/>
  <c r="DB91" i="1" s="1"/>
  <c r="DC91" i="1" s="1"/>
  <c r="N83" i="1"/>
  <c r="N78" i="1"/>
  <c r="N81" i="1"/>
  <c r="M83" i="1"/>
  <c r="M78" i="1"/>
  <c r="M81" i="1"/>
  <c r="C75" i="1"/>
  <c r="G75" i="1"/>
  <c r="CR6" i="1"/>
  <c r="CR12" i="1"/>
  <c r="CR4" i="1"/>
  <c r="CR52" i="1"/>
  <c r="CR41" i="1"/>
  <c r="CR60" i="1"/>
  <c r="CR42" i="1"/>
  <c r="CR15" i="1"/>
  <c r="CR44" i="1"/>
  <c r="CR38" i="1"/>
  <c r="CR48" i="1"/>
  <c r="CR47" i="1"/>
  <c r="P96" i="1"/>
  <c r="C74" i="1"/>
  <c r="C77" i="1"/>
  <c r="C79" i="1"/>
  <c r="C80" i="1"/>
  <c r="D81" i="1"/>
  <c r="C81" i="1" s="1"/>
  <c r="D83" i="1"/>
  <c r="C83" i="1" s="1"/>
  <c r="C85" i="1"/>
  <c r="C86" i="1"/>
  <c r="C88" i="1"/>
  <c r="G74" i="1"/>
  <c r="G77" i="1"/>
  <c r="G79" i="1"/>
  <c r="G80" i="1"/>
  <c r="H81" i="1"/>
  <c r="G81" i="1" s="1"/>
  <c r="G83" i="1"/>
  <c r="G85" i="1"/>
  <c r="G86" i="1"/>
  <c r="H76" i="1"/>
  <c r="H78" i="1" s="1"/>
  <c r="D76" i="1"/>
  <c r="D78" i="1" s="1"/>
  <c r="H83" i="1"/>
  <c r="CX80" i="1" l="1"/>
  <c r="CY80" i="1" s="1"/>
  <c r="CZ80" i="1" s="1"/>
  <c r="DA80" i="1" s="1"/>
  <c r="DB80" i="1" s="1"/>
  <c r="H82" i="1"/>
  <c r="AH82" i="1"/>
  <c r="AH84" i="1" s="1"/>
  <c r="AH85" i="1" s="1"/>
  <c r="AH87" i="1" s="1"/>
  <c r="AH89" i="1" s="1"/>
  <c r="AH90" i="1" s="1"/>
  <c r="AA78" i="1"/>
  <c r="AA93" i="1" s="1"/>
  <c r="AG77" i="1"/>
  <c r="AF82" i="1"/>
  <c r="AF84" i="1" s="1"/>
  <c r="AF85" i="1" s="1"/>
  <c r="AF87" i="1" s="1"/>
  <c r="AF89" i="1" s="1"/>
  <c r="AF90" i="1" s="1"/>
  <c r="AG90" i="1"/>
  <c r="AG106" i="1"/>
  <c r="CX6" i="1"/>
  <c r="CY6" i="1" s="1"/>
  <c r="CZ6" i="1" s="1"/>
  <c r="DA6" i="1" s="1"/>
  <c r="DB6" i="1" s="1"/>
  <c r="DC6" i="1" s="1"/>
  <c r="CW47" i="1"/>
  <c r="CX47" i="1" s="1"/>
  <c r="CY47" i="1" s="1"/>
  <c r="CW15" i="1"/>
  <c r="CX15" i="1" s="1"/>
  <c r="CY15" i="1" s="1"/>
  <c r="CZ15" i="1" s="1"/>
  <c r="DA15" i="1" s="1"/>
  <c r="DB15" i="1" s="1"/>
  <c r="DC15" i="1" s="1"/>
  <c r="CR76" i="1"/>
  <c r="AA96" i="1"/>
  <c r="CV81" i="1"/>
  <c r="CX4" i="1"/>
  <c r="CY4" i="1" s="1"/>
  <c r="CZ4" i="1" s="1"/>
  <c r="DA4" i="1" s="1"/>
  <c r="DB4" i="1" s="1"/>
  <c r="DC4" i="1" s="1"/>
  <c r="CT76" i="1"/>
  <c r="CW52" i="1"/>
  <c r="CX52" i="1" s="1"/>
  <c r="CY52" i="1" s="1"/>
  <c r="CZ52" i="1" s="1"/>
  <c r="DA52" i="1" s="1"/>
  <c r="DB52" i="1" s="1"/>
  <c r="DC52" i="1" s="1"/>
  <c r="CV61" i="1"/>
  <c r="CW61" i="1" s="1"/>
  <c r="CX61" i="1" s="1"/>
  <c r="CY61" i="1" s="1"/>
  <c r="CZ61" i="1" s="1"/>
  <c r="DA61" i="1" s="1"/>
  <c r="DB61" i="1" s="1"/>
  <c r="DC61" i="1" s="1"/>
  <c r="D82" i="1"/>
  <c r="D84" i="1" s="1"/>
  <c r="D87" i="1" s="1"/>
  <c r="D89" i="1" s="1"/>
  <c r="D90" i="1" s="1"/>
  <c r="O76" i="1"/>
  <c r="S96" i="1" s="1"/>
  <c r="CW42" i="1"/>
  <c r="CX42" i="1" s="1"/>
  <c r="CY42" i="1" s="1"/>
  <c r="CZ42" i="1" s="1"/>
  <c r="DA42" i="1" s="1"/>
  <c r="DB42" i="1" s="1"/>
  <c r="DC42" i="1" s="1"/>
  <c r="AD76" i="1"/>
  <c r="CW63" i="1"/>
  <c r="CX63" i="1" s="1"/>
  <c r="CY63" i="1" s="1"/>
  <c r="CZ63" i="1" s="1"/>
  <c r="DA63" i="1" s="1"/>
  <c r="DB63" i="1" s="1"/>
  <c r="DC63" i="1" s="1"/>
  <c r="AA82" i="1"/>
  <c r="AA84" i="1" s="1"/>
  <c r="AA87" i="1" s="1"/>
  <c r="AA89" i="1" s="1"/>
  <c r="AA90" i="1" s="1"/>
  <c r="X83" i="1"/>
  <c r="CU83" i="1" s="1"/>
  <c r="X86" i="1"/>
  <c r="CU86" i="1" s="1"/>
  <c r="X64" i="1"/>
  <c r="T96" i="1"/>
  <c r="CS4" i="1"/>
  <c r="S99" i="1"/>
  <c r="O99" i="1"/>
  <c r="Y96" i="1"/>
  <c r="Y78" i="1"/>
  <c r="Z96" i="1"/>
  <c r="CW40" i="1"/>
  <c r="CX40" i="1" s="1"/>
  <c r="CY40" i="1" s="1"/>
  <c r="CZ40" i="1" s="1"/>
  <c r="DA40" i="1" s="1"/>
  <c r="DB40" i="1" s="1"/>
  <c r="DC40" i="1" s="1"/>
  <c r="C76" i="1"/>
  <c r="C78" i="1" s="1"/>
  <c r="C82" i="1" s="1"/>
  <c r="C84" i="1" s="1"/>
  <c r="C87" i="1" s="1"/>
  <c r="C89" i="1" s="1"/>
  <c r="C90" i="1" s="1"/>
  <c r="Q96" i="1"/>
  <c r="G76" i="1"/>
  <c r="G78" i="1" s="1"/>
  <c r="G82" i="1" s="1"/>
  <c r="G84" i="1" s="1"/>
  <c r="G87" i="1" s="1"/>
  <c r="G89" i="1" s="1"/>
  <c r="G90" i="1" s="1"/>
  <c r="M93" i="1"/>
  <c r="M82" i="1"/>
  <c r="M84" i="1" s="1"/>
  <c r="W96" i="1"/>
  <c r="H84" i="1"/>
  <c r="H87" i="1" s="1"/>
  <c r="H89" i="1" s="1"/>
  <c r="H90" i="1" s="1"/>
  <c r="N82" i="1"/>
  <c r="N84" i="1" s="1"/>
  <c r="N93" i="1"/>
  <c r="R93" i="1"/>
  <c r="R82" i="1"/>
  <c r="R84" i="1" s="1"/>
  <c r="R87" i="1" s="1"/>
  <c r="R89" i="1" s="1"/>
  <c r="Q93" i="1"/>
  <c r="Q82" i="1"/>
  <c r="Q84" i="1" s="1"/>
  <c r="Q94" i="1" s="1"/>
  <c r="U96" i="1"/>
  <c r="R96" i="1"/>
  <c r="DA2" i="1"/>
  <c r="CS6" i="1"/>
  <c r="S78" i="1"/>
  <c r="CT78" i="1" s="1"/>
  <c r="CT81" i="1"/>
  <c r="T82" i="1"/>
  <c r="T84" i="1" s="1"/>
  <c r="T87" i="1" s="1"/>
  <c r="T93" i="1"/>
  <c r="P82" i="1"/>
  <c r="P84" i="1" s="1"/>
  <c r="K7" i="2"/>
  <c r="U82" i="1"/>
  <c r="U84" i="1" s="1"/>
  <c r="U87" i="1" s="1"/>
  <c r="DA81" i="1" l="1"/>
  <c r="AH106" i="1"/>
  <c r="CV106" i="1" s="1"/>
  <c r="CW83" i="1" s="1"/>
  <c r="AD78" i="1"/>
  <c r="AD96" i="1"/>
  <c r="CS76" i="1"/>
  <c r="CS93" i="1" s="1"/>
  <c r="CU64" i="1"/>
  <c r="CU76" i="1" s="1"/>
  <c r="X76" i="1"/>
  <c r="AB96" i="1" s="1"/>
  <c r="CV41" i="1"/>
  <c r="CV76" i="1" s="1"/>
  <c r="DB81" i="1"/>
  <c r="DC80" i="1"/>
  <c r="DC81" i="1" s="1"/>
  <c r="AA94" i="1"/>
  <c r="AB82" i="1"/>
  <c r="AB84" i="1" s="1"/>
  <c r="AC82" i="1"/>
  <c r="AC84" i="1" s="1"/>
  <c r="Q87" i="1"/>
  <c r="Q89" i="1" s="1"/>
  <c r="Q90" i="1" s="1"/>
  <c r="CX64" i="1"/>
  <c r="R94" i="1"/>
  <c r="CW12" i="1"/>
  <c r="U89" i="1"/>
  <c r="U90" i="1" s="1"/>
  <c r="U94" i="1"/>
  <c r="W78" i="1"/>
  <c r="P94" i="1"/>
  <c r="P87" i="1"/>
  <c r="P89" i="1" s="1"/>
  <c r="P90" i="1" s="1"/>
  <c r="V82" i="1"/>
  <c r="V84" i="1" s="1"/>
  <c r="V96" i="1"/>
  <c r="R90" i="1"/>
  <c r="R103" i="1"/>
  <c r="DB2" i="1"/>
  <c r="DC2" i="1" s="1"/>
  <c r="DD2" i="1" s="1"/>
  <c r="DE2" i="1" s="1"/>
  <c r="DF2" i="1" s="1"/>
  <c r="DG2" i="1" s="1"/>
  <c r="DH2" i="1" s="1"/>
  <c r="DI2" i="1" s="1"/>
  <c r="DJ2" i="1" s="1"/>
  <c r="DK2" i="1" s="1"/>
  <c r="DL2" i="1" s="1"/>
  <c r="DM2" i="1" s="1"/>
  <c r="DN2" i="1" s="1"/>
  <c r="DO2" i="1" s="1"/>
  <c r="DP2" i="1" s="1"/>
  <c r="DQ2" i="1" s="1"/>
  <c r="DR2" i="1" s="1"/>
  <c r="DS2" i="1" s="1"/>
  <c r="DT2" i="1" s="1"/>
  <c r="DU2" i="1" s="1"/>
  <c r="N94" i="1"/>
  <c r="N87" i="1"/>
  <c r="N89" i="1" s="1"/>
  <c r="N90" i="1" s="1"/>
  <c r="T89" i="1"/>
  <c r="T90" i="1" s="1"/>
  <c r="T94" i="1"/>
  <c r="S82" i="1"/>
  <c r="S84" i="1" s="1"/>
  <c r="S93" i="1"/>
  <c r="M94" i="1"/>
  <c r="M87" i="1"/>
  <c r="M89" i="1" s="1"/>
  <c r="M90" i="1" s="1"/>
  <c r="O78" i="1"/>
  <c r="O96" i="1"/>
  <c r="CS96" i="1" l="1"/>
  <c r="CT96" i="1"/>
  <c r="AD82" i="1"/>
  <c r="AD84" i="1" s="1"/>
  <c r="AD93" i="1"/>
  <c r="CY64" i="1"/>
  <c r="X78" i="1"/>
  <c r="X93" i="1" s="1"/>
  <c r="Q101" i="1"/>
  <c r="U101" i="1"/>
  <c r="CV78" i="1"/>
  <c r="CV82" i="1" s="1"/>
  <c r="CV84" i="1" s="1"/>
  <c r="CW41" i="1"/>
  <c r="CX41" i="1" s="1"/>
  <c r="CY41" i="1" s="1"/>
  <c r="CZ41" i="1" s="1"/>
  <c r="DA41" i="1" s="1"/>
  <c r="DB41" i="1" s="1"/>
  <c r="DC41" i="1" s="1"/>
  <c r="AC87" i="1"/>
  <c r="AC89" i="1" s="1"/>
  <c r="AC90" i="1" s="1"/>
  <c r="AC94" i="1"/>
  <c r="AB87" i="1"/>
  <c r="AB89" i="1" s="1"/>
  <c r="AB90" i="1" s="1"/>
  <c r="AB94" i="1"/>
  <c r="X96" i="1"/>
  <c r="T101" i="1"/>
  <c r="V94" i="1"/>
  <c r="V87" i="1"/>
  <c r="V89" i="1" s="1"/>
  <c r="CX12" i="1"/>
  <c r="CU96" i="1"/>
  <c r="W82" i="1"/>
  <c r="W84" i="1" s="1"/>
  <c r="W87" i="1" s="1"/>
  <c r="W93" i="1"/>
  <c r="O82" i="1"/>
  <c r="O84" i="1" s="1"/>
  <c r="O93" i="1"/>
  <c r="CV96" i="1"/>
  <c r="S87" i="1"/>
  <c r="S89" i="1" s="1"/>
  <c r="S90" i="1" s="1"/>
  <c r="S94" i="1"/>
  <c r="R101" i="1"/>
  <c r="X82" i="1" l="1"/>
  <c r="X84" i="1" s="1"/>
  <c r="X87" i="1" s="1"/>
  <c r="X89" i="1" s="1"/>
  <c r="X90" i="1" s="1"/>
  <c r="CX76" i="1"/>
  <c r="AD94" i="1"/>
  <c r="AD87" i="1"/>
  <c r="AD89" i="1" s="1"/>
  <c r="CW76" i="1"/>
  <c r="CZ64" i="1"/>
  <c r="CV77" i="1"/>
  <c r="CV85" i="1"/>
  <c r="CV87" i="1" s="1"/>
  <c r="CV89" i="1" s="1"/>
  <c r="CY12" i="1"/>
  <c r="CY76" i="1" s="1"/>
  <c r="W89" i="1"/>
  <c r="W90" i="1" s="1"/>
  <c r="W94" i="1"/>
  <c r="V103" i="1"/>
  <c r="V90" i="1"/>
  <c r="V101" i="1" s="1"/>
  <c r="O87" i="1"/>
  <c r="O89" i="1" s="1"/>
  <c r="O90" i="1" s="1"/>
  <c r="CS90" i="1" s="1"/>
  <c r="O94" i="1"/>
  <c r="X94" i="1" l="1"/>
  <c r="CW78" i="1"/>
  <c r="CW82" i="1" s="1"/>
  <c r="CW84" i="1" s="1"/>
  <c r="DA64" i="1"/>
  <c r="CW96" i="1"/>
  <c r="CV90" i="1"/>
  <c r="W101" i="1"/>
  <c r="AA101" i="1"/>
  <c r="X101" i="1"/>
  <c r="AB101" i="1"/>
  <c r="CZ12" i="1"/>
  <c r="CZ76" i="1" s="1"/>
  <c r="S101" i="1"/>
  <c r="CX81" i="1"/>
  <c r="CX78" i="1"/>
  <c r="CX77" i="1" s="1"/>
  <c r="CX96" i="1"/>
  <c r="CW77" i="1" l="1"/>
  <c r="CW85" i="1"/>
  <c r="CW87" i="1" s="1"/>
  <c r="CW89" i="1" s="1"/>
  <c r="DB64" i="1"/>
  <c r="DA12" i="1"/>
  <c r="DA76" i="1" s="1"/>
  <c r="CZ81" i="1"/>
  <c r="CY81" i="1"/>
  <c r="CY96" i="1"/>
  <c r="CY78" i="1"/>
  <c r="CX82" i="1"/>
  <c r="DC64" i="1" l="1"/>
  <c r="DB12" i="1"/>
  <c r="DC12" i="1" s="1"/>
  <c r="CY82" i="1"/>
  <c r="CZ78" i="1"/>
  <c r="CZ82" i="1" s="1"/>
  <c r="CZ96" i="1"/>
  <c r="CY77" i="1"/>
  <c r="DB76" i="1" l="1"/>
  <c r="DB78" i="1" s="1"/>
  <c r="DB82" i="1" s="1"/>
  <c r="DC76" i="1"/>
  <c r="CZ77" i="1"/>
  <c r="DA96" i="1"/>
  <c r="DA78" i="1"/>
  <c r="DA82" i="1" s="1"/>
  <c r="DC78" i="1" l="1"/>
  <c r="DC96" i="1"/>
  <c r="DB96" i="1"/>
  <c r="DA77" i="1"/>
  <c r="DB77" i="1"/>
  <c r="DC77" i="1" l="1"/>
  <c r="DC82" i="1"/>
  <c r="Y82" i="1"/>
  <c r="Y84" i="1" s="1"/>
  <c r="Y94" i="1" s="1"/>
  <c r="Y93" i="1"/>
  <c r="Y87" i="1" l="1"/>
  <c r="Y89" i="1" s="1"/>
  <c r="Y90" i="1" s="1"/>
  <c r="AC101" i="1" s="1"/>
  <c r="CT77" i="1"/>
  <c r="CT93" i="1"/>
  <c r="CT82" i="1"/>
  <c r="CT84" i="1" s="1"/>
  <c r="CT94" i="1" s="1"/>
  <c r="Y101" i="1" l="1"/>
  <c r="CT87" i="1"/>
  <c r="CT89" i="1" s="1"/>
  <c r="CT104" i="1" l="1"/>
  <c r="CT90" i="1"/>
  <c r="CT101" i="1" l="1"/>
  <c r="CU78" i="1" l="1"/>
  <c r="CU82" i="1" s="1"/>
  <c r="CU84" i="1" s="1"/>
  <c r="CU87" i="1" l="1"/>
  <c r="CU89" i="1" s="1"/>
  <c r="CU90" i="1" s="1"/>
  <c r="CU94" i="1"/>
  <c r="CU93" i="1"/>
  <c r="CU77" i="1"/>
  <c r="Z82" i="1"/>
  <c r="Z84" i="1" s="1"/>
  <c r="Z94" i="1" s="1"/>
  <c r="Z93" i="1"/>
  <c r="Z87" i="1" l="1"/>
  <c r="Z89" i="1" s="1"/>
  <c r="Z90" i="1" s="1"/>
  <c r="Z101" i="1" s="1"/>
  <c r="CU101" i="1" l="1"/>
  <c r="CU104" i="1"/>
  <c r="CV101" i="1" l="1"/>
  <c r="CV104" i="1"/>
  <c r="CW90" i="1" l="1"/>
  <c r="CW101" i="1" s="1"/>
  <c r="CW104" i="1"/>
  <c r="CW106" i="1" s="1"/>
  <c r="CX83" i="1" s="1"/>
  <c r="CX84" i="1" s="1"/>
  <c r="CX85" i="1" l="1"/>
  <c r="CX87" i="1" s="1"/>
  <c r="CX89" i="1" s="1"/>
  <c r="CX104" i="1" s="1"/>
  <c r="CX106" i="1" s="1"/>
  <c r="CY83" i="1" s="1"/>
  <c r="CY84" i="1" s="1"/>
  <c r="CY85" i="1" l="1"/>
  <c r="CY87" i="1" s="1"/>
  <c r="CY89" i="1" s="1"/>
  <c r="CY90" i="1" s="1"/>
  <c r="CX90" i="1"/>
  <c r="CX101" i="1" s="1"/>
  <c r="CY101" i="1" l="1"/>
  <c r="CY104" i="1"/>
  <c r="CY106" i="1" s="1"/>
  <c r="CZ83" i="1" s="1"/>
  <c r="CZ84" i="1" s="1"/>
  <c r="CZ85" i="1" l="1"/>
  <c r="CZ87" i="1" s="1"/>
  <c r="CZ89" i="1" s="1"/>
  <c r="CZ90" i="1" l="1"/>
  <c r="CZ101" i="1" s="1"/>
  <c r="CZ104" i="1"/>
  <c r="CZ106" i="1" s="1"/>
  <c r="DA83" i="1" s="1"/>
  <c r="DA84" i="1" s="1"/>
  <c r="DA85" i="1" l="1"/>
  <c r="DA87" i="1" s="1"/>
  <c r="DA89" i="1" s="1"/>
  <c r="DA90" i="1" l="1"/>
  <c r="DA101" i="1" s="1"/>
  <c r="DA104" i="1"/>
  <c r="DA106" i="1" s="1"/>
  <c r="DB83" i="1" s="1"/>
  <c r="DB84" i="1" s="1"/>
  <c r="DB85" i="1" l="1"/>
  <c r="DB87" i="1" s="1"/>
  <c r="DB89" i="1" s="1"/>
  <c r="DB90" i="1" l="1"/>
  <c r="DB101" i="1" s="1"/>
  <c r="DB104" i="1"/>
  <c r="DB106" i="1" s="1"/>
  <c r="DC83" i="1" l="1"/>
  <c r="DC84" i="1" s="1"/>
  <c r="DC106" i="1"/>
  <c r="DC85" i="1" l="1"/>
  <c r="DC87" i="1" s="1"/>
  <c r="DC89" i="1" s="1"/>
  <c r="DC90" i="1" l="1"/>
  <c r="DC101" i="1" s="1"/>
  <c r="DD89" i="1"/>
  <c r="DE89" i="1" s="1"/>
  <c r="DF89" i="1" s="1"/>
  <c r="DG89" i="1" s="1"/>
  <c r="DH89" i="1" s="1"/>
  <c r="DI89" i="1" s="1"/>
  <c r="DJ89" i="1" s="1"/>
  <c r="DK89" i="1" s="1"/>
  <c r="DL89" i="1" s="1"/>
  <c r="DM89" i="1" s="1"/>
  <c r="DN89" i="1" s="1"/>
  <c r="DO89" i="1" s="1"/>
  <c r="DP89" i="1" s="1"/>
  <c r="DQ89" i="1" s="1"/>
  <c r="DR89" i="1" s="1"/>
  <c r="DS89" i="1" s="1"/>
  <c r="DT89" i="1" s="1"/>
  <c r="DU89" i="1" s="1"/>
  <c r="DV89" i="1" s="1"/>
  <c r="DW89" i="1" s="1"/>
  <c r="DX89" i="1" s="1"/>
  <c r="DY89" i="1" s="1"/>
  <c r="DZ89" i="1" s="1"/>
  <c r="EA89" i="1" s="1"/>
  <c r="EB89" i="1" s="1"/>
  <c r="EC89" i="1" s="1"/>
  <c r="ED89" i="1" s="1"/>
  <c r="EE89" i="1" s="1"/>
  <c r="EF89" i="1" s="1"/>
  <c r="EG89" i="1" s="1"/>
  <c r="EH89" i="1" s="1"/>
  <c r="EI89" i="1" s="1"/>
  <c r="EJ89" i="1" s="1"/>
  <c r="EK89" i="1" s="1"/>
  <c r="EL89" i="1" s="1"/>
  <c r="EM89" i="1" s="1"/>
  <c r="EN89" i="1" s="1"/>
  <c r="EO89" i="1" s="1"/>
  <c r="EP89" i="1" s="1"/>
  <c r="EQ89" i="1" s="1"/>
  <c r="ER89" i="1" s="1"/>
  <c r="ES89" i="1" s="1"/>
  <c r="ET89" i="1" s="1"/>
  <c r="EU89" i="1" s="1"/>
  <c r="EV89" i="1" s="1"/>
  <c r="EW89" i="1" s="1"/>
  <c r="EX89" i="1" s="1"/>
  <c r="EY89" i="1" s="1"/>
  <c r="EZ89" i="1" s="1"/>
  <c r="FA89" i="1" s="1"/>
  <c r="FB89" i="1" s="1"/>
  <c r="FC89" i="1" s="1"/>
  <c r="FD89" i="1" s="1"/>
  <c r="FE89" i="1" s="1"/>
  <c r="FF89" i="1" s="1"/>
  <c r="FG89" i="1" s="1"/>
  <c r="FH89" i="1" s="1"/>
  <c r="FI89" i="1" s="1"/>
  <c r="FJ89" i="1" s="1"/>
  <c r="FK89" i="1" s="1"/>
  <c r="FL89" i="1" s="1"/>
  <c r="FM89" i="1" s="1"/>
  <c r="FN89" i="1" s="1"/>
  <c r="DO95" i="1" l="1"/>
  <c r="DO96" i="1" s="1"/>
  <c r="DO97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MSMB - Andre</author>
  </authors>
  <commentList>
    <comment ref="F10" authorId="0" shapeId="0" xr:uid="{00000000-0006-0000-0200-000001000000}">
      <text>
        <r>
          <rPr>
            <b/>
            <sz val="9"/>
            <color rgb="FF000000"/>
            <rFont val="Tahoma"/>
            <family val="2"/>
          </rPr>
          <t>MSMB - Andre:</t>
        </r>
        <r>
          <rPr>
            <sz val="9"/>
            <color rgb="FF000000"/>
            <rFont val="Tahoma"/>
            <family val="2"/>
          </rPr>
          <t xml:space="preserve">
</t>
        </r>
        <r>
          <rPr>
            <sz val="9"/>
            <color rgb="FF000000"/>
            <rFont val="Tahoma"/>
            <family val="2"/>
          </rPr>
          <t>4-1-10 attempting to settle and extend exclusivity for a year or two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tc={E33F5FBE-A351-43AB-BB26-9BE2FEDE5329}</author>
    <author>tc={14193EBD-CFEE-4BE7-8A7E-3BC4D57390F5}</author>
    <author>tc={D5DD676B-0E5E-4508-8BC7-B0A73A9A23F5}</author>
    <author>tc={3C5A1471-DCCA-4393-8919-4C76421719EE}</author>
    <author>Martin</author>
    <author>MSMB</author>
    <author>RBC</author>
    <author>Martin Shkreli</author>
    <author>tc={33D8977C-9DE1-4C75-9837-4AE138309EE3}</author>
    <author>tc={DBDCA234-B388-462B-A15C-B39E337DF9FD}</author>
    <author xml:space="preserve"> </author>
    <author>tc={369A9D9C-E8DB-4875-A620-36A7DE3DC2E0}</author>
    <author>tc={3A866901-E658-44E9-B783-7AF3287D819A}</author>
    <author>MSMB - Andre</author>
    <author>tc={F9AC6D8E-D4E8-48E6-87BF-AFF3BAEAF239}</author>
    <author>tc={F7588713-7B33-4A55-9D7A-5A4110D76910}</author>
    <author>tc={BD0047EE-85B6-4B61-A969-431013501C3B}</author>
    <author>tc={C332E2A7-7FFB-4B2F-83D9-CD4DD37631A5}</author>
    <author>tc={65F7C13C-73F7-432E-96BC-9619FA75CE2E}</author>
    <author>tc={474CDD52-F71C-4FA1-A7E2-59168AC71305}</author>
    <author>tc={70D2DB62-68E2-4B0A-A405-84EE5DA5D593}</author>
  </authors>
  <commentList>
    <comment ref="CG3" authorId="0" shapeId="0" xr:uid="{E33F5FBE-A351-43AB-BB26-9BE2FEDE5329}">
      <text>
        <t>[Threaded comment]
Your version of Excel allows you to read this threaded comment; however, any edits to it will get removed if the file is opened in a newer version of Excel. Learn more: https://go.microsoft.com/fwlink/?linkid=870924
Comment:
    +26% CER</t>
      </text>
    </comment>
    <comment ref="CH3" authorId="1" shapeId="0" xr:uid="{14193EBD-CFEE-4BE7-8A7E-3BC4D57390F5}">
      <text>
        <t>[Threaded comment]
Your version of Excel allows you to read this threaded comment; however, any edits to it will get removed if the file is opened in a newer version of Excel. Learn more: https://go.microsoft.com/fwlink/?linkid=870924
Comment:
    Q324: 13B guidance
16% CER
US 2.551B EUR</t>
      </text>
    </comment>
    <comment ref="DJ3" authorId="2" shapeId="0" xr:uid="{D5DD676B-0E5E-4508-8BC7-B0A73A9A23F5}">
      <text>
        <t>[Threaded comment]
Your version of Excel allows you to read this threaded comment; however, any edits to it will get removed if the file is opened in a newer version of Excel. Learn more: https://go.microsoft.com/fwlink/?linkid=870924
Comment:
    +23.1% CER</t>
      </text>
    </comment>
    <comment ref="DP3" authorId="3" shapeId="0" xr:uid="{3C5A1471-DCCA-4393-8919-4C76421719EE}">
      <text>
        <t>[Threaded comment]
Your version of Excel allows you to read this threaded comment; however, any edits to it will get removed if the file is opened in a newer version of Excel. Learn more: https://go.microsoft.com/fwlink/?linkid=870924
Comment:
    Q424: 22B EUR guidance</t>
      </text>
    </comment>
    <comment ref="Y4" authorId="4" shapeId="0" xr:uid="{00000000-0006-0000-0300-00000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up 22% CER</t>
        </r>
      </text>
    </comment>
    <comment ref="AA4" authorId="5" shapeId="0" xr:uid="{00000000-0006-0000-0300-000002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10.4% CER
Japan +41%
EM +21%
EU +11%
US +8%, 60% of sales</t>
        </r>
      </text>
    </comment>
    <comment ref="AB4" authorId="5" shapeId="0" xr:uid="{00000000-0006-0000-0300-000003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TRX +5% y/y</t>
        </r>
      </text>
    </comment>
    <comment ref="T6" authorId="6" shapeId="0" xr:uid="{00000000-0006-0000-0300-000004000000}">
      <text>
        <r>
          <rPr>
            <b/>
            <sz val="8"/>
            <color indexed="81"/>
            <rFont val="Tahoma"/>
            <family val="2"/>
          </rPr>
          <t>RBC:</t>
        </r>
        <r>
          <rPr>
            <sz val="8"/>
            <color indexed="81"/>
            <rFont val="Tahoma"/>
            <family val="2"/>
          </rPr>
          <t xml:space="preserve">
Followed stocking and manufacturing errors</t>
        </r>
      </text>
    </comment>
    <comment ref="U6" authorId="7" shapeId="0" xr:uid="{00000000-0006-0000-0300-000005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Impurities affected inventory build.</t>
        </r>
      </text>
    </comment>
    <comment ref="AA6" authorId="5" shapeId="0" xr:uid="{00000000-0006-0000-0300-000006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US flat y/y
Europe +15% y/y
Other +3% y/y</t>
        </r>
      </text>
    </comment>
    <comment ref="AB6" authorId="5" shapeId="0" xr:uid="{00000000-0006-0000-0300-00000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Rx +6% y/y
$ +10% y/y</t>
        </r>
      </text>
    </comment>
    <comment ref="AC6" authorId="5" shapeId="0" xr:uid="{00000000-0006-0000-0300-000008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Generic launched by Sandoz 7/23/10.</t>
        </r>
      </text>
    </comment>
    <comment ref="CU6" authorId="7" shapeId="0" xr:uid="{00000000-0006-0000-0300-000009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generics enter?</t>
        </r>
      </text>
    </comment>
    <comment ref="CH8" authorId="8" shapeId="0" xr:uid="{33D8977C-9DE1-4C75-9837-4AE138309EE3}">
      <text>
        <t>[Threaded comment]
Your version of Excel allows you to read this threaded comment; however, any edits to it will get removed if the file is opened in a newer version of Excel. Learn more: https://go.microsoft.com/fwlink/?linkid=870924
Comment:
    Patient switches</t>
      </text>
    </comment>
    <comment ref="CH10" authorId="9" shapeId="0" xr:uid="{DBDCA234-B388-462B-A15C-B39E337DF9FD}">
      <text>
        <t>[Threaded comment]
Your version of Excel allows you to read this threaded comment; however, any edits to it will get removed if the file is opened in a newer version of Excel. Learn more: https://go.microsoft.com/fwlink/?linkid=870924
Comment:
    11/29/24 sold asset to Recordati</t>
      </text>
    </comment>
    <comment ref="S12" authorId="7" shapeId="0" xr:uid="{00000000-0006-0000-0300-00000A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1470 global sales EUR</t>
        </r>
      </text>
    </comment>
    <comment ref="X12" authorId="10" shapeId="0" xr:uid="{00000000-0006-0000-0300-00000B000000}">
      <text>
        <r>
          <rPr>
            <sz val="8"/>
            <color indexed="81"/>
            <rFont val="Tahoma"/>
            <family val="2"/>
          </rPr>
          <t>+26 CER</t>
        </r>
      </text>
    </comment>
    <comment ref="AE12" authorId="4" shapeId="0" xr:uid="{00000000-0006-0000-0300-00000C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1734 Global, EU at 153</t>
        </r>
      </text>
    </comment>
    <comment ref="S15" authorId="7" shapeId="0" xr:uid="{00000000-0006-0000-0300-00000D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472 EUR ww</t>
        </r>
      </text>
    </comment>
    <comment ref="CW22" authorId="10" shapeId="0" xr:uid="{00000000-0006-0000-0300-000019000000}">
      <text>
        <r>
          <rPr>
            <sz val="8"/>
            <color indexed="81"/>
            <rFont val="Tahoma"/>
            <family val="2"/>
          </rPr>
          <t>Lauch trajectory indicate $1bn in 3rd full year --JPM Q309</t>
        </r>
      </text>
    </comment>
    <comment ref="CZ22" authorId="5" shapeId="0" xr:uid="{00000000-0006-0000-0300-00001A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COM expires!!</t>
        </r>
      </text>
    </comment>
    <comment ref="DB22" authorId="10" shapeId="0" xr:uid="{00000000-0006-0000-0300-00001B000000}">
      <text>
        <r>
          <rPr>
            <sz val="8"/>
            <color indexed="81"/>
            <rFont val="Tahoma"/>
            <family val="2"/>
          </rPr>
          <t>Kepler 2600m estimate</t>
        </r>
      </text>
    </comment>
    <comment ref="CH32" authorId="11" shapeId="0" xr:uid="{369A9D9C-E8DB-4875-A620-36A7DE3DC2E0}">
      <text>
        <t>[Threaded comment]
Your version of Excel allows you to read this threaded comment; however, any edits to it will get removed if the file is opened in a newer version of Excel. Learn more: https://go.microsoft.com/fwlink/?linkid=870924
Comment:
    Europe 8m, ROW 5m</t>
      </text>
    </comment>
    <comment ref="CH35" authorId="12" shapeId="0" xr:uid="{3A866901-E658-44E9-B783-7AF3287D819A}">
      <text>
        <t>[Threaded comment]
Your version of Excel allows you to read this threaded comment; however, any edits to it will get removed if the file is opened in a newer version of Excel. Learn more: https://go.microsoft.com/fwlink/?linkid=870924
Comment:
    Most patients have switched in the US from Myozyme/Lumizyme</t>
      </text>
    </comment>
    <comment ref="Y41" authorId="7" shapeId="0" xr:uid="{00000000-0006-0000-0300-000011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Lost patent case, TEVA, Hospira, Sun enter market.</t>
        </r>
      </text>
    </comment>
    <comment ref="AB41" authorId="13" shapeId="0" xr:uid="{00000000-0006-0000-0300-000012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Generic settlement</t>
        </r>
      </text>
    </comment>
    <comment ref="W42" authorId="7" shapeId="0" xr:uid="{00000000-0006-0000-0300-000013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128 CR</t>
        </r>
      </text>
    </comment>
    <comment ref="AA42" authorId="5" shapeId="0" xr:uid="{00000000-0006-0000-0300-00001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142 US
62 Other
17 EU</t>
        </r>
      </text>
    </comment>
    <comment ref="X43" authorId="10" shapeId="0" xr:uid="{00000000-0006-0000-0300-000015000000}">
      <text>
        <r>
          <rPr>
            <sz val="8"/>
            <color indexed="81"/>
            <rFont val="Tahoma"/>
            <family val="2"/>
          </rPr>
          <t>5% Europe</t>
        </r>
      </text>
    </comment>
    <comment ref="CQ43" authorId="10" shapeId="0" xr:uid="{00000000-0006-0000-0300-000016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Tablets went generic through TEVA.</t>
        </r>
      </text>
    </comment>
    <comment ref="CU43" authorId="10" shapeId="0" xr:uid="{00000000-0006-0000-0300-000017000000}">
      <text>
        <r>
          <rPr>
            <b/>
            <sz val="8"/>
            <color indexed="81"/>
            <rFont val="Tahoma"/>
            <family val="2"/>
          </rPr>
          <t>11/1/09 BRL authorized generic for D-12</t>
        </r>
      </text>
    </comment>
    <comment ref="CW48" authorId="10" shapeId="0" xr:uid="{00000000-0006-0000-0300-000018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BRL authorized generic settlement launch date</t>
        </r>
      </text>
    </comment>
    <comment ref="AA52" authorId="5" shapeId="0" xr:uid="{00000000-0006-0000-0300-00000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+10% US CER
-3% Europe CER
-3% other CER</t>
        </r>
      </text>
    </comment>
    <comment ref="AB52" authorId="5" shapeId="0" xr:uid="{00000000-0006-0000-0300-00000F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-10% US y/y TRX, $</t>
        </r>
      </text>
    </comment>
    <comment ref="CV52" authorId="10" shapeId="0" xr:uid="{00000000-0006-0000-0300-000010000000}">
      <text>
        <r>
          <rPr>
            <sz val="8"/>
            <color indexed="81"/>
            <rFont val="Tahoma"/>
            <family val="2"/>
          </rPr>
          <t>5/14/10 expiry of 4814470 patent.</t>
        </r>
      </text>
    </comment>
    <comment ref="T60" authorId="7" shapeId="0" xr:uid="{00000000-0006-0000-0300-00001C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TEVA agreement expires</t>
        </r>
      </text>
    </comment>
    <comment ref="AA61" authorId="5" shapeId="0" xr:uid="{00000000-0006-0000-0300-00001D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10% US</t>
        </r>
      </text>
    </comment>
    <comment ref="CG61" authorId="14" shapeId="0" xr:uid="{F9AC6D8E-D4E8-48E6-87BF-AFF3BAEAF239}">
      <text>
        <t>[Threaded comment]
Your version of Excel allows you to read this threaded comment; however, any edits to it will get removed if the file is opened in a newer version of Excel. Learn more: https://go.microsoft.com/fwlink/?linkid=870924
Comment:
    Qunol acquisition</t>
      </text>
    </comment>
    <comment ref="AA63" authorId="5" shapeId="0" xr:uid="{00000000-0006-0000-0300-00001E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only 8% US</t>
        </r>
      </text>
    </comment>
    <comment ref="S64" authorId="10" shapeId="0" xr:uid="{00000000-0006-0000-0300-00001F000000}">
      <text>
        <r>
          <rPr>
            <b/>
            <sz val="8"/>
            <color indexed="81"/>
            <rFont val="Tahoma"/>
            <family val="2"/>
          </rPr>
          <t xml:space="preserve"> :</t>
        </r>
        <r>
          <rPr>
            <sz val="8"/>
            <color indexed="81"/>
            <rFont val="Tahoma"/>
            <family val="2"/>
          </rPr>
          <t xml:space="preserve">
Accomplia 22</t>
        </r>
      </text>
    </comment>
    <comment ref="S74" authorId="7" shapeId="0" xr:uid="{00000000-0006-0000-0300-000020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Plavix-related strength</t>
        </r>
      </text>
    </comment>
    <comment ref="AA76" authorId="4" shapeId="0" xr:uid="{00000000-0006-0000-0300-000021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Animal was possibly not included previously</t>
        </r>
      </text>
    </comment>
    <comment ref="BZ76" authorId="15" shapeId="0" xr:uid="{F7588713-7B33-4A55-9D7A-5A4110D76910}">
      <text>
        <t>[Threaded comment]
Your version of Excel allows you to read this threaded comment; however, any edits to it will get removed if the file is opened in a newer version of Excel. Learn more: https://go.microsoft.com/fwlink/?linkid=870924
Comment:
    10725m reported</t>
      </text>
    </comment>
    <comment ref="CD76" authorId="16" shapeId="0" xr:uid="{BD0047EE-85B6-4B61-A969-431013501C3B}">
      <text>
        <t>[Threaded comment]
Your version of Excel allows you to read this threaded comment; however, any edits to it will get removed if the file is opened in a newer version of Excel. Learn more: https://go.microsoft.com/fwlink/?linkid=870924
Comment:
    9687 prior period recast (Q424)</t>
      </text>
    </comment>
    <comment ref="S86" authorId="7" shapeId="0" xr:uid="{00000000-0006-0000-0300-000022000000}">
      <text>
        <r>
          <rPr>
            <b/>
            <sz val="8"/>
            <color indexed="81"/>
            <rFont val="Tahoma"/>
            <family val="2"/>
          </rPr>
          <t>Martin Shkreli:</t>
        </r>
        <r>
          <rPr>
            <sz val="8"/>
            <color indexed="81"/>
            <rFont val="Tahoma"/>
            <family val="2"/>
          </rPr>
          <t xml:space="preserve">
Plavix, Avapro, Gardasil impact</t>
        </r>
      </text>
    </comment>
    <comment ref="CG89" authorId="17" shapeId="0" xr:uid="{C332E2A7-7FFB-4B2F-83D9-CD4DD37631A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NI 3585m</t>
      </text>
    </comment>
    <comment ref="CG90" authorId="18" shapeId="0" xr:uid="{65F7C13C-73F7-432E-96BC-9619FA75CE2E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2.86
IFRS EPS 2.25</t>
      </text>
    </comment>
    <comment ref="CH90" authorId="19" shapeId="0" xr:uid="{474CDD52-F71C-4FA1-A7E2-59168AC71305}">
      <text>
        <t>[Threaded comment]
Your version of Excel allows you to read this threaded comment; however, any edits to it will get removed if the file is opened in a newer version of Excel. Learn more: https://go.microsoft.com/fwlink/?linkid=870924
Comment:
    Business EPS of EUR1.31
-11% CER</t>
      </text>
    </comment>
    <comment ref="CT90" authorId="7" shapeId="0" xr:uid="{00000000-0006-0000-0300-000023000000}">
      <text>
        <r>
          <rPr>
            <sz val="8"/>
            <color indexed="81"/>
            <rFont val="Tahoma"/>
            <family val="2"/>
          </rPr>
          <t>Q308: Expect 9%</t>
        </r>
        <r>
          <rPr>
            <sz val="8"/>
            <color indexed="81"/>
            <rFont val="Tahoma"/>
            <family val="2"/>
          </rPr>
          <t xml:space="preserve">
Q208: Expect 7% eps growth at 1.371 euro/dollar. Compared to 5.17 eps for 2007/</t>
        </r>
      </text>
    </comment>
    <comment ref="CV90" authorId="5" shapeId="0" xr:uid="{00000000-0006-0000-0300-000024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Flat to -4% versus 2009</t>
        </r>
      </text>
    </comment>
    <comment ref="DJ90" authorId="20" shapeId="0" xr:uid="{70D2DB62-68E2-4B0A-A405-84EE5DA5D593}">
      <text>
        <t>[Threaded comment]
Your version of Excel allows you to read this threaded comment; however, any edits to it will get removed if the file is opened in a newer version of Excel. Learn more: https://go.microsoft.com/fwlink/?linkid=870924
Comment:
    10/21/24/Q324: +LSD CER excluding Opella</t>
      </text>
    </comment>
    <comment ref="AE97" authorId="4" shapeId="0" xr:uid="{00000000-0006-0000-0300-000025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+0.1% excluding H1N1</t>
        </r>
      </text>
    </comment>
    <comment ref="AA99" authorId="13" shapeId="0" xr:uid="{00000000-0006-0000-0300-000026000000}">
      <text>
        <r>
          <rPr>
            <b/>
            <sz val="9"/>
            <color indexed="81"/>
            <rFont val="Tahoma"/>
            <family val="2"/>
          </rPr>
          <t>MSMB - Andre:</t>
        </r>
        <r>
          <rPr>
            <sz val="9"/>
            <color indexed="81"/>
            <rFont val="Tahoma"/>
            <family val="2"/>
          </rPr>
          <t xml:space="preserve">
10.4% CER</t>
        </r>
      </text>
    </comment>
    <comment ref="AB99" authorId="5" shapeId="0" xr:uid="{00000000-0006-0000-0300-000027000000}">
      <text>
        <r>
          <rPr>
            <b/>
            <sz val="9"/>
            <color indexed="81"/>
            <rFont val="Tahoma"/>
            <family val="2"/>
          </rPr>
          <t>MSMB:</t>
        </r>
        <r>
          <rPr>
            <sz val="9"/>
            <color indexed="81"/>
            <rFont val="Tahoma"/>
            <family val="2"/>
          </rPr>
          <t xml:space="preserve">
10.6% CER</t>
        </r>
      </text>
    </comment>
    <comment ref="AC99" authorId="4" shapeId="0" xr:uid="{00000000-0006-0000-0300-000028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6.7% CER</t>
        </r>
      </text>
    </comment>
    <comment ref="AO101" authorId="4" shapeId="0" xr:uid="{00000000-0006-0000-0300-000029000000}">
      <text>
        <r>
          <rPr>
            <b/>
            <sz val="9"/>
            <color indexed="81"/>
            <rFont val="Tahoma"/>
            <family val="2"/>
          </rPr>
          <t>Martin:</t>
        </r>
        <r>
          <rPr>
            <sz val="9"/>
            <color indexed="81"/>
            <rFont val="Tahoma"/>
            <family val="2"/>
          </rPr>
          <t xml:space="preserve">
-9%</t>
        </r>
      </text>
    </comment>
  </commentList>
</comments>
</file>

<file path=xl/sharedStrings.xml><?xml version="1.0" encoding="utf-8"?>
<sst xmlns="http://schemas.openxmlformats.org/spreadsheetml/2006/main" count="859" uniqueCount="623">
  <si>
    <t>Q2 2005</t>
  </si>
  <si>
    <t>Other Revs</t>
  </si>
  <si>
    <t>COGS</t>
  </si>
  <si>
    <t>R&amp;D</t>
  </si>
  <si>
    <t>SG&amp;A</t>
  </si>
  <si>
    <t>Taxes</t>
  </si>
  <si>
    <t>Financial Expenses</t>
  </si>
  <si>
    <t>EBT</t>
  </si>
  <si>
    <t>JV</t>
  </si>
  <si>
    <t>NI -MI</t>
  </si>
  <si>
    <t>EPS</t>
  </si>
  <si>
    <t>Shares</t>
  </si>
  <si>
    <t>Name</t>
  </si>
  <si>
    <t>Indication</t>
  </si>
  <si>
    <t>Economics</t>
  </si>
  <si>
    <t>IP</t>
  </si>
  <si>
    <t>Competition</t>
  </si>
  <si>
    <t>Phase</t>
  </si>
  <si>
    <t>Depression</t>
  </si>
  <si>
    <t>EFC5374</t>
  </si>
  <si>
    <t>Trial</t>
  </si>
  <si>
    <t>GEO</t>
  </si>
  <si>
    <t>EU</t>
  </si>
  <si>
    <t>n</t>
  </si>
  <si>
    <t>Pop</t>
  </si>
  <si>
    <t>Time</t>
  </si>
  <si>
    <t>6 wks</t>
  </si>
  <si>
    <t>EFC5379</t>
  </si>
  <si>
    <t>NA</t>
  </si>
  <si>
    <t>Result</t>
  </si>
  <si>
    <t>Positive</t>
  </si>
  <si>
    <t>Negative</t>
  </si>
  <si>
    <t>Insomnia</t>
  </si>
  <si>
    <t>p2b n=350 met PE of WASO, # of awakenings, TST. No next day effect or rebound insomnia and good safety.</t>
  </si>
  <si>
    <t>DRI5154 p2b n=527. 3 doses vs. placebo on abstinence. Met PE of prolonged abstinence during last 4 weeks of treatment. Safety "acceptable"</t>
  </si>
  <si>
    <t>Xenox p3 n=649 mCRC w/ FOLFOX4, decreased severe PSN (peripheral sensory neuropathy) by 39%.</t>
  </si>
  <si>
    <t>refractory CLL, activity similar to Campath or fludarabine, good safety</t>
  </si>
  <si>
    <t>HypoCAT in n=110 hyponatremic pts with cirrhotic ascites met PE to change serum sodium levels on day 5</t>
  </si>
  <si>
    <t>NormoCat in n=148 normonatremic pts with cirrhotic ascites met PE to chg body weight gain at end of tmt</t>
  </si>
  <si>
    <t>Plavix</t>
  </si>
  <si>
    <t>Cardiology</t>
  </si>
  <si>
    <t>BMY</t>
  </si>
  <si>
    <t>clopidogrel</t>
  </si>
  <si>
    <t>VTE trials for patients in AF: Amadeus, Active, Van Gogh</t>
  </si>
  <si>
    <t>Pranalcasan (HMR 3480)</t>
  </si>
  <si>
    <t>Osanetant (SR 142801)</t>
  </si>
  <si>
    <t>entering p3 CLL trials</t>
  </si>
  <si>
    <t>Actonel</t>
  </si>
  <si>
    <t>Allegra</t>
  </si>
  <si>
    <t>Lovenox</t>
  </si>
  <si>
    <t>Ambien CR</t>
  </si>
  <si>
    <t>B3 agonist for depression</t>
  </si>
  <si>
    <t>Nicotinic partial agonist</t>
  </si>
  <si>
    <t>vasopressin V2 partial agonist</t>
  </si>
  <si>
    <t>CMS says wont cover obesity drugs for Part D</t>
  </si>
  <si>
    <t>ADA rejected the concept of metabolic syndrome</t>
  </si>
  <si>
    <t>CRESCENDO - 2011 - 20k patients, mortality benefit</t>
  </si>
  <si>
    <t>Price</t>
  </si>
  <si>
    <t>3.14/day in the UK</t>
  </si>
  <si>
    <t>generic 9/2/2008</t>
  </si>
  <si>
    <t>Taxotere</t>
  </si>
  <si>
    <t>Eloxatin</t>
  </si>
  <si>
    <t>Lantus</t>
  </si>
  <si>
    <t>Copaxone</t>
  </si>
  <si>
    <t>Lovenox (enoxaparin)</t>
  </si>
  <si>
    <t>Main</t>
  </si>
  <si>
    <t>Brand Name</t>
  </si>
  <si>
    <t>Generic Name</t>
  </si>
  <si>
    <t>enoxaparin</t>
  </si>
  <si>
    <t>Venous Thromboembolism</t>
  </si>
  <si>
    <t>Mechanism</t>
  </si>
  <si>
    <t>Obesity (but contraindicated with depression)</t>
  </si>
  <si>
    <t>Reimbursement</t>
  </si>
  <si>
    <t>MRK has CB1 going into p3; PFE</t>
  </si>
  <si>
    <t>Clinical Trials</t>
  </si>
  <si>
    <t>Timeline</t>
  </si>
  <si>
    <t>SERENADE - 2008 - diabetes</t>
  </si>
  <si>
    <t>Results reported at IDF</t>
  </si>
  <si>
    <t>Safety</t>
  </si>
  <si>
    <t>Depression, Anxiety</t>
  </si>
  <si>
    <t>Oncology</t>
  </si>
  <si>
    <t>REGN</t>
  </si>
  <si>
    <t>AVE5530</t>
  </si>
  <si>
    <t>Type 2 Diabetes</t>
  </si>
  <si>
    <t>GLP-1</t>
  </si>
  <si>
    <t>HRPC</t>
  </si>
  <si>
    <t>Taxane</t>
  </si>
  <si>
    <t>idraparinux</t>
  </si>
  <si>
    <t>CASSIPOEA</t>
  </si>
  <si>
    <t>EQUINOX</t>
  </si>
  <si>
    <t>positive for DVT but mixed overall?</t>
  </si>
  <si>
    <t>n=3200 in pulmonary embolism</t>
  </si>
  <si>
    <t>bridging study</t>
  </si>
  <si>
    <t>VTE</t>
  </si>
  <si>
    <t>Admin</t>
  </si>
  <si>
    <t>5HT4 partial agonist. Also reportedly a 5HT2a antagonist.</t>
  </si>
  <si>
    <t>Allergic Rhinitis</t>
  </si>
  <si>
    <t>SR57746A</t>
  </si>
  <si>
    <t>xaliproden</t>
  </si>
  <si>
    <t>5-HT1a agonist</t>
  </si>
  <si>
    <t>Alzheimer's disease, Chemo-Induced Neuropathy, ALS, MS</t>
  </si>
  <si>
    <t>Zimulti, fka Accomplia</t>
  </si>
  <si>
    <t>Price EUR</t>
  </si>
  <si>
    <t>Cash EUR</t>
  </si>
  <si>
    <t>Debt EUR</t>
  </si>
  <si>
    <t>MC EUR</t>
  </si>
  <si>
    <t>EV EUR</t>
  </si>
  <si>
    <t>Plavix (clopidogrel)</t>
  </si>
  <si>
    <t>Approved</t>
  </si>
  <si>
    <t>Oral</t>
  </si>
  <si>
    <t>SQ</t>
  </si>
  <si>
    <t>CHARISMA n=15,600 - 3/12/2006</t>
  </si>
  <si>
    <t>CAPRIE - n=19,200 - 1998 results</t>
  </si>
  <si>
    <t>Plavix vs aspirin</t>
  </si>
  <si>
    <t>CURE n=12,600</t>
  </si>
  <si>
    <t>COMMIT - n=45,900 - Aspirin +- Plavix</t>
  </si>
  <si>
    <t>Acute MI in-hospital</t>
  </si>
  <si>
    <t>November 2011 expiry. US patent confirmed as valid.</t>
  </si>
  <si>
    <t>US: Received Class 2 response, 4/26/2007 PDUFA. Filing withdrawn following negative AdCom. EU labeling modified.</t>
  </si>
  <si>
    <t>Xyzal</t>
  </si>
  <si>
    <t>UCB</t>
  </si>
  <si>
    <t>EUR</t>
  </si>
  <si>
    <t>Q305</t>
  </si>
  <si>
    <t>Q405</t>
  </si>
  <si>
    <t>Q106</t>
  </si>
  <si>
    <t>Q206</t>
  </si>
  <si>
    <t>Q306</t>
  </si>
  <si>
    <t>Q406</t>
  </si>
  <si>
    <t>Q107</t>
  </si>
  <si>
    <t>Q207</t>
  </si>
  <si>
    <t>Q307</t>
  </si>
  <si>
    <t>Q407</t>
  </si>
  <si>
    <t>Ambien</t>
  </si>
  <si>
    <t>Depakine</t>
  </si>
  <si>
    <t>IV/SQ</t>
  </si>
  <si>
    <t>IV</t>
  </si>
  <si>
    <t>H5N1 vaccine</t>
  </si>
  <si>
    <t>Influenza</t>
  </si>
  <si>
    <t>Other</t>
  </si>
  <si>
    <t>Q205</t>
  </si>
  <si>
    <t>Q105</t>
  </si>
  <si>
    <t>Q404</t>
  </si>
  <si>
    <t>Q304</t>
  </si>
  <si>
    <t>Q204</t>
  </si>
  <si>
    <t>Q104</t>
  </si>
  <si>
    <t>Vaccines</t>
  </si>
  <si>
    <t>Superior in VTE events (43% RR) and trends higher in major bleeds.</t>
  </si>
  <si>
    <t>EXCLAIM Phase III - Lovenox vs placebo in AMI n=5043</t>
  </si>
  <si>
    <t>PREVAIL Phase III - Lovenox vs UFH n=1768</t>
  </si>
  <si>
    <t>44% RR for VTE.</t>
  </si>
  <si>
    <t>Aprovel (irbesartan)</t>
  </si>
  <si>
    <t>Hypertension</t>
  </si>
  <si>
    <t>Atrial Fibrillation</t>
  </si>
  <si>
    <t>III</t>
  </si>
  <si>
    <t>II</t>
  </si>
  <si>
    <t>VEGF</t>
  </si>
  <si>
    <t>XRP9881 (larotaxel)</t>
  </si>
  <si>
    <t>DebioPharm</t>
  </si>
  <si>
    <t>Alzheimer's</t>
  </si>
  <si>
    <t>Standard</t>
  </si>
  <si>
    <t>Heparin, LMWH.</t>
  </si>
  <si>
    <t>Long-acting factor X inhibitor.</t>
  </si>
  <si>
    <t>VAN GOGH - DVT</t>
  </si>
  <si>
    <t>2.9% recurrence of DVT compared with 3.0% with standard-therapy. 4.5% bleeding at day 92 and 7.0% for standard. 6 month bleeding was similar. Pulmonary embolism was higher for idraparinux, 3.4% vs 1.6%.</t>
  </si>
  <si>
    <t>Operating Expenses</t>
  </si>
  <si>
    <t>LMWH.</t>
  </si>
  <si>
    <t>Rivaroxaban proved superior to Lovenox in VTE prevention. Unfractionated heparin is another competitor.</t>
  </si>
  <si>
    <t>Operating Income</t>
  </si>
  <si>
    <t>Gross Profit</t>
  </si>
  <si>
    <t>Gross Margin</t>
  </si>
  <si>
    <t>Revenue Y/Y</t>
  </si>
  <si>
    <t>Tax Rate</t>
  </si>
  <si>
    <t>Net Income</t>
  </si>
  <si>
    <t>Minority Interest</t>
  </si>
  <si>
    <t>Cash</t>
  </si>
  <si>
    <t>CFFO</t>
  </si>
  <si>
    <t>EPS Y/Y</t>
  </si>
  <si>
    <t>Q108</t>
  </si>
  <si>
    <t>Q208</t>
  </si>
  <si>
    <t>Q308</t>
  </si>
  <si>
    <t>Q408</t>
  </si>
  <si>
    <t>Total Revenues</t>
  </si>
  <si>
    <t>Avapro/Aprovel</t>
  </si>
  <si>
    <t>EPLILONG Phase III success</t>
  </si>
  <si>
    <t>GEMS Phase III success</t>
  </si>
  <si>
    <t>EPOCH Phase III failed.</t>
  </si>
  <si>
    <t>Anticoagulant</t>
  </si>
  <si>
    <t>Appeals court ruled patent unenforceable 5/14/2008. FDA must approve a generic Lovenox.</t>
  </si>
  <si>
    <t>Multaq (dronedarone)</t>
  </si>
  <si>
    <t>Multaq</t>
  </si>
  <si>
    <t>Trials</t>
  </si>
  <si>
    <t>Phase III ATHENA n=4628</t>
  </si>
  <si>
    <t>24% decrease in cardiovascular hospitalizations or death vs placebo.</t>
  </si>
  <si>
    <t>Demonstrates rhythm control is important, as well as rate control.</t>
  </si>
  <si>
    <t>Schweizerhall May 8 2008 press release stating it received approval for generic clopidogrel and licensed to a major generics company (Sandoz?).</t>
  </si>
  <si>
    <t>ACS, Secondary Prevention</t>
  </si>
  <si>
    <t>US November 2011, EU 2013 (challenged)</t>
  </si>
  <si>
    <t>Launches across Europe in 2009? July 14 2008 expiry for salt patent. Remaining patent is EP0281459 (expires 2013, isomer and salt patent).</t>
  </si>
  <si>
    <t xml:space="preserve">  Schweizerhall generic is a different salt and launch is limited to monotherapy, not ACS/stent. Germany may be the only launch.</t>
  </si>
  <si>
    <t>DHODH</t>
  </si>
  <si>
    <t>teriflunomide</t>
  </si>
  <si>
    <t>DHODH inhibitor, metabolite of Arava.</t>
  </si>
  <si>
    <t>Phase III TESMO - Enrollment complete in January 2008</t>
  </si>
  <si>
    <t>n=1088, 91% with RRMS.</t>
  </si>
  <si>
    <t>108 week primary endpoint (annualized relapse rate).</t>
  </si>
  <si>
    <t>Mat</t>
  </si>
  <si>
    <t>Dis</t>
  </si>
  <si>
    <t>NPV</t>
  </si>
  <si>
    <t xml:space="preserve">  Conservative despite Lantus, Vaccines business.</t>
  </si>
  <si>
    <t>Q109</t>
  </si>
  <si>
    <t>Q4 2008</t>
  </si>
  <si>
    <t>saredutant</t>
  </si>
  <si>
    <t>BSI-201</t>
  </si>
  <si>
    <t>I</t>
  </si>
  <si>
    <t>Apidra</t>
  </si>
  <si>
    <t>Q209</t>
  </si>
  <si>
    <t>Q309</t>
  </si>
  <si>
    <t>Q409</t>
  </si>
  <si>
    <t>insulin glargine</t>
  </si>
  <si>
    <t>Meta-analysis/insurance data published by EASD? in June 2009.</t>
  </si>
  <si>
    <t>German insurance database of 127k patients suggests 1/100 cancer risk for Lantus over 18 months vs human insulin.</t>
  </si>
  <si>
    <t>Sweden &amp; Scotland data suggests breast cancer risk?</t>
  </si>
  <si>
    <t>Insulin</t>
  </si>
  <si>
    <t>Lantus (insulin glargine)</t>
  </si>
  <si>
    <t>Lantus vs human NPH insulin n=1017</t>
  </si>
  <si>
    <t>No difference in cancer rates.</t>
  </si>
  <si>
    <t>Tritace (ramipril)</t>
  </si>
  <si>
    <t>US generic</t>
  </si>
  <si>
    <t>Amaryl (glimepiride)</t>
  </si>
  <si>
    <t>Sulfonylurea</t>
  </si>
  <si>
    <t>US Generic</t>
  </si>
  <si>
    <t>BPH</t>
  </si>
  <si>
    <t>Alpha-1</t>
  </si>
  <si>
    <t>Uroxatral/Xatral (alfuzosin)</t>
  </si>
  <si>
    <t>SKYE XR</t>
  </si>
  <si>
    <t>95%, SKYE?</t>
  </si>
  <si>
    <t>2011? 2017</t>
  </si>
  <si>
    <t>Xatral (alfusozin)</t>
  </si>
  <si>
    <t>Nasacort (triamcinolone)</t>
  </si>
  <si>
    <t>2011, 2016</t>
  </si>
  <si>
    <t>Flonase</t>
  </si>
  <si>
    <t>Nasal</t>
  </si>
  <si>
    <t>Cancer</t>
  </si>
  <si>
    <t>EXEL</t>
  </si>
  <si>
    <t>Failed to meet primary endpoint.</t>
  </si>
  <si>
    <t>Protein</t>
  </si>
  <si>
    <t>Phase III ER- PR- HER2- mBC - Gem/Carbo+-BSI-201</t>
  </si>
  <si>
    <t>n=420, PFS/OS dual primary.</t>
  </si>
  <si>
    <t>Phase II ER-, PR, HER-2- mBC n=116</t>
  </si>
  <si>
    <t>6.9 mo PFS vs. 3.3 mo OS.</t>
  </si>
  <si>
    <t>9.2 mo OS vs 5.7 mo OS .</t>
  </si>
  <si>
    <t>Q209: Paying $4bn to own 50% of Merial/Intervet Schering-Plough</t>
  </si>
  <si>
    <t>$7/day WAC or $2,500/year.</t>
  </si>
  <si>
    <t>-</t>
  </si>
  <si>
    <t>P3</t>
  </si>
  <si>
    <t>Zentiva?</t>
  </si>
  <si>
    <t>Shantha?</t>
  </si>
  <si>
    <t>Multiple Sclerosis</t>
  </si>
  <si>
    <t>TEVA</t>
  </si>
  <si>
    <t>Interferons</t>
  </si>
  <si>
    <t>LMWH</t>
  </si>
  <si>
    <t>Antihistamine</t>
  </si>
  <si>
    <t>Platinum</t>
  </si>
  <si>
    <t>ARB</t>
  </si>
  <si>
    <t>Unknown</t>
  </si>
  <si>
    <t>GABA</t>
  </si>
  <si>
    <t>Vaccine</t>
  </si>
  <si>
    <t>Allegra (fexofenadine)</t>
  </si>
  <si>
    <t>AMRI</t>
  </si>
  <si>
    <t>Taxotere (docetaxel)</t>
  </si>
  <si>
    <t>2010 COM.</t>
  </si>
  <si>
    <t>Q110</t>
  </si>
  <si>
    <t>Q210</t>
  </si>
  <si>
    <t>Q310</t>
  </si>
  <si>
    <t>Q410</t>
  </si>
  <si>
    <t>Eloxatin (oxaliplatin)</t>
  </si>
  <si>
    <t>Generics launched Q309.</t>
  </si>
  <si>
    <t>ACE</t>
  </si>
  <si>
    <t>Generics</t>
  </si>
  <si>
    <t>KG in US</t>
  </si>
  <si>
    <t>BMY. 100% owned in Japan!</t>
  </si>
  <si>
    <t>Medley</t>
  </si>
  <si>
    <t>OTC</t>
  </si>
  <si>
    <t>Lantus Y/Y</t>
  </si>
  <si>
    <t>Used lower doses of carbo than normal.</t>
  </si>
  <si>
    <t>PARP1 inhibitor. RAD51 foci DNA repair phenocopy. BCRA1/2 similar.</t>
  </si>
  <si>
    <t>mBC, NSCLC, HRPC</t>
  </si>
  <si>
    <t>BMY US, Ex-US</t>
  </si>
  <si>
    <t>Settled with BRL for 11/09.</t>
  </si>
  <si>
    <t>No IP, Semi-Biologic</t>
  </si>
  <si>
    <t>Amphastar/WPI, TEVA and Sandoz/MNTA are attempting to genericize. FDA must decide however has been indecisive for 3 years.</t>
  </si>
  <si>
    <t>eplivanserin</t>
  </si>
  <si>
    <t>Status</t>
  </si>
  <si>
    <t>withdrawn</t>
  </si>
  <si>
    <t>Ciltyri</t>
  </si>
  <si>
    <t>Insuman</t>
  </si>
  <si>
    <t>ROIC</t>
  </si>
  <si>
    <t>Lovenox Y/Y</t>
  </si>
  <si>
    <t>Jevtana</t>
  </si>
  <si>
    <t>Lantus (biologic)</t>
  </si>
  <si>
    <t>Lovenox (biologic)</t>
  </si>
  <si>
    <t>2014 NCE, 2018 Use</t>
  </si>
  <si>
    <t>Multaq (2014)</t>
  </si>
  <si>
    <t>Actonel (ROW)</t>
  </si>
  <si>
    <t>Osteoporosis</t>
  </si>
  <si>
    <t>WCRX</t>
  </si>
  <si>
    <t>Biphosphonate</t>
  </si>
  <si>
    <t>100%?</t>
  </si>
  <si>
    <t>Revenue CER</t>
  </si>
  <si>
    <t>OCA</t>
  </si>
  <si>
    <t>A/R</t>
  </si>
  <si>
    <t>Inventories</t>
  </si>
  <si>
    <t>Deferred Tax Assets</t>
  </si>
  <si>
    <t xml:space="preserve">  All-pharma discount rate (PFE, MRK).</t>
  </si>
  <si>
    <t>Failures</t>
  </si>
  <si>
    <t>Q111</t>
  </si>
  <si>
    <t>Q211</t>
  </si>
  <si>
    <t>Q411</t>
  </si>
  <si>
    <t>Q311</t>
  </si>
  <si>
    <t>Animal</t>
  </si>
  <si>
    <t>Pentaxim</t>
  </si>
  <si>
    <t>Diphtheria, Tetanus, Pertussis, Polio, Haemophilus Influenza</t>
  </si>
  <si>
    <t>Fluzone</t>
  </si>
  <si>
    <t>Jevtana (cabazitaxel)</t>
  </si>
  <si>
    <t>Cerezyme</t>
  </si>
  <si>
    <t>Myozyme</t>
  </si>
  <si>
    <t>Fabrazyme</t>
  </si>
  <si>
    <t>Pompe Disease</t>
  </si>
  <si>
    <t>BAY GR?</t>
  </si>
  <si>
    <t>HoFH</t>
  </si>
  <si>
    <t>ISIS</t>
  </si>
  <si>
    <t>Gaucher Disease</t>
  </si>
  <si>
    <t>Hexavalent Ped Vaccine</t>
  </si>
  <si>
    <t>DTP-HepB-Polio-Hib</t>
  </si>
  <si>
    <t>2L mCRC</t>
  </si>
  <si>
    <t>SSR125543</t>
  </si>
  <si>
    <t>SAR260093</t>
  </si>
  <si>
    <t>Net Cash</t>
  </si>
  <si>
    <t>Share</t>
  </si>
  <si>
    <t>Upside</t>
  </si>
  <si>
    <t>Synvisc</t>
  </si>
  <si>
    <t>Q112</t>
  </si>
  <si>
    <t>Q212</t>
  </si>
  <si>
    <t>Q312</t>
  </si>
  <si>
    <t>Q412</t>
  </si>
  <si>
    <t>Q113</t>
  </si>
  <si>
    <t>Q213</t>
  </si>
  <si>
    <t>Q313</t>
  </si>
  <si>
    <t>Q413</t>
  </si>
  <si>
    <t>Aldurazyme</t>
  </si>
  <si>
    <t>Aubagio</t>
  </si>
  <si>
    <t>Mozobil</t>
  </si>
  <si>
    <t>Zaltrap</t>
  </si>
  <si>
    <t>Auvi-Q (epinephrine)</t>
  </si>
  <si>
    <t>Renagel/Renvela</t>
  </si>
  <si>
    <t>AVE5026?</t>
  </si>
  <si>
    <t>Thymoglobulin</t>
  </si>
  <si>
    <t>Lasix</t>
  </si>
  <si>
    <t>Targocid</t>
  </si>
  <si>
    <t>Orudis</t>
  </si>
  <si>
    <t>Cordarone</t>
  </si>
  <si>
    <t>Zaltrap (ziv-aflibercept)</t>
  </si>
  <si>
    <t>Kynamro (mipomersen)</t>
  </si>
  <si>
    <t>Cerdelga (eliglustat)</t>
  </si>
  <si>
    <t>Cholesterol</t>
  </si>
  <si>
    <t>PCSK9</t>
  </si>
  <si>
    <t>Lemtrada (alemtuzumab)</t>
  </si>
  <si>
    <t>AntiCD52</t>
  </si>
  <si>
    <t>Glucosylceramide Inhibitor</t>
  </si>
  <si>
    <t>SC</t>
  </si>
  <si>
    <t>Antibody</t>
  </si>
  <si>
    <t>NCE</t>
  </si>
  <si>
    <t>2013: outlicensed alvocidib to Tolero.</t>
  </si>
  <si>
    <t>Aubagio (teriflunomide)</t>
  </si>
  <si>
    <t>BSI-201 (iniparib, PARP inhibitor)</t>
  </si>
  <si>
    <t>Lyxumia (lixisenatide)</t>
  </si>
  <si>
    <t>Peptide</t>
  </si>
  <si>
    <t>SC?</t>
  </si>
  <si>
    <t>SAR121463 (satavaptan, vasopressin 2 antagonist)</t>
  </si>
  <si>
    <t>fedratinib (JAK inhibitor)</t>
  </si>
  <si>
    <t>volinanserin</t>
  </si>
  <si>
    <t>Accomplia</t>
  </si>
  <si>
    <t>Dengue Vaccine</t>
  </si>
  <si>
    <t>C. Diff Vaccine</t>
  </si>
  <si>
    <t>Dengue</t>
  </si>
  <si>
    <t>CDAD</t>
  </si>
  <si>
    <t>IM</t>
  </si>
  <si>
    <t>RA</t>
  </si>
  <si>
    <t>IL-6</t>
  </si>
  <si>
    <t>Temusi (XRP0038 for PAD, NV1FGF)</t>
  </si>
  <si>
    <t>xaliproden (neurotrophic for AD, ALS)</t>
  </si>
  <si>
    <t>ombrabulin (AVE8062, VDA for sarcoma)</t>
  </si>
  <si>
    <t>rhASM</t>
  </si>
  <si>
    <t>SC/IV?</t>
  </si>
  <si>
    <t>Zealand</t>
  </si>
  <si>
    <t>Alvesco for asthma/COPD?</t>
  </si>
  <si>
    <t>SR123781 anticoagulant, otamixaban anticoagulant</t>
  </si>
  <si>
    <t>SSR149744 (celivarone for Afib)</t>
  </si>
  <si>
    <t>SL650472 (5HT antagonist for PAD)</t>
  </si>
  <si>
    <t>SR46349 for Insomnia/FMS</t>
  </si>
  <si>
    <t>Asthma</t>
  </si>
  <si>
    <t>SC/IM?</t>
  </si>
  <si>
    <t>SAR339658</t>
  </si>
  <si>
    <t>IBD</t>
  </si>
  <si>
    <t>VLA2 mab</t>
  </si>
  <si>
    <t>SAR156597</t>
  </si>
  <si>
    <t>IPF</t>
  </si>
  <si>
    <t>IL4/IL3 mab</t>
  </si>
  <si>
    <t>SAR100842</t>
  </si>
  <si>
    <t>Systemic Sclerosis</t>
  </si>
  <si>
    <t>LPA-1 Antagonist</t>
  </si>
  <si>
    <t>?</t>
  </si>
  <si>
    <t>fresolimumab</t>
  </si>
  <si>
    <t>FSGS</t>
  </si>
  <si>
    <t>TGF-Beta antibody</t>
  </si>
  <si>
    <t>IV?</t>
  </si>
  <si>
    <t>GENZ438027/ALN-TTR02</t>
  </si>
  <si>
    <t>FAP</t>
  </si>
  <si>
    <t>ALNY?</t>
  </si>
  <si>
    <t>Antisense</t>
  </si>
  <si>
    <t>SAR279356</t>
  </si>
  <si>
    <t>Infections</t>
  </si>
  <si>
    <t>PNAB mab</t>
  </si>
  <si>
    <t>SAR3419</t>
  </si>
  <si>
    <t>NHL,ALL</t>
  </si>
  <si>
    <t>IMGN?</t>
  </si>
  <si>
    <t>CD19</t>
  </si>
  <si>
    <t>SAR256212</t>
  </si>
  <si>
    <t>Breast Cancer</t>
  </si>
  <si>
    <t>ErbB3 mab</t>
  </si>
  <si>
    <t>SAR245409/XL765</t>
  </si>
  <si>
    <t>Ovarian</t>
  </si>
  <si>
    <t>PI3K/mTOR</t>
  </si>
  <si>
    <t>SAR292833/GRC15300</t>
  </si>
  <si>
    <t>Pain</t>
  </si>
  <si>
    <t>TRPV3 antagonist</t>
  </si>
  <si>
    <t>SAR153192</t>
  </si>
  <si>
    <t>DLL4 antibody</t>
  </si>
  <si>
    <t>SAR405838/MI-773</t>
  </si>
  <si>
    <t>HDM2/p53 antagonist</t>
  </si>
  <si>
    <t>Blood Cancer</t>
  </si>
  <si>
    <t>CD38 antibody</t>
  </si>
  <si>
    <t>SAR566658</t>
  </si>
  <si>
    <t>CA6mab</t>
  </si>
  <si>
    <t>SAR125844</t>
  </si>
  <si>
    <t>Oral?</t>
  </si>
  <si>
    <t>C-MET inhibitor</t>
  </si>
  <si>
    <t>SAR307746</t>
  </si>
  <si>
    <t>ANG2 antibody</t>
  </si>
  <si>
    <t>SAR260301</t>
  </si>
  <si>
    <t>PI3K Beta inhibitor</t>
  </si>
  <si>
    <t>SAR245408/XL147</t>
  </si>
  <si>
    <t>PI3K</t>
  </si>
  <si>
    <t>GZ404477</t>
  </si>
  <si>
    <t>Parkinson's</t>
  </si>
  <si>
    <t>AADC AAV</t>
  </si>
  <si>
    <t>Gene Therapy</t>
  </si>
  <si>
    <t>SAR391786</t>
  </si>
  <si>
    <t>Sarcopenia</t>
  </si>
  <si>
    <t>GDF8 antibody</t>
  </si>
  <si>
    <t>SAR228810</t>
  </si>
  <si>
    <t>AB mab</t>
  </si>
  <si>
    <t>SAR252067</t>
  </si>
  <si>
    <t>Crohn's</t>
  </si>
  <si>
    <t>LIGHT mab</t>
  </si>
  <si>
    <t>SAR113244</t>
  </si>
  <si>
    <t>SLE</t>
  </si>
  <si>
    <t>CXCRS mab</t>
  </si>
  <si>
    <t>Oxford</t>
  </si>
  <si>
    <t>RetinoStat</t>
  </si>
  <si>
    <t>StarGen</t>
  </si>
  <si>
    <t>GZ402663</t>
  </si>
  <si>
    <t>UshStat</t>
  </si>
  <si>
    <t>Usher Syndrome</t>
  </si>
  <si>
    <t>AMD</t>
  </si>
  <si>
    <t>Stargardt</t>
  </si>
  <si>
    <t>Wet AMD</t>
  </si>
  <si>
    <t>Topical</t>
  </si>
  <si>
    <t>GZ402671</t>
  </si>
  <si>
    <t>Fabry</t>
  </si>
  <si>
    <t>Fabry Disease</t>
  </si>
  <si>
    <t>GCS inhibitor</t>
  </si>
  <si>
    <t>GZ402666</t>
  </si>
  <si>
    <t>GAA</t>
  </si>
  <si>
    <t>U300</t>
  </si>
  <si>
    <t>Insulin Glargine</t>
  </si>
  <si>
    <t>SAR110894 H3 antagonist for AD</t>
  </si>
  <si>
    <t>Other Oncology</t>
  </si>
  <si>
    <t>Other Rare</t>
  </si>
  <si>
    <t>Q114</t>
  </si>
  <si>
    <t>Q214</t>
  </si>
  <si>
    <t>Q314</t>
  </si>
  <si>
    <t>Q414</t>
  </si>
  <si>
    <t>Lyxumia</t>
  </si>
  <si>
    <t>Lemtrada</t>
  </si>
  <si>
    <t>Q115</t>
  </si>
  <si>
    <t>Q215</t>
  </si>
  <si>
    <t>Q315</t>
  </si>
  <si>
    <t>Q415</t>
  </si>
  <si>
    <t>Q116</t>
  </si>
  <si>
    <t>Q216</t>
  </si>
  <si>
    <t>Q316</t>
  </si>
  <si>
    <t>Q416</t>
  </si>
  <si>
    <t>Q117</t>
  </si>
  <si>
    <t>Q217</t>
  </si>
  <si>
    <t>Q317</t>
  </si>
  <si>
    <t>Q417</t>
  </si>
  <si>
    <t>Q118</t>
  </si>
  <si>
    <t>Q218</t>
  </si>
  <si>
    <t>Q318</t>
  </si>
  <si>
    <t>Q418</t>
  </si>
  <si>
    <t>Q119</t>
  </si>
  <si>
    <t>Q219</t>
  </si>
  <si>
    <t>Q319</t>
  </si>
  <si>
    <t>Q419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</si>
  <si>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</si>
  <si>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</si>
  <si>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</si>
  <si>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</si>
  <si>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</si>
  <si>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</si>
  <si>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</si>
  <si>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</si>
  <si>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</si>
  <si>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Q222</t>
  </si>
  <si>
    <t>Q322</t>
  </si>
  <si>
    <t>Q422</t>
  </si>
  <si>
    <t>Dupixent</t>
  </si>
  <si>
    <t>Kevzara</t>
  </si>
  <si>
    <t>Nexviazyme</t>
  </si>
  <si>
    <t>Cerdelga</t>
  </si>
  <si>
    <t>Sarclisa</t>
  </si>
  <si>
    <t>Fasturtec</t>
  </si>
  <si>
    <t>Libtayo</t>
  </si>
  <si>
    <t>Eloctate</t>
  </si>
  <si>
    <t>Alprolix</t>
  </si>
  <si>
    <t>Cablivi</t>
  </si>
  <si>
    <t>Toujeo</t>
  </si>
  <si>
    <t>Soliqua</t>
  </si>
  <si>
    <t>Praluent</t>
  </si>
  <si>
    <t>Rezurock</t>
  </si>
  <si>
    <t>Others</t>
  </si>
  <si>
    <t>Polio Vaccines</t>
  </si>
  <si>
    <t>Meningitis Vaccines</t>
  </si>
  <si>
    <t>Booster Vaccines</t>
  </si>
  <si>
    <t>Travel Vaccines</t>
  </si>
  <si>
    <t>Flu Vaccines</t>
  </si>
  <si>
    <t>Other Vaccines</t>
  </si>
  <si>
    <t>1,020</t>
  </si>
  <si>
    <t>Industrials</t>
  </si>
  <si>
    <t>1,964</t>
  </si>
  <si>
    <t>Q123</t>
  </si>
  <si>
    <t>Q223</t>
  </si>
  <si>
    <t>Q323</t>
  </si>
  <si>
    <t>Q423</t>
  </si>
  <si>
    <t>1,178</t>
  </si>
  <si>
    <t>2,422</t>
  </si>
  <si>
    <t>1,022</t>
  </si>
  <si>
    <t>Dupixent (dupilumab)</t>
  </si>
  <si>
    <t>IL-4 mab</t>
  </si>
  <si>
    <t>Kevzara (sarilumab)</t>
  </si>
  <si>
    <t>Dupixent y/y</t>
  </si>
  <si>
    <t>915</t>
  </si>
  <si>
    <t>2,060</t>
  </si>
  <si>
    <t>6794410 MOU patent for MS expires 2026, 8802735 formulation patent expires 2030</t>
  </si>
  <si>
    <t>2,077</t>
  </si>
  <si>
    <t>927</t>
  </si>
  <si>
    <t>909</t>
  </si>
  <si>
    <t>Q124</t>
  </si>
  <si>
    <t>Q224</t>
  </si>
  <si>
    <t>Q324</t>
  </si>
  <si>
    <t>Q424</t>
  </si>
  <si>
    <t>Q125</t>
  </si>
  <si>
    <t>Q225</t>
  </si>
  <si>
    <t>Q325</t>
  </si>
  <si>
    <t>Q425</t>
  </si>
  <si>
    <t>CEO: Paul Hudson</t>
  </si>
  <si>
    <t>Altuviiio</t>
  </si>
  <si>
    <t>Hemophilia A</t>
  </si>
  <si>
    <t>rF8</t>
  </si>
  <si>
    <t>Enjaymo</t>
  </si>
  <si>
    <t>Tzield</t>
  </si>
  <si>
    <t>Altuviiio (efanesoctocog alfa)</t>
  </si>
  <si>
    <t>thrombin RNAi</t>
  </si>
  <si>
    <t>RSV</t>
  </si>
  <si>
    <t>Brand</t>
  </si>
  <si>
    <t>Generic</t>
  </si>
  <si>
    <t>dupilumab</t>
  </si>
  <si>
    <t>Indications</t>
  </si>
  <si>
    <t>Patients</t>
  </si>
  <si>
    <t>&gt;1m as of Q324</t>
  </si>
  <si>
    <t>Regulatory</t>
  </si>
  <si>
    <t>COPD FDA approval Q324</t>
  </si>
  <si>
    <t>Asthma, Atopic Dermatitis, CRwNP, Eosinophilic Esophagitis, PN, COPD, BP, CSU</t>
  </si>
  <si>
    <t>Praluent (alirocumab)</t>
  </si>
  <si>
    <t>Sarclisa (SAR650984)</t>
  </si>
  <si>
    <t>Xenpozyme (olipudase alfa) fka GZ402665</t>
  </si>
  <si>
    <t>licensed out to Aloplexx</t>
  </si>
  <si>
    <t>tolebrutinib</t>
  </si>
  <si>
    <t>SPMS</t>
  </si>
  <si>
    <t>CRwNP FDA approval Q219</t>
  </si>
  <si>
    <t>oditrasertib</t>
  </si>
  <si>
    <t>RIPK1 inhibitor</t>
  </si>
  <si>
    <t>NCT05630547 failed</t>
  </si>
  <si>
    <t>Admelog</t>
  </si>
  <si>
    <t>COPD launch initiated Q424</t>
  </si>
  <si>
    <t>Phase III "EoE KIDS" - NCT04394351</t>
  </si>
  <si>
    <t>Phase III "STYLE1" lichen simplex chronicus - NCT06687967</t>
  </si>
  <si>
    <t>Phase III "STYLE2" lichen simplex chronicus - NCT06687980</t>
  </si>
  <si>
    <t>initiated Q424</t>
  </si>
  <si>
    <t>CSU - sBLA resubmitted Q424, 4/18/25 PDUFA</t>
  </si>
  <si>
    <t>1/30/25: Q424 results</t>
  </si>
  <si>
    <t>Xenpozyme</t>
  </si>
  <si>
    <t>Niemann-Pick/ASMD</t>
  </si>
  <si>
    <t>Cablivi (caplacizumab)</t>
  </si>
  <si>
    <t>vwF mab</t>
  </si>
  <si>
    <t>Qfitlia (fitusiran)</t>
  </si>
  <si>
    <t>EVP, Specialty: Brian Foard</t>
  </si>
  <si>
    <t>ALNY</t>
  </si>
  <si>
    <t>acquired TTP</t>
  </si>
  <si>
    <t>SOBI</t>
  </si>
  <si>
    <t>11/29/24: sold Enjaymo for CAD to 11/29/2024</t>
  </si>
  <si>
    <t>1,215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</si>
</sst>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#,##0.0000"/>
    <numFmt numFmtId="165" formatCode="m/d/yy;@"/>
    <numFmt numFmtId="166" formatCode="0.0%"/>
  </numFmts>
  <fonts count="14" x14ac:knownFonts="1">
    <font>
      <sz val="10"/>
      <name val="Arial"/>
    </font>
    <font>
      <sz val="11"/>
      <color theme="1"/>
      <name val="Calibri"/>
      <family val="2"/>
      <scheme val="minor"/>
    </font>
    <font>
      <sz val="8"/>
      <name val="Arial"/>
      <family val="2"/>
    </font>
    <font>
      <u/>
      <sz val="10"/>
      <color indexed="12"/>
      <name val="Arial"/>
      <family val="2"/>
    </font>
    <font>
      <b/>
      <u/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rgb="FF000000"/>
      <name val="Tahoma"/>
      <family val="2"/>
    </font>
    <font>
      <sz val="9"/>
      <color rgb="FF00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  <xf numFmtId="0" fontId="1" fillId="0" borderId="0"/>
  </cellStyleXfs>
  <cellXfs count="79">
    <xf numFmtId="0" fontId="0" fillId="0" borderId="0" xfId="0"/>
    <xf numFmtId="0" fontId="0" fillId="2" borderId="0" xfId="0" applyFill="1"/>
    <xf numFmtId="0" fontId="0" fillId="2" borderId="1" xfId="0" applyFill="1" applyBorder="1"/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4" xfId="0" applyFill="1" applyBorder="1"/>
    <xf numFmtId="0" fontId="0" fillId="2" borderId="0" xfId="0" applyFill="1" applyAlignment="1">
      <alignment horizontal="center"/>
    </xf>
    <xf numFmtId="0" fontId="0" fillId="2" borderId="5" xfId="0" applyFill="1" applyBorder="1" applyAlignment="1">
      <alignment horizontal="center"/>
    </xf>
    <xf numFmtId="0" fontId="3" fillId="2" borderId="4" xfId="1" applyFill="1" applyBorder="1" applyAlignment="1" applyProtection="1"/>
    <xf numFmtId="0" fontId="3" fillId="2" borderId="0" xfId="1" applyFill="1" applyAlignment="1" applyProtection="1"/>
    <xf numFmtId="0" fontId="4" fillId="2" borderId="0" xfId="0" applyFont="1" applyFill="1"/>
    <xf numFmtId="0" fontId="5" fillId="2" borderId="0" xfId="0" applyFont="1" applyFill="1"/>
    <xf numFmtId="0" fontId="6" fillId="2" borderId="0" xfId="0" applyFont="1" applyFill="1"/>
    <xf numFmtId="37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center"/>
    </xf>
    <xf numFmtId="2" fontId="5" fillId="2" borderId="0" xfId="0" applyNumberFormat="1" applyFont="1" applyFill="1"/>
    <xf numFmtId="0" fontId="7" fillId="2" borderId="0" xfId="0" applyFont="1" applyFill="1" applyAlignment="1">
      <alignment horizontal="center"/>
    </xf>
    <xf numFmtId="9" fontId="7" fillId="2" borderId="0" xfId="0" applyNumberFormat="1" applyFont="1" applyFill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0" xfId="0" applyFont="1" applyFill="1"/>
    <xf numFmtId="0" fontId="0" fillId="2" borderId="0" xfId="0" applyFill="1" applyAlignment="1">
      <alignment horizontal="right"/>
    </xf>
    <xf numFmtId="4" fontId="0" fillId="2" borderId="0" xfId="0" applyNumberFormat="1" applyFill="1"/>
    <xf numFmtId="4" fontId="0" fillId="2" borderId="0" xfId="0" applyNumberFormat="1" applyFill="1" applyAlignment="1">
      <alignment horizontal="right"/>
    </xf>
    <xf numFmtId="3" fontId="0" fillId="2" borderId="0" xfId="0" applyNumberFormat="1" applyFill="1" applyAlignment="1">
      <alignment horizontal="right"/>
    </xf>
    <xf numFmtId="164" fontId="5" fillId="2" borderId="0" xfId="0" applyNumberFormat="1" applyFont="1" applyFill="1" applyAlignment="1">
      <alignment horizontal="right"/>
    </xf>
    <xf numFmtId="9" fontId="0" fillId="2" borderId="0" xfId="0" applyNumberFormat="1" applyFill="1"/>
    <xf numFmtId="0" fontId="0" fillId="3" borderId="0" xfId="0" applyFill="1"/>
    <xf numFmtId="3" fontId="0" fillId="2" borderId="0" xfId="0" applyNumberFormat="1" applyFill="1"/>
    <xf numFmtId="0" fontId="3" fillId="0" borderId="0" xfId="1" applyAlignment="1" applyProtection="1"/>
    <xf numFmtId="0" fontId="7" fillId="0" borderId="0" xfId="0" applyFont="1"/>
    <xf numFmtId="0" fontId="4" fillId="0" borderId="0" xfId="0" applyFont="1"/>
    <xf numFmtId="0" fontId="7" fillId="4" borderId="0" xfId="0" applyFont="1" applyFill="1"/>
    <xf numFmtId="3" fontId="7" fillId="2" borderId="0" xfId="0" applyNumberFormat="1" applyFont="1" applyFill="1" applyAlignment="1">
      <alignment horizontal="right"/>
    </xf>
    <xf numFmtId="0" fontId="7" fillId="2" borderId="0" xfId="0" applyFont="1" applyFill="1" applyAlignment="1">
      <alignment horizontal="right"/>
    </xf>
    <xf numFmtId="0" fontId="7" fillId="2" borderId="4" xfId="0" applyFont="1" applyFill="1" applyBorder="1"/>
    <xf numFmtId="0" fontId="7" fillId="2" borderId="2" xfId="0" applyFont="1" applyFill="1" applyBorder="1" applyAlignment="1">
      <alignment horizontal="center"/>
    </xf>
    <xf numFmtId="0" fontId="3" fillId="4" borderId="0" xfId="1" applyFill="1" applyAlignment="1" applyProtection="1"/>
    <xf numFmtId="0" fontId="0" fillId="4" borderId="0" xfId="0" applyFill="1"/>
    <xf numFmtId="0" fontId="4" fillId="4" borderId="0" xfId="0" applyFont="1" applyFill="1"/>
    <xf numFmtId="3" fontId="5" fillId="2" borderId="0" xfId="0" applyNumberFormat="1" applyFont="1" applyFill="1" applyAlignment="1">
      <alignment horizontal="right"/>
    </xf>
    <xf numFmtId="4" fontId="5" fillId="2" borderId="0" xfId="0" applyNumberFormat="1" applyFont="1" applyFill="1" applyAlignment="1">
      <alignment horizontal="right"/>
    </xf>
    <xf numFmtId="9" fontId="0" fillId="2" borderId="0" xfId="0" applyNumberFormat="1" applyFill="1" applyAlignment="1">
      <alignment horizontal="right"/>
    </xf>
    <xf numFmtId="9" fontId="5" fillId="2" borderId="0" xfId="0" applyNumberFormat="1" applyFont="1" applyFill="1" applyAlignment="1">
      <alignment horizontal="right"/>
    </xf>
    <xf numFmtId="9" fontId="7" fillId="2" borderId="0" xfId="0" applyNumberFormat="1" applyFont="1" applyFill="1" applyAlignment="1">
      <alignment horizontal="right"/>
    </xf>
    <xf numFmtId="3" fontId="0" fillId="3" borderId="0" xfId="0" applyNumberFormat="1" applyFill="1" applyAlignment="1">
      <alignment horizontal="right"/>
    </xf>
    <xf numFmtId="0" fontId="5" fillId="2" borderId="0" xfId="0" applyFont="1" applyFill="1" applyAlignment="1">
      <alignment horizontal="right"/>
    </xf>
    <xf numFmtId="2" fontId="5" fillId="2" borderId="0" xfId="0" applyNumberFormat="1" applyFont="1" applyFill="1" applyAlignment="1">
      <alignment horizontal="right"/>
    </xf>
    <xf numFmtId="166" fontId="0" fillId="2" borderId="0" xfId="0" applyNumberFormat="1" applyFill="1"/>
    <xf numFmtId="3" fontId="7" fillId="2" borderId="0" xfId="0" applyNumberFormat="1" applyFont="1" applyFill="1"/>
    <xf numFmtId="0" fontId="7" fillId="2" borderId="6" xfId="0" applyFont="1" applyFill="1" applyBorder="1"/>
    <xf numFmtId="0" fontId="7" fillId="2" borderId="7" xfId="0" applyFont="1" applyFill="1" applyBorder="1" applyAlignment="1">
      <alignment horizontal="center"/>
    </xf>
    <xf numFmtId="9" fontId="7" fillId="2" borderId="7" xfId="0" applyNumberFormat="1" applyFont="1" applyFill="1" applyBorder="1" applyAlignment="1">
      <alignment horizontal="center"/>
    </xf>
    <xf numFmtId="0" fontId="7" fillId="2" borderId="8" xfId="0" applyFont="1" applyFill="1" applyBorder="1" applyAlignment="1">
      <alignment horizontal="center"/>
    </xf>
    <xf numFmtId="0" fontId="0" fillId="0" borderId="0" xfId="0" applyAlignment="1">
      <alignment horizontal="right"/>
    </xf>
    <xf numFmtId="3" fontId="0" fillId="0" borderId="0" xfId="0" applyNumberFormat="1" applyAlignment="1">
      <alignment horizontal="right"/>
    </xf>
    <xf numFmtId="0" fontId="7" fillId="4" borderId="0" xfId="0" applyFont="1" applyFill="1" applyAlignment="1">
      <alignment horizontal="right"/>
    </xf>
    <xf numFmtId="3" fontId="0" fillId="4" borderId="0" xfId="0" applyNumberFormat="1" applyFill="1" applyAlignment="1">
      <alignment horizontal="right"/>
    </xf>
    <xf numFmtId="3" fontId="7" fillId="4" borderId="0" xfId="0" applyNumberFormat="1" applyFont="1" applyFill="1" applyAlignment="1">
      <alignment horizontal="right"/>
    </xf>
    <xf numFmtId="3" fontId="7" fillId="4" borderId="0" xfId="0" applyNumberFormat="1" applyFont="1" applyFill="1"/>
    <xf numFmtId="0" fontId="7" fillId="0" borderId="0" xfId="0" applyFont="1" applyAlignment="1">
      <alignment horizontal="right"/>
    </xf>
    <xf numFmtId="3" fontId="7" fillId="0" borderId="0" xfId="0" applyNumberFormat="1" applyFont="1" applyAlignment="1">
      <alignment horizontal="right"/>
    </xf>
    <xf numFmtId="3" fontId="7" fillId="0" borderId="0" xfId="0" quotePrefix="1" applyNumberFormat="1" applyFont="1" applyAlignment="1">
      <alignment horizontal="right"/>
    </xf>
    <xf numFmtId="3" fontId="5" fillId="0" borderId="0" xfId="0" applyNumberFormat="1" applyFont="1" applyAlignment="1">
      <alignment horizontal="right"/>
    </xf>
    <xf numFmtId="4" fontId="5" fillId="0" borderId="0" xfId="0" applyNumberFormat="1" applyFont="1" applyAlignment="1">
      <alignment horizontal="right"/>
    </xf>
    <xf numFmtId="9" fontId="0" fillId="0" borderId="0" xfId="0" applyNumberFormat="1" applyAlignment="1">
      <alignment horizontal="right"/>
    </xf>
    <xf numFmtId="9" fontId="5" fillId="0" borderId="0" xfId="0" applyNumberFormat="1" applyFont="1" applyAlignment="1">
      <alignment horizontal="right"/>
    </xf>
    <xf numFmtId="9" fontId="7" fillId="0" borderId="0" xfId="0" applyNumberFormat="1" applyFont="1" applyAlignment="1">
      <alignment horizontal="right"/>
    </xf>
    <xf numFmtId="3" fontId="0" fillId="0" borderId="0" xfId="0" quotePrefix="1" applyNumberFormat="1" applyAlignment="1">
      <alignment horizontal="right"/>
    </xf>
    <xf numFmtId="9" fontId="0" fillId="2" borderId="0" xfId="0" applyNumberFormat="1" applyFill="1" applyAlignment="1">
      <alignment horizontal="center"/>
    </xf>
    <xf numFmtId="14" fontId="0" fillId="2" borderId="0" xfId="0" applyNumberFormat="1" applyFill="1" applyAlignment="1">
      <alignment horizontal="center"/>
    </xf>
    <xf numFmtId="165" fontId="0" fillId="2" borderId="0" xfId="0" applyNumberFormat="1" applyFill="1" applyAlignment="1">
      <alignment horizontal="center"/>
    </xf>
    <xf numFmtId="17" fontId="0" fillId="2" borderId="0" xfId="0" applyNumberFormat="1" applyFill="1"/>
    <xf numFmtId="17" fontId="7" fillId="2" borderId="0" xfId="0" applyNumberFormat="1" applyFont="1" applyFill="1" applyAlignment="1">
      <alignment horizontal="center"/>
    </xf>
    <xf numFmtId="9" fontId="7" fillId="2" borderId="0" xfId="0" applyNumberFormat="1" applyFont="1" applyFill="1"/>
    <xf numFmtId="3" fontId="0" fillId="5" borderId="0" xfId="0" applyNumberFormat="1" applyFill="1" applyAlignment="1">
      <alignment horizontal="right"/>
    </xf>
    <xf numFmtId="165" fontId="7" fillId="2" borderId="0" xfId="0" applyNumberFormat="1" applyFont="1" applyFill="1" applyAlignment="1">
      <alignment horizontal="center"/>
    </xf>
    <xf numFmtId="14" fontId="7" fillId="2" borderId="0" xfId="0" applyNumberFormat="1" applyFont="1" applyFill="1" applyAlignment="1">
      <alignment horizontal="center"/>
    </xf>
    <xf numFmtId="3" fontId="5" fillId="2" borderId="0" xfId="0" applyNumberFormat="1" applyFont="1" applyFill="1"/>
    <xf numFmtId="166" fontId="5" fillId="2" borderId="0" xfId="0" applyNumberFormat="1" applyFont="1" applyFill="1"/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1" defaultTableStyle="TableStyleMedium9" defaultPivotStyle="PivotStyleLight16">
    <tableStyle name="Invisible" pivot="0" table="0" count="0" xr9:uid="{64A57F13-6342-4746-8B66-C427CD581F0A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microsoft.com/office/2017/10/relationships/person" Target="persons/perso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Relationship Id="rId27" Type="http://schemas.openxmlformats.org/officeDocument/2006/relationships/customXml" Target="../customXml/item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87</xdr:col>
      <xdr:colOff>4042</xdr:colOff>
      <xdr:row>0</xdr:row>
      <xdr:rowOff>0</xdr:rowOff>
    </xdr:from>
    <xdr:to>
      <xdr:col>87</xdr:col>
      <xdr:colOff>4042</xdr:colOff>
      <xdr:row>120</xdr:row>
      <xdr:rowOff>104775</xdr:rowOff>
    </xdr:to>
    <xdr:sp macro="" textlink="">
      <xdr:nvSpPr>
        <xdr:cNvPr id="2049" name="Line 1">
          <a:extLst>
            <a:ext uri="{FF2B5EF4-FFF2-40B4-BE49-F238E27FC236}">
              <a16:creationId xmlns:a16="http://schemas.microsoft.com/office/drawing/2014/main" id="{00000000-0008-0000-0300-000001080000}"/>
            </a:ext>
          </a:extLst>
        </xdr:cNvPr>
        <xdr:cNvSpPr>
          <a:spLocks noChangeShapeType="1"/>
        </xdr:cNvSpPr>
      </xdr:nvSpPr>
      <xdr:spPr bwMode="auto">
        <a:xfrm>
          <a:off x="38583576" y="0"/>
          <a:ext cx="0" cy="19811672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114</xdr:col>
      <xdr:colOff>52551</xdr:colOff>
      <xdr:row>0</xdr:row>
      <xdr:rowOff>0</xdr:rowOff>
    </xdr:from>
    <xdr:to>
      <xdr:col>114</xdr:col>
      <xdr:colOff>52551</xdr:colOff>
      <xdr:row>130</xdr:row>
      <xdr:rowOff>95250</xdr:rowOff>
    </xdr:to>
    <xdr:sp macro="" textlink="">
      <xdr:nvSpPr>
        <xdr:cNvPr id="3" name="Line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SpPr>
          <a:spLocks noChangeShapeType="1"/>
        </xdr:cNvSpPr>
      </xdr:nvSpPr>
      <xdr:spPr bwMode="auto">
        <a:xfrm>
          <a:off x="51960517" y="0"/>
          <a:ext cx="0" cy="21444388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318CC6C7-4C79-4B81-8AA8-0F5CDEEED97F}" userId="9ffda80931a57275" providerId="Windows Live"/>
</personList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CG3" dT="2024-11-23T16:12:57.03" personId="{318CC6C7-4C79-4B81-8AA8-0F5CDEEED97F}" id="{E33F5FBE-A351-43AB-BB26-9BE2FEDE5329}">
    <text>+26% CER</text>
  </threadedComment>
  <threadedComment ref="CH3" dT="2024-11-23T22:17:15.82" personId="{318CC6C7-4C79-4B81-8AA8-0F5CDEEED97F}" id="{14193EBD-CFEE-4BE7-8A7E-3BC4D57390F5}">
    <text>Q324: 13B guidance
16% CER
US 2.551B EUR</text>
  </threadedComment>
  <threadedComment ref="DJ3" dT="2025-03-31T00:00:38.98" personId="{318CC6C7-4C79-4B81-8AA8-0F5CDEEED97F}" id="{D5DD676B-0E5E-4508-8BC7-B0A73A9A23F5}">
    <text>+23.1% CER</text>
  </threadedComment>
  <threadedComment ref="DP3" dT="2025-04-01T01:30:21.24" personId="{318CC6C7-4C79-4B81-8AA8-0F5CDEEED97F}" id="{3C5A1471-DCCA-4393-8919-4C76421719EE}">
    <text>Q424: 22B EUR guidance</text>
  </threadedComment>
  <threadedComment ref="CH8" dT="2025-04-01T02:15:11.38" personId="{318CC6C7-4C79-4B81-8AA8-0F5CDEEED97F}" id="{33D8977C-9DE1-4C75-9837-4AE138309EE3}">
    <text>Patient switches</text>
  </threadedComment>
  <threadedComment ref="CH10" dT="2025-04-01T02:21:17.81" personId="{318CC6C7-4C79-4B81-8AA8-0F5CDEEED97F}" id="{DBDCA234-B388-462B-A15C-B39E337DF9FD}">
    <text>11/29/24 sold asset to Recordati</text>
  </threadedComment>
  <threadedComment ref="CH32" dT="2025-04-01T02:05:03.83" personId="{318CC6C7-4C79-4B81-8AA8-0F5CDEEED97F}" id="{369A9D9C-E8DB-4875-A620-36A7DE3DC2E0}">
    <text>Europe 8m, ROW 5m</text>
  </threadedComment>
  <threadedComment ref="CH35" dT="2025-04-01T02:20:49.38" personId="{318CC6C7-4C79-4B81-8AA8-0F5CDEEED97F}" id="{3A866901-E658-44E9-B783-7AF3287D819A}">
    <text>Most patients have switched in the US from Myozyme/Lumizyme</text>
  </threadedComment>
  <threadedComment ref="CG61" dT="2024-11-23T22:17:42.49" personId="{318CC6C7-4C79-4B81-8AA8-0F5CDEEED97F}" id="{F9AC6D8E-D4E8-48E6-87BF-AFF3BAEAF239}">
    <text>Qunol acquisition</text>
  </threadedComment>
  <threadedComment ref="BZ76" dT="2023-03-01T21:09:31.45" personId="{318CC6C7-4C79-4B81-8AA8-0F5CDEEED97F}" id="{F7588713-7B33-4A55-9D7A-5A4110D76910}">
    <text>10725m reported</text>
  </threadedComment>
  <threadedComment ref="CD76" dT="2025-04-01T03:02:57.27" personId="{318CC6C7-4C79-4B81-8AA8-0F5CDEEED97F}" id="{BD0047EE-85B6-4B61-A969-431013501C3B}">
    <text>9687 prior period recast (Q424)</text>
  </threadedComment>
  <threadedComment ref="CG89" dT="2024-11-23T22:33:35.82" personId="{318CC6C7-4C79-4B81-8AA8-0F5CDEEED97F}" id="{C332E2A7-7FFB-4B2F-83D9-CD4DD37631A5}">
    <text>Business NI 3585m</text>
  </threadedComment>
  <threadedComment ref="CG90" dT="2024-11-23T22:32:08.55" personId="{318CC6C7-4C79-4B81-8AA8-0F5CDEEED97F}" id="{65F7C13C-73F7-432E-96BC-9619FA75CE2E}">
    <text>Business EPS 2.86
IFRS EPS 2.25</text>
  </threadedComment>
  <threadedComment ref="CH90" dT="2025-04-01T01:28:08.46" personId="{318CC6C7-4C79-4B81-8AA8-0F5CDEEED97F}" id="{474CDD52-F71C-4FA1-A7E2-59168AC71305}">
    <text>Business EPS of EUR1.31
-11% CER</text>
  </threadedComment>
  <threadedComment ref="DJ90" dT="2024-11-23T22:33:25.07" personId="{318CC6C7-4C79-4B81-8AA8-0F5CDEEED97F}" id="{70D2DB62-68E2-4B0A-A405-84EE5DA5D593}">
    <text>10/21/24/Q324: +LSD CER excluding Opella</text>
  </threadedComment>
</ThreadedComment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microsoft.com/office/2017/10/relationships/threadedComment" Target="../threadedComments/threadedComment1.xml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FEEE94-C62D-43B2-80FF-D20154FC24BF}">
  <dimension ref="A1:K43"/>
  <sheetViews>
    <sheetView zoomScale="130" zoomScaleNormal="130" workbookViewId="0"/>
  </sheetViews>
  <sheetFormatPr defaultColWidth="8.85546875" defaultRowHeight="12.75" x14ac:dyDescent="0.2"/>
  <cols>
    <col min="1" max="1" width="5" bestFit="1" customWidth="1"/>
    <col min="2" max="2" width="14" customWidth="1"/>
    <col min="3" max="3" width="15.85546875" bestFit="1" customWidth="1"/>
    <col min="6" max="6" width="15" bestFit="1" customWidth="1"/>
    <col min="8" max="8" width="12.5703125" customWidth="1"/>
  </cols>
  <sheetData>
    <row r="1" spans="1:11" x14ac:dyDescent="0.2">
      <c r="A1" s="28" t="s">
        <v>65</v>
      </c>
    </row>
    <row r="2" spans="1:11" x14ac:dyDescent="0.2">
      <c r="B2" s="34" t="s">
        <v>362</v>
      </c>
      <c r="C2" s="16" t="s">
        <v>329</v>
      </c>
      <c r="D2" s="17" t="s">
        <v>330</v>
      </c>
      <c r="E2" s="16"/>
      <c r="F2" s="6"/>
      <c r="G2" s="16"/>
      <c r="H2" s="16"/>
      <c r="I2" s="7"/>
    </row>
    <row r="3" spans="1:11" x14ac:dyDescent="0.2">
      <c r="B3" s="34" t="s">
        <v>233</v>
      </c>
      <c r="C3" s="16" t="s">
        <v>231</v>
      </c>
      <c r="D3" s="17" t="s">
        <v>235</v>
      </c>
      <c r="E3" s="6">
        <v>2003</v>
      </c>
      <c r="F3" s="16" t="s">
        <v>234</v>
      </c>
      <c r="G3" s="16" t="s">
        <v>236</v>
      </c>
      <c r="H3" s="16" t="s">
        <v>232</v>
      </c>
      <c r="I3" s="18" t="s">
        <v>109</v>
      </c>
    </row>
    <row r="4" spans="1:11" x14ac:dyDescent="0.2">
      <c r="B4" s="34" t="s">
        <v>226</v>
      </c>
      <c r="C4" s="16" t="s">
        <v>151</v>
      </c>
      <c r="D4" s="17" t="s">
        <v>279</v>
      </c>
      <c r="E4" s="70">
        <v>33266</v>
      </c>
      <c r="F4" s="16" t="s">
        <v>227</v>
      </c>
      <c r="G4" s="16" t="s">
        <v>278</v>
      </c>
      <c r="H4" s="16" t="s">
        <v>277</v>
      </c>
      <c r="I4" s="18" t="s">
        <v>109</v>
      </c>
    </row>
    <row r="5" spans="1:11" x14ac:dyDescent="0.2">
      <c r="B5" s="5" t="s">
        <v>63</v>
      </c>
      <c r="C5" s="6" t="s">
        <v>257</v>
      </c>
      <c r="D5" s="68" t="s">
        <v>258</v>
      </c>
      <c r="E5" s="6"/>
      <c r="F5" s="6" t="s">
        <v>245</v>
      </c>
      <c r="G5" s="6" t="s">
        <v>259</v>
      </c>
      <c r="H5" s="16" t="s">
        <v>264</v>
      </c>
      <c r="I5" s="7" t="s">
        <v>110</v>
      </c>
    </row>
    <row r="6" spans="1:11" x14ac:dyDescent="0.2">
      <c r="B6" s="34" t="s">
        <v>238</v>
      </c>
      <c r="C6" s="16" t="s">
        <v>96</v>
      </c>
      <c r="D6" s="68"/>
      <c r="E6" s="6"/>
      <c r="F6" s="16" t="s">
        <v>239</v>
      </c>
      <c r="G6" s="16" t="s">
        <v>240</v>
      </c>
      <c r="H6" s="16"/>
      <c r="I6" s="18" t="s">
        <v>241</v>
      </c>
    </row>
    <row r="7" spans="1:11" s="1" customFormat="1" x14ac:dyDescent="0.2">
      <c r="B7" s="5" t="s">
        <v>50</v>
      </c>
      <c r="C7" s="6" t="s">
        <v>32</v>
      </c>
      <c r="D7" s="68">
        <v>1</v>
      </c>
      <c r="E7" s="6"/>
      <c r="F7" s="6" t="s">
        <v>59</v>
      </c>
      <c r="G7" s="16" t="s">
        <v>265</v>
      </c>
      <c r="H7" s="7" t="s">
        <v>109</v>
      </c>
      <c r="K7" s="13"/>
    </row>
    <row r="11" spans="1:11" x14ac:dyDescent="0.2">
      <c r="B11" s="34" t="s">
        <v>469</v>
      </c>
      <c r="C11" s="16" t="s">
        <v>476</v>
      </c>
      <c r="D11" s="17" t="s">
        <v>468</v>
      </c>
      <c r="E11" s="16" t="s">
        <v>213</v>
      </c>
      <c r="F11" s="16" t="s">
        <v>456</v>
      </c>
      <c r="G11" s="16" t="s">
        <v>411</v>
      </c>
      <c r="H11" s="16" t="s">
        <v>456</v>
      </c>
      <c r="I11" s="18" t="s">
        <v>477</v>
      </c>
    </row>
    <row r="12" spans="1:11" x14ac:dyDescent="0.2">
      <c r="B12" s="34" t="s">
        <v>470</v>
      </c>
      <c r="C12" s="16" t="s">
        <v>475</v>
      </c>
      <c r="D12" s="17" t="s">
        <v>468</v>
      </c>
      <c r="E12" s="16" t="s">
        <v>213</v>
      </c>
      <c r="F12" s="16" t="s">
        <v>456</v>
      </c>
      <c r="G12" s="16" t="s">
        <v>411</v>
      </c>
      <c r="H12" s="16" t="s">
        <v>456</v>
      </c>
      <c r="I12" s="18" t="s">
        <v>477</v>
      </c>
    </row>
    <row r="13" spans="1:11" x14ac:dyDescent="0.2">
      <c r="B13" s="34" t="s">
        <v>471</v>
      </c>
      <c r="C13" s="16" t="s">
        <v>474</v>
      </c>
      <c r="D13" s="17">
        <v>1</v>
      </c>
      <c r="E13" s="16" t="s">
        <v>213</v>
      </c>
      <c r="F13" s="16" t="s">
        <v>456</v>
      </c>
      <c r="G13" s="16" t="s">
        <v>411</v>
      </c>
      <c r="H13" s="16" t="s">
        <v>456</v>
      </c>
      <c r="I13" s="18" t="s">
        <v>477</v>
      </c>
    </row>
    <row r="14" spans="1:11" x14ac:dyDescent="0.2">
      <c r="B14" s="34" t="s">
        <v>472</v>
      </c>
      <c r="C14" s="16" t="s">
        <v>473</v>
      </c>
      <c r="D14" s="17" t="s">
        <v>468</v>
      </c>
      <c r="E14" s="16" t="s">
        <v>213</v>
      </c>
      <c r="F14" s="16" t="s">
        <v>456</v>
      </c>
      <c r="G14" s="16" t="s">
        <v>411</v>
      </c>
      <c r="H14" s="16" t="s">
        <v>456</v>
      </c>
      <c r="I14" s="18" t="s">
        <v>477</v>
      </c>
    </row>
    <row r="15" spans="1:11" x14ac:dyDescent="0.2">
      <c r="B15" s="34" t="s">
        <v>460</v>
      </c>
      <c r="C15" s="16" t="s">
        <v>158</v>
      </c>
      <c r="D15" s="17">
        <v>1</v>
      </c>
      <c r="E15" s="16" t="s">
        <v>213</v>
      </c>
      <c r="F15" s="16" t="s">
        <v>461</v>
      </c>
      <c r="G15" s="16" t="s">
        <v>411</v>
      </c>
      <c r="H15" s="16" t="s">
        <v>370</v>
      </c>
      <c r="I15" s="18" t="s">
        <v>415</v>
      </c>
    </row>
    <row r="16" spans="1:11" s="1" customFormat="1" x14ac:dyDescent="0.2">
      <c r="B16" s="34" t="s">
        <v>420</v>
      </c>
      <c r="C16" s="16" t="s">
        <v>421</v>
      </c>
      <c r="D16" s="17" t="s">
        <v>411</v>
      </c>
      <c r="E16" s="16" t="s">
        <v>154</v>
      </c>
      <c r="F16" s="16" t="s">
        <v>422</v>
      </c>
      <c r="G16" s="16" t="s">
        <v>370</v>
      </c>
      <c r="H16" s="18" t="s">
        <v>411</v>
      </c>
      <c r="J16" s="19" t="s">
        <v>597</v>
      </c>
      <c r="K16" s="13"/>
    </row>
    <row r="17" spans="2:10" x14ac:dyDescent="0.2">
      <c r="B17" s="19" t="s">
        <v>601</v>
      </c>
      <c r="C17" s="16" t="s">
        <v>257</v>
      </c>
      <c r="D17" s="17"/>
      <c r="E17" s="16" t="s">
        <v>154</v>
      </c>
      <c r="F17" s="16" t="s">
        <v>602</v>
      </c>
      <c r="G17" s="16"/>
      <c r="H17" s="16"/>
      <c r="I17" s="16"/>
      <c r="J17" s="29" t="s">
        <v>603</v>
      </c>
    </row>
    <row r="18" spans="2:10" x14ac:dyDescent="0.2">
      <c r="B18" s="19"/>
      <c r="C18" s="16"/>
      <c r="D18" s="17"/>
      <c r="E18" s="16"/>
      <c r="F18" s="16"/>
      <c r="G18" s="16"/>
      <c r="H18" s="16"/>
      <c r="I18" s="16"/>
    </row>
    <row r="19" spans="2:10" x14ac:dyDescent="0.2">
      <c r="B19" s="19"/>
      <c r="C19" s="16"/>
      <c r="D19" s="17"/>
      <c r="E19" s="16"/>
      <c r="F19" s="16"/>
      <c r="G19" s="16"/>
      <c r="H19" s="16"/>
      <c r="I19" s="16"/>
    </row>
    <row r="20" spans="2:10" x14ac:dyDescent="0.2">
      <c r="B20" s="19"/>
      <c r="C20" s="16"/>
      <c r="D20" s="17"/>
      <c r="E20" s="16"/>
      <c r="F20" s="16"/>
      <c r="G20" s="16"/>
      <c r="H20" s="16"/>
      <c r="I20" s="16"/>
    </row>
    <row r="21" spans="2:10" x14ac:dyDescent="0.2">
      <c r="B21" s="19"/>
      <c r="C21" s="16"/>
      <c r="D21" s="17"/>
      <c r="E21" s="16"/>
      <c r="F21" s="16"/>
      <c r="G21" s="16"/>
      <c r="H21" s="16"/>
      <c r="I21" s="16"/>
    </row>
    <row r="22" spans="2:10" x14ac:dyDescent="0.2">
      <c r="B22" s="19"/>
      <c r="C22" s="16"/>
      <c r="D22" s="17"/>
      <c r="E22" s="16"/>
      <c r="F22" s="16"/>
      <c r="G22" s="16"/>
      <c r="H22" s="16"/>
      <c r="I22" s="16"/>
    </row>
    <row r="23" spans="2:10" x14ac:dyDescent="0.2">
      <c r="B23" s="19"/>
      <c r="C23" s="16"/>
      <c r="D23" s="17"/>
      <c r="E23" s="16"/>
      <c r="F23" s="16"/>
      <c r="G23" s="16"/>
      <c r="H23" s="16"/>
      <c r="I23" s="16"/>
    </row>
    <row r="24" spans="2:10" x14ac:dyDescent="0.2">
      <c r="B24" s="10" t="s">
        <v>314</v>
      </c>
    </row>
    <row r="25" spans="2:10" x14ac:dyDescent="0.2">
      <c r="B25" s="19" t="s">
        <v>374</v>
      </c>
    </row>
    <row r="26" spans="2:10" x14ac:dyDescent="0.2">
      <c r="B26" s="19" t="s">
        <v>335</v>
      </c>
    </row>
    <row r="27" spans="2:10" x14ac:dyDescent="0.2">
      <c r="B27" s="19" t="s">
        <v>336</v>
      </c>
    </row>
    <row r="28" spans="2:10" x14ac:dyDescent="0.2">
      <c r="B28" s="19" t="s">
        <v>378</v>
      </c>
    </row>
    <row r="29" spans="2:10" x14ac:dyDescent="0.2">
      <c r="B29" s="19" t="s">
        <v>156</v>
      </c>
    </row>
    <row r="30" spans="2:10" x14ac:dyDescent="0.2">
      <c r="B30" s="19" t="s">
        <v>379</v>
      </c>
    </row>
    <row r="31" spans="2:10" x14ac:dyDescent="0.2">
      <c r="B31" s="19" t="s">
        <v>87</v>
      </c>
    </row>
    <row r="32" spans="2:10" x14ac:dyDescent="0.2">
      <c r="B32" s="19" t="s">
        <v>380</v>
      </c>
    </row>
    <row r="33" spans="2:2" x14ac:dyDescent="0.2">
      <c r="B33" s="19" t="s">
        <v>355</v>
      </c>
    </row>
    <row r="34" spans="2:2" x14ac:dyDescent="0.2">
      <c r="B34" s="19" t="s">
        <v>381</v>
      </c>
    </row>
    <row r="35" spans="2:2" x14ac:dyDescent="0.2">
      <c r="B35" s="19" t="s">
        <v>389</v>
      </c>
    </row>
    <row r="36" spans="2:2" x14ac:dyDescent="0.2">
      <c r="B36" s="19" t="s">
        <v>390</v>
      </c>
    </row>
    <row r="37" spans="2:2" x14ac:dyDescent="0.2">
      <c r="B37" s="19" t="s">
        <v>391</v>
      </c>
    </row>
    <row r="38" spans="2:2" x14ac:dyDescent="0.2">
      <c r="B38" s="19" t="s">
        <v>395</v>
      </c>
    </row>
    <row r="39" spans="2:2" x14ac:dyDescent="0.2">
      <c r="B39" s="19" t="s">
        <v>396</v>
      </c>
    </row>
    <row r="40" spans="2:2" x14ac:dyDescent="0.2">
      <c r="B40" s="19" t="s">
        <v>397</v>
      </c>
    </row>
    <row r="41" spans="2:2" x14ac:dyDescent="0.2">
      <c r="B41" s="19" t="s">
        <v>398</v>
      </c>
    </row>
    <row r="42" spans="2:2" x14ac:dyDescent="0.2">
      <c r="B42" s="19" t="s">
        <v>399</v>
      </c>
    </row>
    <row r="43" spans="2:2" x14ac:dyDescent="0.2">
      <c r="B43" s="19" t="s">
        <v>486</v>
      </c>
    </row>
  </sheetData>
  <hyperlinks>
    <hyperlink ref="A1" location="Main!A1" display="Main" xr:uid="{459E37B1-FEB6-4AA8-BA81-BC8ADB054C2E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15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67</v>
      </c>
      <c r="C2" s="1" t="s">
        <v>87</v>
      </c>
    </row>
    <row r="3" spans="1:3" x14ac:dyDescent="0.2">
      <c r="B3" s="1" t="s">
        <v>70</v>
      </c>
      <c r="C3" s="1" t="s">
        <v>161</v>
      </c>
    </row>
    <row r="4" spans="1:3" x14ac:dyDescent="0.2">
      <c r="B4" s="1" t="s">
        <v>13</v>
      </c>
      <c r="C4" s="1" t="s">
        <v>93</v>
      </c>
    </row>
    <row r="5" spans="1:3" x14ac:dyDescent="0.2">
      <c r="B5" s="1" t="s">
        <v>159</v>
      </c>
      <c r="C5" s="1" t="s">
        <v>160</v>
      </c>
    </row>
    <row r="6" spans="1:3" x14ac:dyDescent="0.2">
      <c r="B6" s="1" t="s">
        <v>74</v>
      </c>
    </row>
    <row r="7" spans="1:3" x14ac:dyDescent="0.2">
      <c r="C7" s="10" t="s">
        <v>162</v>
      </c>
    </row>
    <row r="8" spans="1:3" x14ac:dyDescent="0.2">
      <c r="C8" s="1" t="s">
        <v>90</v>
      </c>
    </row>
    <row r="9" spans="1:3" x14ac:dyDescent="0.2">
      <c r="C9" s="1" t="s">
        <v>163</v>
      </c>
    </row>
    <row r="11" spans="1:3" x14ac:dyDescent="0.2">
      <c r="C11" s="10" t="s">
        <v>88</v>
      </c>
    </row>
    <row r="12" spans="1:3" x14ac:dyDescent="0.2">
      <c r="C12" s="1" t="s">
        <v>91</v>
      </c>
    </row>
    <row r="14" spans="1:3" x14ac:dyDescent="0.2">
      <c r="C14" s="10" t="s">
        <v>89</v>
      </c>
    </row>
    <row r="15" spans="1:3" x14ac:dyDescent="0.2">
      <c r="C15" s="1" t="s">
        <v>92</v>
      </c>
    </row>
  </sheetData>
  <phoneticPr fontId="2" type="noConversion"/>
  <hyperlinks>
    <hyperlink ref="A1" location="Main!A1" display="Main" xr:uid="{00000000-0004-0000-0800-000000000000}"/>
  </hyperlinks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2:H8"/>
  <sheetViews>
    <sheetView workbookViewId="0"/>
  </sheetViews>
  <sheetFormatPr defaultColWidth="8.85546875" defaultRowHeight="12.75" x14ac:dyDescent="0.2"/>
  <sheetData>
    <row r="2" spans="2:8" x14ac:dyDescent="0.2">
      <c r="B2" t="s">
        <v>20</v>
      </c>
      <c r="C2" t="s">
        <v>17</v>
      </c>
      <c r="D2" t="s">
        <v>21</v>
      </c>
      <c r="E2" t="s">
        <v>23</v>
      </c>
      <c r="F2" t="s">
        <v>24</v>
      </c>
      <c r="G2" t="s">
        <v>25</v>
      </c>
      <c r="H2" t="s">
        <v>29</v>
      </c>
    </row>
    <row r="3" spans="2:8" x14ac:dyDescent="0.2">
      <c r="B3" t="s">
        <v>19</v>
      </c>
      <c r="C3">
        <v>3</v>
      </c>
      <c r="D3" t="s">
        <v>22</v>
      </c>
      <c r="E3">
        <v>280</v>
      </c>
      <c r="F3" t="s">
        <v>18</v>
      </c>
      <c r="G3" t="s">
        <v>26</v>
      </c>
      <c r="H3" t="s">
        <v>30</v>
      </c>
    </row>
    <row r="4" spans="2:8" x14ac:dyDescent="0.2">
      <c r="B4" t="s">
        <v>27</v>
      </c>
      <c r="C4">
        <v>3</v>
      </c>
      <c r="D4" t="s">
        <v>28</v>
      </c>
      <c r="H4" t="s">
        <v>31</v>
      </c>
    </row>
    <row r="8" spans="2:8" x14ac:dyDescent="0.2">
      <c r="B8" t="s">
        <v>51</v>
      </c>
    </row>
  </sheetData>
  <phoneticPr fontId="2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12"/>
  <sheetViews>
    <sheetView zoomScale="115"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294</v>
      </c>
    </row>
    <row r="3" spans="1:3" x14ac:dyDescent="0.2">
      <c r="B3" s="1" t="s">
        <v>67</v>
      </c>
      <c r="C3" s="1" t="s">
        <v>291</v>
      </c>
    </row>
    <row r="4" spans="1:3" x14ac:dyDescent="0.2">
      <c r="B4" s="1" t="s">
        <v>70</v>
      </c>
      <c r="C4" s="1" t="s">
        <v>95</v>
      </c>
    </row>
    <row r="5" spans="1:3" x14ac:dyDescent="0.2">
      <c r="B5" s="1" t="s">
        <v>292</v>
      </c>
      <c r="C5" s="1" t="s">
        <v>293</v>
      </c>
    </row>
    <row r="6" spans="1:3" x14ac:dyDescent="0.2">
      <c r="B6" s="1" t="s">
        <v>74</v>
      </c>
      <c r="C6" s="1" t="s">
        <v>33</v>
      </c>
    </row>
    <row r="8" spans="1:3" x14ac:dyDescent="0.2">
      <c r="C8" s="10" t="s">
        <v>183</v>
      </c>
    </row>
    <row r="10" spans="1:3" x14ac:dyDescent="0.2">
      <c r="C10" s="10" t="s">
        <v>184</v>
      </c>
    </row>
    <row r="12" spans="1:3" x14ac:dyDescent="0.2">
      <c r="C12" s="10" t="s">
        <v>185</v>
      </c>
    </row>
  </sheetData>
  <phoneticPr fontId="2" type="noConversion"/>
  <hyperlinks>
    <hyperlink ref="A1" location="Main!A1" display="Main" xr:uid="{00000000-0004-0000-0A00-000000000000}"/>
  </hyperlinks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34</v>
      </c>
    </row>
    <row r="4" spans="2:2" x14ac:dyDescent="0.2">
      <c r="B4" t="s">
        <v>52</v>
      </c>
    </row>
  </sheetData>
  <phoneticPr fontId="2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97</v>
      </c>
    </row>
    <row r="3" spans="1:3" x14ac:dyDescent="0.2">
      <c r="B3" s="1" t="s">
        <v>67</v>
      </c>
      <c r="C3" s="1" t="s">
        <v>98</v>
      </c>
    </row>
    <row r="4" spans="1:3" x14ac:dyDescent="0.2">
      <c r="B4" s="1" t="s">
        <v>70</v>
      </c>
      <c r="C4" s="1" t="s">
        <v>99</v>
      </c>
    </row>
    <row r="5" spans="1:3" x14ac:dyDescent="0.2">
      <c r="B5" s="1" t="s">
        <v>13</v>
      </c>
      <c r="C5" s="1" t="s">
        <v>100</v>
      </c>
    </row>
    <row r="6" spans="1:3" x14ac:dyDescent="0.2">
      <c r="B6" s="1" t="s">
        <v>74</v>
      </c>
    </row>
    <row r="7" spans="1:3" x14ac:dyDescent="0.2">
      <c r="C7" s="1" t="s">
        <v>35</v>
      </c>
    </row>
    <row r="8" spans="1:3" x14ac:dyDescent="0.2">
      <c r="C8" s="19" t="s">
        <v>244</v>
      </c>
    </row>
  </sheetData>
  <phoneticPr fontId="2" type="noConversion"/>
  <hyperlinks>
    <hyperlink ref="A1" location="Main!A1" display="Main" xr:uid="{00000000-0004-0000-0C00-000000000000}"/>
  </hyperlinks>
  <pageMargins left="0.75" right="0.75" top="1" bottom="1" header="0.5" footer="0.5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B2:B4"/>
  <sheetViews>
    <sheetView workbookViewId="0">
      <selection activeCell="B5" sqref="B5"/>
    </sheetView>
  </sheetViews>
  <sheetFormatPr defaultColWidth="8.85546875" defaultRowHeight="12.75" x14ac:dyDescent="0.2"/>
  <sheetData>
    <row r="2" spans="2:2" x14ac:dyDescent="0.2">
      <c r="B2" t="s">
        <v>36</v>
      </c>
    </row>
    <row r="4" spans="2:2" x14ac:dyDescent="0.2">
      <c r="B4" t="s">
        <v>46</v>
      </c>
    </row>
  </sheetData>
  <phoneticPr fontId="2" type="noConversion"/>
  <pageMargins left="0.75" right="0.75" top="1" bottom="1" header="0.5" footer="0.5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B6"/>
  <sheetViews>
    <sheetView zoomScale="145" workbookViewId="0"/>
  </sheetViews>
  <sheetFormatPr defaultColWidth="9.140625" defaultRowHeight="12.75" x14ac:dyDescent="0.2"/>
  <cols>
    <col min="1" max="1" width="5" style="1" bestFit="1" customWidth="1"/>
    <col min="2" max="16384" width="9.140625" style="1"/>
  </cols>
  <sheetData>
    <row r="1" spans="1:2" x14ac:dyDescent="0.2">
      <c r="A1" s="9" t="s">
        <v>65</v>
      </c>
    </row>
    <row r="2" spans="1:2" x14ac:dyDescent="0.2">
      <c r="B2" s="1" t="s">
        <v>37</v>
      </c>
    </row>
    <row r="3" spans="1:2" x14ac:dyDescent="0.2">
      <c r="B3" s="1" t="s">
        <v>38</v>
      </c>
    </row>
    <row r="6" spans="1:2" x14ac:dyDescent="0.2">
      <c r="B6" s="1" t="s">
        <v>53</v>
      </c>
    </row>
  </sheetData>
  <phoneticPr fontId="2" type="noConversion"/>
  <hyperlinks>
    <hyperlink ref="A1" location="Main!A1" display="Main" xr:uid="{00000000-0004-0000-0E00-000000000000}"/>
  </hyperlinks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13"/>
  <sheetViews>
    <sheetView workbookViewId="0"/>
  </sheetViews>
  <sheetFormatPr defaultColWidth="9.140625" defaultRowHeight="12.75" x14ac:dyDescent="0.2"/>
  <cols>
    <col min="1" max="1" width="5" style="37" bestFit="1" customWidth="1"/>
    <col min="2" max="2" width="11.28515625" style="37" bestFit="1" customWidth="1"/>
    <col min="3" max="16384" width="9.140625" style="37"/>
  </cols>
  <sheetData>
    <row r="1" spans="1:3" x14ac:dyDescent="0.2">
      <c r="A1" s="36" t="s">
        <v>65</v>
      </c>
    </row>
    <row r="2" spans="1:3" x14ac:dyDescent="0.2">
      <c r="B2" s="37" t="s">
        <v>66</v>
      </c>
      <c r="C2" s="31" t="s">
        <v>212</v>
      </c>
    </row>
    <row r="3" spans="1:3" x14ac:dyDescent="0.2">
      <c r="B3" s="37" t="s">
        <v>13</v>
      </c>
      <c r="C3" s="31" t="s">
        <v>242</v>
      </c>
    </row>
    <row r="4" spans="1:3" x14ac:dyDescent="0.2">
      <c r="B4" s="31" t="s">
        <v>70</v>
      </c>
      <c r="C4" s="31" t="s">
        <v>285</v>
      </c>
    </row>
    <row r="5" spans="1:3" x14ac:dyDescent="0.2">
      <c r="B5" s="37" t="s">
        <v>190</v>
      </c>
    </row>
    <row r="6" spans="1:3" x14ac:dyDescent="0.2">
      <c r="C6" s="38" t="s">
        <v>246</v>
      </c>
    </row>
    <row r="7" spans="1:3" x14ac:dyDescent="0.2">
      <c r="C7" s="31" t="s">
        <v>247</v>
      </c>
    </row>
    <row r="10" spans="1:3" x14ac:dyDescent="0.2">
      <c r="C10" s="38" t="s">
        <v>248</v>
      </c>
    </row>
    <row r="11" spans="1:3" x14ac:dyDescent="0.2">
      <c r="C11" s="31" t="s">
        <v>250</v>
      </c>
    </row>
    <row r="12" spans="1:3" x14ac:dyDescent="0.2">
      <c r="C12" s="31" t="s">
        <v>249</v>
      </c>
    </row>
    <row r="13" spans="1:3" x14ac:dyDescent="0.2">
      <c r="C13" s="31" t="s">
        <v>284</v>
      </c>
    </row>
  </sheetData>
  <hyperlinks>
    <hyperlink ref="A1" location="Main!A1" display="Main" xr:uid="{00000000-0004-0000-0F00-000000000000}"/>
  </hyperlink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6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4.140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101</v>
      </c>
    </row>
    <row r="3" spans="1:3" x14ac:dyDescent="0.2">
      <c r="B3" s="1" t="s">
        <v>67</v>
      </c>
    </row>
    <row r="4" spans="1:3" x14ac:dyDescent="0.2">
      <c r="B4" s="1" t="s">
        <v>57</v>
      </c>
      <c r="C4" s="1" t="s">
        <v>58</v>
      </c>
    </row>
    <row r="5" spans="1:3" x14ac:dyDescent="0.2">
      <c r="B5" s="1" t="s">
        <v>13</v>
      </c>
      <c r="C5" s="1" t="s">
        <v>71</v>
      </c>
    </row>
    <row r="6" spans="1:3" x14ac:dyDescent="0.2">
      <c r="C6" s="1" t="s">
        <v>55</v>
      </c>
    </row>
    <row r="7" spans="1:3" x14ac:dyDescent="0.2">
      <c r="B7" s="1" t="s">
        <v>72</v>
      </c>
      <c r="C7" s="1" t="s">
        <v>54</v>
      </c>
    </row>
    <row r="8" spans="1:3" x14ac:dyDescent="0.2">
      <c r="B8" s="1" t="s">
        <v>16</v>
      </c>
      <c r="C8" s="1" t="s">
        <v>73</v>
      </c>
    </row>
    <row r="9" spans="1:3" x14ac:dyDescent="0.2">
      <c r="B9" s="1" t="s">
        <v>75</v>
      </c>
      <c r="C9" s="1" t="s">
        <v>118</v>
      </c>
    </row>
    <row r="10" spans="1:3" x14ac:dyDescent="0.2">
      <c r="B10" s="1" t="s">
        <v>78</v>
      </c>
      <c r="C10" s="1" t="s">
        <v>79</v>
      </c>
    </row>
    <row r="11" spans="1:3" x14ac:dyDescent="0.2">
      <c r="B11" s="1" t="s">
        <v>74</v>
      </c>
    </row>
    <row r="12" spans="1:3" x14ac:dyDescent="0.2">
      <c r="C12" s="10" t="s">
        <v>56</v>
      </c>
    </row>
    <row r="15" spans="1:3" x14ac:dyDescent="0.2">
      <c r="C15" s="10" t="s">
        <v>76</v>
      </c>
    </row>
    <row r="16" spans="1:3" x14ac:dyDescent="0.2">
      <c r="C16" s="1" t="s">
        <v>77</v>
      </c>
    </row>
  </sheetData>
  <phoneticPr fontId="2" type="noConversion"/>
  <hyperlinks>
    <hyperlink ref="A1" location="Main!A1" display="Main" xr:uid="{00000000-0004-0000-1000-000000000000}"/>
  </hyperlinks>
  <pageMargins left="0.75" right="0.75" top="1" bottom="1" header="0.5" footer="0.5"/>
  <pageSetup orientation="portrait" verticalDpi="0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"/>
  <sheetViews>
    <sheetView workbookViewId="0"/>
  </sheetViews>
  <sheetFormatPr defaultColWidth="8.85546875" defaultRowHeight="12.75" x14ac:dyDescent="0.2"/>
  <cols>
    <col min="1" max="1" width="5" bestFit="1" customWidth="1"/>
    <col min="2" max="2" width="22.140625" bestFit="1" customWidth="1"/>
  </cols>
  <sheetData>
    <row r="1" spans="1:3" x14ac:dyDescent="0.2">
      <c r="A1" s="28" t="s">
        <v>65</v>
      </c>
    </row>
    <row r="3" spans="1:3" x14ac:dyDescent="0.2">
      <c r="B3" t="s">
        <v>44</v>
      </c>
      <c r="C3" t="s">
        <v>0</v>
      </c>
    </row>
    <row r="4" spans="1:3" x14ac:dyDescent="0.2">
      <c r="B4" t="s">
        <v>45</v>
      </c>
      <c r="C4" t="s">
        <v>0</v>
      </c>
    </row>
    <row r="5" spans="1:3" x14ac:dyDescent="0.2">
      <c r="B5" t="s">
        <v>82</v>
      </c>
      <c r="C5" t="s">
        <v>210</v>
      </c>
    </row>
    <row r="6" spans="1:3" x14ac:dyDescent="0.2">
      <c r="B6" t="s">
        <v>211</v>
      </c>
      <c r="C6" t="s">
        <v>210</v>
      </c>
    </row>
  </sheetData>
  <phoneticPr fontId="2" type="noConversion"/>
  <hyperlinks>
    <hyperlink ref="A1" location="Main!A1" display="Main" xr:uid="{00000000-0004-0000-1200-000000000000}"/>
  </hyperlinks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M67"/>
  <sheetViews>
    <sheetView zoomScale="130" zoomScaleNormal="130" workbookViewId="0">
      <selection activeCell="K2" sqref="K2"/>
    </sheetView>
  </sheetViews>
  <sheetFormatPr defaultColWidth="9.140625" defaultRowHeight="12.75" x14ac:dyDescent="0.2"/>
  <cols>
    <col min="1" max="1" width="2.42578125" style="1" customWidth="1"/>
    <col min="2" max="2" width="22.42578125" style="1" customWidth="1"/>
    <col min="3" max="3" width="31" style="1" customWidth="1"/>
    <col min="4" max="4" width="17.42578125" style="1" customWidth="1"/>
    <col min="5" max="5" width="9.28515625" style="1" customWidth="1"/>
    <col min="6" max="6" width="23.42578125" style="1" customWidth="1"/>
    <col min="7" max="7" width="13" style="1" customWidth="1"/>
    <col min="8" max="8" width="9" style="1" customWidth="1"/>
    <col min="9" max="9" width="2.85546875" style="1" customWidth="1"/>
    <col min="10" max="10" width="11.85546875" style="1" bestFit="1" customWidth="1"/>
    <col min="11" max="11" width="8.140625" style="13" bestFit="1" customWidth="1"/>
    <col min="12" max="12" width="7.42578125" style="1" customWidth="1"/>
    <col min="13" max="16384" width="9.140625" style="1"/>
  </cols>
  <sheetData>
    <row r="1" spans="1:13" x14ac:dyDescent="0.2">
      <c r="A1" s="19"/>
    </row>
    <row r="2" spans="1:13" x14ac:dyDescent="0.2">
      <c r="B2" s="2" t="s">
        <v>12</v>
      </c>
      <c r="C2" s="3" t="s">
        <v>13</v>
      </c>
      <c r="D2" s="3" t="s">
        <v>14</v>
      </c>
      <c r="E2" s="3" t="s">
        <v>108</v>
      </c>
      <c r="F2" s="35" t="s">
        <v>70</v>
      </c>
      <c r="G2" s="35" t="s">
        <v>70</v>
      </c>
      <c r="H2" s="4" t="s">
        <v>94</v>
      </c>
      <c r="J2" s="1" t="s">
        <v>102</v>
      </c>
      <c r="K2" s="22">
        <v>91</v>
      </c>
    </row>
    <row r="3" spans="1:13" x14ac:dyDescent="0.2">
      <c r="B3" s="8" t="s">
        <v>223</v>
      </c>
      <c r="C3" s="6" t="s">
        <v>83</v>
      </c>
      <c r="D3" s="68">
        <v>1</v>
      </c>
      <c r="E3" s="69">
        <v>36636</v>
      </c>
      <c r="F3" s="16" t="s">
        <v>222</v>
      </c>
      <c r="G3" s="16" t="s">
        <v>222</v>
      </c>
      <c r="H3" s="7" t="s">
        <v>110</v>
      </c>
      <c r="J3" s="1" t="s">
        <v>11</v>
      </c>
      <c r="K3" s="23">
        <v>1251</v>
      </c>
      <c r="L3" s="33" t="s">
        <v>569</v>
      </c>
    </row>
    <row r="4" spans="1:13" x14ac:dyDescent="0.2">
      <c r="B4" s="8" t="s">
        <v>107</v>
      </c>
      <c r="C4" s="6" t="s">
        <v>40</v>
      </c>
      <c r="D4" s="68" t="s">
        <v>41</v>
      </c>
      <c r="E4" s="70">
        <v>35751</v>
      </c>
      <c r="F4" s="71" t="s">
        <v>196</v>
      </c>
      <c r="G4" s="72" t="s">
        <v>186</v>
      </c>
      <c r="H4" s="7" t="s">
        <v>109</v>
      </c>
      <c r="J4" s="1" t="s">
        <v>105</v>
      </c>
      <c r="K4" s="23">
        <f>K2*K3</f>
        <v>113841</v>
      </c>
      <c r="L4" s="20"/>
    </row>
    <row r="5" spans="1:13" x14ac:dyDescent="0.2">
      <c r="B5" s="8" t="s">
        <v>64</v>
      </c>
      <c r="C5" s="6" t="s">
        <v>40</v>
      </c>
      <c r="D5" s="68">
        <v>1</v>
      </c>
      <c r="E5" s="70">
        <v>34057</v>
      </c>
      <c r="F5" s="16" t="s">
        <v>289</v>
      </c>
      <c r="G5" s="16" t="s">
        <v>260</v>
      </c>
      <c r="H5" s="7" t="s">
        <v>134</v>
      </c>
      <c r="J5" s="1" t="s">
        <v>103</v>
      </c>
      <c r="K5" s="32">
        <v>0</v>
      </c>
      <c r="L5" s="33" t="s">
        <v>570</v>
      </c>
      <c r="M5" s="27"/>
    </row>
    <row r="6" spans="1:13" x14ac:dyDescent="0.2">
      <c r="B6" s="8" t="s">
        <v>558</v>
      </c>
      <c r="C6" s="16" t="s">
        <v>400</v>
      </c>
      <c r="D6" s="17" t="s">
        <v>81</v>
      </c>
      <c r="E6" s="75">
        <v>42822</v>
      </c>
      <c r="F6" s="16" t="s">
        <v>559</v>
      </c>
      <c r="G6" s="16" t="s">
        <v>370</v>
      </c>
      <c r="H6" s="18" t="s">
        <v>401</v>
      </c>
      <c r="J6" s="1" t="s">
        <v>104</v>
      </c>
      <c r="K6" s="23">
        <v>11483</v>
      </c>
      <c r="L6" s="33" t="s">
        <v>570</v>
      </c>
    </row>
    <row r="7" spans="1:13" x14ac:dyDescent="0.2">
      <c r="B7" s="34" t="s">
        <v>269</v>
      </c>
      <c r="C7" s="16" t="s">
        <v>286</v>
      </c>
      <c r="D7" s="68">
        <v>1</v>
      </c>
      <c r="E7" s="70">
        <v>35199</v>
      </c>
      <c r="F7" s="16" t="s">
        <v>270</v>
      </c>
      <c r="G7" s="16" t="s">
        <v>86</v>
      </c>
      <c r="H7" s="7" t="s">
        <v>135</v>
      </c>
      <c r="J7" s="1" t="s">
        <v>106</v>
      </c>
      <c r="K7" s="23">
        <f>K4-K5+K6</f>
        <v>125324</v>
      </c>
    </row>
    <row r="8" spans="1:13" x14ac:dyDescent="0.2">
      <c r="B8" s="34" t="s">
        <v>267</v>
      </c>
      <c r="C8" s="6" t="s">
        <v>96</v>
      </c>
      <c r="D8" s="17" t="s">
        <v>268</v>
      </c>
      <c r="E8" s="70">
        <v>35271</v>
      </c>
      <c r="F8" s="16" t="s">
        <v>288</v>
      </c>
      <c r="G8" s="16" t="s">
        <v>261</v>
      </c>
      <c r="H8" s="7" t="s">
        <v>109</v>
      </c>
    </row>
    <row r="9" spans="1:13" x14ac:dyDescent="0.2">
      <c r="B9" s="8" t="s">
        <v>373</v>
      </c>
      <c r="C9" s="16" t="s">
        <v>257</v>
      </c>
      <c r="D9" s="68">
        <v>1</v>
      </c>
      <c r="E9" s="69">
        <v>41164</v>
      </c>
      <c r="F9" s="6"/>
      <c r="G9" s="16" t="s">
        <v>199</v>
      </c>
      <c r="H9" s="7" t="s">
        <v>109</v>
      </c>
      <c r="J9" s="19" t="s">
        <v>576</v>
      </c>
    </row>
    <row r="10" spans="1:13" x14ac:dyDescent="0.2">
      <c r="B10" s="34" t="s">
        <v>275</v>
      </c>
      <c r="C10" s="6" t="s">
        <v>80</v>
      </c>
      <c r="D10" s="68" t="s">
        <v>157</v>
      </c>
      <c r="E10" s="70">
        <v>37477</v>
      </c>
      <c r="F10" s="16" t="s">
        <v>276</v>
      </c>
      <c r="G10" s="16" t="s">
        <v>262</v>
      </c>
      <c r="H10" s="7" t="s">
        <v>135</v>
      </c>
      <c r="J10" s="19" t="s">
        <v>617</v>
      </c>
      <c r="K10" s="24"/>
    </row>
    <row r="11" spans="1:13" x14ac:dyDescent="0.2">
      <c r="B11" s="5" t="s">
        <v>150</v>
      </c>
      <c r="C11" s="6" t="s">
        <v>151</v>
      </c>
      <c r="D11" s="17" t="s">
        <v>287</v>
      </c>
      <c r="E11" s="6"/>
      <c r="F11" s="6"/>
      <c r="G11" s="16" t="s">
        <v>263</v>
      </c>
      <c r="H11" s="7" t="s">
        <v>109</v>
      </c>
      <c r="K11" s="23"/>
    </row>
    <row r="12" spans="1:13" x14ac:dyDescent="0.2">
      <c r="B12" s="34" t="s">
        <v>228</v>
      </c>
      <c r="C12" s="16" t="s">
        <v>83</v>
      </c>
      <c r="D12" s="68"/>
      <c r="E12" s="6"/>
      <c r="F12" s="16" t="s">
        <v>230</v>
      </c>
      <c r="G12" s="16" t="s">
        <v>229</v>
      </c>
      <c r="H12" s="18" t="s">
        <v>109</v>
      </c>
    </row>
    <row r="13" spans="1:13" x14ac:dyDescent="0.2">
      <c r="B13" s="5" t="s">
        <v>47</v>
      </c>
      <c r="C13" s="16" t="s">
        <v>304</v>
      </c>
      <c r="D13" s="17" t="s">
        <v>305</v>
      </c>
      <c r="E13" s="6"/>
      <c r="F13" s="6"/>
      <c r="G13" s="16" t="s">
        <v>306</v>
      </c>
      <c r="H13" s="18" t="s">
        <v>109</v>
      </c>
      <c r="J13" s="1" t="s">
        <v>255</v>
      </c>
    </row>
    <row r="14" spans="1:13" x14ac:dyDescent="0.2">
      <c r="B14" s="5" t="s">
        <v>119</v>
      </c>
      <c r="C14" s="6" t="s">
        <v>96</v>
      </c>
      <c r="D14" s="68" t="s">
        <v>120</v>
      </c>
      <c r="E14" s="6">
        <v>2007</v>
      </c>
      <c r="F14" s="6"/>
      <c r="G14" s="6"/>
      <c r="H14" s="7"/>
      <c r="J14" s="1" t="s">
        <v>256</v>
      </c>
    </row>
    <row r="15" spans="1:13" x14ac:dyDescent="0.2">
      <c r="B15" s="5" t="s">
        <v>136</v>
      </c>
      <c r="C15" s="6" t="s">
        <v>137</v>
      </c>
      <c r="D15" s="68">
        <v>1</v>
      </c>
      <c r="E15" s="6"/>
      <c r="F15" s="6"/>
      <c r="G15" s="16" t="s">
        <v>266</v>
      </c>
      <c r="H15" s="7"/>
      <c r="J15" s="19" t="s">
        <v>281</v>
      </c>
    </row>
    <row r="16" spans="1:13" x14ac:dyDescent="0.2">
      <c r="B16" s="8" t="s">
        <v>188</v>
      </c>
      <c r="C16" s="16" t="s">
        <v>152</v>
      </c>
      <c r="D16" s="17">
        <v>1</v>
      </c>
      <c r="E16" s="72">
        <v>39995</v>
      </c>
      <c r="F16" s="16" t="s">
        <v>301</v>
      </c>
      <c r="G16" s="16"/>
      <c r="H16" s="18" t="s">
        <v>109</v>
      </c>
    </row>
    <row r="17" spans="2:10" x14ac:dyDescent="0.2">
      <c r="B17" s="34" t="s">
        <v>323</v>
      </c>
      <c r="C17" s="6" t="s">
        <v>85</v>
      </c>
      <c r="D17" s="68">
        <v>1</v>
      </c>
      <c r="E17" s="6">
        <v>2010</v>
      </c>
      <c r="F17" s="6" t="s">
        <v>86</v>
      </c>
      <c r="G17" s="6"/>
      <c r="H17" s="7"/>
    </row>
    <row r="18" spans="2:10" x14ac:dyDescent="0.2">
      <c r="B18" s="34" t="s">
        <v>320</v>
      </c>
      <c r="C18" s="19" t="s">
        <v>321</v>
      </c>
      <c r="D18" s="68">
        <v>1</v>
      </c>
      <c r="E18" s="6">
        <v>1997</v>
      </c>
      <c r="F18" s="16" t="s">
        <v>266</v>
      </c>
      <c r="G18" s="6"/>
      <c r="H18" s="7"/>
    </row>
    <row r="19" spans="2:10" x14ac:dyDescent="0.2">
      <c r="B19" s="34" t="s">
        <v>324</v>
      </c>
      <c r="C19" s="16" t="s">
        <v>331</v>
      </c>
      <c r="D19" s="68">
        <v>1</v>
      </c>
      <c r="E19" s="69">
        <v>34477</v>
      </c>
      <c r="F19" s="16"/>
      <c r="G19" s="6"/>
      <c r="H19" s="7"/>
    </row>
    <row r="20" spans="2:10" x14ac:dyDescent="0.2">
      <c r="B20" s="34" t="s">
        <v>325</v>
      </c>
      <c r="C20" s="16" t="s">
        <v>327</v>
      </c>
      <c r="D20" s="68">
        <v>1</v>
      </c>
      <c r="E20" s="69">
        <v>38835</v>
      </c>
      <c r="F20" s="16"/>
      <c r="G20" s="6"/>
      <c r="H20" s="7"/>
    </row>
    <row r="21" spans="2:10" x14ac:dyDescent="0.2">
      <c r="B21" s="34" t="s">
        <v>361</v>
      </c>
      <c r="C21" s="16" t="s">
        <v>334</v>
      </c>
      <c r="D21" s="68" t="s">
        <v>81</v>
      </c>
      <c r="E21" s="69">
        <v>41124</v>
      </c>
      <c r="F21" s="6" t="s">
        <v>155</v>
      </c>
      <c r="G21" s="16" t="s">
        <v>245</v>
      </c>
      <c r="H21" s="7" t="s">
        <v>135</v>
      </c>
    </row>
    <row r="22" spans="2:10" x14ac:dyDescent="0.2">
      <c r="B22" s="34" t="s">
        <v>614</v>
      </c>
      <c r="C22" s="16" t="s">
        <v>619</v>
      </c>
      <c r="D22" s="68"/>
      <c r="E22" s="69">
        <v>43502</v>
      </c>
      <c r="F22" s="16" t="s">
        <v>615</v>
      </c>
      <c r="G22" s="16"/>
      <c r="H22" s="7"/>
    </row>
    <row r="23" spans="2:10" x14ac:dyDescent="0.2">
      <c r="B23" s="34" t="s">
        <v>363</v>
      </c>
      <c r="C23" s="16" t="s">
        <v>331</v>
      </c>
      <c r="D23" s="17">
        <v>1</v>
      </c>
      <c r="E23" s="76">
        <v>41870</v>
      </c>
      <c r="F23" s="16" t="s">
        <v>368</v>
      </c>
      <c r="G23" s="16" t="s">
        <v>371</v>
      </c>
      <c r="H23" s="7"/>
    </row>
    <row r="24" spans="2:10" x14ac:dyDescent="0.2">
      <c r="B24" s="34" t="s">
        <v>596</v>
      </c>
      <c r="C24" s="16" t="s">
        <v>613</v>
      </c>
      <c r="D24" s="68">
        <v>1</v>
      </c>
      <c r="E24" s="76">
        <v>44804</v>
      </c>
      <c r="F24" s="16" t="s">
        <v>392</v>
      </c>
      <c r="G24" s="16" t="s">
        <v>245</v>
      </c>
      <c r="H24" s="18" t="s">
        <v>393</v>
      </c>
    </row>
    <row r="25" spans="2:10" x14ac:dyDescent="0.2">
      <c r="B25" s="34" t="s">
        <v>326</v>
      </c>
      <c r="C25" s="16" t="s">
        <v>480</v>
      </c>
      <c r="D25" s="68">
        <v>1</v>
      </c>
      <c r="E25" s="69">
        <v>37735</v>
      </c>
      <c r="F25" s="16"/>
      <c r="G25" s="6"/>
      <c r="H25" s="7"/>
    </row>
    <row r="26" spans="2:10" x14ac:dyDescent="0.2">
      <c r="B26" s="34" t="s">
        <v>582</v>
      </c>
      <c r="C26" s="16" t="s">
        <v>578</v>
      </c>
      <c r="D26" s="17" t="s">
        <v>620</v>
      </c>
      <c r="E26" s="6"/>
      <c r="F26" s="16"/>
      <c r="G26" s="16" t="s">
        <v>579</v>
      </c>
      <c r="H26" s="7"/>
    </row>
    <row r="27" spans="2:10" x14ac:dyDescent="0.2">
      <c r="B27" s="34" t="s">
        <v>534</v>
      </c>
      <c r="C27" s="16" t="s">
        <v>578</v>
      </c>
      <c r="D27" s="17"/>
      <c r="E27" s="6"/>
      <c r="F27" s="16"/>
      <c r="G27" s="16"/>
      <c r="H27" s="7"/>
    </row>
    <row r="28" spans="2:10" x14ac:dyDescent="0.2">
      <c r="B28" s="34" t="s">
        <v>560</v>
      </c>
      <c r="C28" s="16" t="s">
        <v>387</v>
      </c>
      <c r="D28" s="17" t="s">
        <v>81</v>
      </c>
      <c r="E28" s="76">
        <v>42877</v>
      </c>
      <c r="F28" s="16" t="s">
        <v>388</v>
      </c>
      <c r="G28" s="16" t="s">
        <v>370</v>
      </c>
      <c r="H28" s="18" t="s">
        <v>369</v>
      </c>
    </row>
    <row r="29" spans="2:10" x14ac:dyDescent="0.2">
      <c r="B29" s="34" t="s">
        <v>594</v>
      </c>
      <c r="C29" s="16" t="s">
        <v>364</v>
      </c>
      <c r="D29" s="17" t="s">
        <v>81</v>
      </c>
      <c r="E29" s="76">
        <v>42209</v>
      </c>
      <c r="F29" s="16" t="s">
        <v>365</v>
      </c>
      <c r="G29" s="16" t="s">
        <v>370</v>
      </c>
      <c r="H29" s="18" t="s">
        <v>369</v>
      </c>
    </row>
    <row r="30" spans="2:10" x14ac:dyDescent="0.2">
      <c r="B30" s="34" t="s">
        <v>595</v>
      </c>
      <c r="C30" s="16" t="s">
        <v>440</v>
      </c>
      <c r="D30" s="17">
        <v>1</v>
      </c>
      <c r="E30" s="76">
        <v>43892</v>
      </c>
      <c r="F30" s="16" t="s">
        <v>441</v>
      </c>
      <c r="G30" s="16" t="s">
        <v>370</v>
      </c>
      <c r="H30" s="18" t="s">
        <v>415</v>
      </c>
    </row>
    <row r="31" spans="2:10" x14ac:dyDescent="0.2">
      <c r="B31" s="34" t="s">
        <v>616</v>
      </c>
      <c r="C31" s="16"/>
      <c r="D31" s="17" t="s">
        <v>618</v>
      </c>
      <c r="E31" s="76">
        <v>45744</v>
      </c>
      <c r="F31" s="16" t="s">
        <v>583</v>
      </c>
      <c r="G31" s="16"/>
      <c r="H31" s="18"/>
    </row>
    <row r="32" spans="2:10" x14ac:dyDescent="0.2">
      <c r="B32" s="34" t="s">
        <v>322</v>
      </c>
      <c r="C32" s="16" t="s">
        <v>137</v>
      </c>
      <c r="D32" s="68">
        <v>1</v>
      </c>
      <c r="E32" s="6"/>
      <c r="F32" s="16" t="s">
        <v>266</v>
      </c>
      <c r="G32" s="6"/>
      <c r="H32" s="7"/>
      <c r="J32" s="19"/>
    </row>
    <row r="33" spans="2:8" x14ac:dyDescent="0.2">
      <c r="B33" s="34" t="s">
        <v>366</v>
      </c>
      <c r="C33" s="16" t="s">
        <v>257</v>
      </c>
      <c r="D33" s="17" t="s">
        <v>328</v>
      </c>
      <c r="E33" s="76">
        <v>37018</v>
      </c>
      <c r="F33" s="16" t="s">
        <v>367</v>
      </c>
      <c r="G33" s="16" t="s">
        <v>370</v>
      </c>
      <c r="H33" s="18" t="s">
        <v>135</v>
      </c>
    </row>
    <row r="34" spans="2:8" x14ac:dyDescent="0.2">
      <c r="B34" s="2"/>
      <c r="C34" s="3"/>
      <c r="D34" s="3"/>
      <c r="E34" s="3" t="s">
        <v>17</v>
      </c>
      <c r="F34" s="3"/>
      <c r="G34" s="35" t="s">
        <v>15</v>
      </c>
      <c r="H34" s="4"/>
    </row>
    <row r="35" spans="2:8" x14ac:dyDescent="0.2">
      <c r="B35" s="34" t="s">
        <v>382</v>
      </c>
      <c r="C35" s="16" t="s">
        <v>384</v>
      </c>
      <c r="D35" s="17">
        <v>1</v>
      </c>
      <c r="E35" s="16" t="s">
        <v>153</v>
      </c>
      <c r="F35" s="16" t="s">
        <v>266</v>
      </c>
      <c r="G35" s="16" t="s">
        <v>266</v>
      </c>
      <c r="H35" s="18" t="s">
        <v>386</v>
      </c>
    </row>
    <row r="36" spans="2:8" x14ac:dyDescent="0.2">
      <c r="B36" s="34" t="s">
        <v>383</v>
      </c>
      <c r="C36" s="16" t="s">
        <v>385</v>
      </c>
      <c r="D36" s="17">
        <v>1</v>
      </c>
      <c r="E36" s="16" t="s">
        <v>153</v>
      </c>
      <c r="F36" s="16" t="s">
        <v>266</v>
      </c>
      <c r="G36" s="16" t="s">
        <v>266</v>
      </c>
      <c r="H36" s="18" t="s">
        <v>386</v>
      </c>
    </row>
    <row r="37" spans="2:8" x14ac:dyDescent="0.2">
      <c r="B37" s="34" t="s">
        <v>484</v>
      </c>
      <c r="C37" s="16" t="s">
        <v>83</v>
      </c>
      <c r="D37" s="17">
        <v>1</v>
      </c>
      <c r="E37" s="16" t="s">
        <v>153</v>
      </c>
      <c r="F37" s="16" t="s">
        <v>485</v>
      </c>
      <c r="G37" s="16" t="s">
        <v>245</v>
      </c>
      <c r="H37" s="18" t="s">
        <v>369</v>
      </c>
    </row>
    <row r="38" spans="2:8" x14ac:dyDescent="0.2">
      <c r="B38" s="34" t="s">
        <v>332</v>
      </c>
      <c r="C38" s="16" t="s">
        <v>333</v>
      </c>
      <c r="D38" s="17">
        <v>1</v>
      </c>
      <c r="E38" s="16" t="s">
        <v>153</v>
      </c>
      <c r="F38" s="6"/>
      <c r="G38" s="16" t="s">
        <v>266</v>
      </c>
      <c r="H38" s="7"/>
    </row>
    <row r="39" spans="2:8" x14ac:dyDescent="0.2">
      <c r="B39" s="34" t="s">
        <v>375</v>
      </c>
      <c r="C39" s="16" t="s">
        <v>83</v>
      </c>
      <c r="D39" s="17" t="s">
        <v>394</v>
      </c>
      <c r="E39" s="16" t="s">
        <v>153</v>
      </c>
      <c r="F39" s="16" t="s">
        <v>84</v>
      </c>
      <c r="G39" s="16" t="s">
        <v>376</v>
      </c>
      <c r="H39" s="18" t="s">
        <v>377</v>
      </c>
    </row>
    <row r="40" spans="2:8" x14ac:dyDescent="0.2">
      <c r="B40" s="19" t="s">
        <v>598</v>
      </c>
      <c r="C40" s="16" t="s">
        <v>599</v>
      </c>
    </row>
    <row r="41" spans="2:8" x14ac:dyDescent="0.2">
      <c r="B41" s="34" t="s">
        <v>423</v>
      </c>
      <c r="C41" s="16" t="s">
        <v>424</v>
      </c>
      <c r="D41" s="17" t="s">
        <v>425</v>
      </c>
      <c r="E41" s="16" t="s">
        <v>154</v>
      </c>
      <c r="F41" s="16" t="s">
        <v>426</v>
      </c>
      <c r="G41" s="16" t="s">
        <v>370</v>
      </c>
      <c r="H41" s="18" t="s">
        <v>411</v>
      </c>
    </row>
    <row r="42" spans="2:8" x14ac:dyDescent="0.2">
      <c r="B42" s="34" t="s">
        <v>427</v>
      </c>
      <c r="C42" s="16" t="s">
        <v>428</v>
      </c>
      <c r="D42" s="17" t="s">
        <v>307</v>
      </c>
      <c r="E42" s="16" t="s">
        <v>154</v>
      </c>
      <c r="F42" s="16" t="s">
        <v>429</v>
      </c>
      <c r="G42" s="16" t="s">
        <v>370</v>
      </c>
      <c r="H42" s="18" t="s">
        <v>411</v>
      </c>
    </row>
    <row r="43" spans="2:8" x14ac:dyDescent="0.2">
      <c r="B43" s="34" t="s">
        <v>430</v>
      </c>
      <c r="C43" s="16" t="s">
        <v>431</v>
      </c>
      <c r="D43" s="17" t="s">
        <v>243</v>
      </c>
      <c r="E43" s="16" t="s">
        <v>154</v>
      </c>
      <c r="F43" s="16" t="s">
        <v>432</v>
      </c>
      <c r="G43" s="16" t="s">
        <v>371</v>
      </c>
      <c r="H43" s="18" t="s">
        <v>109</v>
      </c>
    </row>
    <row r="44" spans="2:8" x14ac:dyDescent="0.2">
      <c r="B44" s="34" t="s">
        <v>433</v>
      </c>
      <c r="C44" s="16" t="s">
        <v>434</v>
      </c>
      <c r="D44" s="17" t="s">
        <v>307</v>
      </c>
      <c r="E44" s="16" t="s">
        <v>154</v>
      </c>
      <c r="F44" s="16" t="s">
        <v>435</v>
      </c>
      <c r="G44" s="16" t="s">
        <v>411</v>
      </c>
      <c r="H44" s="18" t="s">
        <v>411</v>
      </c>
    </row>
    <row r="45" spans="2:8" x14ac:dyDescent="0.2">
      <c r="B45" s="34" t="s">
        <v>416</v>
      </c>
      <c r="C45" s="16" t="s">
        <v>417</v>
      </c>
      <c r="D45" s="17" t="s">
        <v>418</v>
      </c>
      <c r="E45" s="16" t="s">
        <v>154</v>
      </c>
      <c r="F45" s="16" t="s">
        <v>419</v>
      </c>
      <c r="G45" s="16" t="s">
        <v>411</v>
      </c>
      <c r="H45" s="18" t="s">
        <v>411</v>
      </c>
    </row>
    <row r="46" spans="2:8" x14ac:dyDescent="0.2">
      <c r="B46" s="34" t="s">
        <v>412</v>
      </c>
      <c r="C46" s="16" t="s">
        <v>413</v>
      </c>
      <c r="D46" s="68">
        <v>1</v>
      </c>
      <c r="E46" s="16" t="s">
        <v>154</v>
      </c>
      <c r="F46" s="16" t="s">
        <v>414</v>
      </c>
      <c r="G46" s="16" t="s">
        <v>370</v>
      </c>
      <c r="H46" s="18" t="s">
        <v>415</v>
      </c>
    </row>
    <row r="47" spans="2:8" x14ac:dyDescent="0.2">
      <c r="B47" s="34" t="s">
        <v>408</v>
      </c>
      <c r="C47" s="16" t="s">
        <v>409</v>
      </c>
      <c r="D47" s="68">
        <v>1</v>
      </c>
      <c r="E47" s="16" t="s">
        <v>154</v>
      </c>
      <c r="F47" s="16" t="s">
        <v>410</v>
      </c>
      <c r="G47" s="16" t="s">
        <v>411</v>
      </c>
      <c r="H47" s="18" t="s">
        <v>411</v>
      </c>
    </row>
    <row r="48" spans="2:8" x14ac:dyDescent="0.2">
      <c r="B48" s="34" t="s">
        <v>405</v>
      </c>
      <c r="C48" s="16" t="s">
        <v>406</v>
      </c>
      <c r="D48" s="68">
        <v>1</v>
      </c>
      <c r="E48" s="16" t="s">
        <v>154</v>
      </c>
      <c r="F48" s="16" t="s">
        <v>407</v>
      </c>
      <c r="G48" s="16" t="s">
        <v>370</v>
      </c>
      <c r="H48" s="18" t="s">
        <v>401</v>
      </c>
    </row>
    <row r="49" spans="2:8" x14ac:dyDescent="0.2">
      <c r="B49" s="34" t="s">
        <v>453</v>
      </c>
      <c r="C49" s="16" t="s">
        <v>454</v>
      </c>
      <c r="D49" s="68">
        <v>1</v>
      </c>
      <c r="E49" s="16" t="s">
        <v>213</v>
      </c>
      <c r="F49" s="16" t="s">
        <v>455</v>
      </c>
      <c r="G49" s="16" t="s">
        <v>456</v>
      </c>
      <c r="H49" s="18" t="s">
        <v>415</v>
      </c>
    </row>
    <row r="50" spans="2:8" x14ac:dyDescent="0.2">
      <c r="B50" s="34" t="s">
        <v>402</v>
      </c>
      <c r="C50" s="16" t="s">
        <v>403</v>
      </c>
      <c r="D50" s="68">
        <v>1</v>
      </c>
      <c r="E50" s="16" t="s">
        <v>154</v>
      </c>
      <c r="F50" s="16" t="s">
        <v>404</v>
      </c>
      <c r="G50" s="16" t="s">
        <v>370</v>
      </c>
      <c r="H50" s="18" t="s">
        <v>401</v>
      </c>
    </row>
    <row r="51" spans="2:8" x14ac:dyDescent="0.2">
      <c r="B51" s="34" t="s">
        <v>436</v>
      </c>
      <c r="C51" s="16" t="s">
        <v>242</v>
      </c>
      <c r="D51" s="68">
        <v>1</v>
      </c>
      <c r="E51" s="16" t="s">
        <v>213</v>
      </c>
      <c r="F51" s="16" t="s">
        <v>437</v>
      </c>
      <c r="G51" s="16" t="s">
        <v>370</v>
      </c>
      <c r="H51" s="18"/>
    </row>
    <row r="52" spans="2:8" x14ac:dyDescent="0.2">
      <c r="B52" s="34" t="s">
        <v>438</v>
      </c>
      <c r="C52" s="16" t="s">
        <v>242</v>
      </c>
      <c r="D52" s="17" t="s">
        <v>411</v>
      </c>
      <c r="E52" s="16" t="s">
        <v>213</v>
      </c>
      <c r="F52" s="16" t="s">
        <v>439</v>
      </c>
      <c r="G52" s="16" t="s">
        <v>411</v>
      </c>
      <c r="H52" s="18" t="s">
        <v>411</v>
      </c>
    </row>
    <row r="53" spans="2:8" x14ac:dyDescent="0.2">
      <c r="B53" s="34" t="s">
        <v>457</v>
      </c>
      <c r="C53" s="16" t="s">
        <v>458</v>
      </c>
      <c r="D53" s="17">
        <v>1</v>
      </c>
      <c r="E53" s="16" t="s">
        <v>213</v>
      </c>
      <c r="F53" s="16" t="s">
        <v>459</v>
      </c>
      <c r="G53" s="16" t="s">
        <v>370</v>
      </c>
      <c r="H53" s="18" t="s">
        <v>411</v>
      </c>
    </row>
    <row r="54" spans="2:8" x14ac:dyDescent="0.2">
      <c r="B54" s="34" t="s">
        <v>462</v>
      </c>
      <c r="C54" s="16" t="s">
        <v>463</v>
      </c>
      <c r="D54" s="17">
        <v>1</v>
      </c>
      <c r="E54" s="16" t="s">
        <v>213</v>
      </c>
      <c r="F54" s="16" t="s">
        <v>464</v>
      </c>
      <c r="G54" s="16" t="s">
        <v>370</v>
      </c>
      <c r="H54" s="18" t="s">
        <v>411</v>
      </c>
    </row>
    <row r="55" spans="2:8" x14ac:dyDescent="0.2">
      <c r="B55" s="34" t="s">
        <v>465</v>
      </c>
      <c r="C55" s="16" t="s">
        <v>466</v>
      </c>
      <c r="D55" s="17">
        <v>1</v>
      </c>
      <c r="E55" s="16" t="s">
        <v>213</v>
      </c>
      <c r="F55" s="16" t="s">
        <v>467</v>
      </c>
      <c r="G55" s="16" t="s">
        <v>370</v>
      </c>
      <c r="H55" s="18" t="s">
        <v>411</v>
      </c>
    </row>
    <row r="56" spans="2:8" x14ac:dyDescent="0.2">
      <c r="B56" s="34" t="s">
        <v>482</v>
      </c>
      <c r="C56" s="16" t="s">
        <v>327</v>
      </c>
      <c r="D56" s="17">
        <v>1</v>
      </c>
      <c r="E56" s="16" t="s">
        <v>213</v>
      </c>
      <c r="F56" s="16" t="s">
        <v>483</v>
      </c>
      <c r="G56" s="16" t="s">
        <v>245</v>
      </c>
      <c r="H56" s="18" t="s">
        <v>135</v>
      </c>
    </row>
    <row r="57" spans="2:8" x14ac:dyDescent="0.2">
      <c r="B57" s="34" t="s">
        <v>478</v>
      </c>
      <c r="C57" s="16" t="s">
        <v>479</v>
      </c>
      <c r="D57" s="17">
        <v>1</v>
      </c>
      <c r="E57" s="16" t="s">
        <v>213</v>
      </c>
      <c r="F57" s="16" t="s">
        <v>481</v>
      </c>
      <c r="G57" s="16" t="s">
        <v>371</v>
      </c>
      <c r="H57" s="18" t="s">
        <v>109</v>
      </c>
    </row>
    <row r="58" spans="2:8" x14ac:dyDescent="0.2">
      <c r="B58" s="34" t="s">
        <v>444</v>
      </c>
      <c r="C58" s="16" t="s">
        <v>242</v>
      </c>
      <c r="D58" s="17">
        <v>1</v>
      </c>
      <c r="E58" s="16" t="s">
        <v>213</v>
      </c>
      <c r="F58" s="16" t="s">
        <v>446</v>
      </c>
      <c r="G58" s="16" t="s">
        <v>411</v>
      </c>
      <c r="H58" s="18" t="s">
        <v>445</v>
      </c>
    </row>
    <row r="59" spans="2:8" x14ac:dyDescent="0.2">
      <c r="B59" s="34" t="s">
        <v>451</v>
      </c>
      <c r="C59" s="16" t="s">
        <v>242</v>
      </c>
      <c r="D59" s="17" t="s">
        <v>243</v>
      </c>
      <c r="E59" s="16" t="s">
        <v>213</v>
      </c>
      <c r="F59" s="16" t="s">
        <v>452</v>
      </c>
      <c r="G59" s="16" t="s">
        <v>371</v>
      </c>
      <c r="H59" s="18" t="s">
        <v>109</v>
      </c>
    </row>
    <row r="60" spans="2:8" x14ac:dyDescent="0.2">
      <c r="B60" s="34" t="s">
        <v>447</v>
      </c>
      <c r="C60" s="16" t="s">
        <v>242</v>
      </c>
      <c r="D60" s="17">
        <v>1</v>
      </c>
      <c r="E60" s="16" t="s">
        <v>213</v>
      </c>
      <c r="F60" s="16" t="s">
        <v>448</v>
      </c>
      <c r="G60" s="16" t="s">
        <v>370</v>
      </c>
      <c r="H60" s="18" t="s">
        <v>415</v>
      </c>
    </row>
    <row r="61" spans="2:8" x14ac:dyDescent="0.2">
      <c r="B61" s="34" t="s">
        <v>449</v>
      </c>
      <c r="C61" s="16" t="s">
        <v>242</v>
      </c>
      <c r="D61" s="17">
        <v>1</v>
      </c>
      <c r="E61" s="16" t="s">
        <v>213</v>
      </c>
      <c r="F61" s="16" t="s">
        <v>450</v>
      </c>
      <c r="G61" s="16" t="s">
        <v>371</v>
      </c>
      <c r="H61" s="18" t="s">
        <v>109</v>
      </c>
    </row>
    <row r="62" spans="2:8" x14ac:dyDescent="0.2">
      <c r="B62" s="49" t="s">
        <v>442</v>
      </c>
      <c r="C62" s="50" t="s">
        <v>242</v>
      </c>
      <c r="D62" s="51" t="s">
        <v>425</v>
      </c>
      <c r="E62" s="50" t="s">
        <v>213</v>
      </c>
      <c r="F62" s="50" t="s">
        <v>443</v>
      </c>
      <c r="G62" s="50" t="s">
        <v>370</v>
      </c>
      <c r="H62" s="52" t="s">
        <v>415</v>
      </c>
    </row>
    <row r="64" spans="2:8" x14ac:dyDescent="0.2">
      <c r="F64" s="19" t="s">
        <v>251</v>
      </c>
    </row>
    <row r="65" spans="5:6" x14ac:dyDescent="0.2">
      <c r="E65" s="12"/>
      <c r="F65" s="19" t="s">
        <v>372</v>
      </c>
    </row>
    <row r="66" spans="5:6" x14ac:dyDescent="0.2">
      <c r="E66" s="12"/>
      <c r="F66" s="19" t="s">
        <v>621</v>
      </c>
    </row>
    <row r="67" spans="5:6" x14ac:dyDescent="0.2">
      <c r="F67" s="19" t="s">
        <v>611</v>
      </c>
    </row>
  </sheetData>
  <dataConsolidate/>
  <phoneticPr fontId="2" type="noConversion"/>
  <hyperlinks>
    <hyperlink ref="B4" location="Plavix!A1" display="Plavix" xr:uid="{00000000-0004-0000-0200-000000000000}"/>
    <hyperlink ref="B5" location="Lovenox!A1" display="Lovenox (enoxaparin)" xr:uid="{00000000-0004-0000-0200-000001000000}"/>
    <hyperlink ref="B16" location="Multaq!A1" display="Multaq (dronedarone)" xr:uid="{00000000-0004-0000-0200-000002000000}"/>
    <hyperlink ref="B9" location="Aubagio!A1" display="Aubagio (teriflunomide)" xr:uid="{00000000-0004-0000-0200-000003000000}"/>
    <hyperlink ref="B3" location="Lantus!A1" display="Lantus" xr:uid="{00000000-0004-0000-0200-000004000000}"/>
    <hyperlink ref="B6" location="Dupixent!A1" display="Dupixent (dupilumab)" xr:uid="{D7FF847E-6883-4439-8433-B6ADCEF36C71}"/>
  </hyperlinks>
  <pageMargins left="0.75" right="0.75" top="1" bottom="1" header="0.5" footer="0.5"/>
  <pageSetup scale="80" orientation="landscape" verticalDpi="12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:FN124"/>
  <sheetViews>
    <sheetView tabSelected="1" zoomScale="145" zoomScaleNormal="145" workbookViewId="0">
      <pane xSplit="2" ySplit="2" topLeftCell="CD93" activePane="bottomRight" state="frozen"/>
      <selection pane="topRight" activeCell="C1" sqref="C1"/>
      <selection pane="bottomLeft" activeCell="A3" sqref="A3"/>
      <selection pane="bottomRight" activeCell="CG94" sqref="CG94"/>
    </sheetView>
  </sheetViews>
  <sheetFormatPr defaultColWidth="9.140625" defaultRowHeight="12.75" x14ac:dyDescent="0.2"/>
  <cols>
    <col min="1" max="1" width="5" style="1" bestFit="1" customWidth="1"/>
    <col min="2" max="2" width="17.42578125" style="1" bestFit="1" customWidth="1"/>
    <col min="3" max="17" width="6.42578125" style="23" customWidth="1"/>
    <col min="18" max="62" width="6.42578125" style="20" customWidth="1"/>
    <col min="63" max="67" width="6.42578125" style="53" customWidth="1"/>
    <col min="68" max="91" width="7" style="53" customWidth="1"/>
    <col min="92" max="92" width="6.42578125" style="20" customWidth="1"/>
    <col min="93" max="93" width="9.140625" style="20"/>
    <col min="94" max="106" width="7.28515625" style="20" customWidth="1"/>
    <col min="107" max="107" width="6.85546875" style="20" customWidth="1"/>
    <col min="108" max="109" width="6.85546875" style="1" customWidth="1"/>
    <col min="110" max="120" width="8.140625" style="1" customWidth="1"/>
    <col min="121" max="16384" width="9.140625" style="1"/>
  </cols>
  <sheetData>
    <row r="1" spans="1:125" x14ac:dyDescent="0.2">
      <c r="A1" s="9" t="s">
        <v>65</v>
      </c>
      <c r="AO1" s="53"/>
    </row>
    <row r="2" spans="1:125" x14ac:dyDescent="0.2">
      <c r="B2" s="1" t="s">
        <v>121</v>
      </c>
      <c r="C2" s="23" t="s">
        <v>144</v>
      </c>
      <c r="D2" s="23" t="s">
        <v>143</v>
      </c>
      <c r="E2" s="23" t="s">
        <v>142</v>
      </c>
      <c r="F2" s="23" t="s">
        <v>141</v>
      </c>
      <c r="G2" s="23" t="s">
        <v>140</v>
      </c>
      <c r="H2" s="23" t="s">
        <v>139</v>
      </c>
      <c r="I2" s="23" t="s">
        <v>122</v>
      </c>
      <c r="J2" s="23" t="s">
        <v>123</v>
      </c>
      <c r="K2" s="23" t="s">
        <v>124</v>
      </c>
      <c r="L2" s="23" t="s">
        <v>125</v>
      </c>
      <c r="M2" s="23" t="s">
        <v>126</v>
      </c>
      <c r="N2" s="23" t="s">
        <v>127</v>
      </c>
      <c r="O2" s="23" t="s">
        <v>128</v>
      </c>
      <c r="P2" s="23" t="s">
        <v>129</v>
      </c>
      <c r="Q2" s="23" t="s">
        <v>130</v>
      </c>
      <c r="R2" s="20" t="s">
        <v>131</v>
      </c>
      <c r="S2" s="20" t="s">
        <v>177</v>
      </c>
      <c r="T2" s="20" t="s">
        <v>178</v>
      </c>
      <c r="U2" s="20" t="s">
        <v>179</v>
      </c>
      <c r="V2" s="20" t="s">
        <v>180</v>
      </c>
      <c r="W2" s="20" t="s">
        <v>209</v>
      </c>
      <c r="X2" s="20" t="s">
        <v>215</v>
      </c>
      <c r="Y2" s="20" t="s">
        <v>216</v>
      </c>
      <c r="Z2" s="20" t="s">
        <v>217</v>
      </c>
      <c r="AA2" s="33" t="s">
        <v>271</v>
      </c>
      <c r="AB2" s="33" t="s">
        <v>272</v>
      </c>
      <c r="AC2" s="33" t="s">
        <v>273</v>
      </c>
      <c r="AD2" s="33" t="s">
        <v>274</v>
      </c>
      <c r="AE2" s="33" t="s">
        <v>315</v>
      </c>
      <c r="AF2" s="33" t="s">
        <v>316</v>
      </c>
      <c r="AG2" s="33" t="s">
        <v>318</v>
      </c>
      <c r="AH2" s="33" t="s">
        <v>317</v>
      </c>
      <c r="AI2" s="33" t="s">
        <v>341</v>
      </c>
      <c r="AJ2" s="33" t="s">
        <v>342</v>
      </c>
      <c r="AK2" s="33" t="s">
        <v>343</v>
      </c>
      <c r="AL2" s="33" t="s">
        <v>344</v>
      </c>
      <c r="AM2" s="33" t="s">
        <v>345</v>
      </c>
      <c r="AN2" s="33" t="s">
        <v>346</v>
      </c>
      <c r="AO2" s="55" t="s">
        <v>347</v>
      </c>
      <c r="AP2" s="33" t="s">
        <v>348</v>
      </c>
      <c r="AQ2" s="33" t="s">
        <v>489</v>
      </c>
      <c r="AR2" s="55" t="s">
        <v>490</v>
      </c>
      <c r="AS2" s="33" t="s">
        <v>491</v>
      </c>
      <c r="AT2" s="33" t="s">
        <v>492</v>
      </c>
      <c r="AU2" s="33" t="s">
        <v>495</v>
      </c>
      <c r="AV2" s="33" t="s">
        <v>496</v>
      </c>
      <c r="AW2" s="33" t="s">
        <v>497</v>
      </c>
      <c r="AX2" s="33" t="s">
        <v>498</v>
      </c>
      <c r="AY2" s="33" t="s">
        <v>499</v>
      </c>
      <c r="AZ2" s="33" t="s">
        <v>500</v>
      </c>
      <c r="BA2" s="33" t="s">
        <v>501</v>
      </c>
      <c r="BB2" s="33" t="s">
        <v>502</v>
      </c>
      <c r="BC2" s="33" t="s">
        <v>503</v>
      </c>
      <c r="BD2" s="33" t="s">
        <v>504</v>
      </c>
      <c r="BE2" s="33" t="s">
        <v>505</v>
      </c>
      <c r="BF2" s="33" t="s">
        <v>506</v>
      </c>
      <c r="BG2" s="33" t="s">
        <v>507</v>
      </c>
      <c r="BH2" s="33" t="s">
        <v>508</v>
      </c>
      <c r="BI2" s="33" t="s">
        <v>509</v>
      </c>
      <c r="BJ2" s="33" t="s">
        <v>510</v>
      </c>
      <c r="BK2" s="59" t="s">
        <v>511</v>
      </c>
      <c r="BL2" s="59" t="s">
        <v>512</v>
      </c>
      <c r="BM2" s="59" t="s">
        <v>513</v>
      </c>
      <c r="BN2" s="59" t="s">
        <v>514</v>
      </c>
      <c r="BO2" s="59" t="s">
        <v>515</v>
      </c>
      <c r="BP2" s="59" t="s">
        <v>516</v>
      </c>
      <c r="BQ2" s="59" t="s">
        <v>517</v>
      </c>
      <c r="BR2" s="59" t="s">
        <v>518</v>
      </c>
      <c r="BS2" s="59" t="s">
        <v>519</v>
      </c>
      <c r="BT2" s="59" t="s">
        <v>520</v>
      </c>
      <c r="BU2" s="59" t="s">
        <v>521</v>
      </c>
      <c r="BV2" s="59" t="s">
        <v>522</v>
      </c>
      <c r="BW2" s="59" t="s">
        <v>523</v>
      </c>
      <c r="BX2" s="59" t="s">
        <v>524</v>
      </c>
      <c r="BY2" s="59" t="s">
        <v>525</v>
      </c>
      <c r="BZ2" s="59" t="s">
        <v>526</v>
      </c>
      <c r="CA2" s="59" t="s">
        <v>551</v>
      </c>
      <c r="CB2" s="59" t="s">
        <v>552</v>
      </c>
      <c r="CC2" s="59" t="s">
        <v>553</v>
      </c>
      <c r="CD2" s="59" t="s">
        <v>554</v>
      </c>
      <c r="CE2" s="59" t="s">
        <v>568</v>
      </c>
      <c r="CF2" s="59" t="s">
        <v>569</v>
      </c>
      <c r="CG2" s="59" t="s">
        <v>570</v>
      </c>
      <c r="CH2" s="59" t="s">
        <v>571</v>
      </c>
      <c r="CI2" s="59" t="s">
        <v>572</v>
      </c>
      <c r="CJ2" s="59" t="s">
        <v>573</v>
      </c>
      <c r="CK2" s="59" t="s">
        <v>574</v>
      </c>
      <c r="CL2" s="59" t="s">
        <v>575</v>
      </c>
      <c r="CM2" s="59"/>
      <c r="CN2" s="33"/>
      <c r="CP2" s="20">
        <v>2004</v>
      </c>
      <c r="CQ2" s="20">
        <v>2005</v>
      </c>
      <c r="CR2" s="20">
        <v>2006</v>
      </c>
      <c r="CS2" s="20">
        <v>2007</v>
      </c>
      <c r="CT2" s="20">
        <v>2008</v>
      </c>
      <c r="CU2" s="20">
        <v>2009</v>
      </c>
      <c r="CV2" s="20">
        <f t="shared" ref="CV2:DC2" si="0">CU2+1</f>
        <v>2010</v>
      </c>
      <c r="CW2" s="20">
        <f t="shared" si="0"/>
        <v>2011</v>
      </c>
      <c r="CX2" s="20">
        <f t="shared" si="0"/>
        <v>2012</v>
      </c>
      <c r="CY2" s="20">
        <f t="shared" si="0"/>
        <v>2013</v>
      </c>
      <c r="CZ2" s="20">
        <f t="shared" si="0"/>
        <v>2014</v>
      </c>
      <c r="DA2" s="20">
        <f t="shared" si="0"/>
        <v>2015</v>
      </c>
      <c r="DB2" s="20">
        <f t="shared" si="0"/>
        <v>2016</v>
      </c>
      <c r="DC2" s="20">
        <f t="shared" si="0"/>
        <v>2017</v>
      </c>
      <c r="DD2" s="20">
        <f t="shared" ref="DD2" si="1">DC2+1</f>
        <v>2018</v>
      </c>
      <c r="DE2" s="20">
        <f t="shared" ref="DE2" si="2">DD2+1</f>
        <v>2019</v>
      </c>
      <c r="DF2" s="20">
        <f t="shared" ref="DF2" si="3">DE2+1</f>
        <v>2020</v>
      </c>
      <c r="DG2" s="20">
        <f t="shared" ref="DG2" si="4">DF2+1</f>
        <v>2021</v>
      </c>
      <c r="DH2" s="20">
        <f t="shared" ref="DH2" si="5">DG2+1</f>
        <v>2022</v>
      </c>
      <c r="DI2" s="20">
        <f t="shared" ref="DI2" si="6">DH2+1</f>
        <v>2023</v>
      </c>
      <c r="DJ2" s="20">
        <f t="shared" ref="DJ2" si="7">DI2+1</f>
        <v>2024</v>
      </c>
      <c r="DK2" s="20">
        <f t="shared" ref="DK2" si="8">DJ2+1</f>
        <v>2025</v>
      </c>
      <c r="DL2" s="20">
        <f t="shared" ref="DL2" si="9">DK2+1</f>
        <v>2026</v>
      </c>
      <c r="DM2" s="20">
        <f t="shared" ref="DM2" si="10">DL2+1</f>
        <v>2027</v>
      </c>
      <c r="DN2" s="20">
        <f t="shared" ref="DN2" si="11">DM2+1</f>
        <v>2028</v>
      </c>
      <c r="DO2" s="20">
        <f t="shared" ref="DO2" si="12">DN2+1</f>
        <v>2029</v>
      </c>
      <c r="DP2" s="20">
        <f t="shared" ref="DP2" si="13">DO2+1</f>
        <v>2030</v>
      </c>
      <c r="DQ2" s="20">
        <f t="shared" ref="DQ2" si="14">DP2+1</f>
        <v>2031</v>
      </c>
      <c r="DR2" s="20">
        <f t="shared" ref="DR2" si="15">DQ2+1</f>
        <v>2032</v>
      </c>
      <c r="DS2" s="20">
        <f t="shared" ref="DS2" si="16">DR2+1</f>
        <v>2033</v>
      </c>
      <c r="DT2" s="20">
        <f t="shared" ref="DT2" si="17">DS2+1</f>
        <v>2034</v>
      </c>
      <c r="DU2" s="20">
        <f t="shared" ref="DU2" si="18">DT2+1</f>
        <v>2035</v>
      </c>
    </row>
    <row r="3" spans="1:125" s="27" customFormat="1" x14ac:dyDescent="0.2">
      <c r="B3" s="48" t="s">
        <v>527</v>
      </c>
      <c r="C3" s="23"/>
      <c r="D3" s="23"/>
      <c r="E3" s="23"/>
      <c r="F3" s="23"/>
      <c r="G3" s="23"/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  <c r="V3" s="23"/>
      <c r="W3" s="23"/>
      <c r="X3" s="23"/>
      <c r="Y3" s="23"/>
      <c r="Z3" s="23"/>
      <c r="AA3" s="32"/>
      <c r="AB3" s="32"/>
      <c r="AC3" s="32"/>
      <c r="AD3" s="32"/>
      <c r="AE3" s="32"/>
      <c r="AF3" s="32"/>
      <c r="AG3" s="32"/>
      <c r="AH3" s="32"/>
      <c r="AI3" s="32"/>
      <c r="AJ3" s="32"/>
      <c r="AK3" s="32"/>
      <c r="AL3" s="32"/>
      <c r="AM3" s="32"/>
      <c r="AN3" s="32"/>
      <c r="AO3" s="57"/>
      <c r="AP3" s="32"/>
      <c r="AQ3" s="32"/>
      <c r="AR3" s="57"/>
      <c r="AS3" s="32"/>
      <c r="AT3" s="32"/>
      <c r="AU3" s="32"/>
      <c r="AV3" s="32"/>
      <c r="AW3" s="32"/>
      <c r="AX3" s="32"/>
      <c r="AY3" s="32"/>
      <c r="AZ3" s="32"/>
      <c r="BA3" s="32"/>
      <c r="BB3" s="32"/>
      <c r="BC3" s="32"/>
      <c r="BD3" s="32"/>
      <c r="BE3" s="32"/>
      <c r="BF3" s="32"/>
      <c r="BG3" s="32"/>
      <c r="BH3" s="32"/>
      <c r="BI3" s="32"/>
      <c r="BJ3" s="32"/>
      <c r="BK3" s="60">
        <v>329</v>
      </c>
      <c r="BL3" s="60"/>
      <c r="BM3" s="60"/>
      <c r="BN3" s="60"/>
      <c r="BO3" s="60">
        <v>776</v>
      </c>
      <c r="BP3" s="60">
        <v>858</v>
      </c>
      <c r="BQ3" s="60">
        <v>918</v>
      </c>
      <c r="BR3" s="60">
        <v>982</v>
      </c>
      <c r="BS3" s="60">
        <v>1047</v>
      </c>
      <c r="BT3" s="60">
        <v>1243</v>
      </c>
      <c r="BU3" s="60">
        <v>1410</v>
      </c>
      <c r="BV3" s="60">
        <v>1549</v>
      </c>
      <c r="BW3" s="60">
        <v>1614</v>
      </c>
      <c r="BX3" s="60">
        <v>1963</v>
      </c>
      <c r="BY3" s="60">
        <v>2314</v>
      </c>
      <c r="BZ3" s="60">
        <v>2402</v>
      </c>
      <c r="CA3" s="60">
        <v>2316</v>
      </c>
      <c r="CB3" s="60">
        <v>2562</v>
      </c>
      <c r="CC3" s="60">
        <v>2847</v>
      </c>
      <c r="CD3" s="60">
        <v>2990</v>
      </c>
      <c r="CE3" s="60">
        <v>2835</v>
      </c>
      <c r="CF3" s="60">
        <v>3303</v>
      </c>
      <c r="CG3" s="60">
        <v>3476</v>
      </c>
      <c r="CH3" s="60">
        <v>3458</v>
      </c>
      <c r="CI3" s="60">
        <v>3480</v>
      </c>
      <c r="CJ3" s="60">
        <f>+CF3*1.2</f>
        <v>3963.6</v>
      </c>
      <c r="CK3" s="60">
        <f>+CG3*1.2</f>
        <v>4171.2</v>
      </c>
      <c r="CL3" s="60">
        <f>+CH3*1.2</f>
        <v>4149.5999999999995</v>
      </c>
      <c r="CM3" s="60"/>
      <c r="CN3" s="32"/>
      <c r="CO3" s="23"/>
      <c r="CP3" s="23"/>
      <c r="CQ3" s="23"/>
      <c r="CR3" s="23"/>
      <c r="CS3" s="23"/>
      <c r="CT3" s="23"/>
      <c r="CU3" s="23"/>
      <c r="CV3" s="23"/>
      <c r="CW3" s="23"/>
      <c r="CX3" s="23"/>
      <c r="CY3" s="23"/>
      <c r="CZ3" s="23"/>
      <c r="DA3" s="23"/>
      <c r="DB3" s="23"/>
      <c r="DC3" s="23"/>
      <c r="DE3" s="48"/>
      <c r="DF3" s="27">
        <f>SUM(BO3:BR3)</f>
        <v>3534</v>
      </c>
      <c r="DG3" s="27">
        <f>SUM(BS3:BV3)</f>
        <v>5249</v>
      </c>
      <c r="DH3" s="27">
        <f>SUM(BW3:BZ3)</f>
        <v>8293</v>
      </c>
      <c r="DI3" s="27">
        <f>SUM(CA3:CD3)</f>
        <v>10715</v>
      </c>
      <c r="DJ3" s="27">
        <f t="shared" ref="DJ3:DJ32" si="19">SUM(CE3:CH3)</f>
        <v>13072</v>
      </c>
      <c r="DK3" s="27">
        <f>SUM(CI3:CL3)</f>
        <v>15764.399999999998</v>
      </c>
      <c r="DL3" s="27">
        <f>+DK3*1.1</f>
        <v>17340.84</v>
      </c>
      <c r="DM3" s="27">
        <f>+DL3*1.07</f>
        <v>18554.698800000002</v>
      </c>
      <c r="DN3" s="27">
        <f>+DM3*1.05</f>
        <v>19482.433740000004</v>
      </c>
      <c r="DO3" s="27">
        <f>+DN3*1.05</f>
        <v>20456.555427000007</v>
      </c>
      <c r="DP3" s="27">
        <f>+DO3*1.05</f>
        <v>21479.383198350009</v>
      </c>
    </row>
    <row r="4" spans="1:125" s="27" customFormat="1" x14ac:dyDescent="0.2">
      <c r="B4" s="48" t="s">
        <v>299</v>
      </c>
      <c r="C4" s="23"/>
      <c r="D4" s="23"/>
      <c r="E4" s="23"/>
      <c r="F4" s="23"/>
      <c r="G4" s="23"/>
      <c r="H4" s="23"/>
      <c r="I4" s="23"/>
      <c r="J4" s="23"/>
      <c r="K4" s="23">
        <v>382</v>
      </c>
      <c r="L4" s="23">
        <v>421</v>
      </c>
      <c r="M4" s="23">
        <v>412</v>
      </c>
      <c r="N4" s="23">
        <v>451</v>
      </c>
      <c r="O4" s="23">
        <f>961-P4</f>
        <v>458</v>
      </c>
      <c r="P4" s="23">
        <v>503</v>
      </c>
      <c r="Q4" s="23">
        <v>518</v>
      </c>
      <c r="R4" s="23">
        <v>552</v>
      </c>
      <c r="S4" s="23">
        <v>557</v>
      </c>
      <c r="T4" s="23">
        <v>576</v>
      </c>
      <c r="U4" s="23">
        <v>612</v>
      </c>
      <c r="V4" s="23">
        <v>705</v>
      </c>
      <c r="W4" s="23">
        <v>747</v>
      </c>
      <c r="X4" s="23">
        <f>1539-W4</f>
        <v>792</v>
      </c>
      <c r="Y4" s="23">
        <f>478+189+111</f>
        <v>778</v>
      </c>
      <c r="Z4" s="23">
        <v>763</v>
      </c>
      <c r="AA4" s="23">
        <f>205+475+110</f>
        <v>790</v>
      </c>
      <c r="AB4" s="23">
        <v>926</v>
      </c>
      <c r="AC4" s="23">
        <v>900</v>
      </c>
      <c r="AD4" s="23">
        <v>894</v>
      </c>
      <c r="AE4" s="23">
        <v>925</v>
      </c>
      <c r="AF4" s="23">
        <v>969</v>
      </c>
      <c r="AG4" s="23">
        <f t="shared" ref="AG4:AH4" si="20">+AC4*1.1</f>
        <v>990.00000000000011</v>
      </c>
      <c r="AH4" s="23">
        <f t="shared" si="20"/>
        <v>983.40000000000009</v>
      </c>
      <c r="AI4" s="23"/>
      <c r="AJ4" s="23"/>
      <c r="AK4" s="23"/>
      <c r="AL4" s="23"/>
      <c r="AM4" s="23"/>
      <c r="AN4" s="23">
        <v>1409</v>
      </c>
      <c r="AO4" s="56">
        <v>1456</v>
      </c>
      <c r="AP4" s="23"/>
      <c r="AQ4" s="23"/>
      <c r="AR4" s="56">
        <v>1557</v>
      </c>
      <c r="AS4" s="23"/>
      <c r="AT4" s="23"/>
      <c r="AU4" s="23"/>
      <c r="AV4" s="23"/>
      <c r="AW4" s="23"/>
      <c r="AX4" s="23"/>
      <c r="AY4" s="23"/>
      <c r="AZ4" s="23"/>
      <c r="BA4" s="23"/>
      <c r="BB4" s="23"/>
      <c r="BC4" s="23"/>
      <c r="BD4" s="23"/>
      <c r="BE4" s="23"/>
      <c r="BF4" s="23"/>
      <c r="BG4" s="23"/>
      <c r="BH4" s="23"/>
      <c r="BI4" s="23"/>
      <c r="BJ4" s="23"/>
      <c r="BK4" s="54">
        <v>774</v>
      </c>
      <c r="BL4" s="54"/>
      <c r="BM4" s="54"/>
      <c r="BN4" s="54"/>
      <c r="BO4" s="54">
        <v>724</v>
      </c>
      <c r="BP4" s="54">
        <v>693</v>
      </c>
      <c r="BQ4" s="54">
        <v>657</v>
      </c>
      <c r="BR4" s="54">
        <v>587</v>
      </c>
      <c r="BS4" s="54">
        <v>652</v>
      </c>
      <c r="BT4" s="54">
        <v>637</v>
      </c>
      <c r="BU4" s="54">
        <v>622</v>
      </c>
      <c r="BV4" s="54">
        <v>583</v>
      </c>
      <c r="BW4" s="54">
        <v>671</v>
      </c>
      <c r="BX4" s="54">
        <v>600</v>
      </c>
      <c r="BY4" s="54">
        <v>559</v>
      </c>
      <c r="BZ4" s="54">
        <v>429</v>
      </c>
      <c r="CA4" s="54">
        <v>447</v>
      </c>
      <c r="CB4" s="54">
        <v>353</v>
      </c>
      <c r="CC4" s="54">
        <v>343</v>
      </c>
      <c r="CD4" s="54">
        <v>277</v>
      </c>
      <c r="CE4" s="54">
        <v>360</v>
      </c>
      <c r="CF4" s="54">
        <v>398</v>
      </c>
      <c r="CG4" s="54">
        <v>431</v>
      </c>
      <c r="CH4" s="54">
        <v>439</v>
      </c>
      <c r="CI4" s="54">
        <v>450</v>
      </c>
      <c r="CJ4" s="54">
        <f t="shared" ref="CI4:CL4" si="21">+CF4*0.9</f>
        <v>358.2</v>
      </c>
      <c r="CK4" s="54">
        <f t="shared" si="21"/>
        <v>387.90000000000003</v>
      </c>
      <c r="CL4" s="54">
        <f t="shared" si="21"/>
        <v>395.1</v>
      </c>
      <c r="CM4" s="54"/>
      <c r="CN4" s="23"/>
      <c r="CO4" s="23"/>
      <c r="CP4" s="23"/>
      <c r="CQ4" s="23"/>
      <c r="CR4" s="23">
        <f>SUM(K4:N4)</f>
        <v>1666</v>
      </c>
      <c r="CS4" s="23">
        <f>SUM(O4:R4)</f>
        <v>2031</v>
      </c>
      <c r="CT4" s="23">
        <f>SUM(S4:V4)</f>
        <v>2450</v>
      </c>
      <c r="CU4" s="23">
        <f>SUM(W4:Z4)</f>
        <v>3080</v>
      </c>
      <c r="CV4" s="23">
        <f>SUM(AA4:AD4)</f>
        <v>3510</v>
      </c>
      <c r="CW4" s="23">
        <f>SUM(AE4:AH4)</f>
        <v>3867.4</v>
      </c>
      <c r="CX4" s="23">
        <f>CW4*1.01</f>
        <v>3906.0740000000001</v>
      </c>
      <c r="CY4" s="23">
        <f>CX4*0.99</f>
        <v>3867.0132600000002</v>
      </c>
      <c r="CZ4" s="23">
        <f t="shared" ref="CZ4:DC4" si="22">CY4*0.99</f>
        <v>3828.3431274</v>
      </c>
      <c r="DA4" s="23">
        <f t="shared" si="22"/>
        <v>3790.0596961259998</v>
      </c>
      <c r="DB4" s="23">
        <f t="shared" si="22"/>
        <v>3752.1590991647399</v>
      </c>
      <c r="DC4" s="23">
        <f t="shared" si="22"/>
        <v>3714.6375081730926</v>
      </c>
      <c r="DE4" s="48"/>
      <c r="DJ4" s="27">
        <f t="shared" si="19"/>
        <v>1628</v>
      </c>
    </row>
    <row r="5" spans="1:125" s="27" customFormat="1" x14ac:dyDescent="0.2">
      <c r="B5" s="48" t="s">
        <v>350</v>
      </c>
      <c r="C5" s="23"/>
      <c r="D5" s="23"/>
      <c r="E5" s="23"/>
      <c r="F5" s="23"/>
      <c r="G5" s="23"/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  <c r="V5" s="23"/>
      <c r="W5" s="23"/>
      <c r="X5" s="23"/>
      <c r="Y5" s="23"/>
      <c r="Z5" s="23"/>
      <c r="AA5" s="23"/>
      <c r="AB5" s="23"/>
      <c r="AC5" s="23"/>
      <c r="AD5" s="23"/>
      <c r="AE5" s="23"/>
      <c r="AF5" s="23"/>
      <c r="AG5" s="23"/>
      <c r="AH5" s="23"/>
      <c r="AI5" s="23"/>
      <c r="AJ5" s="23"/>
      <c r="AK5" s="23"/>
      <c r="AL5" s="23"/>
      <c r="AM5" s="23"/>
      <c r="AN5" s="23">
        <v>33</v>
      </c>
      <c r="AO5" s="56">
        <v>44</v>
      </c>
      <c r="AP5" s="23"/>
      <c r="AQ5" s="23"/>
      <c r="AR5" s="56">
        <v>97</v>
      </c>
      <c r="AS5" s="23"/>
      <c r="AT5" s="23"/>
      <c r="AU5" s="23"/>
      <c r="AV5" s="23"/>
      <c r="AW5" s="23"/>
      <c r="AX5" s="23"/>
      <c r="AY5" s="23"/>
      <c r="AZ5" s="23"/>
      <c r="BA5" s="23"/>
      <c r="BB5" s="23"/>
      <c r="BC5" s="23"/>
      <c r="BD5" s="23"/>
      <c r="BE5" s="23"/>
      <c r="BF5" s="23"/>
      <c r="BG5" s="23"/>
      <c r="BH5" s="23"/>
      <c r="BI5" s="23"/>
      <c r="BJ5" s="23"/>
      <c r="BK5" s="54">
        <v>437</v>
      </c>
      <c r="BL5" s="54"/>
      <c r="BM5" s="54"/>
      <c r="BN5" s="54"/>
      <c r="BO5" s="54">
        <v>541</v>
      </c>
      <c r="BP5" s="54">
        <v>527</v>
      </c>
      <c r="BQ5" s="54">
        <v>505</v>
      </c>
      <c r="BR5" s="54">
        <v>472</v>
      </c>
      <c r="BS5" s="54">
        <v>500</v>
      </c>
      <c r="BT5" s="54">
        <v>494</v>
      </c>
      <c r="BU5" s="54">
        <v>483</v>
      </c>
      <c r="BV5" s="54">
        <v>478</v>
      </c>
      <c r="BW5" s="54">
        <v>491</v>
      </c>
      <c r="BX5" s="54">
        <v>526</v>
      </c>
      <c r="BY5" s="54">
        <v>521</v>
      </c>
      <c r="BZ5" s="54">
        <v>493</v>
      </c>
      <c r="CA5" s="54">
        <v>419</v>
      </c>
      <c r="CB5" s="54">
        <v>216</v>
      </c>
      <c r="CC5" s="54">
        <v>199</v>
      </c>
      <c r="CD5" s="54">
        <v>121</v>
      </c>
      <c r="CE5" s="54">
        <v>102</v>
      </c>
      <c r="CF5" s="54">
        <v>107</v>
      </c>
      <c r="CG5" s="54">
        <v>92</v>
      </c>
      <c r="CH5" s="54">
        <v>78</v>
      </c>
      <c r="CI5" s="54">
        <v>65</v>
      </c>
      <c r="CJ5" s="54">
        <f t="shared" ref="CI5:CL5" si="23">+CI5-5</f>
        <v>60</v>
      </c>
      <c r="CK5" s="54">
        <f t="shared" si="23"/>
        <v>55</v>
      </c>
      <c r="CL5" s="54">
        <f t="shared" si="23"/>
        <v>50</v>
      </c>
      <c r="CM5" s="54"/>
      <c r="CN5" s="23"/>
      <c r="CO5" s="23"/>
      <c r="CP5" s="23"/>
      <c r="CQ5" s="23"/>
      <c r="CR5" s="23"/>
      <c r="CS5" s="23"/>
      <c r="CT5" s="23"/>
      <c r="CU5" s="32"/>
      <c r="CV5" s="32"/>
      <c r="CW5" s="23"/>
      <c r="CX5" s="23"/>
      <c r="CY5" s="23"/>
      <c r="CZ5" s="23"/>
      <c r="DA5" s="23"/>
      <c r="DB5" s="23"/>
      <c r="DC5" s="23"/>
      <c r="DJ5" s="27">
        <f t="shared" si="19"/>
        <v>379</v>
      </c>
    </row>
    <row r="6" spans="1:125" s="27" customFormat="1" x14ac:dyDescent="0.2">
      <c r="B6" s="48" t="s">
        <v>300</v>
      </c>
      <c r="C6" s="23"/>
      <c r="D6" s="23"/>
      <c r="E6" s="23"/>
      <c r="F6" s="23"/>
      <c r="G6" s="23"/>
      <c r="H6" s="23"/>
      <c r="I6" s="23"/>
      <c r="J6" s="23"/>
      <c r="K6" s="23">
        <v>624</v>
      </c>
      <c r="L6" s="23">
        <v>614</v>
      </c>
      <c r="M6" s="23">
        <v>583</v>
      </c>
      <c r="N6" s="23">
        <v>614</v>
      </c>
      <c r="O6" s="23">
        <f>1305-P6</f>
        <v>634</v>
      </c>
      <c r="P6" s="23">
        <v>671</v>
      </c>
      <c r="Q6" s="23">
        <v>633</v>
      </c>
      <c r="R6" s="23">
        <v>674</v>
      </c>
      <c r="S6" s="23">
        <v>717</v>
      </c>
      <c r="T6" s="23">
        <v>637</v>
      </c>
      <c r="U6" s="23">
        <v>635</v>
      </c>
      <c r="V6" s="23">
        <v>749</v>
      </c>
      <c r="W6" s="23">
        <v>762</v>
      </c>
      <c r="X6" s="23">
        <f>1542-W6</f>
        <v>780</v>
      </c>
      <c r="Y6" s="23">
        <v>747</v>
      </c>
      <c r="Z6" s="23">
        <v>754</v>
      </c>
      <c r="AA6" s="23">
        <f>252+435+82</f>
        <v>769</v>
      </c>
      <c r="AB6" s="23">
        <v>866</v>
      </c>
      <c r="AC6" s="23">
        <v>589</v>
      </c>
      <c r="AD6" s="23">
        <v>582</v>
      </c>
      <c r="AE6" s="23">
        <v>583</v>
      </c>
      <c r="AF6" s="23">
        <v>536</v>
      </c>
      <c r="AG6" s="23">
        <f>+AF6</f>
        <v>536</v>
      </c>
      <c r="AH6" s="23">
        <f>+AG6</f>
        <v>536</v>
      </c>
      <c r="AI6" s="23"/>
      <c r="AJ6" s="23"/>
      <c r="AK6" s="23"/>
      <c r="AL6" s="23"/>
      <c r="AM6" s="23"/>
      <c r="AN6" s="23">
        <v>436</v>
      </c>
      <c r="AO6" s="56">
        <v>401</v>
      </c>
      <c r="AP6" s="23"/>
      <c r="AQ6" s="23"/>
      <c r="AR6" s="56">
        <v>421</v>
      </c>
      <c r="AS6" s="23"/>
      <c r="AT6" s="23"/>
      <c r="AU6" s="23"/>
      <c r="AV6" s="23"/>
      <c r="AW6" s="23"/>
      <c r="AX6" s="23"/>
      <c r="AY6" s="23"/>
      <c r="AZ6" s="23"/>
      <c r="BA6" s="23"/>
      <c r="BB6" s="23"/>
      <c r="BC6" s="23"/>
      <c r="BD6" s="23"/>
      <c r="BE6" s="23"/>
      <c r="BF6" s="23"/>
      <c r="BG6" s="23"/>
      <c r="BH6" s="23"/>
      <c r="BI6" s="23"/>
      <c r="BJ6" s="23"/>
      <c r="BK6" s="54">
        <v>343</v>
      </c>
      <c r="BL6" s="54"/>
      <c r="BM6" s="54"/>
      <c r="BN6" s="54"/>
      <c r="BO6" s="54">
        <v>329</v>
      </c>
      <c r="BP6" s="54">
        <v>301</v>
      </c>
      <c r="BQ6" s="54">
        <v>365</v>
      </c>
      <c r="BR6" s="54">
        <v>356</v>
      </c>
      <c r="BS6" s="54">
        <v>401</v>
      </c>
      <c r="BT6" s="54">
        <v>367</v>
      </c>
      <c r="BU6" s="54">
        <v>383</v>
      </c>
      <c r="BV6" s="54">
        <v>335</v>
      </c>
      <c r="BW6" s="54">
        <v>377</v>
      </c>
      <c r="BX6" s="54">
        <v>337</v>
      </c>
      <c r="BY6" s="54">
        <v>307</v>
      </c>
      <c r="BZ6" s="54">
        <v>289</v>
      </c>
      <c r="CA6" s="54">
        <v>323</v>
      </c>
      <c r="CB6" s="54">
        <v>284</v>
      </c>
      <c r="CC6" s="54">
        <v>255</v>
      </c>
      <c r="CD6" s="54">
        <v>263</v>
      </c>
      <c r="CE6" s="54">
        <v>262</v>
      </c>
      <c r="CF6" s="54">
        <v>256</v>
      </c>
      <c r="CG6" s="54">
        <v>233</v>
      </c>
      <c r="CH6" s="54">
        <v>231</v>
      </c>
      <c r="CI6" s="54">
        <v>238</v>
      </c>
      <c r="CJ6" s="54">
        <f t="shared" ref="CI6:CL7" si="24">+CF6</f>
        <v>256</v>
      </c>
      <c r="CK6" s="54">
        <f t="shared" si="24"/>
        <v>233</v>
      </c>
      <c r="CL6" s="54">
        <f t="shared" si="24"/>
        <v>231</v>
      </c>
      <c r="CM6" s="54"/>
      <c r="CN6" s="23"/>
      <c r="CO6" s="23"/>
      <c r="CP6" s="23"/>
      <c r="CQ6" s="23"/>
      <c r="CR6" s="23">
        <f>SUM(K6:N6)</f>
        <v>2435</v>
      </c>
      <c r="CS6" s="23">
        <f>SUM(O6:R6)</f>
        <v>2612</v>
      </c>
      <c r="CT6" s="23">
        <f>SUM(S6:V6)</f>
        <v>2738</v>
      </c>
      <c r="CU6" s="23">
        <f t="shared" ref="CU6:CU48" si="25">SUM(W6:Z6)</f>
        <v>3043</v>
      </c>
      <c r="CV6" s="23">
        <f t="shared" ref="CV6:CV50" si="26">SUM(AA6:AD6)</f>
        <v>2806</v>
      </c>
      <c r="CW6" s="23">
        <f>CV6*0.8</f>
        <v>2244.8000000000002</v>
      </c>
      <c r="CX6" s="23">
        <f>CW6*0.8</f>
        <v>1795.8400000000001</v>
      </c>
      <c r="CY6" s="23">
        <f>CX6*0.9</f>
        <v>1616.2560000000001</v>
      </c>
      <c r="CZ6" s="23">
        <f>CY6*0.9</f>
        <v>1454.6304</v>
      </c>
      <c r="DA6" s="23">
        <f>CZ6*0.9</f>
        <v>1309.1673600000001</v>
      </c>
      <c r="DB6" s="23">
        <f>+DA6*0.3</f>
        <v>392.75020800000004</v>
      </c>
      <c r="DC6" s="23">
        <f>+DB6*0.3</f>
        <v>117.82506240000001</v>
      </c>
      <c r="DE6" s="48"/>
      <c r="DJ6" s="27">
        <f t="shared" si="19"/>
        <v>982</v>
      </c>
    </row>
    <row r="7" spans="1:125" s="27" customFormat="1" x14ac:dyDescent="0.2">
      <c r="B7" s="48" t="s">
        <v>541</v>
      </c>
      <c r="C7" s="23"/>
      <c r="D7" s="23"/>
      <c r="E7" s="23"/>
      <c r="F7" s="23"/>
      <c r="G7" s="23"/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  <c r="V7" s="23"/>
      <c r="W7" s="23"/>
      <c r="X7" s="23"/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23"/>
      <c r="AL7" s="23"/>
      <c r="AM7" s="23"/>
      <c r="AN7" s="23"/>
      <c r="AO7" s="56"/>
      <c r="AP7" s="23"/>
      <c r="AQ7" s="23"/>
      <c r="AR7" s="56"/>
      <c r="AS7" s="23"/>
      <c r="AT7" s="23"/>
      <c r="AU7" s="23"/>
      <c r="AV7" s="23"/>
      <c r="AW7" s="23"/>
      <c r="AX7" s="23"/>
      <c r="AY7" s="23"/>
      <c r="AZ7" s="23"/>
      <c r="BA7" s="23"/>
      <c r="BB7" s="23"/>
      <c r="BC7" s="23"/>
      <c r="BD7" s="23"/>
      <c r="BE7" s="23"/>
      <c r="BF7" s="23"/>
      <c r="BG7" s="23"/>
      <c r="BH7" s="23"/>
      <c r="BI7" s="23"/>
      <c r="BJ7" s="23"/>
      <c r="BK7" s="54">
        <f>1294-BK4-BK9-89-90-66</f>
        <v>64</v>
      </c>
      <c r="BL7" s="54"/>
      <c r="BM7" s="54"/>
      <c r="BN7" s="54"/>
      <c r="BO7" s="54">
        <f>1282-724-257-89-37</f>
        <v>175</v>
      </c>
      <c r="BP7" s="54">
        <f>1194-38-84-239-693</f>
        <v>140</v>
      </c>
      <c r="BQ7" s="54">
        <f>1146-657-216-79-40</f>
        <v>154</v>
      </c>
      <c r="BR7" s="54">
        <v>153</v>
      </c>
      <c r="BS7" s="54">
        <v>226</v>
      </c>
      <c r="BT7" s="54">
        <v>216</v>
      </c>
      <c r="BU7" s="54">
        <v>211</v>
      </c>
      <c r="BV7" s="54">
        <v>224</v>
      </c>
      <c r="BW7" s="54">
        <v>277</v>
      </c>
      <c r="BX7" s="54">
        <v>266</v>
      </c>
      <c r="BY7" s="54">
        <f>261+1094</f>
        <v>1355</v>
      </c>
      <c r="BZ7" s="54">
        <f>1071+287+11</f>
        <v>1369</v>
      </c>
      <c r="CA7" s="54">
        <f>31+281+963</f>
        <v>1275</v>
      </c>
      <c r="CB7" s="54">
        <f>31+259+947</f>
        <v>1237</v>
      </c>
      <c r="CC7" s="54">
        <f>29+259+908</f>
        <v>1196</v>
      </c>
      <c r="CD7" s="54">
        <f>284+28+869</f>
        <v>1181</v>
      </c>
      <c r="CE7" s="54">
        <v>1140</v>
      </c>
      <c r="CF7" s="54">
        <v>1080</v>
      </c>
      <c r="CG7" s="54">
        <v>1055</v>
      </c>
      <c r="CH7" s="54">
        <v>1010</v>
      </c>
      <c r="CI7" s="54">
        <v>1040</v>
      </c>
      <c r="CJ7" s="54">
        <f t="shared" si="24"/>
        <v>1080</v>
      </c>
      <c r="CK7" s="54">
        <f t="shared" si="24"/>
        <v>1055</v>
      </c>
      <c r="CL7" s="54">
        <f t="shared" si="24"/>
        <v>1010</v>
      </c>
      <c r="CM7" s="54"/>
      <c r="CN7" s="23"/>
      <c r="CO7" s="23"/>
      <c r="CP7" s="23"/>
      <c r="CQ7" s="23"/>
      <c r="CR7" s="23"/>
      <c r="CS7" s="23"/>
      <c r="CT7" s="23"/>
      <c r="CU7" s="23"/>
      <c r="CV7" s="23"/>
      <c r="CW7" s="23"/>
      <c r="CX7" s="23"/>
      <c r="CY7" s="23"/>
      <c r="CZ7" s="23"/>
      <c r="DA7" s="23"/>
      <c r="DB7" s="23"/>
      <c r="DC7" s="23"/>
      <c r="DE7" s="48"/>
      <c r="DJ7" s="27">
        <f t="shared" si="19"/>
        <v>4285</v>
      </c>
    </row>
    <row r="8" spans="1:125" s="27" customFormat="1" x14ac:dyDescent="0.2">
      <c r="B8" s="48" t="s">
        <v>577</v>
      </c>
      <c r="C8" s="23"/>
      <c r="D8" s="23"/>
      <c r="E8" s="23"/>
      <c r="F8" s="23"/>
      <c r="G8" s="23"/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  <c r="V8" s="23"/>
      <c r="W8" s="23"/>
      <c r="X8" s="23"/>
      <c r="Y8" s="23"/>
      <c r="Z8" s="23"/>
      <c r="AA8" s="23"/>
      <c r="AB8" s="23"/>
      <c r="AC8" s="23"/>
      <c r="AD8" s="23"/>
      <c r="AE8" s="23"/>
      <c r="AF8" s="23"/>
      <c r="AG8" s="23"/>
      <c r="AH8" s="23"/>
      <c r="AI8" s="23"/>
      <c r="AJ8" s="23"/>
      <c r="AK8" s="23"/>
      <c r="AL8" s="23"/>
      <c r="AM8" s="23"/>
      <c r="AN8" s="23"/>
      <c r="AO8" s="56"/>
      <c r="AP8" s="23"/>
      <c r="AQ8" s="23"/>
      <c r="AR8" s="56"/>
      <c r="AS8" s="23"/>
      <c r="AT8" s="23"/>
      <c r="AU8" s="23"/>
      <c r="AV8" s="23"/>
      <c r="AW8" s="23"/>
      <c r="AX8" s="23"/>
      <c r="AY8" s="23"/>
      <c r="AZ8" s="23"/>
      <c r="BA8" s="23"/>
      <c r="BB8" s="23"/>
      <c r="BC8" s="23"/>
      <c r="BD8" s="23"/>
      <c r="BE8" s="23"/>
      <c r="BF8" s="23"/>
      <c r="BG8" s="23"/>
      <c r="BH8" s="23"/>
      <c r="BI8" s="23"/>
      <c r="BJ8" s="23"/>
      <c r="BK8" s="74"/>
      <c r="BL8" s="74"/>
      <c r="BM8" s="74"/>
      <c r="BN8" s="74"/>
      <c r="BO8" s="74"/>
      <c r="BP8" s="74"/>
      <c r="BQ8" s="74"/>
      <c r="BR8" s="74"/>
      <c r="BS8" s="74"/>
      <c r="BT8" s="74"/>
      <c r="BU8" s="74"/>
      <c r="BV8" s="74"/>
      <c r="BW8" s="74"/>
      <c r="BX8" s="74"/>
      <c r="BY8" s="74"/>
      <c r="BZ8" s="74"/>
      <c r="CA8" s="74"/>
      <c r="CB8" s="54">
        <v>18</v>
      </c>
      <c r="CC8" s="54">
        <v>46</v>
      </c>
      <c r="CD8" s="54">
        <v>94</v>
      </c>
      <c r="CE8" s="54">
        <v>122</v>
      </c>
      <c r="CF8" s="54">
        <v>158</v>
      </c>
      <c r="CG8" s="54">
        <v>172</v>
      </c>
      <c r="CH8" s="54">
        <v>230</v>
      </c>
      <c r="CI8" s="54">
        <v>251</v>
      </c>
      <c r="CJ8" s="54">
        <f t="shared" ref="CI8:CL8" si="27">+CI8+10</f>
        <v>261</v>
      </c>
      <c r="CK8" s="54">
        <f t="shared" si="27"/>
        <v>271</v>
      </c>
      <c r="CL8" s="54">
        <f t="shared" si="27"/>
        <v>281</v>
      </c>
      <c r="CM8" s="54"/>
      <c r="CN8" s="23"/>
      <c r="CO8" s="23"/>
      <c r="CP8" s="23"/>
      <c r="CQ8" s="23"/>
      <c r="CR8" s="23"/>
      <c r="CS8" s="23"/>
      <c r="CT8" s="23"/>
      <c r="CU8" s="23"/>
      <c r="CV8" s="23"/>
      <c r="CW8" s="23"/>
      <c r="CX8" s="23"/>
      <c r="CY8" s="23"/>
      <c r="CZ8" s="23"/>
      <c r="DA8" s="23"/>
      <c r="DB8" s="23"/>
      <c r="DC8" s="23"/>
      <c r="DE8" s="48"/>
      <c r="DJ8" s="27">
        <f t="shared" si="19"/>
        <v>682</v>
      </c>
    </row>
    <row r="9" spans="1:125" s="27" customFormat="1" x14ac:dyDescent="0.2">
      <c r="B9" s="48" t="s">
        <v>537</v>
      </c>
      <c r="C9" s="23"/>
      <c r="D9" s="23"/>
      <c r="E9" s="23"/>
      <c r="F9" s="23"/>
      <c r="G9" s="23"/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  <c r="V9" s="23"/>
      <c r="W9" s="23"/>
      <c r="X9" s="23"/>
      <c r="Y9" s="23"/>
      <c r="Z9" s="23"/>
      <c r="AA9" s="23"/>
      <c r="AB9" s="23"/>
      <c r="AC9" s="23"/>
      <c r="AD9" s="23"/>
      <c r="AE9" s="23"/>
      <c r="AF9" s="23"/>
      <c r="AG9" s="23"/>
      <c r="AH9" s="23"/>
      <c r="AI9" s="23"/>
      <c r="AJ9" s="23"/>
      <c r="AK9" s="23"/>
      <c r="AL9" s="23"/>
      <c r="AM9" s="23"/>
      <c r="AN9" s="23"/>
      <c r="AO9" s="56"/>
      <c r="AP9" s="23"/>
      <c r="AQ9" s="23"/>
      <c r="AR9" s="56"/>
      <c r="AS9" s="23"/>
      <c r="AT9" s="23"/>
      <c r="AU9" s="23"/>
      <c r="AV9" s="23"/>
      <c r="AW9" s="23"/>
      <c r="AX9" s="23"/>
      <c r="AY9" s="23"/>
      <c r="AZ9" s="23"/>
      <c r="BA9" s="23"/>
      <c r="BB9" s="23"/>
      <c r="BC9" s="23"/>
      <c r="BD9" s="23"/>
      <c r="BE9" s="23"/>
      <c r="BF9" s="23"/>
      <c r="BG9" s="23"/>
      <c r="BH9" s="23"/>
      <c r="BI9" s="23"/>
      <c r="BJ9" s="23"/>
      <c r="BK9" s="54">
        <v>211</v>
      </c>
      <c r="BL9" s="54"/>
      <c r="BM9" s="54"/>
      <c r="BN9" s="54"/>
      <c r="BO9" s="54">
        <v>257</v>
      </c>
      <c r="BP9" s="54">
        <v>239</v>
      </c>
      <c r="BQ9" s="54">
        <v>216</v>
      </c>
      <c r="BR9" s="54">
        <v>221</v>
      </c>
      <c r="BS9" s="54">
        <v>253</v>
      </c>
      <c r="BT9" s="54">
        <v>247</v>
      </c>
      <c r="BU9" s="54">
        <v>239</v>
      </c>
      <c r="BV9" s="54">
        <v>230</v>
      </c>
      <c r="BW9" s="54">
        <v>274</v>
      </c>
      <c r="BX9" s="54">
        <v>267</v>
      </c>
      <c r="BY9" s="54">
        <v>304</v>
      </c>
      <c r="BZ9" s="54">
        <v>272</v>
      </c>
      <c r="CA9" s="54">
        <v>289</v>
      </c>
      <c r="CB9" s="54">
        <v>291</v>
      </c>
      <c r="CC9" s="54">
        <v>265</v>
      </c>
      <c r="CD9" s="54">
        <v>278</v>
      </c>
      <c r="CE9" s="54">
        <v>321</v>
      </c>
      <c r="CF9" s="54">
        <v>313</v>
      </c>
      <c r="CG9" s="54">
        <v>303</v>
      </c>
      <c r="CH9" s="54">
        <v>290</v>
      </c>
      <c r="CI9" s="54">
        <v>354</v>
      </c>
      <c r="CJ9" s="54">
        <f t="shared" ref="CI9:CL9" si="28">+CF9*0.9</f>
        <v>281.7</v>
      </c>
      <c r="CK9" s="54">
        <f t="shared" si="28"/>
        <v>272.7</v>
      </c>
      <c r="CL9" s="54">
        <f t="shared" si="28"/>
        <v>261</v>
      </c>
      <c r="CM9" s="54"/>
      <c r="CN9" s="23"/>
      <c r="CO9" s="23"/>
      <c r="CP9" s="23"/>
      <c r="CQ9" s="23"/>
      <c r="CR9" s="23"/>
      <c r="CS9" s="23"/>
      <c r="CT9" s="23"/>
      <c r="CU9" s="23"/>
      <c r="CV9" s="23"/>
      <c r="CW9" s="23"/>
      <c r="CX9" s="23"/>
      <c r="CY9" s="23"/>
      <c r="CZ9" s="23"/>
      <c r="DA9" s="23"/>
      <c r="DB9" s="23"/>
      <c r="DC9" s="23"/>
      <c r="DE9" s="48"/>
      <c r="DJ9" s="27">
        <f t="shared" si="19"/>
        <v>1227</v>
      </c>
    </row>
    <row r="10" spans="1:125" s="27" customFormat="1" x14ac:dyDescent="0.2">
      <c r="B10" s="48" t="s">
        <v>580</v>
      </c>
      <c r="C10" s="23"/>
      <c r="D10" s="23"/>
      <c r="E10" s="23"/>
      <c r="F10" s="23"/>
      <c r="G10" s="23"/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  <c r="AB10" s="23"/>
      <c r="AC10" s="23"/>
      <c r="AD10" s="23"/>
      <c r="AE10" s="23"/>
      <c r="AF10" s="23"/>
      <c r="AG10" s="23"/>
      <c r="AH10" s="23"/>
      <c r="AI10" s="23"/>
      <c r="AJ10" s="23"/>
      <c r="AK10" s="23"/>
      <c r="AL10" s="23"/>
      <c r="AM10" s="23"/>
      <c r="AN10" s="23"/>
      <c r="AO10" s="56"/>
      <c r="AP10" s="23"/>
      <c r="AQ10" s="23"/>
      <c r="AR10" s="56"/>
      <c r="AS10" s="23"/>
      <c r="AT10" s="23"/>
      <c r="AU10" s="23"/>
      <c r="AV10" s="23"/>
      <c r="AW10" s="23"/>
      <c r="AX10" s="23"/>
      <c r="AY10" s="23"/>
      <c r="AZ10" s="23"/>
      <c r="BA10" s="23"/>
      <c r="BB10" s="23"/>
      <c r="BC10" s="23"/>
      <c r="BD10" s="23"/>
      <c r="BE10" s="23"/>
      <c r="BF10" s="23"/>
      <c r="BG10" s="23"/>
      <c r="BH10" s="23"/>
      <c r="BI10" s="23"/>
      <c r="BJ10" s="23"/>
      <c r="BK10" s="74"/>
      <c r="BL10" s="74"/>
      <c r="BM10" s="74"/>
      <c r="BN10" s="74"/>
      <c r="BO10" s="74"/>
      <c r="BP10" s="74"/>
      <c r="BQ10" s="74"/>
      <c r="BR10" s="74"/>
      <c r="BS10" s="74"/>
      <c r="BT10" s="74"/>
      <c r="BU10" s="74"/>
      <c r="BV10" s="74"/>
      <c r="BW10" s="74"/>
      <c r="BX10" s="74"/>
      <c r="BY10" s="74"/>
      <c r="BZ10" s="74"/>
      <c r="CA10" s="54">
        <v>16</v>
      </c>
      <c r="CB10" s="54">
        <v>17</v>
      </c>
      <c r="CC10" s="54">
        <v>16</v>
      </c>
      <c r="CD10" s="54">
        <v>23</v>
      </c>
      <c r="CE10" s="54">
        <v>29</v>
      </c>
      <c r="CF10" s="54">
        <v>26</v>
      </c>
      <c r="CG10" s="54">
        <v>28</v>
      </c>
      <c r="CH10" s="54">
        <v>22</v>
      </c>
      <c r="CI10" s="54"/>
      <c r="CJ10" s="54"/>
      <c r="CK10" s="54"/>
      <c r="CL10" s="54"/>
      <c r="CM10" s="54"/>
      <c r="CN10" s="23"/>
      <c r="CO10" s="23"/>
      <c r="CP10" s="23"/>
      <c r="CQ10" s="23"/>
      <c r="CR10" s="23"/>
      <c r="CS10" s="23"/>
      <c r="CT10" s="23"/>
      <c r="CU10" s="23"/>
      <c r="CV10" s="23"/>
      <c r="CW10" s="23"/>
      <c r="CX10" s="23"/>
      <c r="CY10" s="23"/>
      <c r="CZ10" s="23"/>
      <c r="DA10" s="23"/>
      <c r="DB10" s="23"/>
      <c r="DC10" s="23"/>
      <c r="DE10" s="48"/>
      <c r="DJ10" s="27">
        <f t="shared" si="19"/>
        <v>105</v>
      </c>
    </row>
    <row r="11" spans="1:125" s="27" customFormat="1" x14ac:dyDescent="0.2">
      <c r="B11" s="48" t="s">
        <v>581</v>
      </c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  <c r="AC11" s="23"/>
      <c r="AD11" s="23"/>
      <c r="AE11" s="23"/>
      <c r="AF11" s="23"/>
      <c r="AG11" s="23"/>
      <c r="AH11" s="23"/>
      <c r="AI11" s="23"/>
      <c r="AJ11" s="23"/>
      <c r="AK11" s="23"/>
      <c r="AL11" s="23"/>
      <c r="AM11" s="23"/>
      <c r="AN11" s="23"/>
      <c r="AO11" s="56"/>
      <c r="AP11" s="23"/>
      <c r="AQ11" s="23"/>
      <c r="AR11" s="56"/>
      <c r="AS11" s="23"/>
      <c r="AT11" s="23"/>
      <c r="AU11" s="23"/>
      <c r="AV11" s="23"/>
      <c r="AW11" s="23"/>
      <c r="AX11" s="23"/>
      <c r="AY11" s="23"/>
      <c r="AZ11" s="23"/>
      <c r="BA11" s="23"/>
      <c r="BB11" s="23"/>
      <c r="BC11" s="23"/>
      <c r="BD11" s="23"/>
      <c r="BE11" s="23"/>
      <c r="BF11" s="23"/>
      <c r="BG11" s="23"/>
      <c r="BH11" s="23"/>
      <c r="BI11" s="23"/>
      <c r="BJ11" s="23"/>
      <c r="BK11" s="74"/>
      <c r="BL11" s="74"/>
      <c r="BM11" s="74"/>
      <c r="BN11" s="74"/>
      <c r="BO11" s="74"/>
      <c r="BP11" s="74"/>
      <c r="BQ11" s="74"/>
      <c r="BR11" s="74"/>
      <c r="BS11" s="74"/>
      <c r="BT11" s="74"/>
      <c r="BU11" s="74"/>
      <c r="BV11" s="74"/>
      <c r="BW11" s="74"/>
      <c r="BX11" s="74"/>
      <c r="BY11" s="74"/>
      <c r="BZ11" s="74"/>
      <c r="CA11" s="54">
        <v>0</v>
      </c>
      <c r="CB11" s="54">
        <v>0</v>
      </c>
      <c r="CC11" s="54">
        <v>0</v>
      </c>
      <c r="CD11" s="54">
        <v>0</v>
      </c>
      <c r="CE11" s="54">
        <v>10</v>
      </c>
      <c r="CF11" s="54">
        <v>11</v>
      </c>
      <c r="CG11" s="54">
        <v>15</v>
      </c>
      <c r="CH11" s="54">
        <v>18</v>
      </c>
      <c r="CI11" s="54">
        <v>11</v>
      </c>
      <c r="CJ11" s="54">
        <f t="shared" ref="CI11:CL11" si="29">+CI11+5</f>
        <v>16</v>
      </c>
      <c r="CK11" s="54">
        <f t="shared" si="29"/>
        <v>21</v>
      </c>
      <c r="CL11" s="54">
        <f t="shared" si="29"/>
        <v>26</v>
      </c>
      <c r="CM11" s="54"/>
      <c r="CN11" s="23"/>
      <c r="CO11" s="23"/>
      <c r="CP11" s="23"/>
      <c r="CQ11" s="23"/>
      <c r="CR11" s="23"/>
      <c r="CS11" s="23"/>
      <c r="CT11" s="23"/>
      <c r="CU11" s="23"/>
      <c r="CV11" s="23"/>
      <c r="CW11" s="23"/>
      <c r="CX11" s="23"/>
      <c r="CY11" s="23"/>
      <c r="CZ11" s="23"/>
      <c r="DA11" s="23"/>
      <c r="DB11" s="23"/>
      <c r="DC11" s="23"/>
      <c r="DE11" s="48"/>
      <c r="DJ11" s="27">
        <f t="shared" si="19"/>
        <v>54</v>
      </c>
    </row>
    <row r="12" spans="1:125" s="27" customFormat="1" x14ac:dyDescent="0.2">
      <c r="B12" s="27" t="s">
        <v>39</v>
      </c>
      <c r="C12" s="23"/>
      <c r="D12" s="23"/>
      <c r="E12" s="23"/>
      <c r="F12" s="23"/>
      <c r="G12" s="23"/>
      <c r="H12" s="23"/>
      <c r="I12" s="23"/>
      <c r="J12" s="23"/>
      <c r="K12" s="23">
        <v>580</v>
      </c>
      <c r="L12" s="23">
        <v>565</v>
      </c>
      <c r="M12" s="23">
        <v>543</v>
      </c>
      <c r="N12" s="23">
        <v>541</v>
      </c>
      <c r="O12" s="23">
        <f>1201-P12</f>
        <v>569</v>
      </c>
      <c r="P12" s="23">
        <v>632</v>
      </c>
      <c r="Q12" s="23">
        <v>614</v>
      </c>
      <c r="R12" s="23">
        <v>609</v>
      </c>
      <c r="S12" s="23">
        <v>662</v>
      </c>
      <c r="T12" s="23">
        <v>664</v>
      </c>
      <c r="U12" s="23">
        <v>630</v>
      </c>
      <c r="V12" s="23">
        <v>660</v>
      </c>
      <c r="W12" s="23">
        <v>685</v>
      </c>
      <c r="X12" s="23">
        <f>1389-W12</f>
        <v>704</v>
      </c>
      <c r="Y12" s="23">
        <v>664</v>
      </c>
      <c r="Z12" s="23">
        <v>570</v>
      </c>
      <c r="AA12" s="23">
        <v>535</v>
      </c>
      <c r="AB12" s="23">
        <v>538</v>
      </c>
      <c r="AC12" s="23">
        <v>505</v>
      </c>
      <c r="AD12" s="23">
        <v>505</v>
      </c>
      <c r="AE12" s="23">
        <v>484</v>
      </c>
      <c r="AF12" s="23">
        <v>510</v>
      </c>
      <c r="AG12" s="23">
        <f t="shared" ref="AG12:AH12" si="30">+AF12-10</f>
        <v>500</v>
      </c>
      <c r="AH12" s="23">
        <f t="shared" si="30"/>
        <v>490</v>
      </c>
      <c r="AI12" s="23"/>
      <c r="AJ12" s="23"/>
      <c r="AK12" s="23"/>
      <c r="AL12" s="23"/>
      <c r="AM12" s="23"/>
      <c r="AN12" s="23">
        <v>493</v>
      </c>
      <c r="AO12" s="56">
        <v>423</v>
      </c>
      <c r="AP12" s="23"/>
      <c r="AQ12" s="23"/>
      <c r="AR12" s="56">
        <v>425</v>
      </c>
      <c r="AS12" s="23"/>
      <c r="AT12" s="23"/>
      <c r="AU12" s="23"/>
      <c r="AV12" s="23"/>
      <c r="AW12" s="23"/>
      <c r="AX12" s="23"/>
      <c r="AY12" s="23"/>
      <c r="AZ12" s="23"/>
      <c r="BA12" s="23"/>
      <c r="BB12" s="23"/>
      <c r="BC12" s="23"/>
      <c r="BD12" s="23"/>
      <c r="BE12" s="23"/>
      <c r="BF12" s="23"/>
      <c r="BG12" s="23"/>
      <c r="BH12" s="23"/>
      <c r="BI12" s="23"/>
      <c r="BJ12" s="23"/>
      <c r="BK12" s="54">
        <v>404</v>
      </c>
      <c r="BL12" s="54"/>
      <c r="BM12" s="54"/>
      <c r="BN12" s="54"/>
      <c r="BO12" s="54">
        <v>273</v>
      </c>
      <c r="BP12" s="54">
        <v>236</v>
      </c>
      <c r="BQ12" s="54">
        <v>205</v>
      </c>
      <c r="BR12" s="54">
        <v>202</v>
      </c>
      <c r="BS12" s="54">
        <v>251</v>
      </c>
      <c r="BT12" s="54">
        <v>234</v>
      </c>
      <c r="BU12" s="54">
        <v>222</v>
      </c>
      <c r="BV12" s="54">
        <v>222</v>
      </c>
      <c r="BW12" s="54">
        <v>261</v>
      </c>
      <c r="BX12" s="54">
        <v>247</v>
      </c>
      <c r="BY12" s="54">
        <v>230</v>
      </c>
      <c r="BZ12" s="54">
        <v>245</v>
      </c>
      <c r="CA12" s="54">
        <v>236</v>
      </c>
      <c r="CB12" s="54">
        <v>240</v>
      </c>
      <c r="CC12" s="54">
        <v>218</v>
      </c>
      <c r="CD12" s="54">
        <v>254</v>
      </c>
      <c r="CE12" s="54">
        <v>238</v>
      </c>
      <c r="CF12" s="54">
        <v>235</v>
      </c>
      <c r="CG12" s="54">
        <v>230</v>
      </c>
      <c r="CH12" s="54">
        <v>211</v>
      </c>
      <c r="CI12" s="54">
        <v>244</v>
      </c>
      <c r="CJ12" s="54">
        <f t="shared" ref="CI12:CL12" si="31">+CE12</f>
        <v>238</v>
      </c>
      <c r="CK12" s="54">
        <f t="shared" si="31"/>
        <v>235</v>
      </c>
      <c r="CL12" s="54">
        <f t="shared" si="31"/>
        <v>230</v>
      </c>
      <c r="CM12" s="54"/>
      <c r="CN12" s="23"/>
      <c r="CO12" s="23"/>
      <c r="CP12" s="23"/>
      <c r="CQ12" s="23"/>
      <c r="CR12" s="23">
        <f t="shared" ref="CR12:CR65" si="32">SUM(K12:N12)</f>
        <v>2229</v>
      </c>
      <c r="CS12" s="23">
        <f>SUM(O12:R12)</f>
        <v>2424</v>
      </c>
      <c r="CT12" s="23">
        <f t="shared" ref="CT12:CT15" si="33">SUM(S12:V12)</f>
        <v>2616</v>
      </c>
      <c r="CU12" s="23">
        <f t="shared" si="25"/>
        <v>2623</v>
      </c>
      <c r="CV12" s="23">
        <f t="shared" si="26"/>
        <v>2083</v>
      </c>
      <c r="CW12" s="23">
        <f>CV12*1.05</f>
        <v>2187.15</v>
      </c>
      <c r="CX12" s="23">
        <f>CW12*1.03</f>
        <v>2252.7645000000002</v>
      </c>
      <c r="CY12" s="23">
        <f>CX12*0.4</f>
        <v>901.10580000000016</v>
      </c>
      <c r="CZ12" s="23">
        <f>CY12*0.8</f>
        <v>720.88464000000022</v>
      </c>
      <c r="DA12" s="23">
        <f t="shared" ref="DA12:DB12" si="34">CZ12*0.8</f>
        <v>576.70771200000024</v>
      </c>
      <c r="DB12" s="23">
        <f t="shared" si="34"/>
        <v>461.36616960000021</v>
      </c>
      <c r="DC12" s="23">
        <f>+DB12*0.1</f>
        <v>46.136616960000026</v>
      </c>
      <c r="DJ12" s="27">
        <f t="shared" si="19"/>
        <v>914</v>
      </c>
    </row>
    <row r="13" spans="1:125" s="27" customFormat="1" x14ac:dyDescent="0.2">
      <c r="B13" s="48" t="s">
        <v>325</v>
      </c>
      <c r="C13" s="23"/>
      <c r="D13" s="23"/>
      <c r="E13" s="23"/>
      <c r="F13" s="23"/>
      <c r="G13" s="23"/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  <c r="V13" s="23"/>
      <c r="W13" s="23"/>
      <c r="X13" s="23"/>
      <c r="Y13" s="23"/>
      <c r="Z13" s="23"/>
      <c r="AA13" s="23"/>
      <c r="AB13" s="23"/>
      <c r="AC13" s="23"/>
      <c r="AD13" s="23"/>
      <c r="AE13" s="23"/>
      <c r="AF13" s="23">
        <v>99</v>
      </c>
      <c r="AG13" s="23"/>
      <c r="AH13" s="23"/>
      <c r="AI13" s="23"/>
      <c r="AJ13" s="23"/>
      <c r="AK13" s="23"/>
      <c r="AL13" s="23"/>
      <c r="AM13" s="23"/>
      <c r="AN13" s="23">
        <v>126</v>
      </c>
      <c r="AO13" s="56">
        <v>127</v>
      </c>
      <c r="AP13" s="23"/>
      <c r="AQ13" s="23"/>
      <c r="AR13" s="56">
        <v>133</v>
      </c>
      <c r="AS13" s="23"/>
      <c r="AT13" s="23"/>
      <c r="AU13" s="23"/>
      <c r="AV13" s="23"/>
      <c r="AW13" s="23"/>
      <c r="AX13" s="23"/>
      <c r="AY13" s="23"/>
      <c r="AZ13" s="23"/>
      <c r="BA13" s="23"/>
      <c r="BB13" s="23"/>
      <c r="BC13" s="23"/>
      <c r="BD13" s="23"/>
      <c r="BE13" s="23"/>
      <c r="BF13" s="23"/>
      <c r="BG13" s="23"/>
      <c r="BH13" s="23"/>
      <c r="BI13" s="23"/>
      <c r="BJ13" s="23"/>
      <c r="BK13" s="54">
        <v>220</v>
      </c>
      <c r="BL13" s="54"/>
      <c r="BM13" s="54"/>
      <c r="BN13" s="54"/>
      <c r="BO13" s="54">
        <v>246</v>
      </c>
      <c r="BP13" s="54">
        <v>226</v>
      </c>
      <c r="BQ13" s="54">
        <v>241</v>
      </c>
      <c r="BR13" s="54">
        <v>235</v>
      </c>
      <c r="BS13" s="54">
        <v>235</v>
      </c>
      <c r="BT13" s="54">
        <v>248</v>
      </c>
      <c r="BU13" s="54">
        <v>266</v>
      </c>
      <c r="BV13" s="54">
        <v>254</v>
      </c>
      <c r="BW13" s="54">
        <v>235</v>
      </c>
      <c r="BX13" s="54">
        <v>252</v>
      </c>
      <c r="BY13" s="54">
        <v>255</v>
      </c>
      <c r="BZ13" s="54">
        <v>216</v>
      </c>
      <c r="CA13" s="54">
        <v>228</v>
      </c>
      <c r="CB13" s="54">
        <v>208</v>
      </c>
      <c r="CC13" s="54">
        <v>187</v>
      </c>
      <c r="CD13" s="54">
        <v>160</v>
      </c>
      <c r="CE13" s="54">
        <v>191</v>
      </c>
      <c r="CF13" s="54">
        <v>180</v>
      </c>
      <c r="CG13" s="54">
        <v>168</v>
      </c>
      <c r="CH13" s="54">
        <v>132</v>
      </c>
      <c r="CI13" s="54">
        <v>135</v>
      </c>
      <c r="CJ13" s="54">
        <f t="shared" ref="CI13:CL13" si="35">+CI13-5</f>
        <v>130</v>
      </c>
      <c r="CK13" s="54">
        <f t="shared" si="35"/>
        <v>125</v>
      </c>
      <c r="CL13" s="54">
        <f t="shared" si="35"/>
        <v>120</v>
      </c>
      <c r="CM13" s="54"/>
      <c r="CN13" s="23"/>
      <c r="CO13" s="23"/>
      <c r="CP13" s="23"/>
      <c r="CQ13" s="23"/>
      <c r="CR13" s="23"/>
      <c r="CS13" s="23"/>
      <c r="CT13" s="23"/>
      <c r="CU13" s="32"/>
      <c r="CV13" s="32"/>
      <c r="CW13" s="23"/>
      <c r="CX13" s="23"/>
      <c r="CY13" s="23"/>
      <c r="CZ13" s="23"/>
      <c r="DA13" s="23"/>
      <c r="DB13" s="23"/>
      <c r="DC13" s="23"/>
      <c r="DJ13" s="27">
        <f t="shared" si="19"/>
        <v>671</v>
      </c>
    </row>
    <row r="14" spans="1:125" s="27" customFormat="1" x14ac:dyDescent="0.2">
      <c r="B14" s="48" t="s">
        <v>326</v>
      </c>
      <c r="C14" s="23"/>
      <c r="D14" s="23"/>
      <c r="E14" s="23"/>
      <c r="F14" s="23"/>
      <c r="G14" s="23"/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  <c r="AB14" s="23"/>
      <c r="AC14" s="23"/>
      <c r="AD14" s="23"/>
      <c r="AE14" s="23"/>
      <c r="AF14" s="23"/>
      <c r="AG14" s="23"/>
      <c r="AH14" s="23"/>
      <c r="AI14" s="23"/>
      <c r="AJ14" s="23"/>
      <c r="AK14" s="23"/>
      <c r="AL14" s="23"/>
      <c r="AM14" s="23"/>
      <c r="AN14" s="23">
        <v>91</v>
      </c>
      <c r="AO14" s="56">
        <v>96</v>
      </c>
      <c r="AP14" s="23"/>
      <c r="AQ14" s="23"/>
      <c r="AR14" s="56">
        <v>123</v>
      </c>
      <c r="AS14" s="23"/>
      <c r="AT14" s="23"/>
      <c r="AU14" s="23"/>
      <c r="AV14" s="23"/>
      <c r="AW14" s="23"/>
      <c r="AX14" s="23"/>
      <c r="AY14" s="23"/>
      <c r="AZ14" s="23"/>
      <c r="BA14" s="23"/>
      <c r="BB14" s="23"/>
      <c r="BC14" s="23"/>
      <c r="BD14" s="23"/>
      <c r="BE14" s="23"/>
      <c r="BF14" s="23"/>
      <c r="BG14" s="23"/>
      <c r="BH14" s="23"/>
      <c r="BI14" s="23"/>
      <c r="BJ14" s="23"/>
      <c r="BK14" s="54">
        <v>185</v>
      </c>
      <c r="BL14" s="54"/>
      <c r="BM14" s="54"/>
      <c r="BN14" s="54"/>
      <c r="BO14" s="54">
        <v>214</v>
      </c>
      <c r="BP14" s="54">
        <v>199</v>
      </c>
      <c r="BQ14" s="54">
        <v>204</v>
      </c>
      <c r="BR14" s="54">
        <v>200</v>
      </c>
      <c r="BS14" s="54">
        <v>208</v>
      </c>
      <c r="BT14" s="54">
        <v>204</v>
      </c>
      <c r="BU14" s="54">
        <v>209</v>
      </c>
      <c r="BV14" s="54">
        <v>223</v>
      </c>
      <c r="BW14" s="54">
        <v>220</v>
      </c>
      <c r="BX14" s="54">
        <v>238</v>
      </c>
      <c r="BY14" s="54">
        <v>240</v>
      </c>
      <c r="BZ14" s="54">
        <v>240</v>
      </c>
      <c r="CA14" s="54">
        <v>246</v>
      </c>
      <c r="CB14" s="54">
        <v>250</v>
      </c>
      <c r="CC14" s="54">
        <v>253</v>
      </c>
      <c r="CD14" s="54">
        <v>242</v>
      </c>
      <c r="CE14" s="54">
        <v>253</v>
      </c>
      <c r="CF14" s="54">
        <v>273</v>
      </c>
      <c r="CG14" s="54">
        <v>253</v>
      </c>
      <c r="CH14" s="54">
        <v>269</v>
      </c>
      <c r="CI14" s="54">
        <v>262</v>
      </c>
      <c r="CJ14" s="54">
        <f t="shared" ref="CI14:CL14" si="36">+CF14*1.01</f>
        <v>275.73</v>
      </c>
      <c r="CK14" s="54">
        <f t="shared" si="36"/>
        <v>255.53</v>
      </c>
      <c r="CL14" s="54">
        <f t="shared" si="36"/>
        <v>271.69</v>
      </c>
      <c r="CM14" s="54"/>
      <c r="CN14" s="23"/>
      <c r="CO14" s="23"/>
      <c r="CP14" s="23"/>
      <c r="CQ14" s="23"/>
      <c r="CR14" s="23"/>
      <c r="CS14" s="23"/>
      <c r="CT14" s="23"/>
      <c r="CU14" s="32"/>
      <c r="CV14" s="32"/>
      <c r="CW14" s="23"/>
      <c r="CX14" s="23"/>
      <c r="CY14" s="23"/>
      <c r="CZ14" s="23"/>
      <c r="DA14" s="23"/>
      <c r="DB14" s="23"/>
      <c r="DC14" s="23"/>
      <c r="DJ14" s="27">
        <f t="shared" si="19"/>
        <v>1048</v>
      </c>
    </row>
    <row r="15" spans="1:125" s="27" customFormat="1" x14ac:dyDescent="0.2">
      <c r="B15" s="27" t="s">
        <v>182</v>
      </c>
      <c r="C15" s="23"/>
      <c r="D15" s="23"/>
      <c r="E15" s="23"/>
      <c r="F15" s="23"/>
      <c r="G15" s="23"/>
      <c r="H15" s="23"/>
      <c r="I15" s="23"/>
      <c r="J15" s="23"/>
      <c r="K15" s="23">
        <v>248</v>
      </c>
      <c r="L15" s="23">
        <v>250</v>
      </c>
      <c r="M15" s="23">
        <v>252</v>
      </c>
      <c r="N15" s="23">
        <v>265</v>
      </c>
      <c r="O15" s="23">
        <f>536-P15</f>
        <v>264</v>
      </c>
      <c r="P15" s="23">
        <v>272</v>
      </c>
      <c r="Q15" s="23">
        <v>267</v>
      </c>
      <c r="R15" s="23">
        <v>277</v>
      </c>
      <c r="S15" s="23">
        <v>289</v>
      </c>
      <c r="T15" s="23">
        <v>311</v>
      </c>
      <c r="U15" s="23">
        <v>298</v>
      </c>
      <c r="V15" s="23">
        <v>304</v>
      </c>
      <c r="W15" s="23">
        <v>314</v>
      </c>
      <c r="X15" s="23">
        <f>620-W15</f>
        <v>306</v>
      </c>
      <c r="Y15" s="23">
        <v>299</v>
      </c>
      <c r="Z15" s="23">
        <v>317</v>
      </c>
      <c r="AA15" s="23">
        <v>327</v>
      </c>
      <c r="AB15" s="23">
        <v>338</v>
      </c>
      <c r="AC15" s="23">
        <v>337</v>
      </c>
      <c r="AD15" s="23">
        <v>325</v>
      </c>
      <c r="AE15" s="23">
        <v>320</v>
      </c>
      <c r="AF15" s="23">
        <v>343</v>
      </c>
      <c r="AG15" s="23">
        <f t="shared" ref="AG15:AH15" si="37">+AF15</f>
        <v>343</v>
      </c>
      <c r="AH15" s="23">
        <f t="shared" si="37"/>
        <v>343</v>
      </c>
      <c r="AI15" s="23"/>
      <c r="AJ15" s="23"/>
      <c r="AK15" s="23"/>
      <c r="AL15" s="23"/>
      <c r="AM15" s="23"/>
      <c r="AN15" s="23">
        <v>238</v>
      </c>
      <c r="AO15" s="56">
        <v>210</v>
      </c>
      <c r="AP15" s="23"/>
      <c r="AQ15" s="23"/>
      <c r="AR15" s="56">
        <v>193</v>
      </c>
      <c r="AS15" s="23"/>
      <c r="AT15" s="23"/>
      <c r="AU15" s="23"/>
      <c r="AV15" s="23"/>
      <c r="AW15" s="23"/>
      <c r="AX15" s="23"/>
      <c r="AY15" s="23"/>
      <c r="AZ15" s="23"/>
      <c r="BA15" s="23"/>
      <c r="BB15" s="23"/>
      <c r="BC15" s="23"/>
      <c r="BD15" s="23"/>
      <c r="BE15" s="23"/>
      <c r="BF15" s="23"/>
      <c r="BG15" s="23"/>
      <c r="BH15" s="23"/>
      <c r="BI15" s="23"/>
      <c r="BJ15" s="23"/>
      <c r="BK15" s="54">
        <v>201</v>
      </c>
      <c r="BL15" s="54"/>
      <c r="BM15" s="54"/>
      <c r="BN15" s="54"/>
      <c r="BO15" s="54">
        <v>174</v>
      </c>
      <c r="BP15" s="54">
        <v>132</v>
      </c>
      <c r="BQ15" s="54">
        <v>133</v>
      </c>
      <c r="BR15" s="54">
        <v>115</v>
      </c>
      <c r="BS15" s="54">
        <v>101</v>
      </c>
      <c r="BT15" s="54">
        <v>99</v>
      </c>
      <c r="BU15" s="54">
        <v>107</v>
      </c>
      <c r="BV15" s="54">
        <v>112</v>
      </c>
      <c r="BW15" s="54">
        <v>125</v>
      </c>
      <c r="BX15" s="54">
        <v>120</v>
      </c>
      <c r="BY15" s="54">
        <v>129</v>
      </c>
      <c r="BZ15" s="54">
        <v>104</v>
      </c>
      <c r="CA15" s="54">
        <v>110</v>
      </c>
      <c r="CB15" s="54">
        <v>104</v>
      </c>
      <c r="CC15" s="54">
        <v>97</v>
      </c>
      <c r="CD15" s="54">
        <v>106</v>
      </c>
      <c r="CE15" s="54">
        <v>105</v>
      </c>
      <c r="CF15" s="54">
        <v>108</v>
      </c>
      <c r="CG15" s="54">
        <v>98</v>
      </c>
      <c r="CH15" s="54">
        <v>105</v>
      </c>
      <c r="CI15" s="54">
        <v>110</v>
      </c>
      <c r="CJ15" s="54">
        <f t="shared" ref="CI15:CL15" si="38">+CF15*0.9</f>
        <v>97.2</v>
      </c>
      <c r="CK15" s="54">
        <f t="shared" si="38"/>
        <v>88.2</v>
      </c>
      <c r="CL15" s="54">
        <f t="shared" si="38"/>
        <v>94.5</v>
      </c>
      <c r="CM15" s="54"/>
      <c r="CN15" s="23"/>
      <c r="CO15" s="23"/>
      <c r="CP15" s="23"/>
      <c r="CQ15" s="23"/>
      <c r="CR15" s="23">
        <f t="shared" si="32"/>
        <v>1015</v>
      </c>
      <c r="CS15" s="23">
        <f t="shared" ref="CS15:CS48" si="39">SUM(O15:R15)</f>
        <v>1080</v>
      </c>
      <c r="CT15" s="23">
        <f t="shared" si="33"/>
        <v>1202</v>
      </c>
      <c r="CU15" s="23">
        <f t="shared" si="25"/>
        <v>1236</v>
      </c>
      <c r="CV15" s="23">
        <f t="shared" si="26"/>
        <v>1327</v>
      </c>
      <c r="CW15" s="23">
        <f>CV15*0.5</f>
        <v>663.5</v>
      </c>
      <c r="CX15" s="23">
        <f>CW15*0.8</f>
        <v>530.80000000000007</v>
      </c>
      <c r="CY15" s="23">
        <f t="shared" ref="CY15:DC15" si="40">CX15*0.8</f>
        <v>424.6400000000001</v>
      </c>
      <c r="CZ15" s="23">
        <f t="shared" si="40"/>
        <v>339.7120000000001</v>
      </c>
      <c r="DA15" s="23">
        <f t="shared" si="40"/>
        <v>271.76960000000008</v>
      </c>
      <c r="DB15" s="23">
        <f t="shared" si="40"/>
        <v>217.41568000000007</v>
      </c>
      <c r="DC15" s="23">
        <f t="shared" si="40"/>
        <v>173.93254400000006</v>
      </c>
      <c r="DJ15" s="27">
        <f t="shared" si="19"/>
        <v>416</v>
      </c>
    </row>
    <row r="16" spans="1:125" s="27" customFormat="1" x14ac:dyDescent="0.2">
      <c r="B16" s="48" t="s">
        <v>324</v>
      </c>
      <c r="C16" s="23"/>
      <c r="D16" s="23"/>
      <c r="E16" s="23"/>
      <c r="F16" s="23"/>
      <c r="G16" s="23"/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  <c r="V16" s="23"/>
      <c r="W16" s="23"/>
      <c r="X16" s="23"/>
      <c r="Y16" s="23"/>
      <c r="Z16" s="23"/>
      <c r="AA16" s="23"/>
      <c r="AB16" s="23"/>
      <c r="AC16" s="23"/>
      <c r="AD16" s="23"/>
      <c r="AE16" s="23"/>
      <c r="AF16" s="23">
        <v>166</v>
      </c>
      <c r="AG16" s="23"/>
      <c r="AH16" s="23"/>
      <c r="AI16" s="23"/>
      <c r="AJ16" s="23"/>
      <c r="AK16" s="23"/>
      <c r="AL16" s="23"/>
      <c r="AM16" s="23"/>
      <c r="AN16" s="23">
        <v>171</v>
      </c>
      <c r="AO16" s="56">
        <v>165</v>
      </c>
      <c r="AP16" s="23"/>
      <c r="AQ16" s="23"/>
      <c r="AR16" s="56">
        <v>175</v>
      </c>
      <c r="AS16" s="23"/>
      <c r="AT16" s="23"/>
      <c r="AU16" s="23"/>
      <c r="AV16" s="23"/>
      <c r="AW16" s="23"/>
      <c r="AX16" s="23"/>
      <c r="AY16" s="23"/>
      <c r="AZ16" s="23"/>
      <c r="BA16" s="23"/>
      <c r="BB16" s="23"/>
      <c r="BC16" s="23"/>
      <c r="BD16" s="23"/>
      <c r="BE16" s="23"/>
      <c r="BF16" s="23"/>
      <c r="BG16" s="23"/>
      <c r="BH16" s="23"/>
      <c r="BI16" s="23"/>
      <c r="BJ16" s="23"/>
      <c r="BK16" s="54">
        <v>176</v>
      </c>
      <c r="BL16" s="54"/>
      <c r="BM16" s="54"/>
      <c r="BN16" s="54"/>
      <c r="BO16" s="54">
        <v>189</v>
      </c>
      <c r="BP16" s="54">
        <v>179</v>
      </c>
      <c r="BQ16" s="54">
        <v>162</v>
      </c>
      <c r="BR16" s="54">
        <v>160</v>
      </c>
      <c r="BS16" s="54">
        <v>178</v>
      </c>
      <c r="BT16" s="54">
        <v>165</v>
      </c>
      <c r="BU16" s="54">
        <v>159</v>
      </c>
      <c r="BV16" s="54">
        <v>181</v>
      </c>
      <c r="BW16" s="54">
        <v>165</v>
      </c>
      <c r="BX16" s="54">
        <v>202</v>
      </c>
      <c r="BY16" s="54">
        <v>181</v>
      </c>
      <c r="BZ16" s="54">
        <v>159</v>
      </c>
      <c r="CA16" s="54">
        <v>196</v>
      </c>
      <c r="CB16" s="54">
        <v>181</v>
      </c>
      <c r="CC16" s="54">
        <v>176</v>
      </c>
      <c r="CD16" s="54">
        <v>134</v>
      </c>
      <c r="CE16" s="54">
        <v>214</v>
      </c>
      <c r="CF16" s="54">
        <v>193</v>
      </c>
      <c r="CG16" s="54">
        <v>164</v>
      </c>
      <c r="CH16" s="54">
        <v>171</v>
      </c>
      <c r="CI16" s="54">
        <v>190</v>
      </c>
      <c r="CJ16" s="54">
        <f t="shared" ref="CI16:CL16" si="41">+CF16</f>
        <v>193</v>
      </c>
      <c r="CK16" s="54">
        <f t="shared" si="41"/>
        <v>164</v>
      </c>
      <c r="CL16" s="54">
        <f t="shared" si="41"/>
        <v>171</v>
      </c>
      <c r="CM16" s="54"/>
      <c r="CN16" s="23"/>
      <c r="CO16" s="23"/>
      <c r="CP16" s="23"/>
      <c r="CQ16" s="23"/>
      <c r="CR16" s="23"/>
      <c r="CS16" s="23"/>
      <c r="CT16" s="23"/>
      <c r="CU16" s="32"/>
      <c r="CV16" s="32"/>
      <c r="CW16" s="23"/>
      <c r="CX16" s="23"/>
      <c r="CY16" s="23"/>
      <c r="CZ16" s="23"/>
      <c r="DA16" s="23"/>
      <c r="DB16" s="23"/>
      <c r="DC16" s="23"/>
      <c r="DJ16" s="27">
        <f t="shared" si="19"/>
        <v>742</v>
      </c>
    </row>
    <row r="17" spans="2:114" s="27" customFormat="1" x14ac:dyDescent="0.2">
      <c r="B17" s="48" t="s">
        <v>534</v>
      </c>
      <c r="C17" s="23"/>
      <c r="D17" s="23"/>
      <c r="E17" s="23"/>
      <c r="F17" s="23"/>
      <c r="G17" s="23"/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  <c r="V17" s="23"/>
      <c r="W17" s="23"/>
      <c r="X17" s="23"/>
      <c r="Y17" s="23"/>
      <c r="Z17" s="23"/>
      <c r="AA17" s="23"/>
      <c r="AB17" s="23"/>
      <c r="AC17" s="23"/>
      <c r="AD17" s="23"/>
      <c r="AE17" s="23"/>
      <c r="AF17" s="23"/>
      <c r="AG17" s="23"/>
      <c r="AH17" s="23"/>
      <c r="AI17" s="23"/>
      <c r="AJ17" s="23"/>
      <c r="AK17" s="23"/>
      <c r="AL17" s="23"/>
      <c r="AM17" s="23"/>
      <c r="AN17" s="23"/>
      <c r="AO17" s="56"/>
      <c r="AP17" s="23"/>
      <c r="AQ17" s="23"/>
      <c r="AR17" s="56"/>
      <c r="AS17" s="23"/>
      <c r="AT17" s="23"/>
      <c r="AU17" s="23"/>
      <c r="AV17" s="23"/>
      <c r="AW17" s="23"/>
      <c r="AX17" s="23"/>
      <c r="AY17" s="23"/>
      <c r="AZ17" s="23"/>
      <c r="BA17" s="23"/>
      <c r="BB17" s="23"/>
      <c r="BC17" s="23"/>
      <c r="BD17" s="23"/>
      <c r="BE17" s="23"/>
      <c r="BF17" s="23"/>
      <c r="BG17" s="23"/>
      <c r="BH17" s="23"/>
      <c r="BI17" s="23"/>
      <c r="BJ17" s="23"/>
      <c r="BK17" s="54">
        <v>174</v>
      </c>
      <c r="BL17" s="54"/>
      <c r="BM17" s="54"/>
      <c r="BN17" s="54"/>
      <c r="BO17" s="54">
        <v>161</v>
      </c>
      <c r="BP17" s="54">
        <v>169</v>
      </c>
      <c r="BQ17" s="54">
        <v>152</v>
      </c>
      <c r="BR17" s="54">
        <v>156</v>
      </c>
      <c r="BS17" s="54">
        <v>134</v>
      </c>
      <c r="BT17" s="54">
        <v>144</v>
      </c>
      <c r="BU17" s="54">
        <v>144</v>
      </c>
      <c r="BV17" s="54">
        <v>141</v>
      </c>
      <c r="BW17" s="54">
        <v>138</v>
      </c>
      <c r="BX17" s="54">
        <v>153</v>
      </c>
      <c r="BY17" s="54">
        <v>151</v>
      </c>
      <c r="BZ17" s="54">
        <v>138</v>
      </c>
      <c r="CA17" s="54">
        <v>118</v>
      </c>
      <c r="CB17" s="54">
        <v>130</v>
      </c>
      <c r="CC17" s="54">
        <v>120</v>
      </c>
      <c r="CD17" s="54">
        <v>103</v>
      </c>
      <c r="CE17" s="54">
        <v>86</v>
      </c>
      <c r="CF17" s="54">
        <v>105</v>
      </c>
      <c r="CG17" s="54">
        <v>96</v>
      </c>
      <c r="CH17" s="54">
        <v>81</v>
      </c>
      <c r="CI17" s="54">
        <v>70</v>
      </c>
      <c r="CJ17" s="54">
        <f t="shared" ref="CI17:CL17" si="42">+CI17</f>
        <v>70</v>
      </c>
      <c r="CK17" s="54">
        <f t="shared" si="42"/>
        <v>70</v>
      </c>
      <c r="CL17" s="54">
        <f t="shared" si="42"/>
        <v>70</v>
      </c>
      <c r="CM17" s="54"/>
      <c r="CN17" s="23"/>
      <c r="CO17" s="23"/>
      <c r="CP17" s="23"/>
      <c r="CQ17" s="23"/>
      <c r="CR17" s="23"/>
      <c r="CS17" s="23"/>
      <c r="CT17" s="23"/>
      <c r="CU17" s="23"/>
      <c r="CV17" s="23"/>
      <c r="CW17" s="23"/>
      <c r="CX17" s="23"/>
      <c r="CY17" s="23"/>
      <c r="CZ17" s="23"/>
      <c r="DA17" s="23"/>
      <c r="DB17" s="23"/>
      <c r="DC17" s="23"/>
      <c r="DJ17" s="27">
        <f t="shared" si="19"/>
        <v>368</v>
      </c>
    </row>
    <row r="18" spans="2:114" s="27" customFormat="1" x14ac:dyDescent="0.2">
      <c r="B18" s="48" t="s">
        <v>535</v>
      </c>
      <c r="C18" s="23"/>
      <c r="D18" s="23"/>
      <c r="E18" s="23"/>
      <c r="F18" s="23"/>
      <c r="G18" s="23"/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  <c r="AB18" s="23"/>
      <c r="AC18" s="23"/>
      <c r="AD18" s="23"/>
      <c r="AE18" s="23"/>
      <c r="AF18" s="23"/>
      <c r="AG18" s="23"/>
      <c r="AH18" s="23"/>
      <c r="AI18" s="23"/>
      <c r="AJ18" s="23"/>
      <c r="AK18" s="23"/>
      <c r="AL18" s="23"/>
      <c r="AM18" s="23"/>
      <c r="AN18" s="23"/>
      <c r="AO18" s="56"/>
      <c r="AP18" s="23"/>
      <c r="AQ18" s="23"/>
      <c r="AR18" s="56"/>
      <c r="AS18" s="23"/>
      <c r="AT18" s="23"/>
      <c r="AU18" s="23"/>
      <c r="AV18" s="23"/>
      <c r="AW18" s="23"/>
      <c r="AX18" s="23"/>
      <c r="AY18" s="23"/>
      <c r="AZ18" s="23"/>
      <c r="BA18" s="23"/>
      <c r="BB18" s="23"/>
      <c r="BC18" s="23"/>
      <c r="BD18" s="23"/>
      <c r="BE18" s="23"/>
      <c r="BF18" s="23"/>
      <c r="BG18" s="23"/>
      <c r="BH18" s="23"/>
      <c r="BI18" s="23"/>
      <c r="BJ18" s="23"/>
      <c r="BK18" s="54">
        <v>95</v>
      </c>
      <c r="BL18" s="54"/>
      <c r="BM18" s="54"/>
      <c r="BN18" s="54"/>
      <c r="BO18" s="54">
        <v>109</v>
      </c>
      <c r="BP18" s="54">
        <v>117</v>
      </c>
      <c r="BQ18" s="54">
        <v>109</v>
      </c>
      <c r="BR18" s="54">
        <v>131</v>
      </c>
      <c r="BS18" s="54">
        <v>100</v>
      </c>
      <c r="BT18" s="54">
        <v>100</v>
      </c>
      <c r="BU18" s="54">
        <v>101</v>
      </c>
      <c r="BV18" s="54">
        <v>113</v>
      </c>
      <c r="BW18" s="54">
        <v>108</v>
      </c>
      <c r="BX18" s="54">
        <v>129</v>
      </c>
      <c r="BY18" s="54">
        <v>126</v>
      </c>
      <c r="BZ18" s="54">
        <v>141</v>
      </c>
      <c r="CA18" s="54">
        <v>125</v>
      </c>
      <c r="CB18" s="54">
        <v>135</v>
      </c>
      <c r="CC18" s="54">
        <v>138</v>
      </c>
      <c r="CD18" s="54">
        <v>142</v>
      </c>
      <c r="CE18" s="54">
        <v>130</v>
      </c>
      <c r="CF18" s="54">
        <v>141</v>
      </c>
      <c r="CG18" s="54">
        <v>148</v>
      </c>
      <c r="CH18" s="54">
        <v>169</v>
      </c>
      <c r="CI18" s="54">
        <v>160</v>
      </c>
      <c r="CJ18" s="54">
        <f t="shared" ref="CI18:CL18" si="43">+CI18</f>
        <v>160</v>
      </c>
      <c r="CK18" s="54">
        <f t="shared" si="43"/>
        <v>160</v>
      </c>
      <c r="CL18" s="54">
        <f t="shared" si="43"/>
        <v>160</v>
      </c>
      <c r="CM18" s="54"/>
      <c r="CN18" s="23"/>
      <c r="CO18" s="23"/>
      <c r="CP18" s="23"/>
      <c r="CQ18" s="23"/>
      <c r="CR18" s="23"/>
      <c r="CS18" s="23"/>
      <c r="CT18" s="23"/>
      <c r="CU18" s="23"/>
      <c r="CV18" s="23"/>
      <c r="CW18" s="23"/>
      <c r="CX18" s="23"/>
      <c r="CY18" s="23"/>
      <c r="CZ18" s="23"/>
      <c r="DA18" s="23"/>
      <c r="DB18" s="23"/>
      <c r="DC18" s="23"/>
      <c r="DJ18" s="27">
        <f t="shared" si="19"/>
        <v>588</v>
      </c>
    </row>
    <row r="19" spans="2:114" s="27" customFormat="1" x14ac:dyDescent="0.2">
      <c r="B19" s="48" t="s">
        <v>298</v>
      </c>
      <c r="C19" s="23"/>
      <c r="D19" s="23"/>
      <c r="E19" s="23"/>
      <c r="F19" s="23"/>
      <c r="G19" s="23"/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  <c r="V19" s="23"/>
      <c r="W19" s="23"/>
      <c r="X19" s="23"/>
      <c r="Y19" s="23"/>
      <c r="Z19" s="23"/>
      <c r="AA19" s="23"/>
      <c r="AB19" s="23"/>
      <c r="AC19" s="23">
        <v>41</v>
      </c>
      <c r="AD19" s="23">
        <v>41</v>
      </c>
      <c r="AE19" s="23">
        <v>48</v>
      </c>
      <c r="AF19" s="23">
        <v>48</v>
      </c>
      <c r="AG19" s="23">
        <f>+AF19+5</f>
        <v>53</v>
      </c>
      <c r="AH19" s="23">
        <f>+AG19+5</f>
        <v>58</v>
      </c>
      <c r="AI19" s="23">
        <v>54</v>
      </c>
      <c r="AJ19" s="23"/>
      <c r="AK19" s="23"/>
      <c r="AL19" s="23"/>
      <c r="AM19" s="23"/>
      <c r="AN19" s="23">
        <v>54</v>
      </c>
      <c r="AO19" s="56">
        <v>59</v>
      </c>
      <c r="AP19" s="23"/>
      <c r="AQ19" s="23"/>
      <c r="AR19" s="56">
        <v>66</v>
      </c>
      <c r="AS19" s="23"/>
      <c r="AT19" s="23"/>
      <c r="AU19" s="23"/>
      <c r="AV19" s="23"/>
      <c r="AW19" s="23"/>
      <c r="AX19" s="23"/>
      <c r="AY19" s="23"/>
      <c r="AZ19" s="23"/>
      <c r="BA19" s="23"/>
      <c r="BB19" s="23"/>
      <c r="BC19" s="23"/>
      <c r="BD19" s="23"/>
      <c r="BE19" s="23"/>
      <c r="BF19" s="23"/>
      <c r="BG19" s="23"/>
      <c r="BH19" s="23"/>
      <c r="BI19" s="23"/>
      <c r="BJ19" s="23"/>
      <c r="BK19" s="54">
        <v>111</v>
      </c>
      <c r="BL19" s="54"/>
      <c r="BM19" s="54"/>
      <c r="BN19" s="54"/>
      <c r="BO19" s="54">
        <v>138</v>
      </c>
      <c r="BP19" s="54">
        <v>133</v>
      </c>
      <c r="BQ19" s="54">
        <v>134</v>
      </c>
      <c r="BR19" s="54">
        <v>131</v>
      </c>
      <c r="BS19" s="54">
        <v>126</v>
      </c>
      <c r="BT19" s="54">
        <v>114</v>
      </c>
      <c r="BU19" s="54">
        <v>105</v>
      </c>
      <c r="BV19" s="54">
        <v>110</v>
      </c>
      <c r="BW19" s="54">
        <v>98</v>
      </c>
      <c r="BX19" s="54">
        <v>105</v>
      </c>
      <c r="BY19" s="54">
        <v>101</v>
      </c>
      <c r="BZ19" s="54">
        <v>87</v>
      </c>
      <c r="CA19" s="54">
        <v>79</v>
      </c>
      <c r="CB19" s="54">
        <v>97</v>
      </c>
      <c r="CC19" s="54">
        <v>67</v>
      </c>
      <c r="CD19" s="54">
        <v>77</v>
      </c>
      <c r="CE19" s="54">
        <v>68</v>
      </c>
      <c r="CF19" s="54">
        <v>73</v>
      </c>
      <c r="CG19" s="54">
        <v>72</v>
      </c>
      <c r="CH19" s="54">
        <v>77</v>
      </c>
      <c r="CI19" s="54">
        <v>75</v>
      </c>
      <c r="CJ19" s="54">
        <f t="shared" ref="CI19:CL19" si="44">+CI19</f>
        <v>75</v>
      </c>
      <c r="CK19" s="54">
        <f t="shared" si="44"/>
        <v>75</v>
      </c>
      <c r="CL19" s="54">
        <f t="shared" si="44"/>
        <v>75</v>
      </c>
      <c r="CM19" s="54"/>
      <c r="CN19" s="23"/>
      <c r="CO19" s="23"/>
      <c r="CP19" s="23"/>
      <c r="CQ19" s="23"/>
      <c r="CR19" s="23"/>
      <c r="CS19" s="23"/>
      <c r="CT19" s="23"/>
      <c r="CU19" s="32"/>
      <c r="CV19" s="23">
        <f>SUM(AA19:AD19)</f>
        <v>82</v>
      </c>
      <c r="CW19" s="23">
        <f>SUM(AE19:AH19)</f>
        <v>207</v>
      </c>
      <c r="CX19" s="23">
        <v>300</v>
      </c>
      <c r="CY19" s="23">
        <v>350</v>
      </c>
      <c r="CZ19" s="23">
        <v>400</v>
      </c>
      <c r="DA19" s="23">
        <v>450</v>
      </c>
      <c r="DB19" s="23">
        <v>400</v>
      </c>
      <c r="DC19" s="23">
        <f>+DB19*0.1</f>
        <v>40</v>
      </c>
      <c r="DJ19" s="27">
        <f t="shared" si="19"/>
        <v>290</v>
      </c>
    </row>
    <row r="20" spans="2:114" x14ac:dyDescent="0.2">
      <c r="B20" s="19" t="s">
        <v>356</v>
      </c>
      <c r="R20" s="23"/>
      <c r="S20" s="23"/>
      <c r="T20" s="23"/>
      <c r="U20" s="23"/>
      <c r="V20" s="23"/>
      <c r="W20" s="23"/>
      <c r="X20" s="23"/>
      <c r="Y20" s="23"/>
      <c r="Z20" s="23"/>
      <c r="AA20" s="23"/>
      <c r="AB20" s="23"/>
      <c r="AC20" s="23"/>
      <c r="AD20" s="23"/>
      <c r="AE20" s="23"/>
      <c r="AF20" s="23"/>
      <c r="AG20" s="23"/>
      <c r="AH20" s="23"/>
      <c r="AI20" s="23"/>
      <c r="AJ20" s="23"/>
      <c r="AK20" s="23"/>
      <c r="AL20" s="23"/>
      <c r="AM20" s="23"/>
      <c r="AN20" s="23">
        <v>52</v>
      </c>
      <c r="AO20" s="56">
        <v>52</v>
      </c>
      <c r="AP20" s="23"/>
      <c r="AQ20" s="23"/>
      <c r="AR20" s="56">
        <v>54</v>
      </c>
      <c r="AS20" s="23"/>
      <c r="AT20" s="23"/>
      <c r="AU20" s="23"/>
      <c r="AV20" s="23"/>
      <c r="AW20" s="23"/>
      <c r="AX20" s="23"/>
      <c r="AY20" s="23"/>
      <c r="AZ20" s="23"/>
      <c r="BA20" s="23"/>
      <c r="BB20" s="23"/>
      <c r="BC20" s="23"/>
      <c r="BD20" s="23"/>
      <c r="BE20" s="23"/>
      <c r="BF20" s="23"/>
      <c r="BG20" s="23"/>
      <c r="BH20" s="23"/>
      <c r="BI20" s="23"/>
      <c r="BJ20" s="23"/>
      <c r="BK20" s="54">
        <v>81</v>
      </c>
      <c r="BL20" s="54"/>
      <c r="BM20" s="54"/>
      <c r="BN20" s="54"/>
      <c r="BO20" s="54">
        <v>85</v>
      </c>
      <c r="BP20" s="54">
        <v>64</v>
      </c>
      <c r="BQ20" s="54">
        <v>87</v>
      </c>
      <c r="BR20" s="54">
        <v>80</v>
      </c>
      <c r="BS20" s="54">
        <v>80</v>
      </c>
      <c r="BT20" s="54">
        <v>92</v>
      </c>
      <c r="BU20" s="54">
        <v>91</v>
      </c>
      <c r="BV20" s="54">
        <v>87</v>
      </c>
      <c r="BW20" s="54">
        <v>97</v>
      </c>
      <c r="BX20" s="54">
        <v>113</v>
      </c>
      <c r="BY20" s="54">
        <v>118</v>
      </c>
      <c r="BZ20" s="54">
        <v>118</v>
      </c>
      <c r="CA20" s="54">
        <v>109</v>
      </c>
      <c r="CB20" s="54">
        <v>134</v>
      </c>
      <c r="CC20" s="54">
        <v>123</v>
      </c>
      <c r="CD20" s="54">
        <v>112</v>
      </c>
      <c r="CE20" s="54">
        <v>117</v>
      </c>
      <c r="CF20" s="54">
        <v>129</v>
      </c>
      <c r="CG20" s="54">
        <v>121</v>
      </c>
      <c r="CH20" s="54">
        <v>125</v>
      </c>
      <c r="CI20" s="54">
        <v>122</v>
      </c>
      <c r="CJ20" s="54">
        <f t="shared" ref="CI20:CL20" si="45">+CI20</f>
        <v>122</v>
      </c>
      <c r="CK20" s="54">
        <f t="shared" si="45"/>
        <v>122</v>
      </c>
      <c r="CL20" s="54">
        <f t="shared" si="45"/>
        <v>122</v>
      </c>
      <c r="CM20" s="54"/>
      <c r="CN20" s="23"/>
      <c r="CP20" s="23"/>
      <c r="CQ20" s="23"/>
      <c r="CR20" s="23"/>
      <c r="CS20" s="23"/>
      <c r="CT20" s="23"/>
      <c r="CU20" s="32"/>
      <c r="CV20" s="32"/>
      <c r="CW20" s="23"/>
      <c r="CX20" s="23"/>
      <c r="CY20" s="23"/>
      <c r="CZ20" s="23"/>
      <c r="DA20" s="23"/>
      <c r="DB20" s="23"/>
      <c r="DC20" s="23"/>
      <c r="DJ20" s="27">
        <f t="shared" si="19"/>
        <v>492</v>
      </c>
    </row>
    <row r="21" spans="2:114" s="27" customFormat="1" x14ac:dyDescent="0.2">
      <c r="B21" s="48" t="s">
        <v>528</v>
      </c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  <c r="AA21" s="23"/>
      <c r="AB21" s="23"/>
      <c r="AC21" s="23"/>
      <c r="AD21" s="23"/>
      <c r="AE21" s="23"/>
      <c r="AF21" s="23"/>
      <c r="AG21" s="23"/>
      <c r="AH21" s="23"/>
      <c r="AI21" s="23"/>
      <c r="AJ21" s="23"/>
      <c r="AK21" s="23"/>
      <c r="AL21" s="23"/>
      <c r="AM21" s="23"/>
      <c r="AN21" s="23"/>
      <c r="AO21" s="56"/>
      <c r="AP21" s="23"/>
      <c r="AQ21" s="23"/>
      <c r="AR21" s="56"/>
      <c r="AS21" s="23"/>
      <c r="AT21" s="23"/>
      <c r="AU21" s="23"/>
      <c r="AV21" s="23"/>
      <c r="AW21" s="23"/>
      <c r="AX21" s="23"/>
      <c r="AY21" s="23"/>
      <c r="AZ21" s="23"/>
      <c r="BA21" s="23"/>
      <c r="BB21" s="23"/>
      <c r="BC21" s="23"/>
      <c r="BD21" s="23"/>
      <c r="BE21" s="23"/>
      <c r="BF21" s="23"/>
      <c r="BG21" s="23"/>
      <c r="BH21" s="23"/>
      <c r="BI21" s="23"/>
      <c r="BJ21" s="23"/>
      <c r="BK21" s="54">
        <v>30</v>
      </c>
      <c r="BL21" s="54"/>
      <c r="BM21" s="54"/>
      <c r="BN21" s="54"/>
      <c r="BO21" s="54">
        <v>55</v>
      </c>
      <c r="BP21" s="54">
        <v>62</v>
      </c>
      <c r="BQ21" s="54">
        <v>59</v>
      </c>
      <c r="BR21" s="54">
        <v>60</v>
      </c>
      <c r="BS21" s="54">
        <v>57</v>
      </c>
      <c r="BT21" s="54">
        <v>56</v>
      </c>
      <c r="BU21" s="54">
        <v>83</v>
      </c>
      <c r="BV21" s="54">
        <v>91</v>
      </c>
      <c r="BW21" s="54">
        <v>95</v>
      </c>
      <c r="BX21" s="54">
        <v>77</v>
      </c>
      <c r="BY21" s="54">
        <v>88</v>
      </c>
      <c r="BZ21" s="54">
        <v>79</v>
      </c>
      <c r="CA21" s="54">
        <v>73</v>
      </c>
      <c r="CB21" s="54">
        <v>92</v>
      </c>
      <c r="CC21" s="54">
        <v>87</v>
      </c>
      <c r="CD21" s="54">
        <v>105</v>
      </c>
      <c r="CE21" s="54">
        <v>87</v>
      </c>
      <c r="CF21" s="54">
        <v>102</v>
      </c>
      <c r="CG21" s="54">
        <v>109</v>
      </c>
      <c r="CH21" s="54">
        <v>126</v>
      </c>
      <c r="CI21" s="54">
        <v>111</v>
      </c>
      <c r="CJ21" s="54">
        <f t="shared" ref="CI21:CL21" si="46">+CI21</f>
        <v>111</v>
      </c>
      <c r="CK21" s="54">
        <f t="shared" si="46"/>
        <v>111</v>
      </c>
      <c r="CL21" s="54">
        <f t="shared" si="46"/>
        <v>111</v>
      </c>
      <c r="CM21" s="54"/>
      <c r="CN21" s="23"/>
      <c r="CO21" s="23"/>
      <c r="CP21" s="23"/>
      <c r="CQ21" s="23"/>
      <c r="CR21" s="23"/>
      <c r="CS21" s="23"/>
      <c r="CT21" s="23"/>
      <c r="CU21" s="32"/>
      <c r="CV21" s="32"/>
      <c r="CW21" s="23"/>
      <c r="CX21" s="23"/>
      <c r="CY21" s="23"/>
      <c r="CZ21" s="23"/>
      <c r="DA21" s="23"/>
      <c r="DB21" s="23"/>
      <c r="DC21" s="23"/>
      <c r="DJ21" s="27">
        <f t="shared" si="19"/>
        <v>424</v>
      </c>
    </row>
    <row r="22" spans="2:114" x14ac:dyDescent="0.2">
      <c r="B22" s="19" t="s">
        <v>302</v>
      </c>
      <c r="R22" s="23"/>
      <c r="S22" s="23"/>
      <c r="T22" s="23"/>
      <c r="U22" s="23"/>
      <c r="V22" s="23"/>
      <c r="W22" s="23"/>
      <c r="X22" s="23"/>
      <c r="Y22" s="23">
        <v>13</v>
      </c>
      <c r="Z22" s="23">
        <v>12</v>
      </c>
      <c r="AA22" s="23">
        <v>24</v>
      </c>
      <c r="AB22" s="23">
        <v>39</v>
      </c>
      <c r="AC22" s="23">
        <v>46</v>
      </c>
      <c r="AD22" s="23">
        <v>63</v>
      </c>
      <c r="AE22" s="23">
        <v>63</v>
      </c>
      <c r="AF22" s="23">
        <v>68</v>
      </c>
      <c r="AG22" s="23">
        <f t="shared" ref="AG22" si="47">+AF22</f>
        <v>68</v>
      </c>
      <c r="AH22" s="23">
        <f>+AG22</f>
        <v>68</v>
      </c>
      <c r="AI22" s="23"/>
      <c r="AJ22" s="23"/>
      <c r="AK22" s="23"/>
      <c r="AL22" s="23"/>
      <c r="AM22" s="23"/>
      <c r="AN22" s="23">
        <v>69</v>
      </c>
      <c r="AO22" s="56">
        <v>67</v>
      </c>
      <c r="AP22" s="23"/>
      <c r="AQ22" s="23"/>
      <c r="AR22" s="56">
        <v>66</v>
      </c>
      <c r="AS22" s="23"/>
      <c r="AT22" s="23"/>
      <c r="AU22" s="23"/>
      <c r="AV22" s="23"/>
      <c r="AW22" s="23"/>
      <c r="AX22" s="23"/>
      <c r="AY22" s="23"/>
      <c r="AZ22" s="23"/>
      <c r="BA22" s="23"/>
      <c r="BB22" s="23"/>
      <c r="BC22" s="23"/>
      <c r="BD22" s="23"/>
      <c r="BE22" s="23"/>
      <c r="BF22" s="23"/>
      <c r="BG22" s="23"/>
      <c r="BH22" s="23"/>
      <c r="BI22" s="23"/>
      <c r="BJ22" s="23"/>
      <c r="BK22" s="54">
        <v>79</v>
      </c>
      <c r="BL22" s="54"/>
      <c r="BM22" s="54"/>
      <c r="BN22" s="54"/>
      <c r="BO22" s="54">
        <v>81</v>
      </c>
      <c r="BP22" s="54">
        <v>73</v>
      </c>
      <c r="BQ22" s="54">
        <v>79</v>
      </c>
      <c r="BR22" s="54">
        <v>79</v>
      </c>
      <c r="BS22" s="54">
        <v>72</v>
      </c>
      <c r="BT22" s="54">
        <v>79</v>
      </c>
      <c r="BU22" s="54">
        <v>79</v>
      </c>
      <c r="BV22" s="54">
        <v>99</v>
      </c>
      <c r="BW22" s="54">
        <v>87</v>
      </c>
      <c r="BX22" s="54">
        <v>91</v>
      </c>
      <c r="BY22" s="54">
        <v>101</v>
      </c>
      <c r="BZ22" s="54">
        <v>104</v>
      </c>
      <c r="CA22" s="54">
        <v>84</v>
      </c>
      <c r="CB22" s="54">
        <v>80</v>
      </c>
      <c r="CC22" s="54">
        <v>93</v>
      </c>
      <c r="CD22" s="54">
        <v>87</v>
      </c>
      <c r="CE22" s="54">
        <v>78</v>
      </c>
      <c r="CF22" s="54">
        <v>84</v>
      </c>
      <c r="CG22" s="54">
        <v>72</v>
      </c>
      <c r="CH22" s="54">
        <v>77</v>
      </c>
      <c r="CI22" s="54">
        <v>81</v>
      </c>
      <c r="CJ22" s="54">
        <f t="shared" ref="CI22:CL22" si="48">+CI22</f>
        <v>81</v>
      </c>
      <c r="CK22" s="54">
        <f t="shared" si="48"/>
        <v>81</v>
      </c>
      <c r="CL22" s="54">
        <f t="shared" si="48"/>
        <v>81</v>
      </c>
      <c r="CM22" s="54"/>
      <c r="CN22" s="23"/>
      <c r="CP22" s="23"/>
      <c r="CQ22" s="23"/>
      <c r="CR22" s="23"/>
      <c r="CS22" s="23"/>
      <c r="CT22" s="23"/>
      <c r="CU22" s="23">
        <f>SUM(W22:Z22)</f>
        <v>25</v>
      </c>
      <c r="CV22" s="23">
        <f>SUM(AA22:AD22)</f>
        <v>172</v>
      </c>
      <c r="CW22" s="23">
        <v>600</v>
      </c>
      <c r="CX22" s="23">
        <v>800</v>
      </c>
      <c r="CY22" s="23">
        <v>1000</v>
      </c>
      <c r="CZ22" s="23">
        <f>CY22*1.1</f>
        <v>1100</v>
      </c>
      <c r="DA22" s="23">
        <f>CZ22*1.05</f>
        <v>1155</v>
      </c>
      <c r="DB22" s="23">
        <f>DA22*1.05</f>
        <v>1212.75</v>
      </c>
      <c r="DC22" s="23">
        <f>+DB22*0.1</f>
        <v>121.27500000000001</v>
      </c>
      <c r="DE22" s="19"/>
      <c r="DJ22" s="27">
        <f t="shared" si="19"/>
        <v>311</v>
      </c>
    </row>
    <row r="23" spans="2:114" s="27" customFormat="1" x14ac:dyDescent="0.2">
      <c r="B23" s="48" t="s">
        <v>349</v>
      </c>
      <c r="C23" s="23"/>
      <c r="D23" s="23"/>
      <c r="E23" s="23"/>
      <c r="F23" s="23"/>
      <c r="G23" s="23"/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  <c r="V23" s="23"/>
      <c r="W23" s="23"/>
      <c r="X23" s="23"/>
      <c r="Y23" s="23"/>
      <c r="Z23" s="23"/>
      <c r="AA23" s="23"/>
      <c r="AB23" s="23"/>
      <c r="AC23" s="23"/>
      <c r="AD23" s="23"/>
      <c r="AE23" s="23"/>
      <c r="AF23" s="23"/>
      <c r="AG23" s="23"/>
      <c r="AH23" s="23"/>
      <c r="AI23" s="23"/>
      <c r="AJ23" s="23"/>
      <c r="AK23" s="23"/>
      <c r="AL23" s="23"/>
      <c r="AM23" s="23"/>
      <c r="AN23" s="23">
        <v>41</v>
      </c>
      <c r="AO23" s="56">
        <v>38</v>
      </c>
      <c r="AP23" s="23"/>
      <c r="AQ23" s="23"/>
      <c r="AR23" s="56">
        <v>45</v>
      </c>
      <c r="AS23" s="23"/>
      <c r="AT23" s="23"/>
      <c r="AU23" s="23"/>
      <c r="AV23" s="23"/>
      <c r="AW23" s="23"/>
      <c r="AX23" s="23"/>
      <c r="AY23" s="23"/>
      <c r="AZ23" s="23"/>
      <c r="BA23" s="23"/>
      <c r="BB23" s="23"/>
      <c r="BC23" s="23"/>
      <c r="BD23" s="23"/>
      <c r="BE23" s="23"/>
      <c r="BF23" s="23"/>
      <c r="BG23" s="23"/>
      <c r="BH23" s="23"/>
      <c r="BI23" s="23"/>
      <c r="BJ23" s="23"/>
      <c r="BK23" s="54">
        <v>67</v>
      </c>
      <c r="BL23" s="54"/>
      <c r="BM23" s="54"/>
      <c r="BN23" s="54"/>
      <c r="BO23" s="54">
        <v>67</v>
      </c>
      <c r="BP23" s="54">
        <v>55</v>
      </c>
      <c r="BQ23" s="54">
        <v>55</v>
      </c>
      <c r="BR23" s="54">
        <v>57</v>
      </c>
      <c r="BS23" s="54">
        <v>66</v>
      </c>
      <c r="BT23" s="54">
        <v>57</v>
      </c>
      <c r="BU23" s="54">
        <v>57</v>
      </c>
      <c r="BV23" s="54">
        <v>63</v>
      </c>
      <c r="BW23" s="54">
        <v>69</v>
      </c>
      <c r="BX23" s="54">
        <v>64</v>
      </c>
      <c r="BY23" s="54">
        <v>69</v>
      </c>
      <c r="BZ23" s="54">
        <v>65</v>
      </c>
      <c r="CA23" s="54">
        <v>78</v>
      </c>
      <c r="CB23" s="54">
        <v>72</v>
      </c>
      <c r="CC23" s="54">
        <v>67</v>
      </c>
      <c r="CD23" s="54">
        <v>62</v>
      </c>
      <c r="CE23" s="54">
        <v>83</v>
      </c>
      <c r="CF23" s="54">
        <v>78</v>
      </c>
      <c r="CG23" s="54">
        <v>67</v>
      </c>
      <c r="CH23" s="54">
        <v>69</v>
      </c>
      <c r="CI23" s="54">
        <v>94</v>
      </c>
      <c r="CJ23" s="54">
        <f t="shared" ref="CI23:CL23" si="49">+CI23</f>
        <v>94</v>
      </c>
      <c r="CK23" s="54">
        <f t="shared" si="49"/>
        <v>94</v>
      </c>
      <c r="CL23" s="54">
        <f t="shared" si="49"/>
        <v>94</v>
      </c>
      <c r="CM23" s="54"/>
      <c r="CN23" s="23"/>
      <c r="CO23" s="23"/>
      <c r="CP23" s="23"/>
      <c r="CQ23" s="23"/>
      <c r="CR23" s="23"/>
      <c r="CS23" s="23"/>
      <c r="CT23" s="23"/>
      <c r="CU23" s="32"/>
      <c r="CV23" s="32"/>
      <c r="CW23" s="23"/>
      <c r="CX23" s="23"/>
      <c r="CY23" s="23"/>
      <c r="CZ23" s="23"/>
      <c r="DA23" s="23"/>
      <c r="DB23" s="23"/>
      <c r="DC23" s="23"/>
      <c r="DJ23" s="27">
        <f t="shared" si="19"/>
        <v>297</v>
      </c>
    </row>
    <row r="24" spans="2:114" s="27" customFormat="1" x14ac:dyDescent="0.2">
      <c r="B24" s="48" t="s">
        <v>539</v>
      </c>
      <c r="C24" s="23"/>
      <c r="D24" s="23"/>
      <c r="E24" s="23"/>
      <c r="F24" s="23"/>
      <c r="G24" s="23"/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  <c r="V24" s="23"/>
      <c r="W24" s="23"/>
      <c r="X24" s="23"/>
      <c r="Y24" s="23"/>
      <c r="Z24" s="23"/>
      <c r="AA24" s="23"/>
      <c r="AB24" s="23"/>
      <c r="AC24" s="23"/>
      <c r="AD24" s="23"/>
      <c r="AE24" s="23"/>
      <c r="AF24" s="23"/>
      <c r="AG24" s="23"/>
      <c r="AH24" s="23"/>
      <c r="AI24" s="23"/>
      <c r="AJ24" s="23"/>
      <c r="AK24" s="23"/>
      <c r="AL24" s="23"/>
      <c r="AM24" s="23"/>
      <c r="AN24" s="23"/>
      <c r="AO24" s="56"/>
      <c r="AP24" s="23"/>
      <c r="AQ24" s="23"/>
      <c r="AR24" s="56"/>
      <c r="AS24" s="23"/>
      <c r="AT24" s="23"/>
      <c r="AU24" s="23"/>
      <c r="AV24" s="23"/>
      <c r="AW24" s="23"/>
      <c r="AX24" s="23"/>
      <c r="AY24" s="23"/>
      <c r="AZ24" s="23"/>
      <c r="BA24" s="23"/>
      <c r="BB24" s="23"/>
      <c r="BC24" s="23"/>
      <c r="BD24" s="23"/>
      <c r="BE24" s="23"/>
      <c r="BF24" s="23"/>
      <c r="BG24" s="23"/>
      <c r="BH24" s="23"/>
      <c r="BI24" s="23"/>
      <c r="BJ24" s="23"/>
      <c r="BK24" s="54">
        <v>56</v>
      </c>
      <c r="BL24" s="54"/>
      <c r="BM24" s="54"/>
      <c r="BN24" s="54"/>
      <c r="BO24" s="54">
        <v>73</v>
      </c>
      <c r="BP24" s="54">
        <v>73</v>
      </c>
      <c r="BQ24" s="54">
        <v>50</v>
      </c>
      <c r="BR24" s="54">
        <v>65</v>
      </c>
      <c r="BS24" s="54">
        <v>56</v>
      </c>
      <c r="BT24" s="54">
        <v>48</v>
      </c>
      <c r="BU24" s="54">
        <v>59</v>
      </c>
      <c r="BV24" s="54">
        <v>55</v>
      </c>
      <c r="BW24" s="54">
        <v>69</v>
      </c>
      <c r="BX24" s="60">
        <v>128</v>
      </c>
      <c r="BY24" s="54">
        <v>83</v>
      </c>
      <c r="BZ24" s="54">
        <v>96</v>
      </c>
      <c r="CA24" s="54">
        <v>98</v>
      </c>
      <c r="CB24" s="54">
        <v>91</v>
      </c>
      <c r="CC24" s="54">
        <v>115</v>
      </c>
      <c r="CD24" s="54">
        <v>118</v>
      </c>
      <c r="CE24" s="54">
        <v>121</v>
      </c>
      <c r="CF24" s="54">
        <v>126</v>
      </c>
      <c r="CG24" s="54">
        <v>126</v>
      </c>
      <c r="CH24" s="54">
        <v>110</v>
      </c>
      <c r="CI24" s="54">
        <v>130</v>
      </c>
      <c r="CJ24" s="54">
        <f t="shared" ref="CI24:CL24" si="50">+CI24</f>
        <v>130</v>
      </c>
      <c r="CK24" s="54">
        <f t="shared" si="50"/>
        <v>130</v>
      </c>
      <c r="CL24" s="54">
        <f t="shared" si="50"/>
        <v>130</v>
      </c>
      <c r="CM24" s="54"/>
      <c r="CN24" s="23"/>
      <c r="CO24" s="23"/>
      <c r="CP24" s="23"/>
      <c r="CQ24" s="23"/>
      <c r="CR24" s="23"/>
      <c r="CS24" s="23"/>
      <c r="CT24" s="23"/>
      <c r="CU24" s="32"/>
      <c r="CV24" s="32"/>
      <c r="CW24" s="23"/>
      <c r="CX24" s="23"/>
      <c r="CY24" s="23"/>
      <c r="CZ24" s="23"/>
      <c r="DA24" s="23"/>
      <c r="DB24" s="23"/>
      <c r="DC24" s="23"/>
      <c r="DJ24" s="27">
        <f t="shared" si="19"/>
        <v>483</v>
      </c>
    </row>
    <row r="25" spans="2:114" s="27" customFormat="1" x14ac:dyDescent="0.2">
      <c r="B25" s="48" t="s">
        <v>530</v>
      </c>
      <c r="C25" s="23"/>
      <c r="D25" s="23"/>
      <c r="E25" s="23"/>
      <c r="F25" s="23"/>
      <c r="G25" s="23"/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  <c r="V25" s="23"/>
      <c r="W25" s="23"/>
      <c r="X25" s="23"/>
      <c r="Y25" s="23"/>
      <c r="Z25" s="23"/>
      <c r="AA25" s="23"/>
      <c r="AB25" s="23"/>
      <c r="AC25" s="23"/>
      <c r="AD25" s="23"/>
      <c r="AE25" s="23"/>
      <c r="AF25" s="23"/>
      <c r="AG25" s="23"/>
      <c r="AH25" s="23"/>
      <c r="AI25" s="23"/>
      <c r="AJ25" s="23"/>
      <c r="AK25" s="23"/>
      <c r="AL25" s="23"/>
      <c r="AM25" s="23"/>
      <c r="AN25" s="23"/>
      <c r="AO25" s="56"/>
      <c r="AP25" s="23"/>
      <c r="AQ25" s="23"/>
      <c r="AR25" s="56"/>
      <c r="AS25" s="23"/>
      <c r="AT25" s="23"/>
      <c r="AU25" s="23"/>
      <c r="AV25" s="23"/>
      <c r="AW25" s="23"/>
      <c r="AX25" s="23"/>
      <c r="AY25" s="23"/>
      <c r="AZ25" s="23"/>
      <c r="BA25" s="23"/>
      <c r="BB25" s="23"/>
      <c r="BC25" s="23"/>
      <c r="BD25" s="23"/>
      <c r="BE25" s="23"/>
      <c r="BF25" s="23"/>
      <c r="BG25" s="23"/>
      <c r="BH25" s="23"/>
      <c r="BI25" s="23"/>
      <c r="BJ25" s="23"/>
      <c r="BK25" s="54">
        <v>48</v>
      </c>
      <c r="BL25" s="54"/>
      <c r="BM25" s="54"/>
      <c r="BN25" s="54"/>
      <c r="BO25" s="54">
        <v>58</v>
      </c>
      <c r="BP25" s="54">
        <v>57</v>
      </c>
      <c r="BQ25" s="54">
        <v>60</v>
      </c>
      <c r="BR25" s="54">
        <v>59</v>
      </c>
      <c r="BS25" s="54">
        <v>62</v>
      </c>
      <c r="BT25" s="54">
        <v>61</v>
      </c>
      <c r="BU25" s="54">
        <v>64</v>
      </c>
      <c r="BV25" s="54">
        <v>67</v>
      </c>
      <c r="BW25" s="54">
        <v>67</v>
      </c>
      <c r="BX25" s="54">
        <v>72</v>
      </c>
      <c r="BY25" s="54">
        <v>78</v>
      </c>
      <c r="BZ25" s="54">
        <v>71</v>
      </c>
      <c r="CA25" s="54">
        <v>73</v>
      </c>
      <c r="CB25" s="54">
        <v>77</v>
      </c>
      <c r="CC25" s="54">
        <v>73</v>
      </c>
      <c r="CD25" s="54">
        <v>75</v>
      </c>
      <c r="CE25" s="54">
        <v>83</v>
      </c>
      <c r="CF25" s="54">
        <v>82</v>
      </c>
      <c r="CG25" s="54">
        <v>81</v>
      </c>
      <c r="CH25" s="54">
        <v>87</v>
      </c>
      <c r="CI25" s="54">
        <v>86</v>
      </c>
      <c r="CJ25" s="54">
        <f t="shared" ref="CI25:CL25" si="51">+CI25</f>
        <v>86</v>
      </c>
      <c r="CK25" s="54">
        <f t="shared" si="51"/>
        <v>86</v>
      </c>
      <c r="CL25" s="54">
        <f t="shared" si="51"/>
        <v>86</v>
      </c>
      <c r="CM25" s="54"/>
      <c r="CN25" s="23"/>
      <c r="CO25" s="23"/>
      <c r="CP25" s="23"/>
      <c r="CQ25" s="23"/>
      <c r="CR25" s="23"/>
      <c r="CS25" s="23"/>
      <c r="CT25" s="23"/>
      <c r="CU25" s="32"/>
      <c r="CV25" s="32"/>
      <c r="CW25" s="23"/>
      <c r="CX25" s="23"/>
      <c r="CY25" s="23"/>
      <c r="CZ25" s="23"/>
      <c r="DA25" s="23"/>
      <c r="DB25" s="23"/>
      <c r="DC25" s="23"/>
      <c r="DJ25" s="27">
        <f t="shared" si="19"/>
        <v>333</v>
      </c>
    </row>
    <row r="26" spans="2:114" s="27" customFormat="1" x14ac:dyDescent="0.2">
      <c r="B26" s="48" t="s">
        <v>531</v>
      </c>
      <c r="C26" s="23"/>
      <c r="D26" s="23"/>
      <c r="E26" s="23"/>
      <c r="F26" s="23"/>
      <c r="G26" s="23"/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  <c r="V26" s="23"/>
      <c r="W26" s="23"/>
      <c r="X26" s="23"/>
      <c r="Y26" s="23"/>
      <c r="Z26" s="23"/>
      <c r="AA26" s="23"/>
      <c r="AB26" s="23"/>
      <c r="AC26" s="23"/>
      <c r="AD26" s="23"/>
      <c r="AE26" s="23"/>
      <c r="AF26" s="23"/>
      <c r="AG26" s="23"/>
      <c r="AH26" s="23"/>
      <c r="AI26" s="23"/>
      <c r="AJ26" s="23"/>
      <c r="AK26" s="23"/>
      <c r="AL26" s="23"/>
      <c r="AM26" s="23"/>
      <c r="AN26" s="23"/>
      <c r="AO26" s="56"/>
      <c r="AP26" s="23"/>
      <c r="AQ26" s="23"/>
      <c r="AR26" s="56"/>
      <c r="AS26" s="23"/>
      <c r="AT26" s="23"/>
      <c r="AU26" s="23"/>
      <c r="AV26" s="23"/>
      <c r="AW26" s="23"/>
      <c r="AX26" s="23"/>
      <c r="AY26" s="23"/>
      <c r="AZ26" s="23"/>
      <c r="BA26" s="23"/>
      <c r="BB26" s="23"/>
      <c r="BC26" s="23"/>
      <c r="BD26" s="23"/>
      <c r="BE26" s="23"/>
      <c r="BF26" s="23"/>
      <c r="BG26" s="23"/>
      <c r="BH26" s="23"/>
      <c r="BI26" s="23"/>
      <c r="BJ26" s="23"/>
      <c r="BK26" s="74"/>
      <c r="BL26" s="54"/>
      <c r="BM26" s="54"/>
      <c r="BN26" s="54"/>
      <c r="BO26" s="54">
        <v>1</v>
      </c>
      <c r="BP26" s="54">
        <v>4</v>
      </c>
      <c r="BQ26" s="54">
        <v>13</v>
      </c>
      <c r="BR26" s="54">
        <v>25</v>
      </c>
      <c r="BS26" s="54">
        <v>34</v>
      </c>
      <c r="BT26" s="54">
        <v>40</v>
      </c>
      <c r="BU26" s="54">
        <v>48</v>
      </c>
      <c r="BV26" s="54">
        <v>54</v>
      </c>
      <c r="BW26" s="54">
        <v>65</v>
      </c>
      <c r="BX26" s="54">
        <v>64</v>
      </c>
      <c r="BY26" s="54">
        <v>79</v>
      </c>
      <c r="BZ26" s="54">
        <v>86</v>
      </c>
      <c r="CA26" s="54">
        <v>87</v>
      </c>
      <c r="CB26" s="54">
        <v>94</v>
      </c>
      <c r="CC26" s="54">
        <v>97</v>
      </c>
      <c r="CD26" s="54">
        <v>103</v>
      </c>
      <c r="CE26" s="54">
        <v>106</v>
      </c>
      <c r="CF26" s="54">
        <v>121</v>
      </c>
      <c r="CG26" s="54">
        <v>114</v>
      </c>
      <c r="CH26" s="54">
        <v>130</v>
      </c>
      <c r="CI26" s="54">
        <v>136</v>
      </c>
      <c r="CJ26" s="54">
        <f t="shared" ref="CI26:CL26" si="52">+CI26</f>
        <v>136</v>
      </c>
      <c r="CK26" s="54">
        <f t="shared" si="52"/>
        <v>136</v>
      </c>
      <c r="CL26" s="54">
        <f t="shared" si="52"/>
        <v>136</v>
      </c>
      <c r="CM26" s="54"/>
      <c r="CN26" s="23"/>
      <c r="CO26" s="23"/>
      <c r="CP26" s="23"/>
      <c r="CQ26" s="23"/>
      <c r="CR26" s="23"/>
      <c r="CS26" s="23"/>
      <c r="CT26" s="23"/>
      <c r="CU26" s="32"/>
      <c r="CV26" s="23"/>
      <c r="CW26" s="23"/>
      <c r="CX26" s="23"/>
      <c r="CY26" s="23"/>
      <c r="CZ26" s="23"/>
      <c r="DA26" s="23"/>
      <c r="DB26" s="23"/>
      <c r="DC26" s="23"/>
      <c r="DJ26" s="27">
        <f t="shared" si="19"/>
        <v>471</v>
      </c>
    </row>
    <row r="27" spans="2:114" x14ac:dyDescent="0.2">
      <c r="B27" s="19" t="s">
        <v>351</v>
      </c>
      <c r="R27" s="23"/>
      <c r="S27" s="23"/>
      <c r="T27" s="23"/>
      <c r="U27" s="23"/>
      <c r="V27" s="23"/>
      <c r="W27" s="23"/>
      <c r="X27" s="23"/>
      <c r="Y27" s="23"/>
      <c r="Z27" s="23"/>
      <c r="AA27" s="23"/>
      <c r="AB27" s="23"/>
      <c r="AC27" s="23"/>
      <c r="AD27" s="23"/>
      <c r="AE27" s="23"/>
      <c r="AF27" s="23"/>
      <c r="AG27" s="23"/>
      <c r="AH27" s="23"/>
      <c r="AI27" s="23"/>
      <c r="AJ27" s="23"/>
      <c r="AK27" s="23"/>
      <c r="AL27" s="23"/>
      <c r="AM27" s="23"/>
      <c r="AN27" s="23">
        <v>25</v>
      </c>
      <c r="AO27" s="56">
        <v>25</v>
      </c>
      <c r="AP27" s="23"/>
      <c r="AQ27" s="23"/>
      <c r="AR27" s="56">
        <v>26</v>
      </c>
      <c r="AS27" s="23"/>
      <c r="AT27" s="23"/>
      <c r="AU27" s="23"/>
      <c r="AV27" s="23"/>
      <c r="AW27" s="23"/>
      <c r="AX27" s="23"/>
      <c r="AY27" s="23"/>
      <c r="AZ27" s="23"/>
      <c r="BA27" s="23"/>
      <c r="BB27" s="23"/>
      <c r="BC27" s="23"/>
      <c r="BD27" s="23"/>
      <c r="BE27" s="23"/>
      <c r="BF27" s="23"/>
      <c r="BG27" s="23"/>
      <c r="BH27" s="23"/>
      <c r="BI27" s="23"/>
      <c r="BJ27" s="23"/>
      <c r="BK27" s="54">
        <v>44</v>
      </c>
      <c r="BL27" s="54"/>
      <c r="BM27" s="54"/>
      <c r="BN27" s="54"/>
      <c r="BO27" s="54">
        <v>54</v>
      </c>
      <c r="BP27" s="54">
        <v>45</v>
      </c>
      <c r="BQ27" s="54">
        <v>56</v>
      </c>
      <c r="BR27" s="54">
        <v>59</v>
      </c>
      <c r="BS27" s="54">
        <v>52</v>
      </c>
      <c r="BT27" s="54">
        <v>58</v>
      </c>
      <c r="BU27" s="54">
        <v>60</v>
      </c>
      <c r="BV27" s="54">
        <v>63</v>
      </c>
      <c r="BW27" s="54">
        <v>58</v>
      </c>
      <c r="BX27" s="54">
        <v>66</v>
      </c>
      <c r="BY27" s="54">
        <v>68</v>
      </c>
      <c r="BZ27" s="54">
        <v>69</v>
      </c>
      <c r="CA27" s="54">
        <v>67</v>
      </c>
      <c r="CB27" s="54">
        <v>69</v>
      </c>
      <c r="CC27" s="54">
        <v>51</v>
      </c>
      <c r="CD27" s="54">
        <v>33</v>
      </c>
      <c r="CE27" s="54">
        <v>25</v>
      </c>
      <c r="CF27" s="54">
        <v>21</v>
      </c>
      <c r="CG27" s="54">
        <v>16</v>
      </c>
      <c r="CH27" s="54">
        <v>12</v>
      </c>
      <c r="CI27" s="54">
        <v>8</v>
      </c>
      <c r="CJ27" s="54">
        <f t="shared" ref="CI27:CL27" si="53">+CI27</f>
        <v>8</v>
      </c>
      <c r="CK27" s="54">
        <f t="shared" si="53"/>
        <v>8</v>
      </c>
      <c r="CL27" s="54">
        <f t="shared" si="53"/>
        <v>8</v>
      </c>
      <c r="CM27" s="54"/>
      <c r="CN27" s="23"/>
      <c r="CP27" s="23"/>
      <c r="CQ27" s="23"/>
      <c r="CR27" s="23"/>
      <c r="CS27" s="23"/>
      <c r="CT27" s="23"/>
      <c r="CU27" s="32"/>
      <c r="CV27" s="32"/>
      <c r="CW27" s="23"/>
      <c r="CX27" s="23"/>
      <c r="CY27" s="23"/>
      <c r="CZ27" s="23"/>
      <c r="DA27" s="23"/>
      <c r="DB27" s="23"/>
      <c r="DC27" s="23"/>
      <c r="DJ27" s="27">
        <f t="shared" si="19"/>
        <v>74</v>
      </c>
    </row>
    <row r="28" spans="2:114" s="27" customFormat="1" x14ac:dyDescent="0.2">
      <c r="B28" s="48" t="s">
        <v>538</v>
      </c>
      <c r="C28" s="23"/>
      <c r="D28" s="23"/>
      <c r="E28" s="23"/>
      <c r="F28" s="23"/>
      <c r="G28" s="23"/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  <c r="V28" s="23"/>
      <c r="W28" s="23"/>
      <c r="X28" s="23"/>
      <c r="Y28" s="23"/>
      <c r="Z28" s="23"/>
      <c r="AA28" s="23"/>
      <c r="AB28" s="23"/>
      <c r="AC28" s="23"/>
      <c r="AD28" s="23"/>
      <c r="AE28" s="23"/>
      <c r="AF28" s="23"/>
      <c r="AG28" s="23"/>
      <c r="AH28" s="23"/>
      <c r="AI28" s="23"/>
      <c r="AJ28" s="23"/>
      <c r="AK28" s="23"/>
      <c r="AL28" s="23"/>
      <c r="AM28" s="23"/>
      <c r="AN28" s="23"/>
      <c r="AO28" s="56"/>
      <c r="AP28" s="23"/>
      <c r="AQ28" s="23"/>
      <c r="AR28" s="56"/>
      <c r="AS28" s="23"/>
      <c r="AT28" s="23"/>
      <c r="AU28" s="23"/>
      <c r="AV28" s="23"/>
      <c r="AW28" s="23"/>
      <c r="AX28" s="23"/>
      <c r="AY28" s="23"/>
      <c r="AZ28" s="23"/>
      <c r="BA28" s="23"/>
      <c r="BB28" s="23"/>
      <c r="BC28" s="23"/>
      <c r="BD28" s="23"/>
      <c r="BE28" s="23"/>
      <c r="BF28" s="23"/>
      <c r="BG28" s="23"/>
      <c r="BH28" s="23"/>
      <c r="BI28" s="23"/>
      <c r="BJ28" s="23"/>
      <c r="BK28" s="54"/>
      <c r="BL28" s="54"/>
      <c r="BM28" s="54"/>
      <c r="BN28" s="54"/>
      <c r="BO28" s="54">
        <v>37</v>
      </c>
      <c r="BP28" s="54">
        <v>38</v>
      </c>
      <c r="BQ28" s="54">
        <v>40</v>
      </c>
      <c r="BR28" s="54">
        <v>46</v>
      </c>
      <c r="BS28" s="54">
        <v>44</v>
      </c>
      <c r="BT28" s="54">
        <v>46</v>
      </c>
      <c r="BU28" s="54">
        <v>51</v>
      </c>
      <c r="BV28" s="54">
        <v>54</v>
      </c>
      <c r="BW28" s="54">
        <v>53</v>
      </c>
      <c r="BX28" s="54">
        <v>53</v>
      </c>
      <c r="BY28" s="54">
        <v>54</v>
      </c>
      <c r="BZ28" s="54">
        <v>55</v>
      </c>
      <c r="CA28" s="54">
        <v>63</v>
      </c>
      <c r="CB28" s="54">
        <v>43</v>
      </c>
      <c r="CC28" s="54">
        <v>50</v>
      </c>
      <c r="CD28" s="54">
        <v>61</v>
      </c>
      <c r="CE28" s="54">
        <v>58</v>
      </c>
      <c r="CF28" s="54">
        <v>56</v>
      </c>
      <c r="CG28" s="54">
        <v>55</v>
      </c>
      <c r="CH28" s="54">
        <v>58</v>
      </c>
      <c r="CI28" s="54">
        <v>70</v>
      </c>
      <c r="CJ28" s="54">
        <f t="shared" ref="CI28:CL28" si="54">+CI28</f>
        <v>70</v>
      </c>
      <c r="CK28" s="54">
        <f t="shared" si="54"/>
        <v>70</v>
      </c>
      <c r="CL28" s="54">
        <f t="shared" si="54"/>
        <v>70</v>
      </c>
      <c r="CM28" s="54"/>
      <c r="CN28" s="23"/>
      <c r="CO28" s="23"/>
      <c r="CP28" s="23"/>
      <c r="CQ28" s="23"/>
      <c r="CR28" s="23"/>
      <c r="CS28" s="23"/>
      <c r="CT28" s="23"/>
      <c r="CU28" s="32"/>
      <c r="CV28" s="32"/>
      <c r="CW28" s="23"/>
      <c r="CX28" s="23"/>
      <c r="CY28" s="23"/>
      <c r="CZ28" s="23"/>
      <c r="DA28" s="23"/>
      <c r="DB28" s="23"/>
      <c r="DC28" s="23"/>
      <c r="DJ28" s="27">
        <f t="shared" si="19"/>
        <v>227</v>
      </c>
    </row>
    <row r="29" spans="2:114" s="27" customFormat="1" x14ac:dyDescent="0.2">
      <c r="B29" s="48" t="s">
        <v>536</v>
      </c>
      <c r="C29" s="23"/>
      <c r="D29" s="23"/>
      <c r="E29" s="23"/>
      <c r="F29" s="23"/>
      <c r="G29" s="23"/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  <c r="V29" s="23"/>
      <c r="W29" s="23"/>
      <c r="X29" s="23"/>
      <c r="Y29" s="23"/>
      <c r="Z29" s="23"/>
      <c r="AA29" s="23"/>
      <c r="AB29" s="23"/>
      <c r="AC29" s="23"/>
      <c r="AD29" s="23"/>
      <c r="AE29" s="23"/>
      <c r="AF29" s="23"/>
      <c r="AG29" s="23"/>
      <c r="AH29" s="23"/>
      <c r="AI29" s="23"/>
      <c r="AJ29" s="23"/>
      <c r="AK29" s="23"/>
      <c r="AL29" s="23"/>
      <c r="AM29" s="23"/>
      <c r="AN29" s="23"/>
      <c r="AO29" s="56"/>
      <c r="AP29" s="23"/>
      <c r="AQ29" s="23"/>
      <c r="AR29" s="56"/>
      <c r="AS29" s="23"/>
      <c r="AT29" s="23"/>
      <c r="AU29" s="23"/>
      <c r="AV29" s="23"/>
      <c r="AW29" s="23"/>
      <c r="AX29" s="23"/>
      <c r="AY29" s="23"/>
      <c r="AZ29" s="23"/>
      <c r="BA29" s="23"/>
      <c r="BB29" s="23"/>
      <c r="BC29" s="23"/>
      <c r="BD29" s="23"/>
      <c r="BE29" s="23"/>
      <c r="BF29" s="23"/>
      <c r="BG29" s="23"/>
      <c r="BH29" s="23"/>
      <c r="BI29" s="23"/>
      <c r="BJ29" s="23"/>
      <c r="BK29" s="54">
        <v>5</v>
      </c>
      <c r="BL29" s="54"/>
      <c r="BM29" s="54"/>
      <c r="BN29" s="54"/>
      <c r="BO29" s="54">
        <v>24</v>
      </c>
      <c r="BP29" s="54">
        <v>28</v>
      </c>
      <c r="BQ29" s="54">
        <v>31</v>
      </c>
      <c r="BR29" s="54">
        <v>30</v>
      </c>
      <c r="BS29" s="54">
        <v>38</v>
      </c>
      <c r="BT29" s="54">
        <v>46</v>
      </c>
      <c r="BU29" s="54">
        <v>42</v>
      </c>
      <c r="BV29" s="54">
        <v>38</v>
      </c>
      <c r="BW29" s="54">
        <v>46</v>
      </c>
      <c r="BX29" s="54">
        <v>51</v>
      </c>
      <c r="BY29" s="54">
        <v>52</v>
      </c>
      <c r="BZ29" s="54">
        <v>62</v>
      </c>
      <c r="CA29" s="54">
        <v>58</v>
      </c>
      <c r="CB29" s="54">
        <v>55</v>
      </c>
      <c r="CC29" s="54">
        <v>56</v>
      </c>
      <c r="CD29" s="54">
        <v>58</v>
      </c>
      <c r="CE29" s="54">
        <v>59</v>
      </c>
      <c r="CF29" s="54">
        <v>54</v>
      </c>
      <c r="CG29" s="54">
        <v>63</v>
      </c>
      <c r="CH29" s="54">
        <v>73</v>
      </c>
      <c r="CI29" s="54">
        <v>67</v>
      </c>
      <c r="CJ29" s="54">
        <f t="shared" ref="CI29:CL29" si="55">+CI29</f>
        <v>67</v>
      </c>
      <c r="CK29" s="54">
        <f t="shared" si="55"/>
        <v>67</v>
      </c>
      <c r="CL29" s="54">
        <f t="shared" si="55"/>
        <v>67</v>
      </c>
      <c r="CM29" s="54"/>
      <c r="CN29" s="23"/>
      <c r="CO29" s="23"/>
      <c r="CP29" s="23"/>
      <c r="CQ29" s="23"/>
      <c r="CR29" s="23"/>
      <c r="CS29" s="23"/>
      <c r="CT29" s="23"/>
      <c r="CU29" s="32"/>
      <c r="CV29" s="23"/>
      <c r="CW29" s="23"/>
      <c r="CX29" s="23"/>
      <c r="CY29" s="23"/>
      <c r="CZ29" s="23"/>
      <c r="DA29" s="23"/>
      <c r="DB29" s="23"/>
      <c r="DC29" s="23"/>
      <c r="DJ29" s="27">
        <f t="shared" si="19"/>
        <v>249</v>
      </c>
    </row>
    <row r="30" spans="2:114" s="27" customFormat="1" x14ac:dyDescent="0.2">
      <c r="B30" s="48" t="s">
        <v>612</v>
      </c>
      <c r="C30" s="23"/>
      <c r="D30" s="23"/>
      <c r="E30" s="23"/>
      <c r="F30" s="23"/>
      <c r="G30" s="23"/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  <c r="AB30" s="23"/>
      <c r="AC30" s="23"/>
      <c r="AD30" s="23"/>
      <c r="AE30" s="23"/>
      <c r="AF30" s="23"/>
      <c r="AG30" s="23"/>
      <c r="AH30" s="23"/>
      <c r="AI30" s="23"/>
      <c r="AJ30" s="23"/>
      <c r="AK30" s="23"/>
      <c r="AL30" s="23"/>
      <c r="AM30" s="23"/>
      <c r="AN30" s="23"/>
      <c r="AO30" s="56"/>
      <c r="AP30" s="23"/>
      <c r="AQ30" s="23"/>
      <c r="AR30" s="56"/>
      <c r="AS30" s="23"/>
      <c r="AT30" s="23"/>
      <c r="AU30" s="23"/>
      <c r="AV30" s="23"/>
      <c r="AW30" s="23"/>
      <c r="AX30" s="23"/>
      <c r="AY30" s="23"/>
      <c r="AZ30" s="23"/>
      <c r="BA30" s="23"/>
      <c r="BB30" s="23"/>
      <c r="BC30" s="23"/>
      <c r="BD30" s="23"/>
      <c r="BE30" s="23"/>
      <c r="BF30" s="23"/>
      <c r="BG30" s="23"/>
      <c r="BH30" s="23"/>
      <c r="BI30" s="23"/>
      <c r="BJ30" s="23"/>
      <c r="BK30" s="74"/>
      <c r="BL30" s="74"/>
      <c r="BM30" s="74"/>
      <c r="BN30" s="74"/>
      <c r="BO30" s="74"/>
      <c r="BP30" s="74"/>
      <c r="BQ30" s="74"/>
      <c r="BR30" s="74"/>
      <c r="BS30" s="74"/>
      <c r="BT30" s="74"/>
      <c r="BU30" s="54"/>
      <c r="BV30" s="54"/>
      <c r="BW30" s="54"/>
      <c r="BX30" s="54"/>
      <c r="BY30" s="54"/>
      <c r="BZ30" s="54"/>
      <c r="CA30" s="54">
        <v>18</v>
      </c>
      <c r="CB30" s="54">
        <v>20</v>
      </c>
      <c r="CC30" s="54">
        <v>27</v>
      </c>
      <c r="CD30" s="54">
        <v>26</v>
      </c>
      <c r="CE30" s="54">
        <v>35</v>
      </c>
      <c r="CF30" s="54">
        <v>37</v>
      </c>
      <c r="CG30" s="54">
        <v>41</v>
      </c>
      <c r="CH30" s="54">
        <v>38</v>
      </c>
      <c r="CI30" s="54">
        <v>56</v>
      </c>
      <c r="CJ30" s="54">
        <f t="shared" ref="CI30:CL30" si="56">+CI30</f>
        <v>56</v>
      </c>
      <c r="CK30" s="54">
        <f t="shared" si="56"/>
        <v>56</v>
      </c>
      <c r="CL30" s="54">
        <f t="shared" si="56"/>
        <v>56</v>
      </c>
      <c r="CM30" s="54"/>
      <c r="CN30" s="23"/>
      <c r="CO30" s="23"/>
      <c r="CP30" s="23"/>
      <c r="CQ30" s="23"/>
      <c r="CR30" s="23"/>
      <c r="CS30" s="23"/>
      <c r="CT30" s="23"/>
      <c r="CU30" s="32"/>
      <c r="CV30" s="23"/>
      <c r="CW30" s="23"/>
      <c r="CX30" s="23"/>
      <c r="CY30" s="23"/>
      <c r="CZ30" s="23"/>
      <c r="DA30" s="23"/>
      <c r="DB30" s="23"/>
      <c r="DC30" s="23"/>
      <c r="DJ30" s="27">
        <f t="shared" si="19"/>
        <v>151</v>
      </c>
    </row>
    <row r="31" spans="2:114" s="27" customFormat="1" x14ac:dyDescent="0.2">
      <c r="B31" s="48" t="s">
        <v>532</v>
      </c>
      <c r="C31" s="23"/>
      <c r="D31" s="23"/>
      <c r="E31" s="23"/>
      <c r="F31" s="23"/>
      <c r="G31" s="23"/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  <c r="V31" s="23"/>
      <c r="W31" s="23"/>
      <c r="X31" s="23"/>
      <c r="Y31" s="23"/>
      <c r="Z31" s="23"/>
      <c r="AA31" s="23"/>
      <c r="AB31" s="23"/>
      <c r="AC31" s="23"/>
      <c r="AD31" s="23"/>
      <c r="AE31" s="23"/>
      <c r="AF31" s="23"/>
      <c r="AG31" s="23"/>
      <c r="AH31" s="23"/>
      <c r="AI31" s="23"/>
      <c r="AJ31" s="23"/>
      <c r="AK31" s="23"/>
      <c r="AL31" s="23"/>
      <c r="AM31" s="23"/>
      <c r="AN31" s="23"/>
      <c r="AO31" s="56"/>
      <c r="AP31" s="23"/>
      <c r="AQ31" s="23"/>
      <c r="AR31" s="56"/>
      <c r="AS31" s="23"/>
      <c r="AT31" s="23"/>
      <c r="AU31" s="23"/>
      <c r="AV31" s="23"/>
      <c r="AW31" s="23"/>
      <c r="AX31" s="23"/>
      <c r="AY31" s="23"/>
      <c r="AZ31" s="23"/>
      <c r="BA31" s="23"/>
      <c r="BB31" s="23"/>
      <c r="BC31" s="23"/>
      <c r="BD31" s="23"/>
      <c r="BE31" s="23"/>
      <c r="BF31" s="23"/>
      <c r="BG31" s="23"/>
      <c r="BH31" s="23"/>
      <c r="BI31" s="23"/>
      <c r="BJ31" s="23"/>
      <c r="BK31" s="54"/>
      <c r="BL31" s="54"/>
      <c r="BM31" s="54"/>
      <c r="BN31" s="54"/>
      <c r="BO31" s="54">
        <v>35</v>
      </c>
      <c r="BP31" s="54">
        <v>37</v>
      </c>
      <c r="BQ31" s="54">
        <v>42</v>
      </c>
      <c r="BR31" s="54">
        <v>38</v>
      </c>
      <c r="BS31" s="54">
        <v>35</v>
      </c>
      <c r="BT31" s="54">
        <v>39</v>
      </c>
      <c r="BU31" s="54">
        <v>37</v>
      </c>
      <c r="BV31" s="54">
        <v>41</v>
      </c>
      <c r="BW31" s="54">
        <v>40</v>
      </c>
      <c r="BX31" s="54">
        <v>46</v>
      </c>
      <c r="BY31" s="54">
        <v>44</v>
      </c>
      <c r="BZ31" s="54">
        <v>47</v>
      </c>
      <c r="CA31" s="54">
        <v>45</v>
      </c>
      <c r="CB31" s="54">
        <v>45</v>
      </c>
      <c r="CC31" s="54">
        <v>40</v>
      </c>
      <c r="CD31" s="54">
        <v>40</v>
      </c>
      <c r="CE31" s="54">
        <v>42</v>
      </c>
      <c r="CF31" s="54">
        <v>44</v>
      </c>
      <c r="CG31" s="54">
        <v>46</v>
      </c>
      <c r="CH31" s="54">
        <v>51</v>
      </c>
      <c r="CI31" s="54">
        <v>44</v>
      </c>
      <c r="CJ31" s="54">
        <f t="shared" ref="CI31:CL31" si="57">+CI31</f>
        <v>44</v>
      </c>
      <c r="CK31" s="54">
        <f t="shared" si="57"/>
        <v>44</v>
      </c>
      <c r="CL31" s="54">
        <f t="shared" si="57"/>
        <v>44</v>
      </c>
      <c r="CM31" s="54"/>
      <c r="CN31" s="23"/>
      <c r="CO31" s="23"/>
      <c r="CP31" s="23"/>
      <c r="CQ31" s="23"/>
      <c r="CR31" s="23"/>
      <c r="CS31" s="23"/>
      <c r="CT31" s="23"/>
      <c r="CU31" s="32"/>
      <c r="CV31" s="23"/>
      <c r="CW31" s="23"/>
      <c r="CX31" s="23"/>
      <c r="CY31" s="23"/>
      <c r="CZ31" s="23"/>
      <c r="DA31" s="23"/>
      <c r="DB31" s="23"/>
      <c r="DC31" s="23"/>
      <c r="DJ31" s="27">
        <f t="shared" si="19"/>
        <v>183</v>
      </c>
    </row>
    <row r="32" spans="2:114" s="27" customFormat="1" x14ac:dyDescent="0.2">
      <c r="B32" s="48" t="s">
        <v>540</v>
      </c>
      <c r="C32" s="23"/>
      <c r="D32" s="23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56"/>
      <c r="AP32" s="23"/>
      <c r="AQ32" s="23"/>
      <c r="AR32" s="56"/>
      <c r="AS32" s="23"/>
      <c r="AT32" s="23"/>
      <c r="AU32" s="23"/>
      <c r="AV32" s="23"/>
      <c r="AW32" s="23"/>
      <c r="AX32" s="23"/>
      <c r="AY32" s="23"/>
      <c r="AZ32" s="23"/>
      <c r="BA32" s="23"/>
      <c r="BB32" s="23"/>
      <c r="BC32" s="23"/>
      <c r="BD32" s="23"/>
      <c r="BE32" s="23"/>
      <c r="BF32" s="23"/>
      <c r="BG32" s="23"/>
      <c r="BH32" s="23"/>
      <c r="BI32" s="23"/>
      <c r="BJ32" s="23"/>
      <c r="BK32" s="74"/>
      <c r="BL32" s="74"/>
      <c r="BM32" s="74"/>
      <c r="BN32" s="74"/>
      <c r="BO32" s="74"/>
      <c r="BP32" s="74"/>
      <c r="BQ32" s="74"/>
      <c r="BR32" s="74"/>
      <c r="BS32" s="74"/>
      <c r="BT32" s="74"/>
      <c r="BU32" s="54">
        <v>0</v>
      </c>
      <c r="BV32" s="54">
        <v>20</v>
      </c>
      <c r="BW32" s="54">
        <v>41</v>
      </c>
      <c r="BX32" s="54">
        <v>43</v>
      </c>
      <c r="BY32" s="54">
        <v>60</v>
      </c>
      <c r="BZ32" s="54">
        <v>63</v>
      </c>
      <c r="CA32" s="54">
        <v>67</v>
      </c>
      <c r="CB32" s="54">
        <v>74</v>
      </c>
      <c r="CC32" s="54">
        <v>83</v>
      </c>
      <c r="CD32" s="54">
        <v>86</v>
      </c>
      <c r="CE32" s="54">
        <v>93</v>
      </c>
      <c r="CF32" s="54">
        <v>114</v>
      </c>
      <c r="CG32" s="54">
        <v>131</v>
      </c>
      <c r="CH32" s="54">
        <v>132</v>
      </c>
      <c r="CI32" s="54">
        <v>131</v>
      </c>
      <c r="CJ32" s="54">
        <f t="shared" ref="CI32:CL32" si="58">+CI32</f>
        <v>131</v>
      </c>
      <c r="CK32" s="54">
        <f t="shared" si="58"/>
        <v>131</v>
      </c>
      <c r="CL32" s="54">
        <f t="shared" si="58"/>
        <v>131</v>
      </c>
      <c r="CM32" s="54"/>
      <c r="CN32" s="23"/>
      <c r="CO32" s="23"/>
      <c r="CP32" s="23"/>
      <c r="CQ32" s="23"/>
      <c r="CR32" s="23"/>
      <c r="CS32" s="23"/>
      <c r="CT32" s="23"/>
      <c r="CU32" s="32"/>
      <c r="CV32" s="23"/>
      <c r="CW32" s="23"/>
      <c r="CX32" s="23"/>
      <c r="CY32" s="23"/>
      <c r="CZ32" s="23"/>
      <c r="DA32" s="23"/>
      <c r="DB32" s="23"/>
      <c r="DC32" s="23"/>
      <c r="DJ32" s="27">
        <f t="shared" si="19"/>
        <v>470</v>
      </c>
    </row>
    <row r="33" spans="2:114" s="27" customFormat="1" x14ac:dyDescent="0.2">
      <c r="B33" s="48" t="s">
        <v>533</v>
      </c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  <c r="V33" s="23"/>
      <c r="W33" s="23"/>
      <c r="X33" s="23"/>
      <c r="Y33" s="23"/>
      <c r="Z33" s="23"/>
      <c r="AA33" s="23"/>
      <c r="AB33" s="23"/>
      <c r="AC33" s="23"/>
      <c r="AD33" s="23"/>
      <c r="AE33" s="23"/>
      <c r="AF33" s="23"/>
      <c r="AG33" s="23"/>
      <c r="AH33" s="23"/>
      <c r="AI33" s="23"/>
      <c r="AJ33" s="23"/>
      <c r="AK33" s="23"/>
      <c r="AL33" s="23"/>
      <c r="AM33" s="23"/>
      <c r="AN33" s="23"/>
      <c r="AO33" s="56"/>
      <c r="AP33" s="23"/>
      <c r="AQ33" s="23"/>
      <c r="AR33" s="56"/>
      <c r="AS33" s="23"/>
      <c r="AT33" s="23"/>
      <c r="AU33" s="23"/>
      <c r="AV33" s="23"/>
      <c r="AW33" s="23"/>
      <c r="AX33" s="23"/>
      <c r="AY33" s="23"/>
      <c r="AZ33" s="23"/>
      <c r="BA33" s="23"/>
      <c r="BB33" s="23"/>
      <c r="BC33" s="23"/>
      <c r="BD33" s="23"/>
      <c r="BE33" s="23"/>
      <c r="BF33" s="23"/>
      <c r="BG33" s="23"/>
      <c r="BH33" s="23"/>
      <c r="BI33" s="23"/>
      <c r="BJ33" s="23"/>
      <c r="BK33" s="54"/>
      <c r="BL33" s="54"/>
      <c r="BM33" s="54"/>
      <c r="BN33" s="54"/>
      <c r="BO33" s="54">
        <v>12</v>
      </c>
      <c r="BP33" s="54">
        <v>15</v>
      </c>
      <c r="BQ33" s="54">
        <v>21</v>
      </c>
      <c r="BR33" s="54">
        <v>19</v>
      </c>
      <c r="BS33" s="54">
        <v>26</v>
      </c>
      <c r="BT33" s="54">
        <v>33</v>
      </c>
      <c r="BU33" s="54">
        <v>35</v>
      </c>
      <c r="BV33" s="54">
        <v>35</v>
      </c>
      <c r="BW33" s="54">
        <v>41</v>
      </c>
      <c r="BX33" s="54">
        <v>47</v>
      </c>
      <c r="BY33" s="54"/>
      <c r="BZ33" s="54">
        <v>0</v>
      </c>
      <c r="CA33" s="54"/>
      <c r="CB33" s="54"/>
      <c r="CC33" s="54"/>
      <c r="CD33" s="54"/>
      <c r="CE33" s="54"/>
      <c r="CF33" s="54"/>
      <c r="CG33" s="54"/>
      <c r="CH33" s="54"/>
      <c r="CI33" s="54"/>
      <c r="CJ33" s="54"/>
      <c r="CK33" s="54"/>
      <c r="CL33" s="54"/>
      <c r="CM33" s="54"/>
      <c r="CN33" s="23"/>
      <c r="CO33" s="23"/>
      <c r="CP33" s="23"/>
      <c r="CQ33" s="23"/>
      <c r="CR33" s="23"/>
      <c r="CS33" s="23"/>
      <c r="CT33" s="23"/>
      <c r="CU33" s="32"/>
      <c r="CV33" s="23"/>
      <c r="CW33" s="23"/>
      <c r="CX33" s="23"/>
      <c r="CY33" s="23"/>
      <c r="CZ33" s="23"/>
      <c r="DA33" s="23"/>
      <c r="DB33" s="23"/>
      <c r="DC33" s="23"/>
    </row>
    <row r="34" spans="2:114" s="27" customFormat="1" x14ac:dyDescent="0.2">
      <c r="B34" s="48" t="s">
        <v>604</v>
      </c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  <c r="V34" s="23"/>
      <c r="W34" s="23"/>
      <c r="X34" s="23"/>
      <c r="Y34" s="23"/>
      <c r="Z34" s="23"/>
      <c r="AA34" s="23"/>
      <c r="AB34" s="23"/>
      <c r="AC34" s="23"/>
      <c r="AD34" s="23"/>
      <c r="AE34" s="23"/>
      <c r="AF34" s="23"/>
      <c r="AG34" s="23"/>
      <c r="AH34" s="23"/>
      <c r="AI34" s="23"/>
      <c r="AJ34" s="23"/>
      <c r="AK34" s="23"/>
      <c r="AL34" s="23"/>
      <c r="AM34" s="23"/>
      <c r="AN34" s="23"/>
      <c r="AO34" s="56"/>
      <c r="AP34" s="23"/>
      <c r="AQ34" s="23"/>
      <c r="AR34" s="56"/>
      <c r="AS34" s="23"/>
      <c r="AT34" s="23"/>
      <c r="AU34" s="23"/>
      <c r="AV34" s="23"/>
      <c r="AW34" s="23"/>
      <c r="AX34" s="23"/>
      <c r="AY34" s="23"/>
      <c r="AZ34" s="23"/>
      <c r="BA34" s="23"/>
      <c r="BB34" s="23"/>
      <c r="BC34" s="23"/>
      <c r="BD34" s="23"/>
      <c r="BE34" s="23"/>
      <c r="BF34" s="23"/>
      <c r="BG34" s="23"/>
      <c r="BH34" s="23"/>
      <c r="BI34" s="23"/>
      <c r="BJ34" s="23"/>
      <c r="BK34" s="54">
        <v>66</v>
      </c>
      <c r="BL34" s="54"/>
      <c r="BM34" s="54"/>
      <c r="BN34" s="54"/>
      <c r="BO34" s="54"/>
      <c r="BP34" s="54"/>
      <c r="BQ34" s="54"/>
      <c r="BR34" s="54"/>
      <c r="BS34" s="54"/>
      <c r="BT34" s="54"/>
      <c r="BU34" s="54"/>
      <c r="BV34" s="54"/>
      <c r="BW34" s="54"/>
      <c r="BX34" s="54"/>
      <c r="BY34" s="54"/>
      <c r="BZ34" s="54"/>
      <c r="CA34" s="54"/>
      <c r="CB34" s="54"/>
      <c r="CC34" s="54"/>
      <c r="CD34" s="54"/>
      <c r="CE34" s="54"/>
      <c r="CF34" s="54"/>
      <c r="CG34" s="54"/>
      <c r="CH34" s="54"/>
      <c r="CI34" s="54"/>
      <c r="CJ34" s="54"/>
      <c r="CK34" s="54"/>
      <c r="CL34" s="54"/>
      <c r="CM34" s="54"/>
      <c r="CN34" s="23"/>
      <c r="CO34" s="23"/>
      <c r="CP34" s="23"/>
      <c r="CQ34" s="23"/>
      <c r="CR34" s="23"/>
      <c r="CS34" s="23"/>
      <c r="CT34" s="23"/>
      <c r="CU34" s="32"/>
      <c r="CV34" s="23"/>
      <c r="CW34" s="23"/>
      <c r="CX34" s="23"/>
      <c r="CY34" s="23"/>
      <c r="CZ34" s="23"/>
      <c r="DA34" s="23"/>
      <c r="DB34" s="23"/>
      <c r="DC34" s="23"/>
    </row>
    <row r="35" spans="2:114" s="27" customFormat="1" x14ac:dyDescent="0.2">
      <c r="B35" s="48" t="s">
        <v>529</v>
      </c>
      <c r="C35" s="23"/>
      <c r="D35" s="23"/>
      <c r="E35" s="23"/>
      <c r="F35" s="23"/>
      <c r="G35" s="23"/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  <c r="V35" s="23"/>
      <c r="W35" s="23"/>
      <c r="X35" s="23"/>
      <c r="Y35" s="23"/>
      <c r="Z35" s="23"/>
      <c r="AA35" s="23"/>
      <c r="AB35" s="23"/>
      <c r="AC35" s="23"/>
      <c r="AD35" s="23"/>
      <c r="AE35" s="23"/>
      <c r="AF35" s="23"/>
      <c r="AG35" s="23"/>
      <c r="AH35" s="23"/>
      <c r="AI35" s="23"/>
      <c r="AJ35" s="23"/>
      <c r="AK35" s="23"/>
      <c r="AL35" s="23"/>
      <c r="AM35" s="23"/>
      <c r="AN35" s="23"/>
      <c r="AO35" s="56"/>
      <c r="AP35" s="23"/>
      <c r="AQ35" s="23"/>
      <c r="AR35" s="56"/>
      <c r="AS35" s="23"/>
      <c r="AT35" s="23"/>
      <c r="AU35" s="23"/>
      <c r="AV35" s="23"/>
      <c r="AW35" s="23"/>
      <c r="AX35" s="23"/>
      <c r="AY35" s="23"/>
      <c r="AZ35" s="23"/>
      <c r="BA35" s="23"/>
      <c r="BB35" s="23"/>
      <c r="BC35" s="23"/>
      <c r="BD35" s="23"/>
      <c r="BE35" s="23"/>
      <c r="BF35" s="23"/>
      <c r="BG35" s="23"/>
      <c r="BH35" s="23"/>
      <c r="BI35" s="23"/>
      <c r="BJ35" s="23"/>
      <c r="BK35" s="74"/>
      <c r="BL35" s="74"/>
      <c r="BM35" s="74"/>
      <c r="BN35" s="74"/>
      <c r="BO35" s="74"/>
      <c r="BP35" s="74"/>
      <c r="BQ35" s="74"/>
      <c r="BR35" s="74"/>
      <c r="BS35" s="74"/>
      <c r="BT35" s="74"/>
      <c r="BU35" s="54">
        <v>0</v>
      </c>
      <c r="BV35" s="54">
        <v>15</v>
      </c>
      <c r="BW35" s="54">
        <v>30</v>
      </c>
      <c r="BX35" s="54">
        <v>43</v>
      </c>
      <c r="BY35" s="54">
        <v>58</v>
      </c>
      <c r="BZ35" s="54">
        <v>65</v>
      </c>
      <c r="CA35" s="54">
        <v>81</v>
      </c>
      <c r="CB35" s="54">
        <v>103</v>
      </c>
      <c r="CC35" s="54">
        <v>110</v>
      </c>
      <c r="CD35" s="54">
        <v>131</v>
      </c>
      <c r="CE35" s="54">
        <v>152</v>
      </c>
      <c r="CF35" s="54">
        <v>168</v>
      </c>
      <c r="CG35" s="54">
        <v>163</v>
      </c>
      <c r="CH35" s="54">
        <v>184</v>
      </c>
      <c r="CI35" s="54">
        <v>195</v>
      </c>
      <c r="CJ35" s="54">
        <f>+CI35+10</f>
        <v>205</v>
      </c>
      <c r="CK35" s="54">
        <f>+CJ35+10</f>
        <v>215</v>
      </c>
      <c r="CL35" s="54">
        <f>+CK35+10</f>
        <v>225</v>
      </c>
      <c r="CM35" s="54"/>
      <c r="CN35" s="23"/>
      <c r="CO35" s="23"/>
      <c r="CP35" s="23"/>
      <c r="CQ35" s="23"/>
      <c r="CR35" s="23"/>
      <c r="CS35" s="23"/>
      <c r="CT35" s="23"/>
      <c r="CU35" s="32"/>
      <c r="CV35" s="32"/>
      <c r="CW35" s="23"/>
      <c r="CX35" s="23"/>
      <c r="CY35" s="23"/>
      <c r="CZ35" s="23"/>
      <c r="DA35" s="23"/>
      <c r="DB35" s="23"/>
      <c r="DC35" s="23"/>
      <c r="DJ35" s="27">
        <f>SUM(CE35:CH35)</f>
        <v>667</v>
      </c>
    </row>
    <row r="36" spans="2:114" s="27" customFormat="1" x14ac:dyDescent="0.2">
      <c r="B36" s="48" t="s">
        <v>494</v>
      </c>
      <c r="C36" s="23"/>
      <c r="D36" s="23"/>
      <c r="E36" s="23"/>
      <c r="F36" s="23"/>
      <c r="G36" s="23"/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  <c r="V36" s="23"/>
      <c r="W36" s="23"/>
      <c r="X36" s="23"/>
      <c r="Y36" s="23"/>
      <c r="Z36" s="23"/>
      <c r="AA36" s="23"/>
      <c r="AB36" s="23"/>
      <c r="AC36" s="23"/>
      <c r="AD36" s="23"/>
      <c r="AE36" s="23"/>
      <c r="AF36" s="23"/>
      <c r="AG36" s="23"/>
      <c r="AH36" s="23"/>
      <c r="AI36" s="23"/>
      <c r="AJ36" s="23"/>
      <c r="AK36" s="23"/>
      <c r="AL36" s="23"/>
      <c r="AM36" s="23"/>
      <c r="AN36" s="23"/>
      <c r="AO36" s="56"/>
      <c r="AP36" s="23"/>
      <c r="AQ36" s="23"/>
      <c r="AR36" s="56">
        <v>6</v>
      </c>
      <c r="AS36" s="23"/>
      <c r="AT36" s="23"/>
      <c r="AU36" s="23"/>
      <c r="AV36" s="23"/>
      <c r="AW36" s="23"/>
      <c r="AX36" s="23"/>
      <c r="AY36" s="23"/>
      <c r="AZ36" s="23"/>
      <c r="BA36" s="23"/>
      <c r="BB36" s="23"/>
      <c r="BC36" s="23"/>
      <c r="BD36" s="23"/>
      <c r="BE36" s="23"/>
      <c r="BF36" s="23"/>
      <c r="BG36" s="23"/>
      <c r="BH36" s="23"/>
      <c r="BI36" s="23"/>
      <c r="BJ36" s="23"/>
      <c r="BK36" s="54">
        <v>92</v>
      </c>
      <c r="BL36" s="54"/>
      <c r="BM36" s="54"/>
      <c r="BN36" s="54"/>
      <c r="BO36" s="54">
        <v>49</v>
      </c>
      <c r="BP36" s="54">
        <v>19</v>
      </c>
      <c r="BQ36" s="54">
        <v>24</v>
      </c>
      <c r="BR36" s="54">
        <v>21</v>
      </c>
      <c r="BS36" s="54">
        <v>24</v>
      </c>
      <c r="BT36" s="54">
        <v>19</v>
      </c>
      <c r="BU36" s="54">
        <v>20</v>
      </c>
      <c r="BV36" s="54">
        <v>19</v>
      </c>
      <c r="BW36" s="54">
        <v>25</v>
      </c>
      <c r="BX36" s="54">
        <v>20</v>
      </c>
      <c r="BY36" s="54">
        <v>18</v>
      </c>
      <c r="BZ36" s="54">
        <v>17</v>
      </c>
      <c r="CA36" s="54"/>
      <c r="CB36" s="54"/>
      <c r="CC36" s="54"/>
      <c r="CD36" s="54"/>
      <c r="CE36" s="54"/>
      <c r="CF36" s="54"/>
      <c r="CG36" s="54"/>
      <c r="CH36" s="54"/>
      <c r="CI36" s="54"/>
      <c r="CJ36" s="54"/>
      <c r="CK36" s="54"/>
      <c r="CL36" s="54"/>
      <c r="CM36" s="54"/>
      <c r="CN36" s="23"/>
      <c r="CO36" s="23"/>
      <c r="CP36" s="23"/>
      <c r="CQ36" s="23"/>
      <c r="CR36" s="23"/>
      <c r="CS36" s="23"/>
      <c r="CT36" s="23"/>
      <c r="CU36" s="32"/>
      <c r="CV36" s="32"/>
      <c r="CW36" s="23"/>
      <c r="CX36" s="23"/>
      <c r="CY36" s="23"/>
      <c r="CZ36" s="23"/>
      <c r="DA36" s="23"/>
      <c r="DB36" s="23"/>
      <c r="DC36" s="23"/>
    </row>
    <row r="37" spans="2:114" s="27" customFormat="1" x14ac:dyDescent="0.2">
      <c r="B37" s="48" t="s">
        <v>488</v>
      </c>
      <c r="C37" s="23"/>
      <c r="D37" s="23"/>
      <c r="E37" s="23"/>
      <c r="F37" s="23"/>
      <c r="G37" s="23"/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  <c r="V37" s="23"/>
      <c r="W37" s="23"/>
      <c r="X37" s="23"/>
      <c r="Y37" s="23"/>
      <c r="Z37" s="23"/>
      <c r="AA37" s="23"/>
      <c r="AB37" s="23"/>
      <c r="AC37" s="23"/>
      <c r="AD37" s="23"/>
      <c r="AE37" s="23"/>
      <c r="AF37" s="23"/>
      <c r="AG37" s="23"/>
      <c r="AH37" s="23"/>
      <c r="AI37" s="23"/>
      <c r="AJ37" s="23"/>
      <c r="AK37" s="23"/>
      <c r="AL37" s="23"/>
      <c r="AM37" s="23"/>
      <c r="AN37" s="23">
        <v>63</v>
      </c>
      <c r="AO37" s="56">
        <v>59</v>
      </c>
      <c r="AP37" s="23"/>
      <c r="AQ37" s="23"/>
      <c r="AR37" s="56">
        <v>64</v>
      </c>
      <c r="AS37" s="23"/>
      <c r="AT37" s="23"/>
      <c r="AU37" s="23"/>
      <c r="AV37" s="23"/>
      <c r="AW37" s="23"/>
      <c r="AX37" s="23"/>
      <c r="AY37" s="23"/>
      <c r="AZ37" s="23"/>
      <c r="BA37" s="23"/>
      <c r="BB37" s="23"/>
      <c r="BC37" s="23"/>
      <c r="BD37" s="23"/>
      <c r="BE37" s="23"/>
      <c r="BF37" s="23"/>
      <c r="BG37" s="23"/>
      <c r="BH37" s="23"/>
      <c r="BI37" s="23"/>
      <c r="BJ37" s="23"/>
      <c r="BK37" s="54">
        <f>766-176-48-220-185-67</f>
        <v>70</v>
      </c>
      <c r="BL37" s="54"/>
      <c r="BM37" s="54"/>
      <c r="BN37" s="54"/>
      <c r="BO37" s="54">
        <f>794-67-214-246-58-189</f>
        <v>20</v>
      </c>
      <c r="BP37" s="54">
        <f>738-55-199-226-57-179</f>
        <v>22</v>
      </c>
      <c r="BQ37" s="54">
        <f>745-55-204-241-60-162</f>
        <v>23</v>
      </c>
      <c r="BR37" s="54">
        <v>23</v>
      </c>
      <c r="BS37" s="54">
        <v>21</v>
      </c>
      <c r="BT37" s="54">
        <v>24</v>
      </c>
      <c r="BU37" s="54">
        <v>24</v>
      </c>
      <c r="BV37" s="54">
        <v>15</v>
      </c>
      <c r="BW37" s="54">
        <v>18</v>
      </c>
      <c r="BX37" s="54">
        <f>3+20</f>
        <v>23</v>
      </c>
      <c r="BY37" s="54">
        <f>336-52-151-126+900-69-240-58-255-78-181</f>
        <v>26</v>
      </c>
      <c r="BZ37" s="54">
        <f>850-BZ35-BZ23-BZ16-BZ25-BZ13-BZ14</f>
        <v>34</v>
      </c>
      <c r="CA37" s="54"/>
      <c r="CB37" s="54"/>
      <c r="CC37" s="54"/>
      <c r="CD37" s="54"/>
      <c r="CE37" s="54"/>
      <c r="CF37" s="54"/>
      <c r="CG37" s="54"/>
      <c r="CH37" s="54"/>
      <c r="CI37" s="54"/>
      <c r="CJ37" s="54"/>
      <c r="CK37" s="54"/>
      <c r="CL37" s="54"/>
      <c r="CM37" s="54"/>
      <c r="CN37" s="23"/>
      <c r="CO37" s="23"/>
      <c r="CP37" s="23"/>
      <c r="CQ37" s="23"/>
      <c r="CR37" s="23"/>
      <c r="CS37" s="23"/>
      <c r="CT37" s="23"/>
      <c r="CU37" s="32"/>
      <c r="CV37" s="32"/>
      <c r="CW37" s="23"/>
      <c r="CX37" s="23"/>
      <c r="CY37" s="23"/>
      <c r="CZ37" s="23"/>
      <c r="DA37" s="23"/>
      <c r="DB37" s="23"/>
      <c r="DC37" s="23"/>
    </row>
    <row r="38" spans="2:114" s="27" customFormat="1" x14ac:dyDescent="0.2">
      <c r="B38" s="58" t="s">
        <v>228</v>
      </c>
      <c r="C38" s="23"/>
      <c r="D38" s="23"/>
      <c r="E38" s="23"/>
      <c r="F38" s="23"/>
      <c r="G38" s="23"/>
      <c r="H38" s="23"/>
      <c r="I38" s="23"/>
      <c r="J38" s="23"/>
      <c r="K38" s="23">
        <v>121</v>
      </c>
      <c r="L38" s="23">
        <v>119</v>
      </c>
      <c r="M38" s="23">
        <v>106</v>
      </c>
      <c r="N38" s="23">
        <v>105</v>
      </c>
      <c r="O38" s="23">
        <f>197-P38</f>
        <v>94</v>
      </c>
      <c r="P38" s="23">
        <v>103</v>
      </c>
      <c r="Q38" s="23">
        <v>94</v>
      </c>
      <c r="R38" s="23">
        <v>101</v>
      </c>
      <c r="S38" s="23">
        <v>92</v>
      </c>
      <c r="T38" s="23">
        <v>95</v>
      </c>
      <c r="U38" s="23">
        <v>94</v>
      </c>
      <c r="V38" s="23">
        <v>106</v>
      </c>
      <c r="W38" s="23">
        <v>100</v>
      </c>
      <c r="X38" s="23">
        <f>207-W38</f>
        <v>107</v>
      </c>
      <c r="Y38" s="23">
        <v>103</v>
      </c>
      <c r="Z38" s="23">
        <v>106</v>
      </c>
      <c r="AA38" s="23">
        <v>108</v>
      </c>
      <c r="AB38" s="23">
        <v>126</v>
      </c>
      <c r="AC38" s="23">
        <v>121</v>
      </c>
      <c r="AD38" s="23">
        <v>123</v>
      </c>
      <c r="AE38" s="23">
        <v>108</v>
      </c>
      <c r="AF38" s="23">
        <v>109</v>
      </c>
      <c r="AG38" s="23">
        <f>+AF38-5</f>
        <v>104</v>
      </c>
      <c r="AH38" s="23">
        <f>+AG38-5</f>
        <v>99</v>
      </c>
      <c r="AI38" s="23"/>
      <c r="AJ38" s="23"/>
      <c r="AK38" s="23"/>
      <c r="AL38" s="23"/>
      <c r="AM38" s="23"/>
      <c r="AN38" s="23">
        <v>99</v>
      </c>
      <c r="AO38" s="56">
        <v>91</v>
      </c>
      <c r="AP38" s="23"/>
      <c r="AQ38" s="23"/>
      <c r="AR38" s="56">
        <v>96</v>
      </c>
      <c r="AS38" s="23"/>
      <c r="AT38" s="23"/>
      <c r="AU38" s="23"/>
      <c r="AV38" s="23"/>
      <c r="AW38" s="23"/>
      <c r="AX38" s="23"/>
      <c r="AY38" s="23"/>
      <c r="AZ38" s="23"/>
      <c r="BA38" s="23"/>
      <c r="BB38" s="23"/>
      <c r="BC38" s="23"/>
      <c r="BD38" s="23"/>
      <c r="BE38" s="23"/>
      <c r="BF38" s="23"/>
      <c r="BG38" s="23"/>
      <c r="BH38" s="23"/>
      <c r="BI38" s="23"/>
      <c r="BJ38" s="23"/>
      <c r="BK38" s="54">
        <v>90</v>
      </c>
      <c r="BL38" s="54"/>
      <c r="BM38" s="54"/>
      <c r="BN38" s="54"/>
      <c r="BO38" s="54"/>
      <c r="BP38" s="54"/>
      <c r="BQ38" s="54"/>
      <c r="BR38" s="54"/>
      <c r="BS38" s="54"/>
      <c r="BT38" s="54"/>
      <c r="BU38" s="54"/>
      <c r="BV38" s="54"/>
      <c r="BW38" s="54"/>
      <c r="BX38" s="54"/>
      <c r="BY38" s="54"/>
      <c r="BZ38" s="54"/>
      <c r="CA38" s="54"/>
      <c r="CB38" s="54"/>
      <c r="CC38" s="54"/>
      <c r="CD38" s="54"/>
      <c r="CE38" s="54"/>
      <c r="CF38" s="54"/>
      <c r="CG38" s="54"/>
      <c r="CH38" s="54"/>
      <c r="CI38" s="54"/>
      <c r="CJ38" s="54"/>
      <c r="CK38" s="54"/>
      <c r="CL38" s="54"/>
      <c r="CM38" s="54"/>
      <c r="CN38" s="23"/>
      <c r="CO38" s="23"/>
      <c r="CP38" s="23"/>
      <c r="CQ38" s="23"/>
      <c r="CR38" s="23">
        <f>SUM(K38:N38)</f>
        <v>451</v>
      </c>
      <c r="CS38" s="23">
        <f>SUM(O38:R38)</f>
        <v>392</v>
      </c>
      <c r="CT38" s="23">
        <f>SUM(S38:V38)</f>
        <v>387</v>
      </c>
      <c r="CU38" s="23">
        <f>SUM(W38:Z38)</f>
        <v>416</v>
      </c>
      <c r="CV38" s="23">
        <f>SUM(AA38:AD38)</f>
        <v>478</v>
      </c>
      <c r="CW38" s="23">
        <f t="shared" ref="CW38:DC38" si="59">CV38*0.9</f>
        <v>430.2</v>
      </c>
      <c r="CX38" s="23">
        <f t="shared" si="59"/>
        <v>387.18</v>
      </c>
      <c r="CY38" s="23">
        <f t="shared" si="59"/>
        <v>348.46199999999999</v>
      </c>
      <c r="CZ38" s="23">
        <f t="shared" si="59"/>
        <v>313.61579999999998</v>
      </c>
      <c r="DA38" s="23">
        <f t="shared" si="59"/>
        <v>282.25421999999998</v>
      </c>
      <c r="DB38" s="23">
        <f t="shared" si="59"/>
        <v>254.02879799999999</v>
      </c>
      <c r="DC38" s="23">
        <f t="shared" si="59"/>
        <v>228.6259182</v>
      </c>
    </row>
    <row r="39" spans="2:114" s="27" customFormat="1" x14ac:dyDescent="0.2">
      <c r="B39" s="48" t="s">
        <v>340</v>
      </c>
      <c r="C39" s="23"/>
      <c r="D39" s="23"/>
      <c r="E39" s="23"/>
      <c r="F39" s="23"/>
      <c r="G39" s="23"/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  <c r="V39" s="23"/>
      <c r="W39" s="23"/>
      <c r="X39" s="23"/>
      <c r="Y39" s="23"/>
      <c r="Z39" s="23"/>
      <c r="AA39" s="23"/>
      <c r="AB39" s="23"/>
      <c r="AC39" s="23"/>
      <c r="AD39" s="23"/>
      <c r="AE39" s="23"/>
      <c r="AF39" s="23">
        <v>89</v>
      </c>
      <c r="AG39" s="23"/>
      <c r="AH39" s="23"/>
      <c r="AI39" s="23"/>
      <c r="AJ39" s="23"/>
      <c r="AK39" s="23"/>
      <c r="AL39" s="23"/>
      <c r="AM39" s="23"/>
      <c r="AN39" s="23">
        <v>105</v>
      </c>
      <c r="AO39" s="56">
        <v>90</v>
      </c>
      <c r="AP39" s="23"/>
      <c r="AQ39" s="23"/>
      <c r="AR39" s="56">
        <v>93</v>
      </c>
      <c r="AS39" s="23"/>
      <c r="AT39" s="23"/>
      <c r="AU39" s="23"/>
      <c r="AV39" s="23"/>
      <c r="AW39" s="23"/>
      <c r="AX39" s="23"/>
      <c r="AY39" s="23"/>
      <c r="AZ39" s="23"/>
      <c r="BA39" s="23"/>
      <c r="BB39" s="23"/>
      <c r="BC39" s="23"/>
      <c r="BD39" s="23"/>
      <c r="BE39" s="23"/>
      <c r="BF39" s="23"/>
      <c r="BG39" s="23"/>
      <c r="BH39" s="23"/>
      <c r="BI39" s="23"/>
      <c r="BJ39" s="23"/>
      <c r="BK39" s="54">
        <v>68</v>
      </c>
      <c r="BL39" s="54"/>
      <c r="BM39" s="54"/>
      <c r="BN39" s="54"/>
      <c r="BO39" s="54">
        <v>58</v>
      </c>
      <c r="BP39" s="54">
        <v>38</v>
      </c>
      <c r="BQ39" s="54">
        <v>56</v>
      </c>
      <c r="BR39" s="54">
        <v>40</v>
      </c>
      <c r="BS39" s="54"/>
      <c r="BT39" s="54"/>
      <c r="BU39" s="54"/>
      <c r="BV39" s="54"/>
      <c r="BW39" s="54"/>
      <c r="BX39" s="54"/>
      <c r="BY39" s="54"/>
      <c r="BZ39" s="54"/>
      <c r="CA39" s="54"/>
      <c r="CB39" s="54"/>
      <c r="CC39" s="54"/>
      <c r="CD39" s="54"/>
      <c r="CE39" s="54"/>
      <c r="CF39" s="54"/>
      <c r="CG39" s="54"/>
      <c r="CH39" s="54"/>
      <c r="CI39" s="54"/>
      <c r="CJ39" s="54"/>
      <c r="CK39" s="54"/>
      <c r="CL39" s="54"/>
      <c r="CM39" s="54"/>
      <c r="CN39" s="23"/>
      <c r="CO39" s="23"/>
      <c r="CP39" s="23"/>
      <c r="CQ39" s="23"/>
      <c r="CR39" s="23"/>
      <c r="CS39" s="23"/>
      <c r="CT39" s="23"/>
      <c r="CU39" s="32"/>
      <c r="CV39" s="32"/>
      <c r="CW39" s="23"/>
      <c r="CX39" s="23"/>
      <c r="CY39" s="23"/>
      <c r="CZ39" s="23"/>
      <c r="DA39" s="23"/>
      <c r="DB39" s="23"/>
      <c r="DC39" s="23"/>
    </row>
    <row r="40" spans="2:114" s="27" customFormat="1" x14ac:dyDescent="0.2">
      <c r="B40" s="27" t="s">
        <v>214</v>
      </c>
      <c r="C40" s="23"/>
      <c r="D40" s="23"/>
      <c r="E40" s="23"/>
      <c r="F40" s="23"/>
      <c r="G40" s="23"/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  <c r="V40" s="23"/>
      <c r="W40" s="23">
        <v>31</v>
      </c>
      <c r="X40" s="23">
        <f>66-W40</f>
        <v>35</v>
      </c>
      <c r="Y40" s="23">
        <v>34</v>
      </c>
      <c r="Z40" s="23">
        <v>37</v>
      </c>
      <c r="AA40" s="23">
        <v>39</v>
      </c>
      <c r="AB40" s="23">
        <v>44</v>
      </c>
      <c r="AC40" s="23">
        <v>45</v>
      </c>
      <c r="AD40" s="23">
        <v>49</v>
      </c>
      <c r="AE40" s="23">
        <v>49</v>
      </c>
      <c r="AF40" s="23">
        <v>53</v>
      </c>
      <c r="AG40" s="23">
        <f>+AF40</f>
        <v>53</v>
      </c>
      <c r="AH40" s="23">
        <f>+AG40</f>
        <v>53</v>
      </c>
      <c r="AI40" s="23"/>
      <c r="AJ40" s="23"/>
      <c r="AK40" s="23"/>
      <c r="AL40" s="23"/>
      <c r="AM40" s="23"/>
      <c r="AN40" s="23">
        <v>68</v>
      </c>
      <c r="AO40" s="56">
        <v>73</v>
      </c>
      <c r="AP40" s="23"/>
      <c r="AQ40" s="23"/>
      <c r="AR40" s="56">
        <v>77</v>
      </c>
      <c r="AS40" s="23"/>
      <c r="AT40" s="23"/>
      <c r="AU40" s="23"/>
      <c r="AV40" s="23"/>
      <c r="AW40" s="23"/>
      <c r="AX40" s="23"/>
      <c r="AY40" s="23"/>
      <c r="AZ40" s="23"/>
      <c r="BA40" s="23"/>
      <c r="BB40" s="23"/>
      <c r="BC40" s="23"/>
      <c r="BD40" s="23"/>
      <c r="BE40" s="23"/>
      <c r="BF40" s="23"/>
      <c r="BG40" s="23"/>
      <c r="BH40" s="23"/>
      <c r="BI40" s="23"/>
      <c r="BJ40" s="23"/>
      <c r="BK40" s="54">
        <v>89</v>
      </c>
      <c r="BL40" s="54"/>
      <c r="BM40" s="54"/>
      <c r="BN40" s="54"/>
      <c r="BO40" s="54">
        <v>89</v>
      </c>
      <c r="BP40" s="54">
        <v>84</v>
      </c>
      <c r="BQ40" s="54">
        <v>79</v>
      </c>
      <c r="BR40" s="54">
        <v>80</v>
      </c>
      <c r="BS40" s="54"/>
      <c r="BT40" s="54"/>
      <c r="BU40" s="54"/>
      <c r="BV40" s="54"/>
      <c r="BW40" s="54"/>
      <c r="BX40" s="54"/>
      <c r="BY40" s="54"/>
      <c r="BZ40" s="54"/>
      <c r="CA40" s="54"/>
      <c r="CB40" s="54"/>
      <c r="CC40" s="54"/>
      <c r="CD40" s="54"/>
      <c r="CE40" s="54"/>
      <c r="CF40" s="54"/>
      <c r="CG40" s="54"/>
      <c r="CH40" s="54"/>
      <c r="CI40" s="54"/>
      <c r="CJ40" s="54"/>
      <c r="CK40" s="54"/>
      <c r="CL40" s="54"/>
      <c r="CM40" s="54"/>
      <c r="CN40" s="23"/>
      <c r="CO40" s="23"/>
      <c r="CP40" s="23"/>
      <c r="CQ40" s="23"/>
      <c r="CR40" s="23"/>
      <c r="CS40" s="23"/>
      <c r="CT40" s="23"/>
      <c r="CU40" s="23">
        <f>SUM(W40:Z40)</f>
        <v>137</v>
      </c>
      <c r="CV40" s="23">
        <f>SUM(AA40:AD40)</f>
        <v>177</v>
      </c>
      <c r="CW40" s="23">
        <f t="shared" ref="CW40:DB40" si="60">CV40*1.02</f>
        <v>180.54</v>
      </c>
      <c r="CX40" s="23">
        <f t="shared" si="60"/>
        <v>184.1508</v>
      </c>
      <c r="CY40" s="23">
        <f t="shared" si="60"/>
        <v>187.83381600000001</v>
      </c>
      <c r="CZ40" s="23">
        <f t="shared" si="60"/>
        <v>191.59049232000001</v>
      </c>
      <c r="DA40" s="23">
        <f t="shared" si="60"/>
        <v>195.42230216640002</v>
      </c>
      <c r="DB40" s="23">
        <f t="shared" si="60"/>
        <v>199.33074820972803</v>
      </c>
      <c r="DC40" s="23">
        <f t="shared" ref="DC40" si="61">DB40*1.02</f>
        <v>203.31736317392259</v>
      </c>
    </row>
    <row r="41" spans="2:114" x14ac:dyDescent="0.2">
      <c r="B41" s="1" t="s">
        <v>61</v>
      </c>
      <c r="K41" s="23">
        <v>429</v>
      </c>
      <c r="L41" s="23">
        <v>445</v>
      </c>
      <c r="M41" s="23">
        <v>417</v>
      </c>
      <c r="N41" s="23">
        <v>402</v>
      </c>
      <c r="O41" s="23">
        <f>773-P41</f>
        <v>393</v>
      </c>
      <c r="P41" s="23">
        <v>380</v>
      </c>
      <c r="Q41" s="23">
        <v>383</v>
      </c>
      <c r="R41" s="23">
        <v>365</v>
      </c>
      <c r="S41" s="23">
        <v>342</v>
      </c>
      <c r="T41" s="23">
        <v>326</v>
      </c>
      <c r="U41" s="23">
        <v>325</v>
      </c>
      <c r="V41" s="23">
        <v>355</v>
      </c>
      <c r="W41" s="23">
        <v>344</v>
      </c>
      <c r="X41" s="23">
        <f>697-W41</f>
        <v>353</v>
      </c>
      <c r="Y41" s="23">
        <v>193</v>
      </c>
      <c r="Z41" s="23">
        <v>67</v>
      </c>
      <c r="AA41" s="23">
        <v>66</v>
      </c>
      <c r="AB41" s="23">
        <v>94</v>
      </c>
      <c r="AC41" s="23">
        <v>120</v>
      </c>
      <c r="AD41" s="23">
        <v>147</v>
      </c>
      <c r="AE41" s="23">
        <v>188</v>
      </c>
      <c r="AF41" s="23">
        <v>248</v>
      </c>
      <c r="AG41" s="23">
        <f t="shared" ref="AG41:AH41" si="62">+AF41</f>
        <v>248</v>
      </c>
      <c r="AH41" s="23">
        <f t="shared" si="62"/>
        <v>248</v>
      </c>
      <c r="AI41" s="23"/>
      <c r="AJ41" s="23"/>
      <c r="AK41" s="23"/>
      <c r="AL41" s="23"/>
      <c r="AM41" s="23"/>
      <c r="AN41" s="23">
        <v>60</v>
      </c>
      <c r="AO41" s="56">
        <v>50</v>
      </c>
      <c r="AP41" s="23"/>
      <c r="AQ41" s="23"/>
      <c r="AR41" s="56">
        <v>47</v>
      </c>
      <c r="AS41" s="23"/>
      <c r="AT41" s="23"/>
      <c r="AU41" s="23"/>
      <c r="AV41" s="23"/>
      <c r="AW41" s="23"/>
      <c r="AX41" s="23"/>
      <c r="AY41" s="23"/>
      <c r="AZ41" s="23"/>
      <c r="BA41" s="23"/>
      <c r="BB41" s="23"/>
      <c r="BC41" s="23"/>
      <c r="BD41" s="23"/>
      <c r="BE41" s="23"/>
      <c r="BF41" s="23"/>
      <c r="BG41" s="23"/>
      <c r="BH41" s="23"/>
      <c r="BI41" s="23"/>
      <c r="BJ41" s="23"/>
      <c r="BK41" s="54">
        <v>54</v>
      </c>
      <c r="BL41" s="54"/>
      <c r="BM41" s="54"/>
      <c r="BN41" s="54"/>
      <c r="BO41" s="54">
        <v>47</v>
      </c>
      <c r="BP41" s="54">
        <v>47</v>
      </c>
      <c r="BQ41" s="54">
        <v>52</v>
      </c>
      <c r="BR41" s="54">
        <v>52</v>
      </c>
      <c r="BS41" s="54"/>
      <c r="BT41" s="54"/>
      <c r="BU41" s="54"/>
      <c r="BV41" s="54"/>
      <c r="BW41" s="54"/>
      <c r="BX41" s="54"/>
      <c r="BY41" s="54"/>
      <c r="BZ41" s="54"/>
      <c r="CA41" s="54"/>
      <c r="CB41" s="54"/>
      <c r="CC41" s="54"/>
      <c r="CD41" s="54"/>
      <c r="CE41" s="54"/>
      <c r="CF41" s="54"/>
      <c r="CG41" s="54"/>
      <c r="CH41" s="54"/>
      <c r="CI41" s="54"/>
      <c r="CJ41" s="54"/>
      <c r="CK41" s="54"/>
      <c r="CL41" s="54"/>
      <c r="CM41" s="54"/>
      <c r="CN41" s="23"/>
      <c r="CP41" s="23"/>
      <c r="CQ41" s="23"/>
      <c r="CR41" s="23">
        <f>SUM(K41:N41)</f>
        <v>1693</v>
      </c>
      <c r="CS41" s="23">
        <f>SUM(O41:R41)</f>
        <v>1521</v>
      </c>
      <c r="CT41" s="23">
        <f t="shared" ref="CT41:CT48" si="63">SUM(S41:V41)</f>
        <v>1348</v>
      </c>
      <c r="CU41" s="23">
        <f>SUM(W41:Z41)</f>
        <v>957</v>
      </c>
      <c r="CV41" s="23">
        <f>SUM(AA41:AD41)</f>
        <v>427</v>
      </c>
      <c r="CW41" s="23">
        <f>CV41*0.85</f>
        <v>362.95</v>
      </c>
      <c r="CX41" s="23">
        <f t="shared" ref="CX41:DC41" si="64">CW41*0.85</f>
        <v>308.50749999999999</v>
      </c>
      <c r="CY41" s="23">
        <f t="shared" si="64"/>
        <v>262.23137500000001</v>
      </c>
      <c r="CZ41" s="23">
        <f t="shared" si="64"/>
        <v>222.89666875</v>
      </c>
      <c r="DA41" s="23">
        <f t="shared" si="64"/>
        <v>189.4621684375</v>
      </c>
      <c r="DB41" s="23">
        <f t="shared" si="64"/>
        <v>161.04284317187501</v>
      </c>
      <c r="DC41" s="23">
        <f t="shared" si="64"/>
        <v>136.88641669609376</v>
      </c>
      <c r="DJ41" s="27"/>
    </row>
    <row r="42" spans="2:114" x14ac:dyDescent="0.2">
      <c r="B42" s="1" t="s">
        <v>132</v>
      </c>
      <c r="K42" s="23">
        <v>441</v>
      </c>
      <c r="L42" s="23">
        <v>467</v>
      </c>
      <c r="M42" s="23">
        <v>538</v>
      </c>
      <c r="N42" s="23">
        <v>580</v>
      </c>
      <c r="O42" s="23">
        <f>858-P42</f>
        <v>606</v>
      </c>
      <c r="P42" s="23">
        <v>252</v>
      </c>
      <c r="Q42" s="23">
        <v>207</v>
      </c>
      <c r="R42" s="23">
        <v>185</v>
      </c>
      <c r="S42" s="23">
        <v>210</v>
      </c>
      <c r="T42" s="23">
        <v>191</v>
      </c>
      <c r="U42" s="23">
        <v>201</v>
      </c>
      <c r="V42" s="23">
        <v>227</v>
      </c>
      <c r="W42" s="23">
        <v>220</v>
      </c>
      <c r="X42" s="23">
        <f>447-W42</f>
        <v>227</v>
      </c>
      <c r="Y42" s="23">
        <v>213</v>
      </c>
      <c r="Z42" s="23">
        <v>213</v>
      </c>
      <c r="AA42" s="23">
        <f>142+62+17</f>
        <v>221</v>
      </c>
      <c r="AB42" s="23">
        <v>220</v>
      </c>
      <c r="AC42" s="23">
        <v>218</v>
      </c>
      <c r="AD42" s="23">
        <v>160</v>
      </c>
      <c r="AE42" s="23">
        <v>116</v>
      </c>
      <c r="AF42" s="23">
        <v>116</v>
      </c>
      <c r="AG42" s="23">
        <f>+AF42-5</f>
        <v>111</v>
      </c>
      <c r="AH42" s="23">
        <f>+AG42-5</f>
        <v>106</v>
      </c>
      <c r="AI42" s="23"/>
      <c r="AJ42" s="23"/>
      <c r="AK42" s="23"/>
      <c r="AL42" s="23"/>
      <c r="AM42" s="23"/>
      <c r="AN42" s="23">
        <v>92</v>
      </c>
      <c r="AO42" s="56">
        <v>94</v>
      </c>
      <c r="AP42" s="23"/>
      <c r="AQ42" s="23"/>
      <c r="AR42" s="56">
        <v>73</v>
      </c>
      <c r="AS42" s="23"/>
      <c r="AT42" s="23"/>
      <c r="AU42" s="23"/>
      <c r="AV42" s="23"/>
      <c r="AW42" s="23"/>
      <c r="AX42" s="23"/>
      <c r="AY42" s="23"/>
      <c r="AZ42" s="23"/>
      <c r="BA42" s="23"/>
      <c r="BB42" s="23"/>
      <c r="BC42" s="23"/>
      <c r="BD42" s="23"/>
      <c r="BE42" s="23"/>
      <c r="BF42" s="23"/>
      <c r="BG42" s="23"/>
      <c r="BH42" s="23"/>
      <c r="BI42" s="23"/>
      <c r="BJ42" s="23"/>
      <c r="BK42" s="54">
        <v>52</v>
      </c>
      <c r="BL42" s="54"/>
      <c r="BM42" s="54"/>
      <c r="BN42" s="54"/>
      <c r="BO42" s="54"/>
      <c r="BP42" s="54"/>
      <c r="BQ42" s="54"/>
      <c r="BR42" s="54"/>
      <c r="BS42" s="54"/>
      <c r="BT42" s="54"/>
      <c r="BU42" s="54"/>
      <c r="BV42" s="54"/>
      <c r="BW42" s="54"/>
      <c r="BX42" s="54"/>
      <c r="BY42" s="54"/>
      <c r="BZ42" s="54"/>
      <c r="CA42" s="54"/>
      <c r="CB42" s="54"/>
      <c r="CC42" s="54"/>
      <c r="CD42" s="54"/>
      <c r="CE42" s="54"/>
      <c r="CF42" s="54"/>
      <c r="CG42" s="54"/>
      <c r="CH42" s="54"/>
      <c r="CI42" s="54"/>
      <c r="CJ42" s="54"/>
      <c r="CK42" s="54"/>
      <c r="CL42" s="54"/>
      <c r="CM42" s="54"/>
      <c r="CN42" s="23"/>
      <c r="CP42" s="23"/>
      <c r="CQ42" s="23"/>
      <c r="CR42" s="23">
        <f>SUM(K42:N42)</f>
        <v>2026</v>
      </c>
      <c r="CS42" s="23">
        <f>SUM(O42:R42)</f>
        <v>1250</v>
      </c>
      <c r="CT42" s="23">
        <f t="shared" si="63"/>
        <v>829</v>
      </c>
      <c r="CU42" s="23">
        <f>SUM(W42:Z42)</f>
        <v>873</v>
      </c>
      <c r="CV42" s="23">
        <f>SUM(AA42:AD42)</f>
        <v>819</v>
      </c>
      <c r="CW42" s="23">
        <f>CV42*0.2</f>
        <v>163.80000000000001</v>
      </c>
      <c r="CX42" s="23">
        <f>CW42*0.2</f>
        <v>32.760000000000005</v>
      </c>
      <c r="CY42" s="23">
        <f>CX42*0.2</f>
        <v>6.5520000000000014</v>
      </c>
      <c r="CZ42" s="23">
        <f t="shared" ref="CZ42:DB42" si="65">CY42*0.5</f>
        <v>3.2760000000000007</v>
      </c>
      <c r="DA42" s="23">
        <f t="shared" si="65"/>
        <v>1.6380000000000003</v>
      </c>
      <c r="DB42" s="23">
        <f t="shared" si="65"/>
        <v>0.81900000000000017</v>
      </c>
      <c r="DC42" s="23">
        <f t="shared" ref="DC42" si="66">DB42*0.5</f>
        <v>0.40950000000000009</v>
      </c>
      <c r="DJ42" s="27"/>
    </row>
    <row r="43" spans="2:114" x14ac:dyDescent="0.2">
      <c r="B43" s="1" t="s">
        <v>48</v>
      </c>
      <c r="K43" s="23">
        <v>180</v>
      </c>
      <c r="L43" s="23">
        <v>189</v>
      </c>
      <c r="M43" s="23">
        <v>156</v>
      </c>
      <c r="N43" s="23">
        <v>163</v>
      </c>
      <c r="O43" s="23">
        <f>399-P43</f>
        <v>201</v>
      </c>
      <c r="P43" s="23">
        <v>198</v>
      </c>
      <c r="Q43" s="23">
        <v>159</v>
      </c>
      <c r="R43" s="23">
        <v>148</v>
      </c>
      <c r="S43" s="23">
        <v>204</v>
      </c>
      <c r="T43" s="23">
        <v>171</v>
      </c>
      <c r="U43" s="23">
        <v>139</v>
      </c>
      <c r="V43" s="23">
        <v>174</v>
      </c>
      <c r="W43" s="23">
        <v>251</v>
      </c>
      <c r="X43" s="23">
        <v>191</v>
      </c>
      <c r="Y43" s="23">
        <v>153</v>
      </c>
      <c r="Z43" s="23">
        <v>140</v>
      </c>
      <c r="AA43" s="23">
        <v>171</v>
      </c>
      <c r="AB43" s="23">
        <v>148</v>
      </c>
      <c r="AC43" s="23">
        <v>136</v>
      </c>
      <c r="AD43" s="23">
        <v>152</v>
      </c>
      <c r="AE43" s="23">
        <v>216</v>
      </c>
      <c r="AF43" s="23">
        <v>119</v>
      </c>
      <c r="AG43" s="23">
        <f>+AF43-5</f>
        <v>114</v>
      </c>
      <c r="AH43" s="23">
        <f>+AG43+10</f>
        <v>124</v>
      </c>
      <c r="AI43" s="23"/>
      <c r="AJ43" s="23"/>
      <c r="AK43" s="23"/>
      <c r="AL43" s="23"/>
      <c r="AM43" s="23"/>
      <c r="AN43" s="23">
        <v>79</v>
      </c>
      <c r="AO43" s="56">
        <v>71</v>
      </c>
      <c r="AP43" s="23"/>
      <c r="AQ43" s="23"/>
      <c r="AR43" s="56">
        <v>39</v>
      </c>
      <c r="AS43" s="23"/>
      <c r="AT43" s="23"/>
      <c r="AU43" s="23"/>
      <c r="AV43" s="23"/>
      <c r="AW43" s="23"/>
      <c r="AX43" s="23"/>
      <c r="AY43" s="23"/>
      <c r="AZ43" s="23"/>
      <c r="BA43" s="23"/>
      <c r="BB43" s="23"/>
      <c r="BC43" s="23"/>
      <c r="BD43" s="23"/>
      <c r="BE43" s="23"/>
      <c r="BF43" s="23"/>
      <c r="BG43" s="23"/>
      <c r="BH43" s="23"/>
      <c r="BI43" s="23"/>
      <c r="BJ43" s="23"/>
      <c r="BK43" s="54">
        <v>56</v>
      </c>
      <c r="BL43" s="54"/>
      <c r="BM43" s="54"/>
      <c r="BN43" s="54"/>
      <c r="BO43" s="54"/>
      <c r="BP43" s="54"/>
      <c r="BQ43" s="54"/>
      <c r="BR43" s="54"/>
      <c r="BS43" s="54"/>
      <c r="BT43" s="54"/>
      <c r="BU43" s="54"/>
      <c r="BV43" s="54"/>
      <c r="BW43" s="54"/>
      <c r="BX43" s="54"/>
      <c r="BY43" s="54"/>
      <c r="BZ43" s="54"/>
      <c r="CA43" s="54"/>
      <c r="CB43" s="54"/>
      <c r="CC43" s="54"/>
      <c r="CD43" s="54"/>
      <c r="CE43" s="54"/>
      <c r="CF43" s="54"/>
      <c r="CG43" s="54"/>
      <c r="CH43" s="54"/>
      <c r="CI43" s="54"/>
      <c r="CJ43" s="54"/>
      <c r="CK43" s="54"/>
      <c r="CL43" s="54"/>
      <c r="CM43" s="54"/>
      <c r="CN43" s="23"/>
      <c r="CP43" s="23"/>
      <c r="CQ43" s="23"/>
      <c r="CR43" s="23">
        <f>SUM(K43:N43)</f>
        <v>688</v>
      </c>
      <c r="CS43" s="23">
        <f>SUM(O43:R43)</f>
        <v>706</v>
      </c>
      <c r="CT43" s="23">
        <f t="shared" si="63"/>
        <v>688</v>
      </c>
      <c r="CU43" s="23">
        <f t="shared" si="25"/>
        <v>735</v>
      </c>
      <c r="CV43" s="23">
        <f t="shared" si="26"/>
        <v>607</v>
      </c>
      <c r="CW43" s="23">
        <f t="shared" ref="CW43:DC43" si="67">CV43*0.8</f>
        <v>485.6</v>
      </c>
      <c r="CX43" s="23">
        <f t="shared" si="67"/>
        <v>388.48</v>
      </c>
      <c r="CY43" s="23">
        <f t="shared" si="67"/>
        <v>310.78400000000005</v>
      </c>
      <c r="CZ43" s="23">
        <f t="shared" si="67"/>
        <v>248.62720000000004</v>
      </c>
      <c r="DA43" s="23">
        <f t="shared" si="67"/>
        <v>198.90176000000005</v>
      </c>
      <c r="DB43" s="23">
        <f t="shared" si="67"/>
        <v>159.12140800000006</v>
      </c>
      <c r="DC43" s="23">
        <f t="shared" si="67"/>
        <v>127.29712640000005</v>
      </c>
      <c r="DJ43" s="27"/>
    </row>
    <row r="44" spans="2:114" x14ac:dyDescent="0.2">
      <c r="B44" s="31" t="s">
        <v>226</v>
      </c>
      <c r="K44" s="23">
        <v>235</v>
      </c>
      <c r="L44" s="23">
        <v>248</v>
      </c>
      <c r="M44" s="23">
        <v>223</v>
      </c>
      <c r="N44" s="23">
        <v>271</v>
      </c>
      <c r="O44" s="23">
        <f>378-P44</f>
        <v>211</v>
      </c>
      <c r="P44" s="23">
        <v>167</v>
      </c>
      <c r="Q44" s="23">
        <v>168</v>
      </c>
      <c r="R44" s="23">
        <v>195</v>
      </c>
      <c r="S44" s="23">
        <v>138</v>
      </c>
      <c r="T44" s="23">
        <v>137</v>
      </c>
      <c r="U44" s="23">
        <v>122</v>
      </c>
      <c r="V44" s="23">
        <v>116</v>
      </c>
      <c r="W44" s="23">
        <v>110</v>
      </c>
      <c r="X44" s="23">
        <f>221-W44</f>
        <v>111</v>
      </c>
      <c r="Y44" s="23">
        <v>107</v>
      </c>
      <c r="Z44" s="23">
        <v>101</v>
      </c>
      <c r="AA44" s="23">
        <v>105</v>
      </c>
      <c r="AB44" s="23">
        <v>106</v>
      </c>
      <c r="AC44" s="23">
        <v>103</v>
      </c>
      <c r="AD44" s="23">
        <v>96</v>
      </c>
      <c r="AE44" s="23">
        <v>99</v>
      </c>
      <c r="AF44" s="23"/>
      <c r="AG44" s="23"/>
      <c r="AH44" s="23"/>
      <c r="AI44" s="23"/>
      <c r="AJ44" s="23"/>
      <c r="AK44" s="23"/>
      <c r="AL44" s="23"/>
      <c r="AM44" s="23"/>
      <c r="AN44" s="23">
        <v>80</v>
      </c>
      <c r="AO44" s="56">
        <v>75</v>
      </c>
      <c r="AP44" s="23"/>
      <c r="AQ44" s="23"/>
      <c r="AR44" s="56">
        <v>75</v>
      </c>
      <c r="AS44" s="23"/>
      <c r="AT44" s="23"/>
      <c r="AU44" s="23"/>
      <c r="AV44" s="23"/>
      <c r="AW44" s="23"/>
      <c r="AX44" s="23"/>
      <c r="AY44" s="23"/>
      <c r="AZ44" s="23"/>
      <c r="BA44" s="23"/>
      <c r="BB44" s="23"/>
      <c r="BC44" s="23"/>
      <c r="BD44" s="23"/>
      <c r="BE44" s="23"/>
      <c r="BF44" s="23"/>
      <c r="BG44" s="23"/>
      <c r="BH44" s="23"/>
      <c r="BI44" s="23"/>
      <c r="BJ44" s="23"/>
      <c r="BK44" s="54">
        <v>53</v>
      </c>
      <c r="BL44" s="54"/>
      <c r="BM44" s="54"/>
      <c r="BN44" s="54"/>
      <c r="BO44" s="54"/>
      <c r="BP44" s="54"/>
      <c r="BQ44" s="54"/>
      <c r="BR44" s="54"/>
      <c r="BS44" s="54"/>
      <c r="BT44" s="54"/>
      <c r="BU44" s="54"/>
      <c r="BV44" s="54"/>
      <c r="BW44" s="54"/>
      <c r="BX44" s="54"/>
      <c r="BY44" s="54"/>
      <c r="BZ44" s="54"/>
      <c r="CA44" s="54"/>
      <c r="CB44" s="54"/>
      <c r="CC44" s="54"/>
      <c r="CD44" s="54"/>
      <c r="CE44" s="54"/>
      <c r="CF44" s="54"/>
      <c r="CG44" s="54"/>
      <c r="CH44" s="54"/>
      <c r="CI44" s="54"/>
      <c r="CJ44" s="54"/>
      <c r="CK44" s="54"/>
      <c r="CL44" s="54"/>
      <c r="CM44" s="54"/>
      <c r="CN44" s="23"/>
      <c r="CP44" s="23"/>
      <c r="CQ44" s="23"/>
      <c r="CR44" s="23">
        <f t="shared" si="32"/>
        <v>977</v>
      </c>
      <c r="CS44" s="23">
        <f t="shared" si="39"/>
        <v>741</v>
      </c>
      <c r="CT44" s="23">
        <f t="shared" si="63"/>
        <v>513</v>
      </c>
      <c r="CU44" s="23">
        <f t="shared" si="25"/>
        <v>429</v>
      </c>
      <c r="CV44" s="23">
        <f t="shared" si="26"/>
        <v>410</v>
      </c>
      <c r="CW44" s="23">
        <f t="shared" ref="CW44:DC48" si="68">CV44*0.9</f>
        <v>369</v>
      </c>
      <c r="CX44" s="23">
        <f t="shared" si="68"/>
        <v>332.1</v>
      </c>
      <c r="CY44" s="23">
        <f t="shared" si="68"/>
        <v>298.89000000000004</v>
      </c>
      <c r="CZ44" s="23">
        <f>+CY44*0.4</f>
        <v>119.55600000000003</v>
      </c>
      <c r="DA44" s="23">
        <f t="shared" ref="DA44:DC44" si="69">+CZ44*0.4</f>
        <v>47.822400000000016</v>
      </c>
      <c r="DB44" s="23">
        <f t="shared" si="69"/>
        <v>19.128960000000006</v>
      </c>
      <c r="DC44" s="23">
        <f t="shared" si="69"/>
        <v>7.6515840000000033</v>
      </c>
      <c r="DJ44" s="27"/>
    </row>
    <row r="45" spans="2:114" x14ac:dyDescent="0.2">
      <c r="B45" s="31" t="s">
        <v>237</v>
      </c>
      <c r="K45" s="23">
        <v>94</v>
      </c>
      <c r="L45" s="23">
        <v>92</v>
      </c>
      <c r="M45" s="23">
        <v>83</v>
      </c>
      <c r="N45" s="23">
        <v>84</v>
      </c>
      <c r="O45" s="23">
        <f>167-P45</f>
        <v>82</v>
      </c>
      <c r="P45" s="23">
        <v>85</v>
      </c>
      <c r="Q45" s="23">
        <v>82</v>
      </c>
      <c r="R45" s="23">
        <v>84</v>
      </c>
      <c r="S45" s="23">
        <v>83</v>
      </c>
      <c r="T45" s="23">
        <v>85</v>
      </c>
      <c r="U45" s="23">
        <v>79</v>
      </c>
      <c r="V45" s="23">
        <v>84</v>
      </c>
      <c r="W45" s="23">
        <v>75</v>
      </c>
      <c r="X45" s="23">
        <f>153-W45</f>
        <v>78</v>
      </c>
      <c r="Y45" s="23">
        <v>72</v>
      </c>
      <c r="Z45" s="23">
        <v>71</v>
      </c>
      <c r="AA45" s="23">
        <v>76</v>
      </c>
      <c r="AB45" s="23">
        <v>77</v>
      </c>
      <c r="AC45" s="23">
        <v>72</v>
      </c>
      <c r="AD45" s="23">
        <v>71</v>
      </c>
      <c r="AE45" s="23">
        <v>65</v>
      </c>
      <c r="AF45" s="23"/>
      <c r="AG45" s="23"/>
      <c r="AH45" s="23"/>
      <c r="AI45" s="23"/>
      <c r="AJ45" s="23"/>
      <c r="AK45" s="23"/>
      <c r="AL45" s="23"/>
      <c r="AM45" s="23"/>
      <c r="AN45" s="23">
        <v>25</v>
      </c>
      <c r="AO45" s="56">
        <v>26</v>
      </c>
      <c r="AP45" s="23"/>
      <c r="AQ45" s="23"/>
      <c r="AR45" s="56">
        <v>23</v>
      </c>
      <c r="AS45" s="23"/>
      <c r="AT45" s="23"/>
      <c r="AU45" s="23"/>
      <c r="AV45" s="23"/>
      <c r="AW45" s="23"/>
      <c r="AX45" s="23"/>
      <c r="AY45" s="23"/>
      <c r="AZ45" s="23"/>
      <c r="BA45" s="23"/>
      <c r="BB45" s="23"/>
      <c r="BC45" s="23"/>
      <c r="BD45" s="23"/>
      <c r="BE45" s="23"/>
      <c r="BF45" s="23"/>
      <c r="BG45" s="23"/>
      <c r="BH45" s="23"/>
      <c r="BI45" s="23"/>
      <c r="BJ45" s="23"/>
      <c r="BK45" s="54"/>
      <c r="BL45" s="54"/>
      <c r="BM45" s="54"/>
      <c r="BN45" s="54"/>
      <c r="BO45" s="54"/>
      <c r="BP45" s="54"/>
      <c r="BQ45" s="54"/>
      <c r="BR45" s="54"/>
      <c r="BS45" s="54"/>
      <c r="BT45" s="54"/>
      <c r="BU45" s="54"/>
      <c r="BV45" s="54"/>
      <c r="BW45" s="54"/>
      <c r="BX45" s="54"/>
      <c r="BY45" s="54"/>
      <c r="BZ45" s="54"/>
      <c r="CA45" s="54"/>
      <c r="CB45" s="54"/>
      <c r="CC45" s="54"/>
      <c r="CD45" s="54"/>
      <c r="CE45" s="54"/>
      <c r="CF45" s="54"/>
      <c r="CG45" s="54"/>
      <c r="CH45" s="54"/>
      <c r="CI45" s="54"/>
      <c r="CJ45" s="54"/>
      <c r="CK45" s="54"/>
      <c r="CL45" s="54"/>
      <c r="CM45" s="54"/>
      <c r="CN45" s="23"/>
      <c r="CP45" s="23"/>
      <c r="CQ45" s="23"/>
      <c r="CR45" s="23">
        <f>SUM(K45:N45)</f>
        <v>353</v>
      </c>
      <c r="CS45" s="23">
        <f>SUM(O45:R45)</f>
        <v>333</v>
      </c>
      <c r="CT45" s="23">
        <f t="shared" si="63"/>
        <v>331</v>
      </c>
      <c r="CU45" s="23">
        <f t="shared" si="25"/>
        <v>296</v>
      </c>
      <c r="CV45" s="23">
        <f t="shared" si="26"/>
        <v>296</v>
      </c>
      <c r="CW45" s="23">
        <f t="shared" si="68"/>
        <v>266.40000000000003</v>
      </c>
      <c r="CX45" s="23">
        <f t="shared" si="68"/>
        <v>239.76000000000005</v>
      </c>
      <c r="CY45" s="23">
        <f t="shared" si="68"/>
        <v>215.78400000000005</v>
      </c>
      <c r="CZ45" s="23">
        <f t="shared" si="68"/>
        <v>194.20560000000006</v>
      </c>
      <c r="DA45" s="23">
        <f t="shared" si="68"/>
        <v>174.78504000000007</v>
      </c>
      <c r="DB45" s="23">
        <f t="shared" si="68"/>
        <v>157.30653600000005</v>
      </c>
      <c r="DC45" s="23">
        <f t="shared" si="68"/>
        <v>141.57588240000004</v>
      </c>
      <c r="DJ45" s="27"/>
    </row>
    <row r="46" spans="2:114" x14ac:dyDescent="0.2">
      <c r="B46" s="19" t="s">
        <v>354</v>
      </c>
      <c r="R46" s="23"/>
      <c r="S46" s="23"/>
      <c r="T46" s="23"/>
      <c r="U46" s="23"/>
      <c r="V46" s="23"/>
      <c r="W46" s="23"/>
      <c r="X46" s="23"/>
      <c r="Y46" s="23"/>
      <c r="Z46" s="23"/>
      <c r="AA46" s="23"/>
      <c r="AB46" s="23"/>
      <c r="AC46" s="23"/>
      <c r="AD46" s="23"/>
      <c r="AE46" s="23"/>
      <c r="AF46" s="23">
        <v>137</v>
      </c>
      <c r="AG46" s="23"/>
      <c r="AH46" s="23"/>
      <c r="AI46" s="23"/>
      <c r="AJ46" s="23"/>
      <c r="AK46" s="23"/>
      <c r="AL46" s="23"/>
      <c r="AM46" s="23"/>
      <c r="AN46" s="23">
        <v>175</v>
      </c>
      <c r="AO46" s="56">
        <v>187</v>
      </c>
      <c r="AP46" s="23"/>
      <c r="AQ46" s="23"/>
      <c r="AR46" s="56">
        <v>137</v>
      </c>
      <c r="AS46" s="23"/>
      <c r="AT46" s="23"/>
      <c r="AU46" s="23"/>
      <c r="AV46" s="23"/>
      <c r="AW46" s="23"/>
      <c r="AX46" s="23"/>
      <c r="AY46" s="23"/>
      <c r="AZ46" s="23"/>
      <c r="BA46" s="23"/>
      <c r="BB46" s="23"/>
      <c r="BC46" s="23"/>
      <c r="BD46" s="23"/>
      <c r="BE46" s="23"/>
      <c r="BF46" s="23"/>
      <c r="BG46" s="23"/>
      <c r="BH46" s="23"/>
      <c r="BI46" s="23"/>
      <c r="BJ46" s="23"/>
      <c r="BK46" s="54">
        <v>79</v>
      </c>
      <c r="BL46" s="54"/>
      <c r="BM46" s="54"/>
      <c r="BN46" s="54"/>
      <c r="BO46" s="54">
        <v>71</v>
      </c>
      <c r="BP46" s="54">
        <v>60</v>
      </c>
      <c r="BQ46" s="54">
        <v>63</v>
      </c>
      <c r="BR46" s="54">
        <v>44</v>
      </c>
      <c r="BS46" s="54"/>
      <c r="BT46" s="54"/>
      <c r="BU46" s="54"/>
      <c r="BV46" s="54"/>
      <c r="BW46" s="54"/>
      <c r="BX46" s="54"/>
      <c r="BY46" s="54"/>
      <c r="BZ46" s="54"/>
      <c r="CA46" s="54"/>
      <c r="CB46" s="54"/>
      <c r="CC46" s="54"/>
      <c r="CD46" s="54"/>
      <c r="CE46" s="54"/>
      <c r="CF46" s="54"/>
      <c r="CG46" s="54"/>
      <c r="CH46" s="54"/>
      <c r="CI46" s="54"/>
      <c r="CJ46" s="54"/>
      <c r="CK46" s="54"/>
      <c r="CL46" s="54"/>
      <c r="CM46" s="54"/>
      <c r="CN46" s="23"/>
      <c r="CP46" s="23"/>
      <c r="CQ46" s="23"/>
      <c r="CR46" s="23"/>
      <c r="CS46" s="23"/>
      <c r="CT46" s="23"/>
      <c r="CU46" s="32"/>
      <c r="CV46" s="32"/>
      <c r="CW46" s="23"/>
      <c r="CX46" s="23"/>
      <c r="CY46" s="23"/>
      <c r="CZ46" s="23"/>
      <c r="DA46" s="23"/>
      <c r="DB46" s="23"/>
      <c r="DC46" s="23"/>
      <c r="DJ46" s="27"/>
    </row>
    <row r="47" spans="2:114" x14ac:dyDescent="0.2">
      <c r="B47" s="26" t="s">
        <v>133</v>
      </c>
      <c r="K47" s="23">
        <v>78</v>
      </c>
      <c r="L47" s="23">
        <v>76</v>
      </c>
      <c r="M47" s="23">
        <v>73</v>
      </c>
      <c r="N47" s="23">
        <v>74</v>
      </c>
      <c r="O47" s="23">
        <f>157-P47</f>
        <v>76</v>
      </c>
      <c r="P47" s="23">
        <v>81</v>
      </c>
      <c r="Q47" s="23">
        <v>79</v>
      </c>
      <c r="R47" s="23">
        <v>80</v>
      </c>
      <c r="S47" s="23">
        <v>82</v>
      </c>
      <c r="T47" s="23">
        <v>81</v>
      </c>
      <c r="U47" s="23">
        <v>81</v>
      </c>
      <c r="V47" s="23">
        <v>85</v>
      </c>
      <c r="W47" s="23">
        <v>80</v>
      </c>
      <c r="X47" s="23">
        <f>165-W47</f>
        <v>85</v>
      </c>
      <c r="Y47" s="23">
        <v>80</v>
      </c>
      <c r="Z47" s="23">
        <v>84</v>
      </c>
      <c r="AA47" s="23">
        <v>88</v>
      </c>
      <c r="AB47" s="23">
        <v>96</v>
      </c>
      <c r="AC47" s="23">
        <v>93</v>
      </c>
      <c r="AD47" s="23">
        <v>95</v>
      </c>
      <c r="AE47" s="23">
        <v>96</v>
      </c>
      <c r="AF47" s="23"/>
      <c r="AG47" s="23"/>
      <c r="AH47" s="23"/>
      <c r="AI47" s="23"/>
      <c r="AJ47" s="23"/>
      <c r="AK47" s="23"/>
      <c r="AL47" s="23"/>
      <c r="AM47" s="23"/>
      <c r="AN47" s="23">
        <v>103</v>
      </c>
      <c r="AO47" s="56">
        <v>102</v>
      </c>
      <c r="AP47" s="23"/>
      <c r="AQ47" s="23"/>
      <c r="AR47" s="56">
        <v>99</v>
      </c>
      <c r="AS47" s="23"/>
      <c r="AT47" s="23"/>
      <c r="AU47" s="23"/>
      <c r="AV47" s="23"/>
      <c r="AW47" s="23"/>
      <c r="AX47" s="23"/>
      <c r="AY47" s="23"/>
      <c r="AZ47" s="23"/>
      <c r="BA47" s="23"/>
      <c r="BB47" s="23"/>
      <c r="BC47" s="23"/>
      <c r="BD47" s="23"/>
      <c r="BE47" s="23"/>
      <c r="BF47" s="23"/>
      <c r="BG47" s="23"/>
      <c r="BH47" s="23"/>
      <c r="BI47" s="23"/>
      <c r="BJ47" s="23"/>
      <c r="BK47" s="54">
        <v>120</v>
      </c>
      <c r="BL47" s="54"/>
      <c r="BM47" s="54"/>
      <c r="BN47" s="54"/>
      <c r="BO47" s="54"/>
      <c r="BP47" s="54"/>
      <c r="BQ47" s="54"/>
      <c r="BR47" s="54"/>
      <c r="BS47" s="54"/>
      <c r="BT47" s="54"/>
      <c r="BU47" s="54"/>
      <c r="BV47" s="54"/>
      <c r="BW47" s="54"/>
      <c r="BX47" s="54"/>
      <c r="BY47" s="54"/>
      <c r="BZ47" s="54"/>
      <c r="CA47" s="54"/>
      <c r="CB47" s="54"/>
      <c r="CC47" s="54"/>
      <c r="CD47" s="54"/>
      <c r="CE47" s="54"/>
      <c r="CF47" s="54"/>
      <c r="CG47" s="54"/>
      <c r="CH47" s="54"/>
      <c r="CI47" s="54"/>
      <c r="CJ47" s="54"/>
      <c r="CK47" s="54"/>
      <c r="CL47" s="54"/>
      <c r="CM47" s="54"/>
      <c r="CN47" s="23"/>
      <c r="CP47" s="23"/>
      <c r="CQ47" s="23"/>
      <c r="CR47" s="23">
        <f>SUM(K47:N47)</f>
        <v>301</v>
      </c>
      <c r="CS47" s="23">
        <f>SUM(O47:R47)</f>
        <v>316</v>
      </c>
      <c r="CT47" s="23">
        <f t="shared" ref="CT47" si="70">SUM(S47:V47)</f>
        <v>329</v>
      </c>
      <c r="CU47" s="23">
        <f>SUM(W47:Z47)</f>
        <v>329</v>
      </c>
      <c r="CV47" s="23">
        <f>SUM(AA47:AD47)</f>
        <v>372</v>
      </c>
      <c r="CW47" s="23">
        <f t="shared" ref="CW47:CY47" si="71">CV47</f>
        <v>372</v>
      </c>
      <c r="CX47" s="23">
        <f t="shared" si="71"/>
        <v>372</v>
      </c>
      <c r="CY47" s="23">
        <f t="shared" si="71"/>
        <v>372</v>
      </c>
      <c r="CZ47" s="23"/>
      <c r="DA47" s="23"/>
      <c r="DB47" s="23"/>
      <c r="DC47" s="23"/>
      <c r="DJ47" s="27"/>
    </row>
    <row r="48" spans="2:114" x14ac:dyDescent="0.2">
      <c r="B48" s="31" t="s">
        <v>238</v>
      </c>
      <c r="K48" s="23">
        <v>71</v>
      </c>
      <c r="L48" s="23">
        <v>78</v>
      </c>
      <c r="M48" s="23">
        <v>60</v>
      </c>
      <c r="N48" s="23">
        <v>74</v>
      </c>
      <c r="O48" s="23">
        <f>166-P48</f>
        <v>79</v>
      </c>
      <c r="P48" s="23">
        <v>87</v>
      </c>
      <c r="Q48" s="23">
        <v>61</v>
      </c>
      <c r="R48" s="23">
        <v>67</v>
      </c>
      <c r="S48" s="23">
        <v>70</v>
      </c>
      <c r="T48" s="23">
        <v>60</v>
      </c>
      <c r="U48" s="23">
        <v>51</v>
      </c>
      <c r="V48" s="23">
        <v>60</v>
      </c>
      <c r="W48" s="23">
        <v>59</v>
      </c>
      <c r="X48" s="23">
        <f>120-W48</f>
        <v>61</v>
      </c>
      <c r="Y48" s="23">
        <v>48</v>
      </c>
      <c r="Z48" s="23">
        <v>52</v>
      </c>
      <c r="AA48" s="23">
        <v>48</v>
      </c>
      <c r="AB48" s="23">
        <v>56</v>
      </c>
      <c r="AC48" s="23">
        <v>42</v>
      </c>
      <c r="AD48" s="23">
        <v>43</v>
      </c>
      <c r="AE48" s="23">
        <v>43</v>
      </c>
      <c r="AF48" s="23"/>
      <c r="AG48" s="23"/>
      <c r="AH48" s="23"/>
      <c r="AI48" s="23"/>
      <c r="AJ48" s="23"/>
      <c r="AK48" s="23"/>
      <c r="AL48" s="23"/>
      <c r="AM48" s="23"/>
      <c r="AN48" s="23">
        <v>0</v>
      </c>
      <c r="AO48" s="56">
        <v>0</v>
      </c>
      <c r="AP48" s="23"/>
      <c r="AQ48" s="23"/>
      <c r="AR48" s="56"/>
      <c r="AS48" s="23"/>
      <c r="AT48" s="23"/>
      <c r="AU48" s="23"/>
      <c r="AV48" s="23"/>
      <c r="AW48" s="23"/>
      <c r="AX48" s="23"/>
      <c r="AY48" s="23"/>
      <c r="AZ48" s="23"/>
      <c r="BA48" s="23"/>
      <c r="BB48" s="23"/>
      <c r="BC48" s="23"/>
      <c r="BD48" s="23"/>
      <c r="BE48" s="23"/>
      <c r="BF48" s="23"/>
      <c r="BG48" s="23"/>
      <c r="BH48" s="23"/>
      <c r="BI48" s="23"/>
      <c r="BJ48" s="23"/>
      <c r="BK48" s="54"/>
      <c r="BL48" s="54"/>
      <c r="BM48" s="54"/>
      <c r="BN48" s="54"/>
      <c r="BO48" s="54"/>
      <c r="BP48" s="54"/>
      <c r="BQ48" s="54"/>
      <c r="BR48" s="54"/>
      <c r="BS48" s="54"/>
      <c r="BT48" s="54"/>
      <c r="BU48" s="54"/>
      <c r="BV48" s="54"/>
      <c r="BW48" s="54"/>
      <c r="BX48" s="54"/>
      <c r="BY48" s="54"/>
      <c r="BZ48" s="54"/>
      <c r="CA48" s="54"/>
      <c r="CB48" s="54"/>
      <c r="CC48" s="54"/>
      <c r="CD48" s="54"/>
      <c r="CE48" s="54"/>
      <c r="CF48" s="54"/>
      <c r="CG48" s="54"/>
      <c r="CH48" s="54"/>
      <c r="CI48" s="54"/>
      <c r="CJ48" s="54"/>
      <c r="CK48" s="54"/>
      <c r="CL48" s="54"/>
      <c r="CM48" s="54"/>
      <c r="CN48" s="23"/>
      <c r="CP48" s="23"/>
      <c r="CQ48" s="23"/>
      <c r="CR48" s="23">
        <f t="shared" si="32"/>
        <v>283</v>
      </c>
      <c r="CS48" s="23">
        <f t="shared" si="39"/>
        <v>294</v>
      </c>
      <c r="CT48" s="23">
        <f t="shared" si="63"/>
        <v>241</v>
      </c>
      <c r="CU48" s="23">
        <f t="shared" si="25"/>
        <v>220</v>
      </c>
      <c r="CV48" s="23">
        <f t="shared" si="26"/>
        <v>189</v>
      </c>
      <c r="CW48" s="23">
        <f t="shared" si="68"/>
        <v>170.1</v>
      </c>
      <c r="CX48" s="23">
        <f>CW48*0.4</f>
        <v>68.040000000000006</v>
      </c>
      <c r="CY48" s="23">
        <f t="shared" si="68"/>
        <v>61.236000000000004</v>
      </c>
      <c r="CZ48" s="23">
        <f t="shared" si="68"/>
        <v>55.112400000000008</v>
      </c>
      <c r="DA48" s="23">
        <f t="shared" si="68"/>
        <v>49.601160000000007</v>
      </c>
      <c r="DB48" s="23">
        <f t="shared" si="68"/>
        <v>44.641044000000008</v>
      </c>
      <c r="DC48" s="23">
        <f t="shared" si="68"/>
        <v>40.176939600000011</v>
      </c>
      <c r="DJ48" s="27"/>
    </row>
    <row r="49" spans="2:114" x14ac:dyDescent="0.2">
      <c r="B49" s="31" t="s">
        <v>295</v>
      </c>
      <c r="R49" s="23"/>
      <c r="S49" s="23"/>
      <c r="T49" s="23"/>
      <c r="U49" s="23"/>
      <c r="V49" s="23"/>
      <c r="W49" s="23"/>
      <c r="X49" s="23"/>
      <c r="Y49" s="23"/>
      <c r="Z49" s="23"/>
      <c r="AA49" s="23">
        <v>34</v>
      </c>
      <c r="AB49" s="23">
        <v>33</v>
      </c>
      <c r="AC49" s="23">
        <v>31</v>
      </c>
      <c r="AD49" s="23">
        <v>35</v>
      </c>
      <c r="AE49" s="23">
        <v>31</v>
      </c>
      <c r="AF49" s="23"/>
      <c r="AG49" s="23"/>
      <c r="AH49" s="23"/>
      <c r="AI49" s="23"/>
      <c r="AJ49" s="23"/>
      <c r="AK49" s="23"/>
      <c r="AL49" s="23"/>
      <c r="AM49" s="23"/>
      <c r="AN49" s="23">
        <v>32</v>
      </c>
      <c r="AO49" s="56">
        <v>34</v>
      </c>
      <c r="AP49" s="23"/>
      <c r="AQ49" s="23"/>
      <c r="AR49" s="56">
        <v>33</v>
      </c>
      <c r="AS49" s="23"/>
      <c r="AT49" s="23"/>
      <c r="AU49" s="23"/>
      <c r="AV49" s="23"/>
      <c r="AW49" s="23"/>
      <c r="AX49" s="23"/>
      <c r="AY49" s="23"/>
      <c r="AZ49" s="23"/>
      <c r="BA49" s="23"/>
      <c r="BB49" s="23"/>
      <c r="BC49" s="23"/>
      <c r="BD49" s="23"/>
      <c r="BE49" s="23"/>
      <c r="BF49" s="23"/>
      <c r="BG49" s="23"/>
      <c r="BH49" s="23"/>
      <c r="BI49" s="23"/>
      <c r="BJ49" s="23"/>
      <c r="BK49" s="54"/>
      <c r="BL49" s="54"/>
      <c r="BM49" s="54"/>
      <c r="BN49" s="54"/>
      <c r="BO49" s="54"/>
      <c r="BP49" s="54"/>
      <c r="BQ49" s="54"/>
      <c r="BR49" s="54"/>
      <c r="BS49" s="54"/>
      <c r="BT49" s="54"/>
      <c r="BU49" s="54"/>
      <c r="BV49" s="54"/>
      <c r="BW49" s="54"/>
      <c r="BX49" s="54"/>
      <c r="BY49" s="54"/>
      <c r="BZ49" s="54"/>
      <c r="CA49" s="54"/>
      <c r="CB49" s="54"/>
      <c r="CC49" s="54"/>
      <c r="CD49" s="54"/>
      <c r="CE49" s="54"/>
      <c r="CF49" s="54"/>
      <c r="CG49" s="54"/>
      <c r="CH49" s="54"/>
      <c r="CI49" s="54"/>
      <c r="CJ49" s="54"/>
      <c r="CK49" s="54"/>
      <c r="CL49" s="54"/>
      <c r="CM49" s="54"/>
      <c r="CN49" s="23"/>
      <c r="CP49" s="23"/>
      <c r="CQ49" s="23"/>
      <c r="CR49" s="23"/>
      <c r="CS49" s="23"/>
      <c r="CT49" s="23"/>
      <c r="CU49" s="23"/>
      <c r="CV49" s="23">
        <f>SUM(AA49:AE49)</f>
        <v>164</v>
      </c>
      <c r="CW49" s="23"/>
      <c r="CX49" s="23"/>
      <c r="CY49" s="23"/>
      <c r="CZ49" s="23"/>
      <c r="DA49" s="23"/>
      <c r="DB49" s="23"/>
      <c r="DC49" s="23"/>
      <c r="DJ49" s="27"/>
    </row>
    <row r="50" spans="2:114" x14ac:dyDescent="0.2">
      <c r="B50" s="31" t="s">
        <v>303</v>
      </c>
      <c r="K50" s="23">
        <v>89</v>
      </c>
      <c r="L50" s="23">
        <v>91</v>
      </c>
      <c r="M50" s="23">
        <v>84</v>
      </c>
      <c r="N50" s="23">
        <v>87</v>
      </c>
      <c r="O50" s="23">
        <f>160-P50</f>
        <v>78</v>
      </c>
      <c r="P50" s="23">
        <v>82</v>
      </c>
      <c r="Q50" s="23">
        <v>79</v>
      </c>
      <c r="R50" s="23">
        <v>81</v>
      </c>
      <c r="S50" s="23">
        <v>75</v>
      </c>
      <c r="T50" s="23">
        <v>87</v>
      </c>
      <c r="U50" s="23">
        <v>85</v>
      </c>
      <c r="V50" s="23">
        <v>83</v>
      </c>
      <c r="W50" s="23">
        <v>68</v>
      </c>
      <c r="X50" s="23">
        <f>137-W50</f>
        <v>69</v>
      </c>
      <c r="Y50" s="23">
        <v>62</v>
      </c>
      <c r="Z50" s="23">
        <v>65</v>
      </c>
      <c r="AA50" s="23">
        <v>60</v>
      </c>
      <c r="AB50" s="23">
        <v>64</v>
      </c>
      <c r="AC50" s="23">
        <v>58</v>
      </c>
      <c r="AD50" s="23">
        <v>56</v>
      </c>
      <c r="AE50" s="23">
        <v>48</v>
      </c>
      <c r="AF50" s="23"/>
      <c r="AG50" s="23"/>
      <c r="AH50" s="23"/>
      <c r="AI50" s="23"/>
      <c r="AJ50" s="23"/>
      <c r="AK50" s="23"/>
      <c r="AL50" s="23"/>
      <c r="AM50" s="23"/>
      <c r="AN50" s="23">
        <v>24</v>
      </c>
      <c r="AO50" s="56">
        <v>23</v>
      </c>
      <c r="AP50" s="23"/>
      <c r="AQ50" s="23"/>
      <c r="AR50" s="56">
        <v>20</v>
      </c>
      <c r="AS50" s="23"/>
      <c r="AT50" s="23"/>
      <c r="AU50" s="23"/>
      <c r="AV50" s="23"/>
      <c r="AW50" s="23"/>
      <c r="AX50" s="23"/>
      <c r="AY50" s="23"/>
      <c r="AZ50" s="23"/>
      <c r="BA50" s="23"/>
      <c r="BB50" s="23"/>
      <c r="BC50" s="23"/>
      <c r="BD50" s="23"/>
      <c r="BE50" s="23"/>
      <c r="BF50" s="23"/>
      <c r="BG50" s="23"/>
      <c r="BH50" s="23"/>
      <c r="BI50" s="23"/>
      <c r="BJ50" s="23"/>
      <c r="BK50" s="54"/>
      <c r="BL50" s="54"/>
      <c r="BM50" s="54"/>
      <c r="BN50" s="54"/>
      <c r="BO50" s="54"/>
      <c r="BP50" s="54"/>
      <c r="BQ50" s="54"/>
      <c r="BR50" s="54"/>
      <c r="BS50" s="54"/>
      <c r="BT50" s="54"/>
      <c r="BU50" s="54"/>
      <c r="BV50" s="54"/>
      <c r="BW50" s="54"/>
      <c r="BX50" s="54"/>
      <c r="BY50" s="54"/>
      <c r="BZ50" s="54"/>
      <c r="CA50" s="54"/>
      <c r="CB50" s="54"/>
      <c r="CC50" s="54"/>
      <c r="CD50" s="54"/>
      <c r="CE50" s="54"/>
      <c r="CF50" s="54"/>
      <c r="CG50" s="54"/>
      <c r="CH50" s="54"/>
      <c r="CI50" s="54"/>
      <c r="CJ50" s="54"/>
      <c r="CK50" s="54"/>
      <c r="CL50" s="54"/>
      <c r="CM50" s="54"/>
      <c r="CN50" s="23"/>
      <c r="CP50" s="23"/>
      <c r="CQ50" s="23"/>
      <c r="CR50" s="23">
        <f>SUM(K50:N50)</f>
        <v>351</v>
      </c>
      <c r="CS50" s="23">
        <f>SUM(O50:R50)</f>
        <v>320</v>
      </c>
      <c r="CT50" s="23">
        <f>SUM(S50:V50)</f>
        <v>330</v>
      </c>
      <c r="CU50" s="23">
        <f>SUM(W50:Z50)</f>
        <v>264</v>
      </c>
      <c r="CV50" s="23">
        <f t="shared" si="26"/>
        <v>238</v>
      </c>
      <c r="CW50" s="23">
        <f>+CV50*0.9</f>
        <v>214.20000000000002</v>
      </c>
      <c r="CX50" s="23">
        <f t="shared" ref="CX50:DC50" si="72">+CW50*0.9</f>
        <v>192.78000000000003</v>
      </c>
      <c r="CY50" s="23">
        <f t="shared" si="72"/>
        <v>173.50200000000004</v>
      </c>
      <c r="CZ50" s="23">
        <f t="shared" si="72"/>
        <v>156.15180000000004</v>
      </c>
      <c r="DA50" s="23">
        <f t="shared" si="72"/>
        <v>140.53662000000003</v>
      </c>
      <c r="DB50" s="23">
        <f t="shared" si="72"/>
        <v>126.48295800000002</v>
      </c>
      <c r="DC50" s="23">
        <f t="shared" si="72"/>
        <v>113.83466220000003</v>
      </c>
      <c r="DE50" s="19"/>
      <c r="DJ50" s="27"/>
    </row>
    <row r="51" spans="2:114" x14ac:dyDescent="0.2">
      <c r="B51" s="19" t="s">
        <v>352</v>
      </c>
      <c r="R51" s="23"/>
      <c r="S51" s="23"/>
      <c r="T51" s="23"/>
      <c r="U51" s="23"/>
      <c r="V51" s="23"/>
      <c r="W51" s="23"/>
      <c r="X51" s="23"/>
      <c r="Y51" s="23"/>
      <c r="Z51" s="23"/>
      <c r="AA51" s="23"/>
      <c r="AB51" s="23"/>
      <c r="AC51" s="23"/>
      <c r="AD51" s="23"/>
      <c r="AE51" s="23"/>
      <c r="AF51" s="23"/>
      <c r="AG51" s="23"/>
      <c r="AH51" s="23"/>
      <c r="AI51" s="23"/>
      <c r="AJ51" s="23"/>
      <c r="AK51" s="23"/>
      <c r="AL51" s="23"/>
      <c r="AM51" s="23"/>
      <c r="AN51" s="23">
        <v>14</v>
      </c>
      <c r="AO51" s="56">
        <v>13</v>
      </c>
      <c r="AP51" s="23"/>
      <c r="AQ51" s="23"/>
      <c r="AR51" s="56">
        <v>15</v>
      </c>
      <c r="AS51" s="23"/>
      <c r="AT51" s="23"/>
      <c r="AU51" s="23"/>
      <c r="AV51" s="23"/>
      <c r="AW51" s="23"/>
      <c r="AX51" s="23"/>
      <c r="AY51" s="23"/>
      <c r="AZ51" s="23"/>
      <c r="BA51" s="23"/>
      <c r="BB51" s="23"/>
      <c r="BC51" s="23"/>
      <c r="BD51" s="23"/>
      <c r="BE51" s="23"/>
      <c r="BF51" s="23"/>
      <c r="BG51" s="23"/>
      <c r="BH51" s="23"/>
      <c r="BI51" s="23"/>
      <c r="BJ51" s="23"/>
      <c r="BK51" s="54"/>
      <c r="BL51" s="54"/>
      <c r="BM51" s="54"/>
      <c r="BN51" s="54"/>
      <c r="BO51" s="54"/>
      <c r="BP51" s="54"/>
      <c r="BQ51" s="54"/>
      <c r="BR51" s="54"/>
      <c r="BS51" s="54"/>
      <c r="BT51" s="54"/>
      <c r="BU51" s="54"/>
      <c r="BV51" s="54"/>
      <c r="BW51" s="54"/>
      <c r="BX51" s="54"/>
      <c r="BY51" s="54"/>
      <c r="BZ51" s="54"/>
      <c r="CA51" s="54"/>
      <c r="CB51" s="54"/>
      <c r="CC51" s="54"/>
      <c r="CD51" s="54"/>
      <c r="CE51" s="54"/>
      <c r="CF51" s="54"/>
      <c r="CG51" s="54"/>
      <c r="CH51" s="54"/>
      <c r="CI51" s="54"/>
      <c r="CJ51" s="54"/>
      <c r="CK51" s="54"/>
      <c r="CL51" s="54"/>
      <c r="CM51" s="54"/>
      <c r="CN51" s="23"/>
      <c r="CP51" s="23"/>
      <c r="CQ51" s="23"/>
      <c r="CR51" s="23" t="s">
        <v>253</v>
      </c>
      <c r="CS51" s="23" t="s">
        <v>253</v>
      </c>
      <c r="CT51" s="23" t="s">
        <v>254</v>
      </c>
      <c r="CU51" s="32" t="s">
        <v>254</v>
      </c>
      <c r="CV51" s="32" t="s">
        <v>254</v>
      </c>
      <c r="CW51" s="23">
        <v>50</v>
      </c>
      <c r="CX51" s="23">
        <v>100</v>
      </c>
      <c r="CY51" s="23">
        <v>200</v>
      </c>
      <c r="CZ51" s="23">
        <v>300</v>
      </c>
      <c r="DA51" s="23">
        <v>400</v>
      </c>
      <c r="DB51" s="32">
        <v>500</v>
      </c>
      <c r="DC51" s="32">
        <v>500</v>
      </c>
      <c r="DJ51" s="27"/>
    </row>
    <row r="52" spans="2:114" x14ac:dyDescent="0.2">
      <c r="B52" s="1" t="s">
        <v>60</v>
      </c>
      <c r="K52" s="23">
        <v>430</v>
      </c>
      <c r="L52" s="23">
        <v>456</v>
      </c>
      <c r="M52" s="23">
        <v>429</v>
      </c>
      <c r="N52" s="23">
        <v>437</v>
      </c>
      <c r="O52" s="23">
        <f>923-P52</f>
        <v>449</v>
      </c>
      <c r="P52" s="23">
        <v>474</v>
      </c>
      <c r="Q52" s="23">
        <v>475</v>
      </c>
      <c r="R52" s="23">
        <v>476</v>
      </c>
      <c r="S52" s="23">
        <v>484</v>
      </c>
      <c r="T52" s="23">
        <v>503</v>
      </c>
      <c r="U52" s="23">
        <v>505</v>
      </c>
      <c r="V52" s="23">
        <v>541</v>
      </c>
      <c r="W52" s="23">
        <v>534</v>
      </c>
      <c r="X52" s="23">
        <f>1118-W52</f>
        <v>584</v>
      </c>
      <c r="Y52" s="23">
        <v>526</v>
      </c>
      <c r="Z52" s="23">
        <v>533</v>
      </c>
      <c r="AA52" s="23">
        <v>531</v>
      </c>
      <c r="AB52" s="23">
        <v>598</v>
      </c>
      <c r="AC52" s="23">
        <v>537</v>
      </c>
      <c r="AD52" s="23">
        <v>456</v>
      </c>
      <c r="AE52" s="23">
        <v>382</v>
      </c>
      <c r="AF52" s="23">
        <v>204</v>
      </c>
      <c r="AG52" s="23">
        <f t="shared" ref="AG52:AH52" si="73">+AF52-10</f>
        <v>194</v>
      </c>
      <c r="AH52" s="23">
        <f t="shared" si="73"/>
        <v>184</v>
      </c>
      <c r="AI52" s="23"/>
      <c r="AJ52" s="23"/>
      <c r="AK52" s="23"/>
      <c r="AL52" s="23"/>
      <c r="AM52" s="23"/>
      <c r="AN52" s="23">
        <v>114</v>
      </c>
      <c r="AO52" s="56">
        <v>84</v>
      </c>
      <c r="AP52" s="23"/>
      <c r="AQ52" s="23"/>
      <c r="AR52" s="56">
        <v>67</v>
      </c>
      <c r="AS52" s="23"/>
      <c r="AT52" s="23"/>
      <c r="AU52" s="23"/>
      <c r="AV52" s="23"/>
      <c r="AW52" s="23"/>
      <c r="AX52" s="23"/>
      <c r="AY52" s="23"/>
      <c r="AZ52" s="23"/>
      <c r="BA52" s="23"/>
      <c r="BB52" s="23"/>
      <c r="BC52" s="23"/>
      <c r="BD52" s="23"/>
      <c r="BE52" s="23"/>
      <c r="BF52" s="23"/>
      <c r="BG52" s="23"/>
      <c r="BH52" s="23"/>
      <c r="BI52" s="23"/>
      <c r="BJ52" s="23"/>
      <c r="BK52" s="54">
        <v>47</v>
      </c>
      <c r="BL52" s="54"/>
      <c r="BM52" s="54"/>
      <c r="BN52" s="54"/>
      <c r="BO52" s="54">
        <v>39</v>
      </c>
      <c r="BP52" s="54">
        <v>39</v>
      </c>
      <c r="BQ52" s="54">
        <v>41</v>
      </c>
      <c r="BR52" s="54">
        <v>41</v>
      </c>
      <c r="BS52" s="54"/>
      <c r="BT52" s="54"/>
      <c r="BU52" s="54"/>
      <c r="BV52" s="54"/>
      <c r="BW52" s="54"/>
      <c r="BX52" s="54"/>
      <c r="BY52" s="54"/>
      <c r="BZ52" s="54"/>
      <c r="CA52" s="54"/>
      <c r="CB52" s="54"/>
      <c r="CC52" s="54"/>
      <c r="CD52" s="54"/>
      <c r="CE52" s="54"/>
      <c r="CF52" s="54"/>
      <c r="CG52" s="54"/>
      <c r="CH52" s="54"/>
      <c r="CI52" s="54"/>
      <c r="CJ52" s="54"/>
      <c r="CK52" s="54"/>
      <c r="CL52" s="54"/>
      <c r="CM52" s="54"/>
      <c r="CN52" s="23"/>
      <c r="CP52" s="23"/>
      <c r="CQ52" s="23"/>
      <c r="CR52" s="23">
        <f>SUM(K52:N52)</f>
        <v>1752</v>
      </c>
      <c r="CS52" s="23">
        <f>SUM(O52:R52)</f>
        <v>1874</v>
      </c>
      <c r="CT52" s="23">
        <f>SUM(S52:V52)</f>
        <v>2033</v>
      </c>
      <c r="CU52" s="23">
        <f>SUM(W52:Z52)</f>
        <v>2177</v>
      </c>
      <c r="CV52" s="23">
        <f>SUM(AA52:AD52)</f>
        <v>2122</v>
      </c>
      <c r="CW52" s="23">
        <f>CV52*0.4</f>
        <v>848.80000000000007</v>
      </c>
      <c r="CX52" s="23">
        <f>CW52*0.5</f>
        <v>424.40000000000003</v>
      </c>
      <c r="CY52" s="23">
        <f>CX52*0.75</f>
        <v>318.3</v>
      </c>
      <c r="CZ52" s="23">
        <f t="shared" ref="CZ52:DB52" si="74">CY52*0.75</f>
        <v>238.72500000000002</v>
      </c>
      <c r="DA52" s="23">
        <f t="shared" si="74"/>
        <v>179.04375000000002</v>
      </c>
      <c r="DB52" s="23">
        <f t="shared" si="74"/>
        <v>134.28281250000001</v>
      </c>
      <c r="DC52" s="23">
        <f t="shared" ref="DC52" si="75">DB52*0.75</f>
        <v>100.71210937500001</v>
      </c>
      <c r="DJ52" s="27"/>
    </row>
    <row r="53" spans="2:114" x14ac:dyDescent="0.2">
      <c r="B53" s="19" t="s">
        <v>353</v>
      </c>
      <c r="R53" s="23"/>
      <c r="S53" s="23"/>
      <c r="T53" s="23"/>
      <c r="U53" s="23"/>
      <c r="V53" s="23"/>
      <c r="W53" s="23"/>
      <c r="X53" s="23"/>
      <c r="Y53" s="23"/>
      <c r="Z53" s="23"/>
      <c r="AA53" s="23"/>
      <c r="AB53" s="23"/>
      <c r="AC53" s="23"/>
      <c r="AD53" s="23"/>
      <c r="AE53" s="23"/>
      <c r="AF53" s="23"/>
      <c r="AG53" s="23"/>
      <c r="AH53" s="23"/>
      <c r="AI53" s="23"/>
      <c r="AJ53" s="23"/>
      <c r="AK53" s="23"/>
      <c r="AL53" s="23"/>
      <c r="AM53" s="23"/>
      <c r="AN53" s="23">
        <v>0</v>
      </c>
      <c r="AO53" s="56">
        <v>27</v>
      </c>
      <c r="AP53" s="23"/>
      <c r="AQ53" s="23"/>
      <c r="AR53" s="56">
        <v>16</v>
      </c>
      <c r="AS53" s="23"/>
      <c r="AT53" s="23"/>
      <c r="AU53" s="23"/>
      <c r="AV53" s="23"/>
      <c r="AW53" s="23"/>
      <c r="AX53" s="23"/>
      <c r="AY53" s="23"/>
      <c r="AZ53" s="23"/>
      <c r="BA53" s="23"/>
      <c r="BB53" s="23"/>
      <c r="BC53" s="23"/>
      <c r="BD53" s="23"/>
      <c r="BE53" s="23"/>
      <c r="BF53" s="23"/>
      <c r="BG53" s="23"/>
      <c r="BH53" s="23"/>
      <c r="BI53" s="23"/>
      <c r="BJ53" s="23"/>
      <c r="BK53" s="54"/>
      <c r="BL53" s="54"/>
      <c r="BM53" s="54"/>
      <c r="BN53" s="54"/>
      <c r="BO53" s="54"/>
      <c r="BP53" s="54"/>
      <c r="BQ53" s="54"/>
      <c r="BR53" s="54"/>
      <c r="BS53" s="54"/>
      <c r="BT53" s="54"/>
      <c r="BU53" s="54"/>
      <c r="BV53" s="54"/>
      <c r="BW53" s="54"/>
      <c r="BX53" s="54"/>
      <c r="BY53" s="54"/>
      <c r="BZ53" s="54"/>
      <c r="CA53" s="54"/>
      <c r="CB53" s="54"/>
      <c r="CC53" s="54"/>
      <c r="CD53" s="54"/>
      <c r="CE53" s="54"/>
      <c r="CF53" s="54"/>
      <c r="CG53" s="54"/>
      <c r="CH53" s="54"/>
      <c r="CI53" s="54"/>
      <c r="CJ53" s="54"/>
      <c r="CK53" s="54"/>
      <c r="CL53" s="54"/>
      <c r="CM53" s="54"/>
      <c r="CN53" s="23"/>
      <c r="CP53" s="23"/>
      <c r="CQ53" s="23"/>
      <c r="CR53" s="23"/>
      <c r="CS53" s="23"/>
      <c r="CT53" s="23"/>
      <c r="CU53" s="32"/>
      <c r="CV53" s="32"/>
      <c r="CW53" s="23"/>
      <c r="CX53" s="23"/>
      <c r="CY53" s="23"/>
      <c r="CZ53" s="23"/>
      <c r="DA53" s="23"/>
      <c r="DB53" s="32"/>
      <c r="DC53" s="32"/>
      <c r="DJ53" s="27"/>
    </row>
    <row r="54" spans="2:114" x14ac:dyDescent="0.2">
      <c r="B54" s="19" t="s">
        <v>357</v>
      </c>
      <c r="R54" s="23"/>
      <c r="S54" s="23"/>
      <c r="T54" s="23"/>
      <c r="U54" s="23"/>
      <c r="V54" s="23"/>
      <c r="W54" s="23"/>
      <c r="X54" s="23"/>
      <c r="Y54" s="23"/>
      <c r="Z54" s="23"/>
      <c r="AA54" s="23"/>
      <c r="AB54" s="23"/>
      <c r="AC54" s="23"/>
      <c r="AD54" s="23"/>
      <c r="AE54" s="23"/>
      <c r="AF54" s="23"/>
      <c r="AG54" s="23"/>
      <c r="AH54" s="23"/>
      <c r="AI54" s="23"/>
      <c r="AJ54" s="23"/>
      <c r="AK54" s="23"/>
      <c r="AL54" s="23"/>
      <c r="AM54" s="23"/>
      <c r="AN54" s="23">
        <v>43</v>
      </c>
      <c r="AO54" s="56">
        <v>43</v>
      </c>
      <c r="AP54" s="23"/>
      <c r="AQ54" s="23"/>
      <c r="AR54" s="56">
        <v>45</v>
      </c>
      <c r="AS54" s="23"/>
      <c r="AT54" s="23"/>
      <c r="AU54" s="23"/>
      <c r="AV54" s="23"/>
      <c r="AW54" s="23"/>
      <c r="AX54" s="23"/>
      <c r="AY54" s="23"/>
      <c r="AZ54" s="23"/>
      <c r="BA54" s="23"/>
      <c r="BB54" s="23"/>
      <c r="BC54" s="23"/>
      <c r="BD54" s="23"/>
      <c r="BE54" s="23"/>
      <c r="BF54" s="23"/>
      <c r="BG54" s="23"/>
      <c r="BH54" s="23"/>
      <c r="BI54" s="23"/>
      <c r="BJ54" s="23"/>
      <c r="BK54" s="54"/>
      <c r="BL54" s="54"/>
      <c r="BM54" s="54"/>
      <c r="BN54" s="54"/>
      <c r="BO54" s="54"/>
      <c r="BP54" s="54"/>
      <c r="BQ54" s="54"/>
      <c r="BR54" s="54"/>
      <c r="BS54" s="54"/>
      <c r="BT54" s="54"/>
      <c r="BU54" s="54"/>
      <c r="BV54" s="54"/>
      <c r="BW54" s="54"/>
      <c r="BX54" s="54"/>
      <c r="BY54" s="54"/>
      <c r="BZ54" s="54"/>
      <c r="CA54" s="54"/>
      <c r="CB54" s="54"/>
      <c r="CC54" s="54"/>
      <c r="CD54" s="54"/>
      <c r="CE54" s="54"/>
      <c r="CF54" s="54"/>
      <c r="CG54" s="54"/>
      <c r="CH54" s="54"/>
      <c r="CI54" s="54"/>
      <c r="CJ54" s="54"/>
      <c r="CK54" s="54"/>
      <c r="CL54" s="54"/>
      <c r="CM54" s="54"/>
      <c r="CN54" s="23"/>
      <c r="CP54" s="23"/>
      <c r="CQ54" s="23"/>
      <c r="CR54" s="23"/>
      <c r="CS54" s="23"/>
      <c r="CT54" s="23"/>
      <c r="CU54" s="32"/>
      <c r="CV54" s="32"/>
      <c r="CW54" s="23"/>
      <c r="CX54" s="23"/>
      <c r="CY54" s="23"/>
      <c r="CZ54" s="23"/>
      <c r="DA54" s="23"/>
      <c r="DB54" s="23"/>
      <c r="DC54" s="23"/>
      <c r="DJ54" s="27"/>
    </row>
    <row r="55" spans="2:114" x14ac:dyDescent="0.2">
      <c r="B55" s="19" t="s">
        <v>358</v>
      </c>
      <c r="R55" s="23"/>
      <c r="S55" s="23"/>
      <c r="T55" s="23"/>
      <c r="U55" s="23"/>
      <c r="V55" s="23"/>
      <c r="W55" s="23"/>
      <c r="X55" s="23"/>
      <c r="Y55" s="23"/>
      <c r="Z55" s="23"/>
      <c r="AA55" s="23"/>
      <c r="AB55" s="23"/>
      <c r="AC55" s="23"/>
      <c r="AD55" s="23"/>
      <c r="AE55" s="23"/>
      <c r="AF55" s="23"/>
      <c r="AG55" s="23"/>
      <c r="AH55" s="23"/>
      <c r="AI55" s="23"/>
      <c r="AJ55" s="23"/>
      <c r="AK55" s="23"/>
      <c r="AL55" s="23"/>
      <c r="AM55" s="23"/>
      <c r="AN55" s="23">
        <v>45</v>
      </c>
      <c r="AO55" s="56">
        <v>37</v>
      </c>
      <c r="AP55" s="23"/>
      <c r="AQ55" s="23"/>
      <c r="AR55" s="56">
        <v>38</v>
      </c>
      <c r="AS55" s="23"/>
      <c r="AT55" s="23"/>
      <c r="AU55" s="23"/>
      <c r="AV55" s="23"/>
      <c r="AW55" s="23"/>
      <c r="AX55" s="23"/>
      <c r="AY55" s="23"/>
      <c r="AZ55" s="23"/>
      <c r="BA55" s="23"/>
      <c r="BB55" s="23"/>
      <c r="BC55" s="23"/>
      <c r="BD55" s="23"/>
      <c r="BE55" s="23"/>
      <c r="BF55" s="23"/>
      <c r="BG55" s="23"/>
      <c r="BH55" s="23"/>
      <c r="BI55" s="23"/>
      <c r="BJ55" s="23"/>
      <c r="BK55" s="54"/>
      <c r="BL55" s="54"/>
      <c r="BM55" s="54"/>
      <c r="BN55" s="54"/>
      <c r="BO55" s="54"/>
      <c r="BP55" s="54"/>
      <c r="BQ55" s="54"/>
      <c r="BR55" s="54"/>
      <c r="BS55" s="54"/>
      <c r="BT55" s="54"/>
      <c r="BU55" s="54"/>
      <c r="BV55" s="54"/>
      <c r="BW55" s="54"/>
      <c r="BX55" s="54"/>
      <c r="BY55" s="54"/>
      <c r="BZ55" s="54"/>
      <c r="CA55" s="54"/>
      <c r="CB55" s="54"/>
      <c r="CC55" s="54"/>
      <c r="CD55" s="54"/>
      <c r="CE55" s="54"/>
      <c r="CF55" s="54"/>
      <c r="CG55" s="54"/>
      <c r="CH55" s="54"/>
      <c r="CI55" s="54"/>
      <c r="CJ55" s="54"/>
      <c r="CK55" s="54"/>
      <c r="CL55" s="54"/>
      <c r="CM55" s="54"/>
      <c r="CN55" s="23"/>
      <c r="CP55" s="23"/>
      <c r="CQ55" s="23"/>
      <c r="CR55" s="23"/>
      <c r="CS55" s="23"/>
      <c r="CT55" s="23"/>
      <c r="CU55" s="32"/>
      <c r="CV55" s="32"/>
      <c r="CW55" s="23"/>
      <c r="CX55" s="23"/>
      <c r="CY55" s="23"/>
      <c r="CZ55" s="23"/>
      <c r="DA55" s="23"/>
      <c r="DB55" s="23"/>
      <c r="DC55" s="23"/>
      <c r="DJ55" s="27"/>
    </row>
    <row r="56" spans="2:114" x14ac:dyDescent="0.2">
      <c r="B56" s="19" t="s">
        <v>359</v>
      </c>
      <c r="R56" s="23"/>
      <c r="S56" s="23"/>
      <c r="T56" s="23"/>
      <c r="U56" s="23"/>
      <c r="V56" s="23"/>
      <c r="W56" s="23"/>
      <c r="X56" s="23"/>
      <c r="Y56" s="23"/>
      <c r="Z56" s="23"/>
      <c r="AA56" s="23"/>
      <c r="AB56" s="23"/>
      <c r="AC56" s="23"/>
      <c r="AD56" s="23"/>
      <c r="AE56" s="23"/>
      <c r="AF56" s="23"/>
      <c r="AG56" s="23"/>
      <c r="AH56" s="23"/>
      <c r="AI56" s="23"/>
      <c r="AJ56" s="23"/>
      <c r="AK56" s="23"/>
      <c r="AL56" s="23"/>
      <c r="AM56" s="23"/>
      <c r="AN56" s="23">
        <v>38</v>
      </c>
      <c r="AO56" s="56">
        <v>36</v>
      </c>
      <c r="AP56" s="23"/>
      <c r="AQ56" s="23"/>
      <c r="AR56" s="56">
        <v>48</v>
      </c>
      <c r="AS56" s="23"/>
      <c r="AT56" s="23"/>
      <c r="AU56" s="23"/>
      <c r="AV56" s="23"/>
      <c r="AW56" s="23"/>
      <c r="AX56" s="23"/>
      <c r="AY56" s="23"/>
      <c r="AZ56" s="23"/>
      <c r="BA56" s="23"/>
      <c r="BB56" s="23"/>
      <c r="BC56" s="23"/>
      <c r="BD56" s="23"/>
      <c r="BE56" s="23"/>
      <c r="BF56" s="23"/>
      <c r="BG56" s="23"/>
      <c r="BH56" s="23"/>
      <c r="BI56" s="23"/>
      <c r="BJ56" s="23"/>
      <c r="BK56" s="54"/>
      <c r="BL56" s="54"/>
      <c r="BM56" s="54"/>
      <c r="BN56" s="54"/>
      <c r="BO56" s="54"/>
      <c r="BP56" s="54"/>
      <c r="BQ56" s="54"/>
      <c r="BR56" s="54"/>
      <c r="BS56" s="54"/>
      <c r="BT56" s="54"/>
      <c r="BU56" s="54"/>
      <c r="BV56" s="54"/>
      <c r="BW56" s="54"/>
      <c r="BX56" s="54"/>
      <c r="BY56" s="54"/>
      <c r="BZ56" s="54"/>
      <c r="CA56" s="54"/>
      <c r="CB56" s="54"/>
      <c r="CC56" s="54"/>
      <c r="CD56" s="54"/>
      <c r="CE56" s="54"/>
      <c r="CF56" s="54"/>
      <c r="CG56" s="54"/>
      <c r="CH56" s="54"/>
      <c r="CI56" s="54"/>
      <c r="CJ56" s="54"/>
      <c r="CK56" s="54"/>
      <c r="CL56" s="54"/>
      <c r="CM56" s="54"/>
      <c r="CN56" s="23"/>
      <c r="CP56" s="23"/>
      <c r="CQ56" s="23"/>
      <c r="CR56" s="23"/>
      <c r="CS56" s="23"/>
      <c r="CT56" s="23"/>
      <c r="CU56" s="32"/>
      <c r="CV56" s="32"/>
      <c r="CW56" s="23"/>
      <c r="CX56" s="23"/>
      <c r="CY56" s="23"/>
      <c r="CZ56" s="23"/>
      <c r="DA56" s="23"/>
      <c r="DB56" s="23"/>
      <c r="DC56" s="23"/>
      <c r="DJ56" s="27"/>
    </row>
    <row r="57" spans="2:114" x14ac:dyDescent="0.2">
      <c r="B57" s="19" t="s">
        <v>360</v>
      </c>
      <c r="R57" s="23"/>
      <c r="S57" s="23"/>
      <c r="T57" s="23"/>
      <c r="U57" s="23"/>
      <c r="V57" s="23"/>
      <c r="W57" s="23"/>
      <c r="X57" s="23"/>
      <c r="Y57" s="23"/>
      <c r="Z57" s="23"/>
      <c r="AA57" s="23"/>
      <c r="AB57" s="23"/>
      <c r="AC57" s="23"/>
      <c r="AD57" s="23"/>
      <c r="AE57" s="23"/>
      <c r="AF57" s="23"/>
      <c r="AG57" s="23"/>
      <c r="AH57" s="23"/>
      <c r="AI57" s="23"/>
      <c r="AJ57" s="23"/>
      <c r="AK57" s="23"/>
      <c r="AL57" s="23"/>
      <c r="AM57" s="23"/>
      <c r="AN57" s="23">
        <v>37</v>
      </c>
      <c r="AO57" s="56">
        <v>33</v>
      </c>
      <c r="AP57" s="23"/>
      <c r="AQ57" s="23"/>
      <c r="AR57" s="56">
        <v>33</v>
      </c>
      <c r="AS57" s="23"/>
      <c r="AT57" s="23"/>
      <c r="AU57" s="23"/>
      <c r="AV57" s="23"/>
      <c r="AW57" s="23"/>
      <c r="AX57" s="23"/>
      <c r="AY57" s="23"/>
      <c r="AZ57" s="23"/>
      <c r="BA57" s="23"/>
      <c r="BB57" s="23"/>
      <c r="BC57" s="23"/>
      <c r="BD57" s="23"/>
      <c r="BE57" s="23"/>
      <c r="BF57" s="23"/>
      <c r="BG57" s="23"/>
      <c r="BH57" s="23"/>
      <c r="BI57" s="23"/>
      <c r="BJ57" s="23"/>
      <c r="BK57" s="54"/>
      <c r="BL57" s="54"/>
      <c r="BM57" s="54"/>
      <c r="BN57" s="54"/>
      <c r="BO57" s="54"/>
      <c r="BP57" s="54"/>
      <c r="BQ57" s="54"/>
      <c r="BR57" s="54"/>
      <c r="BS57" s="54"/>
      <c r="BT57" s="54"/>
      <c r="BU57" s="54"/>
      <c r="BV57" s="54"/>
      <c r="BW57" s="54"/>
      <c r="BX57" s="54"/>
      <c r="BY57" s="54"/>
      <c r="BZ57" s="54"/>
      <c r="CA57" s="54"/>
      <c r="CB57" s="54"/>
      <c r="CC57" s="54"/>
      <c r="CD57" s="54"/>
      <c r="CE57" s="54"/>
      <c r="CF57" s="54"/>
      <c r="CG57" s="54"/>
      <c r="CH57" s="54"/>
      <c r="CI57" s="54"/>
      <c r="CJ57" s="54"/>
      <c r="CK57" s="54"/>
      <c r="CL57" s="54"/>
      <c r="CM57" s="54"/>
      <c r="CN57" s="23"/>
      <c r="CP57" s="23"/>
      <c r="CQ57" s="23"/>
      <c r="CR57" s="23"/>
      <c r="CS57" s="23"/>
      <c r="CT57" s="23"/>
      <c r="CU57" s="32"/>
      <c r="CV57" s="32"/>
      <c r="CW57" s="23"/>
      <c r="CX57" s="23"/>
      <c r="CY57" s="23"/>
      <c r="CZ57" s="23"/>
      <c r="DA57" s="23"/>
      <c r="DB57" s="23"/>
      <c r="DC57" s="23"/>
      <c r="DJ57" s="27"/>
    </row>
    <row r="58" spans="2:114" x14ac:dyDescent="0.2">
      <c r="B58" s="19" t="s">
        <v>487</v>
      </c>
      <c r="R58" s="23"/>
      <c r="S58" s="23"/>
      <c r="T58" s="23"/>
      <c r="U58" s="23"/>
      <c r="V58" s="23"/>
      <c r="W58" s="23"/>
      <c r="X58" s="23"/>
      <c r="Y58" s="23"/>
      <c r="Z58" s="23"/>
      <c r="AA58" s="23"/>
      <c r="AB58" s="23"/>
      <c r="AC58" s="23"/>
      <c r="AD58" s="23"/>
      <c r="AE58" s="23"/>
      <c r="AF58" s="23"/>
      <c r="AG58" s="23"/>
      <c r="AH58" s="23"/>
      <c r="AI58" s="23"/>
      <c r="AJ58" s="23"/>
      <c r="AK58" s="23"/>
      <c r="AL58" s="23"/>
      <c r="AM58" s="23"/>
      <c r="AN58" s="23">
        <v>64</v>
      </c>
      <c r="AO58" s="56">
        <v>64</v>
      </c>
      <c r="AP58" s="23"/>
      <c r="AQ58" s="23"/>
      <c r="AR58" s="56">
        <v>61</v>
      </c>
      <c r="AS58" s="23"/>
      <c r="AT58" s="23"/>
      <c r="AU58" s="23"/>
      <c r="AV58" s="23"/>
      <c r="AW58" s="23"/>
      <c r="AX58" s="23"/>
      <c r="AY58" s="23"/>
      <c r="AZ58" s="23"/>
      <c r="BA58" s="23"/>
      <c r="BB58" s="23"/>
      <c r="BC58" s="23"/>
      <c r="BD58" s="23"/>
      <c r="BE58" s="23"/>
      <c r="BF58" s="23"/>
      <c r="BG58" s="23"/>
      <c r="BH58" s="23"/>
      <c r="BI58" s="23"/>
      <c r="BJ58" s="23"/>
      <c r="BK58" s="54">
        <f>399-54-47-81-44-111</f>
        <v>62</v>
      </c>
      <c r="BL58" s="54"/>
      <c r="BM58" s="54"/>
      <c r="BN58" s="54"/>
      <c r="BO58" s="54"/>
      <c r="BP58" s="54"/>
      <c r="BQ58" s="54"/>
      <c r="BR58" s="54"/>
      <c r="BS58" s="54"/>
      <c r="BT58" s="54"/>
      <c r="BU58" s="54"/>
      <c r="BV58" s="54"/>
      <c r="BW58" s="54"/>
      <c r="BX58" s="54">
        <v>1</v>
      </c>
      <c r="BY58" s="54"/>
      <c r="BZ58" s="54"/>
      <c r="CA58" s="54"/>
      <c r="CB58" s="54"/>
      <c r="CC58" s="54"/>
      <c r="CD58" s="54"/>
      <c r="CE58" s="54"/>
      <c r="CF58" s="54"/>
      <c r="CG58" s="54"/>
      <c r="CH58" s="54"/>
      <c r="CI58" s="54"/>
      <c r="CJ58" s="54"/>
      <c r="CK58" s="54"/>
      <c r="CL58" s="54"/>
      <c r="CM58" s="54"/>
      <c r="CN58" s="23"/>
      <c r="CP58" s="23"/>
      <c r="CQ58" s="23"/>
      <c r="CR58" s="23"/>
      <c r="CS58" s="23"/>
      <c r="CT58" s="23"/>
      <c r="CU58" s="32"/>
      <c r="CV58" s="32"/>
      <c r="CW58" s="23"/>
      <c r="CX58" s="23"/>
      <c r="CY58" s="23"/>
      <c r="CZ58" s="23"/>
      <c r="DA58" s="23"/>
      <c r="DB58" s="23"/>
      <c r="DC58" s="23"/>
      <c r="DJ58" s="27"/>
    </row>
    <row r="59" spans="2:114" x14ac:dyDescent="0.2">
      <c r="B59" s="19" t="s">
        <v>493</v>
      </c>
      <c r="R59" s="23"/>
      <c r="S59" s="23"/>
      <c r="T59" s="23"/>
      <c r="U59" s="23"/>
      <c r="V59" s="23"/>
      <c r="W59" s="23"/>
      <c r="X59" s="23"/>
      <c r="Y59" s="23"/>
      <c r="Z59" s="23"/>
      <c r="AA59" s="23"/>
      <c r="AB59" s="23"/>
      <c r="AC59" s="23"/>
      <c r="AD59" s="23"/>
      <c r="AE59" s="23"/>
      <c r="AF59" s="23"/>
      <c r="AG59" s="23"/>
      <c r="AH59" s="23"/>
      <c r="AI59" s="23"/>
      <c r="AJ59" s="23"/>
      <c r="AK59" s="23"/>
      <c r="AL59" s="23"/>
      <c r="AM59" s="23"/>
      <c r="AN59" s="23"/>
      <c r="AO59" s="56"/>
      <c r="AP59" s="23"/>
      <c r="AQ59" s="23"/>
      <c r="AR59" s="56">
        <v>6</v>
      </c>
      <c r="AS59" s="23"/>
      <c r="AT59" s="23"/>
      <c r="AU59" s="23"/>
      <c r="AV59" s="23"/>
      <c r="AW59" s="23"/>
      <c r="AX59" s="23"/>
      <c r="AY59" s="23"/>
      <c r="AZ59" s="23"/>
      <c r="BA59" s="23"/>
      <c r="BB59" s="23"/>
      <c r="BC59" s="23"/>
      <c r="BD59" s="23"/>
      <c r="BE59" s="23"/>
      <c r="BF59" s="23"/>
      <c r="BG59" s="23"/>
      <c r="BH59" s="23"/>
      <c r="BI59" s="23"/>
      <c r="BJ59" s="23"/>
      <c r="BK59" s="54"/>
      <c r="BL59" s="54"/>
      <c r="BM59" s="54"/>
      <c r="BN59" s="54"/>
      <c r="BO59" s="54"/>
      <c r="BP59" s="54"/>
      <c r="BQ59" s="54"/>
      <c r="BR59" s="54"/>
      <c r="BS59" s="54"/>
      <c r="BT59" s="54"/>
      <c r="BU59" s="54"/>
      <c r="BV59" s="54"/>
      <c r="BW59" s="54"/>
      <c r="BX59" s="54"/>
      <c r="BY59" s="54"/>
      <c r="BZ59" s="54"/>
      <c r="CA59" s="54"/>
      <c r="CB59" s="54"/>
      <c r="CC59" s="54"/>
      <c r="CD59" s="54"/>
      <c r="CE59" s="54"/>
      <c r="CF59" s="54"/>
      <c r="CG59" s="54"/>
      <c r="CH59" s="54"/>
      <c r="CI59" s="54"/>
      <c r="CJ59" s="54"/>
      <c r="CK59" s="54"/>
      <c r="CL59" s="54"/>
      <c r="CM59" s="54"/>
      <c r="CN59" s="23"/>
      <c r="CP59" s="23"/>
      <c r="CQ59" s="23"/>
      <c r="CR59" s="23"/>
      <c r="CS59" s="23"/>
      <c r="CT59" s="23"/>
      <c r="CU59" s="32"/>
      <c r="CV59" s="32"/>
      <c r="CW59" s="23"/>
      <c r="CX59" s="23"/>
      <c r="CY59" s="23"/>
      <c r="CZ59" s="23"/>
      <c r="DA59" s="23"/>
      <c r="DB59" s="23"/>
      <c r="DC59" s="23"/>
      <c r="DJ59" s="27"/>
    </row>
    <row r="60" spans="2:114" x14ac:dyDescent="0.2">
      <c r="B60" s="1" t="s">
        <v>63</v>
      </c>
      <c r="K60" s="23">
        <v>263</v>
      </c>
      <c r="L60" s="23">
        <v>271</v>
      </c>
      <c r="M60" s="23">
        <v>262</v>
      </c>
      <c r="N60" s="23">
        <v>273</v>
      </c>
      <c r="O60" s="23">
        <f>596-P60</f>
        <v>289</v>
      </c>
      <c r="P60" s="23">
        <v>307</v>
      </c>
      <c r="Q60" s="23">
        <v>301</v>
      </c>
      <c r="R60" s="23">
        <v>280</v>
      </c>
      <c r="S60" s="23">
        <v>317</v>
      </c>
      <c r="T60" s="23">
        <v>103</v>
      </c>
      <c r="U60" s="23">
        <v>100</v>
      </c>
      <c r="V60" s="23">
        <v>102</v>
      </c>
      <c r="W60" s="23">
        <v>113</v>
      </c>
      <c r="X60" s="23">
        <f>231-W60</f>
        <v>118</v>
      </c>
      <c r="Y60" s="23">
        <v>118</v>
      </c>
      <c r="Z60" s="23">
        <v>118</v>
      </c>
      <c r="AA60" s="23">
        <v>131</v>
      </c>
      <c r="AB60" s="23">
        <v>131</v>
      </c>
      <c r="AC60" s="23">
        <v>125</v>
      </c>
      <c r="AD60" s="23">
        <v>126</v>
      </c>
      <c r="AE60" s="23">
        <v>114</v>
      </c>
      <c r="AF60" s="23">
        <f>+AE60</f>
        <v>114</v>
      </c>
      <c r="AG60" s="23">
        <f>+AF60</f>
        <v>114</v>
      </c>
      <c r="AH60" s="23">
        <f>+AG60</f>
        <v>114</v>
      </c>
      <c r="AI60" s="23"/>
      <c r="AJ60" s="23"/>
      <c r="AK60" s="23"/>
      <c r="AL60" s="23"/>
      <c r="AM60" s="23"/>
      <c r="AN60" s="23">
        <v>0</v>
      </c>
      <c r="AO60" s="56">
        <v>0</v>
      </c>
      <c r="AP60" s="23"/>
      <c r="AQ60" s="23"/>
      <c r="AR60" s="56"/>
      <c r="AS60" s="23"/>
      <c r="AT60" s="23"/>
      <c r="AU60" s="23"/>
      <c r="AV60" s="23"/>
      <c r="AW60" s="23"/>
      <c r="AX60" s="23"/>
      <c r="AY60" s="23"/>
      <c r="AZ60" s="23"/>
      <c r="BA60" s="23"/>
      <c r="BB60" s="23"/>
      <c r="BC60" s="23"/>
      <c r="BD60" s="23"/>
      <c r="BE60" s="23"/>
      <c r="BF60" s="23"/>
      <c r="BG60" s="23"/>
      <c r="BH60" s="23"/>
      <c r="BI60" s="23"/>
      <c r="BJ60" s="23"/>
      <c r="BK60" s="54"/>
      <c r="BL60" s="54"/>
      <c r="BM60" s="54"/>
      <c r="BN60" s="54"/>
      <c r="BO60" s="54"/>
      <c r="BP60" s="54"/>
      <c r="BQ60" s="54"/>
      <c r="BR60" s="54"/>
      <c r="BS60" s="54"/>
      <c r="BT60" s="54"/>
      <c r="BU60" s="54"/>
      <c r="BV60" s="54"/>
      <c r="BW60" s="54"/>
      <c r="BX60" s="54"/>
      <c r="BY60" s="54"/>
      <c r="BZ60" s="54"/>
      <c r="CA60" s="54"/>
      <c r="CB60" s="54"/>
      <c r="CC60" s="54"/>
      <c r="CD60" s="54"/>
      <c r="CE60" s="54"/>
      <c r="CF60" s="54"/>
      <c r="CG60" s="54"/>
      <c r="CH60" s="54"/>
      <c r="CI60" s="54"/>
      <c r="CJ60" s="54"/>
      <c r="CK60" s="54"/>
      <c r="CL60" s="54"/>
      <c r="CM60" s="54"/>
      <c r="CN60" s="23"/>
      <c r="CP60" s="23"/>
      <c r="CQ60" s="23"/>
      <c r="CR60" s="23">
        <f>SUM(K60:N60)</f>
        <v>1069</v>
      </c>
      <c r="CS60" s="23">
        <f>SUM(O60:R60)</f>
        <v>1177</v>
      </c>
      <c r="CT60" s="23">
        <f>SUM(S60:V60)</f>
        <v>622</v>
      </c>
      <c r="CU60" s="23">
        <f>SUM(W60:Z60)</f>
        <v>467</v>
      </c>
      <c r="CV60" s="23">
        <f>SUM(AA60:AD60)</f>
        <v>513</v>
      </c>
      <c r="CW60" s="23">
        <f>CV60*1.05</f>
        <v>538.65</v>
      </c>
      <c r="CX60" s="23">
        <f>CW60*1.05</f>
        <v>565.58249999999998</v>
      </c>
      <c r="CY60" s="23">
        <f>CX60*1.05</f>
        <v>593.861625</v>
      </c>
      <c r="CZ60" s="23">
        <f>CY60*0.5</f>
        <v>296.9308125</v>
      </c>
      <c r="DA60" s="23">
        <f>CZ60*0.5</f>
        <v>148.46540625</v>
      </c>
      <c r="DB60" s="23">
        <f>DA60*0.5</f>
        <v>74.232703125</v>
      </c>
      <c r="DC60" s="23">
        <f>DB60*0.5</f>
        <v>37.1163515625</v>
      </c>
      <c r="DJ60" s="27"/>
    </row>
    <row r="61" spans="2:114" x14ac:dyDescent="0.2">
      <c r="B61" s="19" t="s">
        <v>282</v>
      </c>
      <c r="R61" s="23"/>
      <c r="S61" s="23"/>
      <c r="T61" s="23"/>
      <c r="U61" s="23"/>
      <c r="V61" s="23"/>
      <c r="W61" s="23">
        <v>329</v>
      </c>
      <c r="X61" s="23">
        <v>311</v>
      </c>
      <c r="Y61" s="23">
        <v>356</v>
      </c>
      <c r="Z61" s="23">
        <v>405</v>
      </c>
      <c r="AA61" s="23">
        <f>292+52+147</f>
        <v>491</v>
      </c>
      <c r="AB61" s="23">
        <v>578</v>
      </c>
      <c r="AC61" s="23">
        <v>576</v>
      </c>
      <c r="AD61" s="23">
        <v>572</v>
      </c>
      <c r="AE61" s="23">
        <v>712</v>
      </c>
      <c r="AF61" s="23">
        <f t="shared" ref="AF61:AH64" si="76">+AE61</f>
        <v>712</v>
      </c>
      <c r="AG61" s="23">
        <f t="shared" si="76"/>
        <v>712</v>
      </c>
      <c r="AH61" s="23">
        <f t="shared" si="76"/>
        <v>712</v>
      </c>
      <c r="AI61" s="23"/>
      <c r="AJ61" s="23"/>
      <c r="AK61" s="23"/>
      <c r="AL61" s="23"/>
      <c r="AM61" s="23"/>
      <c r="AN61" s="23">
        <v>729</v>
      </c>
      <c r="AO61" s="56">
        <v>742</v>
      </c>
      <c r="AP61" s="23"/>
      <c r="AQ61" s="23"/>
      <c r="AR61" s="56">
        <v>816</v>
      </c>
      <c r="AS61" s="23"/>
      <c r="AT61" s="23"/>
      <c r="AU61" s="23"/>
      <c r="AV61" s="23"/>
      <c r="AW61" s="23"/>
      <c r="AX61" s="23"/>
      <c r="AY61" s="23"/>
      <c r="AZ61" s="23"/>
      <c r="BA61" s="23"/>
      <c r="BB61" s="23"/>
      <c r="BC61" s="23"/>
      <c r="BD61" s="23"/>
      <c r="BE61" s="23"/>
      <c r="BF61" s="23"/>
      <c r="BG61" s="23"/>
      <c r="BH61" s="23"/>
      <c r="BI61" s="23"/>
      <c r="BJ61" s="23"/>
      <c r="BK61" s="54">
        <v>1256</v>
      </c>
      <c r="BL61" s="54"/>
      <c r="BM61" s="54"/>
      <c r="BN61" s="54"/>
      <c r="BO61" s="54">
        <v>1300</v>
      </c>
      <c r="BP61" s="54">
        <v>1024</v>
      </c>
      <c r="BQ61" s="54">
        <v>1041</v>
      </c>
      <c r="BR61" s="54">
        <v>1029</v>
      </c>
      <c r="BS61" s="54">
        <v>1113</v>
      </c>
      <c r="BT61" s="54">
        <v>1089</v>
      </c>
      <c r="BU61" s="54">
        <v>1155</v>
      </c>
      <c r="BV61" s="54">
        <v>1111</v>
      </c>
      <c r="BW61" s="54">
        <v>1328</v>
      </c>
      <c r="BX61" s="54">
        <v>1265</v>
      </c>
      <c r="BY61" s="54">
        <v>1271</v>
      </c>
      <c r="BZ61" s="54">
        <v>1216</v>
      </c>
      <c r="CA61" s="54">
        <v>1495</v>
      </c>
      <c r="CB61" s="54">
        <v>1225</v>
      </c>
      <c r="CC61" s="54">
        <v>1245</v>
      </c>
      <c r="CD61" s="61" t="s">
        <v>622</v>
      </c>
      <c r="CE61" s="54">
        <v>1525</v>
      </c>
      <c r="CF61" s="54">
        <v>1306</v>
      </c>
      <c r="CG61" s="54">
        <v>1271</v>
      </c>
      <c r="CH61" s="54"/>
      <c r="CI61" s="54"/>
      <c r="CJ61" s="54">
        <f t="shared" ref="CI61:CL61" si="77">+CI61</f>
        <v>0</v>
      </c>
      <c r="CK61" s="54">
        <f t="shared" si="77"/>
        <v>0</v>
      </c>
      <c r="CL61" s="54">
        <f t="shared" si="77"/>
        <v>0</v>
      </c>
      <c r="CM61" s="54"/>
      <c r="CN61" s="23"/>
      <c r="CP61" s="23"/>
      <c r="CQ61" s="23"/>
      <c r="CR61" s="23"/>
      <c r="CS61" s="23"/>
      <c r="CT61" s="23"/>
      <c r="CU61" s="23">
        <f>SUM(W61:Z61)</f>
        <v>1401</v>
      </c>
      <c r="CV61" s="23">
        <f>SUM(AA61:AD61)</f>
        <v>2217</v>
      </c>
      <c r="CW61" s="23">
        <f t="shared" ref="CW61:DC61" si="78">CV61*1.02</f>
        <v>2261.34</v>
      </c>
      <c r="CX61" s="23">
        <f t="shared" si="78"/>
        <v>2306.5668000000001</v>
      </c>
      <c r="CY61" s="23">
        <f t="shared" si="78"/>
        <v>2352.698136</v>
      </c>
      <c r="CZ61" s="23">
        <f t="shared" si="78"/>
        <v>2399.75209872</v>
      </c>
      <c r="DA61" s="23">
        <f t="shared" si="78"/>
        <v>2447.7471406944001</v>
      </c>
      <c r="DB61" s="23">
        <f t="shared" si="78"/>
        <v>2496.7020835082881</v>
      </c>
      <c r="DC61" s="23">
        <f t="shared" si="78"/>
        <v>2546.6361251784538</v>
      </c>
      <c r="DJ61" s="27"/>
    </row>
    <row r="62" spans="2:114" x14ac:dyDescent="0.2">
      <c r="B62" s="19" t="s">
        <v>549</v>
      </c>
      <c r="R62" s="23"/>
      <c r="S62" s="23"/>
      <c r="T62" s="23"/>
      <c r="U62" s="23"/>
      <c r="V62" s="23"/>
      <c r="W62" s="23"/>
      <c r="X62" s="23"/>
      <c r="Y62" s="23"/>
      <c r="Z62" s="23"/>
      <c r="AA62" s="23"/>
      <c r="AB62" s="23"/>
      <c r="AC62" s="23"/>
      <c r="AD62" s="23"/>
      <c r="AE62" s="23"/>
      <c r="AF62" s="23"/>
      <c r="AG62" s="23"/>
      <c r="AH62" s="23"/>
      <c r="AI62" s="23"/>
      <c r="AJ62" s="23"/>
      <c r="AK62" s="23"/>
      <c r="AL62" s="23"/>
      <c r="AM62" s="23"/>
      <c r="AN62" s="23"/>
      <c r="AO62" s="56"/>
      <c r="AP62" s="23"/>
      <c r="AQ62" s="23"/>
      <c r="AR62" s="56"/>
      <c r="AS62" s="23"/>
      <c r="AT62" s="23"/>
      <c r="AU62" s="23"/>
      <c r="AV62" s="23"/>
      <c r="AW62" s="23"/>
      <c r="AX62" s="23"/>
      <c r="AY62" s="23"/>
      <c r="AZ62" s="23"/>
      <c r="BA62" s="23"/>
      <c r="BB62" s="23"/>
      <c r="BC62" s="23"/>
      <c r="BD62" s="23"/>
      <c r="BE62" s="23"/>
      <c r="BF62" s="23"/>
      <c r="BG62" s="23"/>
      <c r="BH62" s="23"/>
      <c r="BI62" s="23"/>
      <c r="BJ62" s="23"/>
      <c r="BK62" s="54"/>
      <c r="BL62" s="54"/>
      <c r="BM62" s="54"/>
      <c r="BN62" s="54"/>
      <c r="BO62" s="54"/>
      <c r="BP62" s="54"/>
      <c r="BQ62" s="54"/>
      <c r="BR62" s="54"/>
      <c r="BS62" s="54">
        <v>188</v>
      </c>
      <c r="BT62" s="54">
        <v>192</v>
      </c>
      <c r="BU62" s="54">
        <v>208</v>
      </c>
      <c r="BV62" s="54">
        <v>220</v>
      </c>
      <c r="BW62" s="54">
        <v>183</v>
      </c>
      <c r="BX62" s="54">
        <v>133</v>
      </c>
      <c r="BY62" s="54">
        <v>127</v>
      </c>
      <c r="BZ62" s="54">
        <v>177</v>
      </c>
      <c r="CA62" s="54">
        <v>135</v>
      </c>
      <c r="CB62" s="54">
        <v>145</v>
      </c>
      <c r="CC62" s="54">
        <v>126</v>
      </c>
      <c r="CD62" s="54">
        <v>176</v>
      </c>
      <c r="CE62" s="54">
        <v>157</v>
      </c>
      <c r="CF62" s="54">
        <v>121</v>
      </c>
      <c r="CG62" s="54">
        <v>126</v>
      </c>
      <c r="CH62" s="54">
        <v>124</v>
      </c>
      <c r="CI62" s="54">
        <v>103</v>
      </c>
      <c r="CJ62" s="54">
        <f t="shared" ref="CI62:CL62" si="79">+CI62</f>
        <v>103</v>
      </c>
      <c r="CK62" s="54">
        <f t="shared" si="79"/>
        <v>103</v>
      </c>
      <c r="CL62" s="54">
        <f t="shared" si="79"/>
        <v>103</v>
      </c>
      <c r="CM62" s="54"/>
      <c r="CN62" s="23"/>
      <c r="CP62" s="23"/>
      <c r="CQ62" s="23"/>
      <c r="CR62" s="23"/>
      <c r="CS62" s="23"/>
      <c r="CT62" s="23"/>
      <c r="CU62" s="23"/>
      <c r="CV62" s="23"/>
      <c r="CW62" s="23"/>
      <c r="CX62" s="23"/>
      <c r="CY62" s="23"/>
      <c r="CZ62" s="23"/>
      <c r="DA62" s="23"/>
      <c r="DB62" s="23"/>
      <c r="DC62" s="23"/>
      <c r="DJ62" s="27">
        <f t="shared" ref="DJ62" si="80">SUM(CE62:CH62)</f>
        <v>528</v>
      </c>
    </row>
    <row r="63" spans="2:114" x14ac:dyDescent="0.2">
      <c r="B63" s="19" t="s">
        <v>278</v>
      </c>
      <c r="R63" s="23"/>
      <c r="S63" s="23"/>
      <c r="T63" s="23"/>
      <c r="U63" s="23"/>
      <c r="V63" s="23"/>
      <c r="W63" s="23">
        <f>377-X63</f>
        <v>93</v>
      </c>
      <c r="X63" s="23">
        <v>284</v>
      </c>
      <c r="Y63" s="23">
        <v>302</v>
      </c>
      <c r="Z63" s="23">
        <v>333</v>
      </c>
      <c r="AA63" s="23">
        <f>254+20+69</f>
        <v>343</v>
      </c>
      <c r="AB63" s="23">
        <v>381</v>
      </c>
      <c r="AC63" s="23">
        <v>390</v>
      </c>
      <c r="AD63" s="23">
        <v>420</v>
      </c>
      <c r="AE63" s="23">
        <v>414</v>
      </c>
      <c r="AF63" s="23">
        <f t="shared" si="76"/>
        <v>414</v>
      </c>
      <c r="AG63" s="23">
        <f t="shared" si="76"/>
        <v>414</v>
      </c>
      <c r="AH63" s="23">
        <f t="shared" si="76"/>
        <v>414</v>
      </c>
      <c r="AI63" s="23"/>
      <c r="AJ63" s="23"/>
      <c r="AK63" s="23"/>
      <c r="AL63" s="23"/>
      <c r="AM63" s="23"/>
      <c r="AN63" s="23">
        <v>300</v>
      </c>
      <c r="AO63" s="56">
        <v>424</v>
      </c>
      <c r="AP63" s="23"/>
      <c r="AQ63" s="23"/>
      <c r="AR63" s="56">
        <v>466</v>
      </c>
      <c r="AS63" s="23"/>
      <c r="AT63" s="23"/>
      <c r="AU63" s="23"/>
      <c r="AV63" s="23"/>
      <c r="AW63" s="23"/>
      <c r="AX63" s="23"/>
      <c r="AY63" s="23"/>
      <c r="AZ63" s="23"/>
      <c r="BA63" s="23"/>
      <c r="BB63" s="23"/>
      <c r="BC63" s="23"/>
      <c r="BD63" s="23"/>
      <c r="BE63" s="23"/>
      <c r="BF63" s="23"/>
      <c r="BG63" s="23"/>
      <c r="BH63" s="23"/>
      <c r="BI63" s="23"/>
      <c r="BJ63" s="23"/>
      <c r="BK63" s="54">
        <v>282</v>
      </c>
      <c r="BL63" s="54"/>
      <c r="BM63" s="54"/>
      <c r="BN63" s="54"/>
      <c r="BO63" s="54">
        <v>270</v>
      </c>
      <c r="BP63" s="54">
        <v>224</v>
      </c>
      <c r="BQ63" s="54">
        <v>219</v>
      </c>
      <c r="BR63" s="54">
        <v>219</v>
      </c>
      <c r="BS63" s="54">
        <v>206</v>
      </c>
      <c r="BT63" s="54">
        <v>188</v>
      </c>
      <c r="BU63" s="54">
        <v>172</v>
      </c>
      <c r="BV63" s="54">
        <v>133</v>
      </c>
      <c r="BW63" s="54"/>
      <c r="BX63" s="54"/>
      <c r="BY63" s="54"/>
      <c r="BZ63" s="54"/>
      <c r="CA63" s="54"/>
      <c r="CB63" s="54"/>
      <c r="CC63" s="54"/>
      <c r="CD63" s="54"/>
      <c r="CE63" s="54"/>
      <c r="CF63" s="54"/>
      <c r="CG63" s="54"/>
      <c r="CH63" s="54"/>
      <c r="CI63" s="54"/>
      <c r="CJ63" s="54"/>
      <c r="CK63" s="54"/>
      <c r="CL63" s="54"/>
      <c r="CM63" s="54"/>
      <c r="CN63" s="23"/>
      <c r="CP63" s="23"/>
      <c r="CQ63" s="23"/>
      <c r="CR63" s="23"/>
      <c r="CS63" s="23"/>
      <c r="CT63" s="23"/>
      <c r="CU63" s="23">
        <f>SUM(W63:Z63)</f>
        <v>1012</v>
      </c>
      <c r="CV63" s="23">
        <f>SUM(AA63:AD63)</f>
        <v>1534</v>
      </c>
      <c r="CW63" s="23">
        <f t="shared" ref="CW63:DC63" si="81">CV63*1.02</f>
        <v>1564.68</v>
      </c>
      <c r="CX63" s="23">
        <f t="shared" si="81"/>
        <v>1595.9736</v>
      </c>
      <c r="CY63" s="23">
        <f t="shared" si="81"/>
        <v>1627.8930720000001</v>
      </c>
      <c r="CZ63" s="23">
        <f t="shared" si="81"/>
        <v>1660.4509334400002</v>
      </c>
      <c r="DA63" s="23">
        <f t="shared" si="81"/>
        <v>1693.6599521088003</v>
      </c>
      <c r="DB63" s="23">
        <f t="shared" si="81"/>
        <v>1727.5331511509764</v>
      </c>
      <c r="DC63" s="23">
        <f t="shared" si="81"/>
        <v>1762.083814173996</v>
      </c>
      <c r="DJ63" s="27"/>
    </row>
    <row r="64" spans="2:114" x14ac:dyDescent="0.2">
      <c r="B64" s="1" t="s">
        <v>138</v>
      </c>
      <c r="K64" s="23">
        <v>2258</v>
      </c>
      <c r="L64" s="23">
        <v>2131</v>
      </c>
      <c r="M64" s="23">
        <v>2033</v>
      </c>
      <c r="N64" s="23">
        <v>2129</v>
      </c>
      <c r="O64" s="23">
        <v>2127</v>
      </c>
      <c r="P64" s="23">
        <v>2026</v>
      </c>
      <c r="Q64" s="23">
        <v>1962</v>
      </c>
      <c r="R64" s="23">
        <v>2088</v>
      </c>
      <c r="S64" s="23">
        <f>2067-22-18+22</f>
        <v>2049</v>
      </c>
      <c r="T64" s="23">
        <v>2005</v>
      </c>
      <c r="U64" s="23">
        <v>1949</v>
      </c>
      <c r="V64" s="23">
        <v>2029</v>
      </c>
      <c r="W64" s="23">
        <f>1516+378+93-W61-W63</f>
        <v>1565</v>
      </c>
      <c r="X64" s="23">
        <f>3099+640+377-W64-X61-X63-W61-W63</f>
        <v>1534</v>
      </c>
      <c r="Y64" s="23">
        <v>1486</v>
      </c>
      <c r="Z64" s="23">
        <v>1522</v>
      </c>
      <c r="AA64" s="23">
        <v>1484</v>
      </c>
      <c r="AB64" s="23">
        <v>1576</v>
      </c>
      <c r="AC64" s="23">
        <v>1510</v>
      </c>
      <c r="AD64" s="23">
        <v>1494</v>
      </c>
      <c r="AE64" s="23">
        <v>1479</v>
      </c>
      <c r="AF64" s="23">
        <f t="shared" si="76"/>
        <v>1479</v>
      </c>
      <c r="AG64" s="23">
        <f t="shared" si="76"/>
        <v>1479</v>
      </c>
      <c r="AH64" s="23">
        <f t="shared" si="76"/>
        <v>1479</v>
      </c>
      <c r="AI64" s="23"/>
      <c r="AJ64" s="23"/>
      <c r="AK64" s="23"/>
      <c r="AL64" s="23"/>
      <c r="AM64" s="23"/>
      <c r="AN64" s="23">
        <v>1074</v>
      </c>
      <c r="AO64" s="56">
        <f>1044-AO53</f>
        <v>1017</v>
      </c>
      <c r="AP64" s="23"/>
      <c r="AQ64" s="23"/>
      <c r="AR64" s="56">
        <f>927+19</f>
        <v>946</v>
      </c>
      <c r="AS64" s="23"/>
      <c r="AT64" s="23"/>
      <c r="AU64" s="23"/>
      <c r="AV64" s="23"/>
      <c r="AW64" s="23"/>
      <c r="AX64" s="23"/>
      <c r="AY64" s="23"/>
      <c r="AZ64" s="23"/>
      <c r="BA64" s="23"/>
      <c r="BB64" s="23"/>
      <c r="BC64" s="23"/>
      <c r="BD64" s="23"/>
      <c r="BE64" s="23"/>
      <c r="BF64" s="23"/>
      <c r="BG64" s="23"/>
      <c r="BH64" s="23"/>
      <c r="BI64" s="23"/>
      <c r="BJ64" s="23"/>
      <c r="BK64" s="54">
        <v>848</v>
      </c>
      <c r="BL64" s="54"/>
      <c r="BM64" s="54"/>
      <c r="BN64" s="54"/>
      <c r="BO64" s="54">
        <v>1233</v>
      </c>
      <c r="BP64" s="54">
        <v>1023</v>
      </c>
      <c r="BQ64" s="54">
        <v>1056</v>
      </c>
      <c r="BR64" s="54">
        <v>1055</v>
      </c>
      <c r="BS64" s="54">
        <v>1090</v>
      </c>
      <c r="BT64" s="54">
        <v>1043</v>
      </c>
      <c r="BU64" s="54">
        <v>1064</v>
      </c>
      <c r="BV64" s="54">
        <f>1015-BV32</f>
        <v>995</v>
      </c>
      <c r="BW64" s="54">
        <v>1187</v>
      </c>
      <c r="BX64" s="54">
        <v>1133</v>
      </c>
      <c r="BY64" s="54"/>
      <c r="BZ64" s="54"/>
      <c r="CA64" s="54"/>
      <c r="CB64" s="54"/>
      <c r="CC64" s="54"/>
      <c r="CD64" s="54"/>
      <c r="CE64" s="54"/>
      <c r="CF64" s="54"/>
      <c r="CG64" s="54"/>
      <c r="CH64" s="54"/>
      <c r="CI64" s="54"/>
      <c r="CJ64" s="54"/>
      <c r="CK64" s="54"/>
      <c r="CL64" s="54"/>
      <c r="CM64" s="54"/>
      <c r="CN64" s="23"/>
      <c r="CP64" s="23"/>
      <c r="CQ64" s="23"/>
      <c r="CR64" s="23">
        <f>SUM(K64:N64)</f>
        <v>8551</v>
      </c>
      <c r="CS64" s="23">
        <f>SUM(O64:R64)</f>
        <v>8203</v>
      </c>
      <c r="CT64" s="23">
        <f>SUM(S64:V64)</f>
        <v>8032</v>
      </c>
      <c r="CU64" s="23">
        <f>SUM(W64:Z64)</f>
        <v>6107</v>
      </c>
      <c r="CV64" s="23">
        <f>SUM(AA64:AD64)</f>
        <v>6064</v>
      </c>
      <c r="CW64" s="44">
        <f>CV64*0.95</f>
        <v>5760.8</v>
      </c>
      <c r="CX64" s="44">
        <f t="shared" ref="CX64:DA64" si="82">CW64*0.95</f>
        <v>5472.76</v>
      </c>
      <c r="CY64" s="44">
        <f t="shared" si="82"/>
        <v>5199.1220000000003</v>
      </c>
      <c r="CZ64" s="44">
        <f t="shared" si="82"/>
        <v>4939.1659</v>
      </c>
      <c r="DA64" s="44">
        <f t="shared" si="82"/>
        <v>4692.2076049999996</v>
      </c>
      <c r="DB64" s="44">
        <f>DA64*0.95</f>
        <v>4457.5972247499994</v>
      </c>
      <c r="DC64" s="44">
        <f>DB64*0.95</f>
        <v>4234.7173635124991</v>
      </c>
      <c r="DJ64" s="27"/>
    </row>
    <row r="65" spans="2:114" x14ac:dyDescent="0.2">
      <c r="B65" s="1" t="s">
        <v>145</v>
      </c>
      <c r="K65" s="23">
        <v>512</v>
      </c>
      <c r="L65" s="23">
        <v>568</v>
      </c>
      <c r="M65" s="23">
        <v>647</v>
      </c>
      <c r="N65" s="23">
        <v>806</v>
      </c>
      <c r="O65" s="23">
        <v>567</v>
      </c>
      <c r="P65" s="23">
        <v>619</v>
      </c>
      <c r="Q65" s="23">
        <v>943</v>
      </c>
      <c r="R65" s="23">
        <v>649</v>
      </c>
      <c r="S65" s="23">
        <v>548</v>
      </c>
      <c r="T65" s="23">
        <v>657</v>
      </c>
      <c r="U65" s="23">
        <v>947</v>
      </c>
      <c r="V65" s="20">
        <v>709</v>
      </c>
      <c r="W65" s="23">
        <v>627</v>
      </c>
      <c r="X65" s="23">
        <f>1339-W65</f>
        <v>712</v>
      </c>
      <c r="Y65" s="23">
        <v>1046</v>
      </c>
      <c r="Z65" s="23">
        <v>1098</v>
      </c>
      <c r="AA65" s="23">
        <v>944</v>
      </c>
      <c r="AB65" s="23">
        <v>748</v>
      </c>
      <c r="AC65" s="23">
        <v>1226</v>
      </c>
      <c r="AD65" s="23">
        <v>890</v>
      </c>
      <c r="AE65" s="23">
        <v>602</v>
      </c>
      <c r="AF65" s="23">
        <f>+AB65</f>
        <v>748</v>
      </c>
      <c r="AG65" s="23">
        <f t="shared" ref="AG65:AH65" si="83">+AC65</f>
        <v>1226</v>
      </c>
      <c r="AH65" s="23">
        <f t="shared" si="83"/>
        <v>890</v>
      </c>
      <c r="AI65" s="23"/>
      <c r="AJ65" s="23"/>
      <c r="AK65" s="23"/>
      <c r="AL65" s="23"/>
      <c r="AM65" s="23"/>
      <c r="AN65" s="23">
        <v>760</v>
      </c>
      <c r="AO65" s="56">
        <v>1300</v>
      </c>
      <c r="AP65" s="23"/>
      <c r="AQ65" s="23"/>
      <c r="AR65" s="56">
        <v>718</v>
      </c>
      <c r="AS65" s="23"/>
      <c r="AT65" s="23"/>
      <c r="AU65" s="23"/>
      <c r="AV65" s="23"/>
      <c r="AW65" s="23"/>
      <c r="AX65" s="23"/>
      <c r="AY65" s="23"/>
      <c r="AZ65" s="23"/>
      <c r="BA65" s="23"/>
      <c r="BB65" s="23"/>
      <c r="BC65" s="23"/>
      <c r="BD65" s="23"/>
      <c r="BE65" s="23"/>
      <c r="BF65" s="23"/>
      <c r="BG65" s="23"/>
      <c r="BH65" s="23"/>
      <c r="BI65" s="23"/>
      <c r="BJ65" s="23"/>
      <c r="BK65" s="54">
        <v>873</v>
      </c>
      <c r="BL65" s="54"/>
      <c r="BM65" s="54"/>
      <c r="BN65" s="54"/>
      <c r="BO65" s="61" t="s">
        <v>567</v>
      </c>
      <c r="BP65" s="61" t="s">
        <v>566</v>
      </c>
      <c r="BQ65" s="61" t="s">
        <v>565</v>
      </c>
      <c r="BR65" s="61" t="s">
        <v>563</v>
      </c>
      <c r="BS65" s="61" t="s">
        <v>562</v>
      </c>
      <c r="BT65" s="61" t="s">
        <v>557</v>
      </c>
      <c r="BU65" s="61" t="s">
        <v>556</v>
      </c>
      <c r="BV65" s="67" t="s">
        <v>550</v>
      </c>
      <c r="BW65" s="61" t="s">
        <v>548</v>
      </c>
      <c r="BX65" s="61" t="s">
        <v>555</v>
      </c>
      <c r="BY65" s="54"/>
      <c r="BZ65" s="54"/>
      <c r="CA65" s="54"/>
      <c r="CB65" s="54"/>
      <c r="CC65" s="54"/>
      <c r="CD65" s="54"/>
      <c r="CE65" s="54"/>
      <c r="CF65" s="54"/>
      <c r="CG65" s="54"/>
      <c r="CH65" s="54"/>
      <c r="CI65" s="54"/>
      <c r="CJ65" s="54"/>
      <c r="CK65" s="54"/>
      <c r="CL65" s="54"/>
      <c r="CM65" s="54"/>
      <c r="CN65" s="23"/>
      <c r="CP65" s="23"/>
      <c r="CQ65" s="23"/>
      <c r="CR65" s="23">
        <f t="shared" si="32"/>
        <v>2533</v>
      </c>
      <c r="CS65" s="23">
        <f t="shared" ref="CS65" si="84">SUM(O65:R65)</f>
        <v>2778</v>
      </c>
      <c r="CT65" s="23">
        <f>SUM(S65:V65)</f>
        <v>2861</v>
      </c>
      <c r="CU65" s="23">
        <f>SUM(W65:Z65)</f>
        <v>3483</v>
      </c>
      <c r="CV65" s="23">
        <f>SUM(AA65:AD65)</f>
        <v>3808</v>
      </c>
      <c r="CW65" s="23">
        <f>CV65*1.04</f>
        <v>3960.32</v>
      </c>
      <c r="CX65" s="23">
        <f>CW65*1.03</f>
        <v>4079.1296000000002</v>
      </c>
      <c r="CY65" s="23">
        <f t="shared" ref="CY65:DC65" si="85">CX65*1.03</f>
        <v>4201.5034880000003</v>
      </c>
      <c r="CZ65" s="23">
        <f t="shared" si="85"/>
        <v>4327.5485926400006</v>
      </c>
      <c r="DA65" s="23">
        <f t="shared" si="85"/>
        <v>4457.3750504192003</v>
      </c>
      <c r="DB65" s="23">
        <f t="shared" si="85"/>
        <v>4591.096301931776</v>
      </c>
      <c r="DC65" s="23">
        <f t="shared" si="85"/>
        <v>4728.8291909897298</v>
      </c>
      <c r="DJ65" s="27"/>
    </row>
    <row r="66" spans="2:114" x14ac:dyDescent="0.2">
      <c r="B66" s="19" t="s">
        <v>542</v>
      </c>
      <c r="R66" s="23"/>
      <c r="S66" s="23"/>
      <c r="T66" s="23"/>
      <c r="U66" s="23"/>
      <c r="W66" s="23"/>
      <c r="X66" s="23"/>
      <c r="Y66" s="23"/>
      <c r="Z66" s="23"/>
      <c r="AA66" s="23"/>
      <c r="AB66" s="23"/>
      <c r="AC66" s="23"/>
      <c r="AD66" s="23"/>
      <c r="AE66" s="23"/>
      <c r="AF66" s="23"/>
      <c r="AG66" s="23"/>
      <c r="AH66" s="23"/>
      <c r="AI66" s="23"/>
      <c r="AJ66" s="23"/>
      <c r="AK66" s="23"/>
      <c r="AL66" s="23"/>
      <c r="AM66" s="23"/>
      <c r="AN66" s="23"/>
      <c r="AO66" s="56"/>
      <c r="AP66" s="23"/>
      <c r="AQ66" s="23"/>
      <c r="AR66" s="56"/>
      <c r="AS66" s="23"/>
      <c r="AT66" s="23"/>
      <c r="AU66" s="23"/>
      <c r="AV66" s="23"/>
      <c r="AW66" s="23"/>
      <c r="AX66" s="23"/>
      <c r="AY66" s="23"/>
      <c r="AZ66" s="23"/>
      <c r="BA66" s="23"/>
      <c r="BB66" s="23"/>
      <c r="BC66" s="23"/>
      <c r="BD66" s="23"/>
      <c r="BE66" s="23"/>
      <c r="BF66" s="23"/>
      <c r="BG66" s="23"/>
      <c r="BH66" s="23"/>
      <c r="BI66" s="23"/>
      <c r="BJ66" s="23"/>
      <c r="BK66" s="54"/>
      <c r="BL66" s="54"/>
      <c r="BM66" s="54"/>
      <c r="BN66" s="54"/>
      <c r="BO66" s="54">
        <v>484</v>
      </c>
      <c r="BP66" s="54">
        <v>575</v>
      </c>
      <c r="BQ66" s="54">
        <v>553</v>
      </c>
      <c r="BR66" s="54">
        <v>494</v>
      </c>
      <c r="BS66" s="54">
        <v>533</v>
      </c>
      <c r="BT66" s="54">
        <v>520</v>
      </c>
      <c r="BU66" s="54">
        <v>563</v>
      </c>
      <c r="BV66" s="54">
        <v>543</v>
      </c>
      <c r="BW66" s="54">
        <v>613</v>
      </c>
      <c r="BX66" s="54">
        <v>589</v>
      </c>
      <c r="BY66" s="54">
        <v>640</v>
      </c>
      <c r="BZ66" s="54">
        <v>443</v>
      </c>
      <c r="CA66" s="54">
        <v>537</v>
      </c>
      <c r="CB66" s="54">
        <v>617</v>
      </c>
      <c r="CC66" s="54">
        <v>577</v>
      </c>
      <c r="CD66" s="54">
        <v>434</v>
      </c>
      <c r="CE66" s="54">
        <v>636</v>
      </c>
      <c r="CF66" s="54">
        <v>712</v>
      </c>
      <c r="CG66" s="54">
        <v>760</v>
      </c>
      <c r="CH66" s="54">
        <v>632</v>
      </c>
      <c r="CI66" s="54">
        <v>668</v>
      </c>
      <c r="CJ66" s="54">
        <f t="shared" ref="CI66:CL66" si="86">+CI66</f>
        <v>668</v>
      </c>
      <c r="CK66" s="54">
        <f t="shared" si="86"/>
        <v>668</v>
      </c>
      <c r="CL66" s="54">
        <f t="shared" si="86"/>
        <v>668</v>
      </c>
      <c r="CM66" s="54"/>
      <c r="CN66" s="23"/>
      <c r="CP66" s="23"/>
      <c r="CQ66" s="23"/>
      <c r="CR66" s="23"/>
      <c r="CS66" s="23"/>
      <c r="CT66" s="23"/>
      <c r="CU66" s="23"/>
      <c r="CV66" s="23"/>
      <c r="CW66" s="23"/>
      <c r="CX66" s="23"/>
      <c r="CY66" s="23"/>
      <c r="CZ66" s="23"/>
      <c r="DA66" s="23"/>
      <c r="DB66" s="23"/>
      <c r="DC66" s="23"/>
      <c r="DJ66" s="27">
        <f t="shared" ref="DJ66:DJ71" si="87">SUM(CE66:CH66)</f>
        <v>2740</v>
      </c>
    </row>
    <row r="67" spans="2:114" x14ac:dyDescent="0.2">
      <c r="B67" s="19" t="s">
        <v>584</v>
      </c>
      <c r="R67" s="23"/>
      <c r="S67" s="23"/>
      <c r="T67" s="23"/>
      <c r="U67" s="23"/>
      <c r="W67" s="23"/>
      <c r="X67" s="23"/>
      <c r="Y67" s="23"/>
      <c r="Z67" s="23"/>
      <c r="AA67" s="23"/>
      <c r="AB67" s="23"/>
      <c r="AC67" s="23"/>
      <c r="AD67" s="23"/>
      <c r="AE67" s="23"/>
      <c r="AF67" s="23"/>
      <c r="AG67" s="23"/>
      <c r="AH67" s="23"/>
      <c r="AI67" s="23"/>
      <c r="AJ67" s="23"/>
      <c r="AK67" s="23"/>
      <c r="AL67" s="23"/>
      <c r="AM67" s="23"/>
      <c r="AN67" s="23"/>
      <c r="AO67" s="56"/>
      <c r="AP67" s="23"/>
      <c r="AQ67" s="23"/>
      <c r="AR67" s="56"/>
      <c r="AS67" s="23"/>
      <c r="AT67" s="23"/>
      <c r="AU67" s="23"/>
      <c r="AV67" s="23"/>
      <c r="AW67" s="23"/>
      <c r="AX67" s="23"/>
      <c r="AY67" s="23"/>
      <c r="AZ67" s="23"/>
      <c r="BA67" s="23"/>
      <c r="BB67" s="23"/>
      <c r="BC67" s="23"/>
      <c r="BD67" s="23"/>
      <c r="BE67" s="23"/>
      <c r="BF67" s="23"/>
      <c r="BG67" s="23"/>
      <c r="BH67" s="23"/>
      <c r="BI67" s="23"/>
      <c r="BJ67" s="23"/>
      <c r="BK67" s="54"/>
      <c r="BL67" s="54"/>
      <c r="BM67" s="54"/>
      <c r="BN67" s="54"/>
      <c r="BO67" s="54"/>
      <c r="BP67" s="54"/>
      <c r="BQ67" s="54"/>
      <c r="BR67" s="54"/>
      <c r="BS67" s="54"/>
      <c r="BT67" s="54"/>
      <c r="BU67" s="54"/>
      <c r="BV67" s="54"/>
      <c r="BW67" s="54"/>
      <c r="BX67" s="54"/>
      <c r="BY67" s="54">
        <v>0</v>
      </c>
      <c r="BZ67" s="54">
        <v>0</v>
      </c>
      <c r="CA67" s="54">
        <v>0</v>
      </c>
      <c r="CB67" s="54">
        <v>0</v>
      </c>
      <c r="CC67" s="54">
        <v>137</v>
      </c>
      <c r="CD67" s="54">
        <v>410</v>
      </c>
      <c r="CE67" s="54">
        <v>182</v>
      </c>
      <c r="CF67" s="54">
        <v>18</v>
      </c>
      <c r="CG67" s="54">
        <v>645</v>
      </c>
      <c r="CH67" s="54">
        <v>841</v>
      </c>
      <c r="CI67" s="54">
        <v>284</v>
      </c>
      <c r="CJ67" s="54">
        <f t="shared" ref="CI67:CL67" si="88">+CI67</f>
        <v>284</v>
      </c>
      <c r="CK67" s="54">
        <f t="shared" si="88"/>
        <v>284</v>
      </c>
      <c r="CL67" s="54">
        <f t="shared" si="88"/>
        <v>284</v>
      </c>
      <c r="CM67" s="54"/>
      <c r="CN67" s="23"/>
      <c r="CP67" s="23"/>
      <c r="CQ67" s="23"/>
      <c r="CR67" s="23"/>
      <c r="CS67" s="23"/>
      <c r="CT67" s="23"/>
      <c r="CU67" s="23"/>
      <c r="CV67" s="23"/>
      <c r="CW67" s="23"/>
      <c r="CX67" s="23"/>
      <c r="CY67" s="23"/>
      <c r="CZ67" s="23"/>
      <c r="DA67" s="23"/>
      <c r="DB67" s="23"/>
      <c r="DC67" s="23"/>
      <c r="DJ67" s="27">
        <f t="shared" si="87"/>
        <v>1686</v>
      </c>
    </row>
    <row r="68" spans="2:114" x14ac:dyDescent="0.2">
      <c r="B68" s="19" t="s">
        <v>543</v>
      </c>
      <c r="R68" s="23"/>
      <c r="S68" s="23"/>
      <c r="T68" s="23"/>
      <c r="U68" s="23"/>
      <c r="W68" s="23"/>
      <c r="X68" s="23"/>
      <c r="Y68" s="23"/>
      <c r="Z68" s="23"/>
      <c r="AA68" s="23"/>
      <c r="AB68" s="23"/>
      <c r="AC68" s="23"/>
      <c r="AD68" s="23"/>
      <c r="AE68" s="23"/>
      <c r="AF68" s="23"/>
      <c r="AG68" s="23"/>
      <c r="AH68" s="23"/>
      <c r="AI68" s="23"/>
      <c r="AJ68" s="23"/>
      <c r="AK68" s="23"/>
      <c r="AL68" s="23"/>
      <c r="AM68" s="23"/>
      <c r="AN68" s="23"/>
      <c r="AO68" s="56"/>
      <c r="AP68" s="23"/>
      <c r="AQ68" s="23"/>
      <c r="AR68" s="56"/>
      <c r="AS68" s="23"/>
      <c r="AT68" s="23"/>
      <c r="AU68" s="23"/>
      <c r="AV68" s="23"/>
      <c r="AW68" s="23"/>
      <c r="AX68" s="23"/>
      <c r="AY68" s="23"/>
      <c r="AZ68" s="23"/>
      <c r="BA68" s="23"/>
      <c r="BB68" s="23"/>
      <c r="BC68" s="23"/>
      <c r="BD68" s="23"/>
      <c r="BE68" s="23"/>
      <c r="BF68" s="23"/>
      <c r="BG68" s="23"/>
      <c r="BH68" s="23"/>
      <c r="BI68" s="23"/>
      <c r="BJ68" s="23"/>
      <c r="BK68" s="54"/>
      <c r="BL68" s="54"/>
      <c r="BM68" s="54"/>
      <c r="BN68" s="54"/>
      <c r="BO68" s="54">
        <v>131</v>
      </c>
      <c r="BP68" s="54">
        <v>89</v>
      </c>
      <c r="BQ68" s="54">
        <v>214</v>
      </c>
      <c r="BR68" s="54">
        <v>125</v>
      </c>
      <c r="BS68" s="54">
        <v>128</v>
      </c>
      <c r="BT68" s="54">
        <v>186</v>
      </c>
      <c r="BU68" s="54">
        <v>158</v>
      </c>
      <c r="BV68" s="54">
        <v>91</v>
      </c>
      <c r="BW68" s="54">
        <v>112</v>
      </c>
      <c r="BX68" s="54">
        <v>153</v>
      </c>
      <c r="BY68" s="54">
        <v>328</v>
      </c>
      <c r="BZ68" s="54">
        <v>110</v>
      </c>
      <c r="CA68" s="54">
        <v>249</v>
      </c>
      <c r="CB68" s="54">
        <v>270</v>
      </c>
      <c r="CC68" s="54">
        <v>409</v>
      </c>
      <c r="CD68" s="54">
        <v>242</v>
      </c>
      <c r="CE68" s="54">
        <v>286</v>
      </c>
      <c r="CF68" s="54">
        <v>296</v>
      </c>
      <c r="CG68" s="54">
        <v>485</v>
      </c>
      <c r="CH68" s="54">
        <v>249</v>
      </c>
      <c r="CI68" s="54">
        <v>302</v>
      </c>
      <c r="CJ68" s="54">
        <f t="shared" ref="CI68:CL68" si="89">+CI68</f>
        <v>302</v>
      </c>
      <c r="CK68" s="54">
        <f t="shared" si="89"/>
        <v>302</v>
      </c>
      <c r="CL68" s="54">
        <f t="shared" si="89"/>
        <v>302</v>
      </c>
      <c r="CM68" s="54"/>
      <c r="CN68" s="23"/>
      <c r="CP68" s="23"/>
      <c r="CQ68" s="23"/>
      <c r="CR68" s="23"/>
      <c r="CS68" s="23"/>
      <c r="CT68" s="23"/>
      <c r="CU68" s="23"/>
      <c r="CV68" s="23"/>
      <c r="CW68" s="23"/>
      <c r="CX68" s="23"/>
      <c r="CY68" s="23"/>
      <c r="CZ68" s="23"/>
      <c r="DA68" s="23"/>
      <c r="DB68" s="23"/>
      <c r="DC68" s="23"/>
      <c r="DJ68" s="27">
        <f t="shared" si="87"/>
        <v>1316</v>
      </c>
    </row>
    <row r="69" spans="2:114" x14ac:dyDescent="0.2">
      <c r="B69" s="19" t="s">
        <v>544</v>
      </c>
      <c r="R69" s="23"/>
      <c r="S69" s="23"/>
      <c r="T69" s="23"/>
      <c r="U69" s="23"/>
      <c r="W69" s="23"/>
      <c r="X69" s="23"/>
      <c r="Y69" s="23"/>
      <c r="Z69" s="23"/>
      <c r="AA69" s="23"/>
      <c r="AB69" s="23"/>
      <c r="AC69" s="23"/>
      <c r="AD69" s="23"/>
      <c r="AE69" s="23"/>
      <c r="AF69" s="23"/>
      <c r="AG69" s="23"/>
      <c r="AH69" s="23"/>
      <c r="AI69" s="23"/>
      <c r="AJ69" s="23"/>
      <c r="AK69" s="23"/>
      <c r="AL69" s="23"/>
      <c r="AM69" s="23"/>
      <c r="AN69" s="23"/>
      <c r="AO69" s="56"/>
      <c r="AP69" s="23"/>
      <c r="AQ69" s="23"/>
      <c r="AR69" s="56"/>
      <c r="AS69" s="23"/>
      <c r="AT69" s="23"/>
      <c r="AU69" s="23"/>
      <c r="AV69" s="23"/>
      <c r="AW69" s="23"/>
      <c r="AX69" s="23"/>
      <c r="AY69" s="23"/>
      <c r="AZ69" s="23"/>
      <c r="BA69" s="23"/>
      <c r="BB69" s="23"/>
      <c r="BC69" s="23"/>
      <c r="BD69" s="23"/>
      <c r="BE69" s="23"/>
      <c r="BF69" s="23"/>
      <c r="BG69" s="23"/>
      <c r="BH69" s="23"/>
      <c r="BI69" s="23"/>
      <c r="BJ69" s="23"/>
      <c r="BK69" s="54"/>
      <c r="BL69" s="54"/>
      <c r="BM69" s="54"/>
      <c r="BN69" s="54"/>
      <c r="BO69" s="54">
        <v>115</v>
      </c>
      <c r="BP69" s="54">
        <v>78</v>
      </c>
      <c r="BQ69" s="54">
        <v>151</v>
      </c>
      <c r="BR69" s="54">
        <v>123</v>
      </c>
      <c r="BS69" s="54">
        <v>100</v>
      </c>
      <c r="BT69" s="54">
        <v>106</v>
      </c>
      <c r="BU69" s="54">
        <v>253</v>
      </c>
      <c r="BV69" s="54">
        <v>124</v>
      </c>
      <c r="BW69" s="54">
        <v>109</v>
      </c>
      <c r="BX69" s="54">
        <v>152</v>
      </c>
      <c r="BY69" s="54">
        <v>178</v>
      </c>
      <c r="BZ69" s="54">
        <v>148</v>
      </c>
      <c r="CA69" s="54">
        <v>124</v>
      </c>
      <c r="CB69" s="54">
        <v>150</v>
      </c>
      <c r="CC69" s="54">
        <v>185</v>
      </c>
      <c r="CD69" s="54">
        <v>139</v>
      </c>
      <c r="CE69" s="54"/>
      <c r="CF69" s="54"/>
      <c r="CG69" s="54"/>
      <c r="CH69" s="54"/>
      <c r="CI69" s="54"/>
      <c r="CJ69" s="54"/>
      <c r="CK69" s="54"/>
      <c r="CL69" s="54"/>
      <c r="CM69" s="54"/>
      <c r="CN69" s="23"/>
      <c r="CP69" s="23"/>
      <c r="CQ69" s="23"/>
      <c r="CR69" s="23"/>
      <c r="CS69" s="23"/>
      <c r="CT69" s="23"/>
      <c r="CU69" s="23"/>
      <c r="CV69" s="23"/>
      <c r="CW69" s="23"/>
      <c r="CX69" s="23"/>
      <c r="CY69" s="23"/>
      <c r="CZ69" s="23"/>
      <c r="DA69" s="23"/>
      <c r="DB69" s="23"/>
      <c r="DC69" s="23"/>
      <c r="DJ69" s="27">
        <f t="shared" si="87"/>
        <v>0</v>
      </c>
    </row>
    <row r="70" spans="2:114" x14ac:dyDescent="0.2">
      <c r="B70" s="19" t="s">
        <v>545</v>
      </c>
      <c r="R70" s="23"/>
      <c r="S70" s="23"/>
      <c r="T70" s="23"/>
      <c r="U70" s="23"/>
      <c r="W70" s="23"/>
      <c r="X70" s="23"/>
      <c r="Y70" s="23"/>
      <c r="Z70" s="23"/>
      <c r="AA70" s="23"/>
      <c r="AB70" s="23"/>
      <c r="AC70" s="23"/>
      <c r="AD70" s="23"/>
      <c r="AE70" s="23"/>
      <c r="AF70" s="23"/>
      <c r="AG70" s="23"/>
      <c r="AH70" s="23"/>
      <c r="AI70" s="23"/>
      <c r="AJ70" s="23"/>
      <c r="AK70" s="23"/>
      <c r="AL70" s="23"/>
      <c r="AM70" s="23"/>
      <c r="AN70" s="23"/>
      <c r="AO70" s="56"/>
      <c r="AP70" s="23"/>
      <c r="AQ70" s="23"/>
      <c r="AR70" s="56"/>
      <c r="AS70" s="23"/>
      <c r="AT70" s="23"/>
      <c r="AU70" s="23"/>
      <c r="AV70" s="23"/>
      <c r="AW70" s="23"/>
      <c r="AX70" s="23"/>
      <c r="AY70" s="23"/>
      <c r="AZ70" s="23"/>
      <c r="BA70" s="23"/>
      <c r="BB70" s="23"/>
      <c r="BC70" s="23"/>
      <c r="BD70" s="23"/>
      <c r="BE70" s="23"/>
      <c r="BF70" s="23"/>
      <c r="BG70" s="23"/>
      <c r="BH70" s="23"/>
      <c r="BI70" s="23"/>
      <c r="BJ70" s="23"/>
      <c r="BK70" s="54"/>
      <c r="BL70" s="54"/>
      <c r="BM70" s="54"/>
      <c r="BN70" s="54"/>
      <c r="BO70" s="54">
        <v>99</v>
      </c>
      <c r="BP70" s="54">
        <v>55</v>
      </c>
      <c r="BQ70" s="54">
        <v>71</v>
      </c>
      <c r="BR70" s="54">
        <v>76</v>
      </c>
      <c r="BS70" s="54">
        <v>59</v>
      </c>
      <c r="BT70" s="54">
        <v>74</v>
      </c>
      <c r="BU70" s="54">
        <v>82</v>
      </c>
      <c r="BV70" s="54">
        <v>91</v>
      </c>
      <c r="BW70" s="54">
        <v>98</v>
      </c>
      <c r="BX70" s="54">
        <v>145</v>
      </c>
      <c r="BY70" s="54">
        <v>146</v>
      </c>
      <c r="BZ70" s="54">
        <v>121</v>
      </c>
      <c r="CA70" s="54">
        <f>1167-CA71-CA69-CA68-CA66</f>
        <v>194</v>
      </c>
      <c r="CB70" s="54">
        <f>1223-CB71-CB69-CB68-CB66</f>
        <v>87</v>
      </c>
      <c r="CC70" s="54">
        <f>3098-CC69-CC68-CC67-CC66-CC71</f>
        <v>24</v>
      </c>
      <c r="CD70" s="54">
        <f>1986-CD71-CD69-CD68-CD67-CD66</f>
        <v>20</v>
      </c>
      <c r="CE70" s="54"/>
      <c r="CF70" s="54">
        <f>1142-CF71-CF68-CF67-CF66</f>
        <v>1</v>
      </c>
      <c r="CG70" s="54"/>
      <c r="CH70" s="54"/>
      <c r="CI70" s="54"/>
      <c r="CJ70" s="54"/>
      <c r="CK70" s="54"/>
      <c r="CL70" s="54"/>
      <c r="CM70" s="54"/>
      <c r="CN70" s="23"/>
      <c r="CP70" s="23"/>
      <c r="CQ70" s="23"/>
      <c r="CR70" s="23"/>
      <c r="CS70" s="23"/>
      <c r="CT70" s="23"/>
      <c r="CU70" s="23"/>
      <c r="CV70" s="23"/>
      <c r="CW70" s="23"/>
      <c r="CX70" s="23"/>
      <c r="CY70" s="23"/>
      <c r="CZ70" s="23"/>
      <c r="DA70" s="23"/>
      <c r="DB70" s="23"/>
      <c r="DC70" s="23"/>
      <c r="DJ70" s="27">
        <f t="shared" si="87"/>
        <v>1</v>
      </c>
    </row>
    <row r="71" spans="2:114" x14ac:dyDescent="0.2">
      <c r="B71" s="19" t="s">
        <v>546</v>
      </c>
      <c r="R71" s="23"/>
      <c r="S71" s="23"/>
      <c r="T71" s="23"/>
      <c r="U71" s="23"/>
      <c r="W71" s="23"/>
      <c r="X71" s="23"/>
      <c r="Y71" s="23"/>
      <c r="Z71" s="23"/>
      <c r="AA71" s="23"/>
      <c r="AB71" s="23"/>
      <c r="AC71" s="23"/>
      <c r="AD71" s="23"/>
      <c r="AE71" s="23"/>
      <c r="AF71" s="23"/>
      <c r="AG71" s="23"/>
      <c r="AH71" s="23"/>
      <c r="AI71" s="23"/>
      <c r="AJ71" s="23"/>
      <c r="AK71" s="23"/>
      <c r="AL71" s="23"/>
      <c r="AM71" s="23"/>
      <c r="AN71" s="23"/>
      <c r="AO71" s="56"/>
      <c r="AP71" s="23"/>
      <c r="AQ71" s="23"/>
      <c r="AR71" s="56"/>
      <c r="AS71" s="23"/>
      <c r="AT71" s="23"/>
      <c r="AU71" s="23"/>
      <c r="AV71" s="23"/>
      <c r="AW71" s="23"/>
      <c r="AX71" s="23"/>
      <c r="AY71" s="23"/>
      <c r="AZ71" s="23"/>
      <c r="BA71" s="23"/>
      <c r="BB71" s="23"/>
      <c r="BC71" s="23"/>
      <c r="BD71" s="23"/>
      <c r="BE71" s="23"/>
      <c r="BF71" s="23"/>
      <c r="BG71" s="23"/>
      <c r="BH71" s="23"/>
      <c r="BI71" s="23"/>
      <c r="BJ71" s="23"/>
      <c r="BK71" s="54"/>
      <c r="BL71" s="54"/>
      <c r="BM71" s="54"/>
      <c r="BN71" s="54"/>
      <c r="BO71" s="54">
        <v>63</v>
      </c>
      <c r="BP71" s="54">
        <v>116</v>
      </c>
      <c r="BQ71" s="54">
        <v>1065</v>
      </c>
      <c r="BR71" s="54">
        <v>1228</v>
      </c>
      <c r="BS71" s="54">
        <v>77</v>
      </c>
      <c r="BT71" s="54">
        <v>119</v>
      </c>
      <c r="BU71" s="54">
        <v>1339</v>
      </c>
      <c r="BV71" s="54">
        <v>1093</v>
      </c>
      <c r="BW71" s="54">
        <v>66</v>
      </c>
      <c r="BX71" s="54">
        <v>115</v>
      </c>
      <c r="BY71" s="54">
        <v>1994</v>
      </c>
      <c r="BZ71" s="54">
        <v>802</v>
      </c>
      <c r="CA71" s="54">
        <v>63</v>
      </c>
      <c r="CB71" s="54">
        <v>99</v>
      </c>
      <c r="CC71" s="54">
        <v>1766</v>
      </c>
      <c r="CD71" s="54">
        <v>741</v>
      </c>
      <c r="CE71" s="54">
        <v>73</v>
      </c>
      <c r="CF71" s="54">
        <v>115</v>
      </c>
      <c r="CG71" s="54">
        <v>1913</v>
      </c>
      <c r="CH71" s="54">
        <v>454</v>
      </c>
      <c r="CI71" s="54">
        <v>73</v>
      </c>
      <c r="CJ71" s="54">
        <f>+CF71</f>
        <v>115</v>
      </c>
      <c r="CK71" s="54">
        <f>+CG71</f>
        <v>1913</v>
      </c>
      <c r="CL71" s="54">
        <f>+CH71</f>
        <v>454</v>
      </c>
      <c r="CM71" s="54"/>
      <c r="CN71" s="23"/>
      <c r="CP71" s="23"/>
      <c r="CQ71" s="23"/>
      <c r="CR71" s="23"/>
      <c r="CS71" s="23"/>
      <c r="CT71" s="23"/>
      <c r="CU71" s="23"/>
      <c r="CV71" s="23"/>
      <c r="CW71" s="23"/>
      <c r="CX71" s="23"/>
      <c r="CY71" s="23"/>
      <c r="CZ71" s="23"/>
      <c r="DA71" s="23"/>
      <c r="DB71" s="23"/>
      <c r="DC71" s="23"/>
      <c r="DJ71" s="27">
        <f t="shared" si="87"/>
        <v>2555</v>
      </c>
    </row>
    <row r="72" spans="2:114" x14ac:dyDescent="0.2">
      <c r="B72" s="19" t="s">
        <v>547</v>
      </c>
      <c r="R72" s="23"/>
      <c r="S72" s="23"/>
      <c r="T72" s="23"/>
      <c r="U72" s="23"/>
      <c r="W72" s="23"/>
      <c r="X72" s="23"/>
      <c r="Y72" s="23"/>
      <c r="Z72" s="23"/>
      <c r="AA72" s="23"/>
      <c r="AB72" s="23"/>
      <c r="AC72" s="23"/>
      <c r="AD72" s="23"/>
      <c r="AE72" s="23"/>
      <c r="AF72" s="23"/>
      <c r="AG72" s="23"/>
      <c r="AH72" s="23"/>
      <c r="AI72" s="23"/>
      <c r="AJ72" s="23"/>
      <c r="AK72" s="23"/>
      <c r="AL72" s="23"/>
      <c r="AM72" s="23"/>
      <c r="AN72" s="23"/>
      <c r="AO72" s="56"/>
      <c r="AP72" s="23"/>
      <c r="AQ72" s="23"/>
      <c r="AR72" s="56"/>
      <c r="AS72" s="23"/>
      <c r="AT72" s="23"/>
      <c r="AU72" s="23"/>
      <c r="AV72" s="23"/>
      <c r="AW72" s="23"/>
      <c r="AX72" s="23"/>
      <c r="AY72" s="23"/>
      <c r="AZ72" s="23"/>
      <c r="BA72" s="23"/>
      <c r="BB72" s="23"/>
      <c r="BC72" s="23"/>
      <c r="BD72" s="23"/>
      <c r="BE72" s="23"/>
      <c r="BF72" s="23"/>
      <c r="BG72" s="23"/>
      <c r="BH72" s="23"/>
      <c r="BI72" s="23"/>
      <c r="BJ72" s="23"/>
      <c r="BK72" s="54"/>
      <c r="BL72" s="54"/>
      <c r="BM72" s="54"/>
      <c r="BN72" s="54"/>
      <c r="BO72" s="54">
        <f>909-BO71-BO70-BO69-BO68-BO66</f>
        <v>17</v>
      </c>
      <c r="BP72" s="54">
        <f>927-BP71-BP70-BP69-BP68-BP66</f>
        <v>14</v>
      </c>
      <c r="BQ72" s="54">
        <f>2077-BQ71-BQ70-BQ69-BQ68-BQ66</f>
        <v>23</v>
      </c>
      <c r="BR72" s="54">
        <f>2060-BR71-BR70-BR69-BR68-BR66</f>
        <v>14</v>
      </c>
      <c r="BS72" s="54">
        <f>915-BS66-BS68-BS69-BS70-BS71</f>
        <v>18</v>
      </c>
      <c r="BT72" s="54">
        <f>1022-SUM(BT66:BT71)</f>
        <v>17</v>
      </c>
      <c r="BU72" s="54">
        <f>2422-SUM(BU66:BU71)</f>
        <v>27</v>
      </c>
      <c r="BV72" s="54">
        <v>22</v>
      </c>
      <c r="BW72" s="54">
        <v>22</v>
      </c>
      <c r="BX72" s="54">
        <f>1178-SUM(BX66:BX71)</f>
        <v>24</v>
      </c>
      <c r="BY72" s="54">
        <f>3315-BY71-BY70-BY69-BY68-BY66</f>
        <v>29</v>
      </c>
      <c r="BZ72" s="54">
        <v>92</v>
      </c>
      <c r="CA72" s="54"/>
      <c r="CB72" s="54"/>
      <c r="CC72" s="54"/>
      <c r="CD72" s="54"/>
      <c r="CE72" s="54"/>
      <c r="CF72" s="54"/>
      <c r="CG72" s="54"/>
      <c r="CH72" s="54"/>
      <c r="CI72" s="54"/>
      <c r="CJ72" s="54"/>
      <c r="CK72" s="54"/>
      <c r="CL72" s="54"/>
      <c r="CM72" s="54"/>
      <c r="CN72" s="23"/>
      <c r="CP72" s="23"/>
      <c r="CQ72" s="23"/>
      <c r="CR72" s="23"/>
      <c r="CS72" s="23"/>
      <c r="CT72" s="23"/>
      <c r="CU72" s="23"/>
      <c r="CV72" s="23"/>
      <c r="CW72" s="23"/>
      <c r="CX72" s="23"/>
      <c r="CY72" s="23"/>
      <c r="CZ72" s="23"/>
      <c r="DA72" s="23"/>
      <c r="DB72" s="23"/>
      <c r="DC72" s="23"/>
    </row>
    <row r="73" spans="2:114" x14ac:dyDescent="0.2">
      <c r="B73" s="19" t="s">
        <v>319</v>
      </c>
      <c r="AA73" s="20">
        <v>513</v>
      </c>
      <c r="AB73" s="23"/>
      <c r="AC73" s="23"/>
      <c r="AD73" s="23"/>
      <c r="AE73" s="23">
        <v>594</v>
      </c>
      <c r="AF73" s="23">
        <f>+AE73</f>
        <v>594</v>
      </c>
      <c r="AG73" s="23">
        <f t="shared" ref="AG73:AH74" si="90">+AF73</f>
        <v>594</v>
      </c>
      <c r="AH73" s="23">
        <f t="shared" si="90"/>
        <v>594</v>
      </c>
      <c r="AI73" s="23"/>
      <c r="AJ73" s="23"/>
      <c r="AK73" s="23"/>
      <c r="AL73" s="23"/>
      <c r="AM73" s="23"/>
      <c r="AN73" s="23">
        <v>529</v>
      </c>
      <c r="AO73" s="56">
        <v>458</v>
      </c>
      <c r="AP73" s="23"/>
      <c r="AQ73" s="23"/>
      <c r="AR73" s="23">
        <v>537</v>
      </c>
      <c r="AS73" s="23"/>
      <c r="AT73" s="23"/>
      <c r="AU73" s="23"/>
      <c r="AV73" s="23"/>
      <c r="AW73" s="23"/>
      <c r="AX73" s="23"/>
      <c r="AY73" s="23"/>
      <c r="AZ73" s="23"/>
      <c r="BA73" s="23"/>
      <c r="BB73" s="23"/>
      <c r="BC73" s="23"/>
      <c r="BD73" s="23"/>
      <c r="BE73" s="23"/>
      <c r="BF73" s="23"/>
      <c r="BG73" s="23"/>
      <c r="BH73" s="23"/>
      <c r="BI73" s="23"/>
      <c r="BJ73" s="23"/>
      <c r="BK73" s="54"/>
      <c r="BL73" s="54"/>
      <c r="BM73" s="54"/>
      <c r="BN73" s="54"/>
      <c r="BO73" s="54"/>
      <c r="BP73" s="54"/>
      <c r="BQ73" s="54"/>
      <c r="BR73" s="54"/>
      <c r="BS73" s="54"/>
      <c r="BT73" s="54"/>
      <c r="BU73" s="54"/>
      <c r="BV73" s="54"/>
      <c r="BW73" s="54"/>
      <c r="BX73" s="54"/>
      <c r="BY73" s="54"/>
      <c r="BZ73" s="54"/>
      <c r="CA73" s="54"/>
      <c r="CB73" s="54"/>
      <c r="CC73" s="54"/>
      <c r="CD73" s="54"/>
      <c r="CE73" s="54"/>
      <c r="CF73" s="54"/>
      <c r="CG73" s="54"/>
      <c r="CH73" s="54"/>
      <c r="CI73" s="54"/>
      <c r="CJ73" s="54"/>
      <c r="CK73" s="54"/>
      <c r="CL73" s="54"/>
      <c r="CM73" s="54"/>
      <c r="CN73" s="23"/>
      <c r="CP73" s="23"/>
      <c r="CQ73" s="23"/>
      <c r="CR73" s="23"/>
      <c r="CS73" s="23"/>
      <c r="CT73" s="23"/>
      <c r="CU73" s="23"/>
      <c r="CV73" s="23"/>
      <c r="CW73" s="23">
        <f>SUM(AE73:AH73)</f>
        <v>2376</v>
      </c>
      <c r="CX73" s="23">
        <f>CW73*1.05</f>
        <v>2494.8000000000002</v>
      </c>
      <c r="CY73" s="23">
        <f t="shared" ref="CY73:DC73" si="91">CX73*1.05</f>
        <v>2619.5400000000004</v>
      </c>
      <c r="CZ73" s="23">
        <f t="shared" si="91"/>
        <v>2750.5170000000007</v>
      </c>
      <c r="DA73" s="23">
        <f t="shared" si="91"/>
        <v>2888.0428500000007</v>
      </c>
      <c r="DB73" s="23">
        <f t="shared" si="91"/>
        <v>3032.4449925000008</v>
      </c>
      <c r="DC73" s="23">
        <f t="shared" si="91"/>
        <v>3184.067242125001</v>
      </c>
    </row>
    <row r="74" spans="2:114" x14ac:dyDescent="0.2">
      <c r="B74" s="1" t="s">
        <v>1</v>
      </c>
      <c r="C74" s="23">
        <f>507-D74</f>
        <v>221</v>
      </c>
      <c r="D74" s="23">
        <v>286</v>
      </c>
      <c r="G74" s="23">
        <f>548-H74</f>
        <v>243</v>
      </c>
      <c r="H74" s="23">
        <v>305</v>
      </c>
      <c r="M74" s="23">
        <v>241</v>
      </c>
      <c r="N74" s="23">
        <v>228</v>
      </c>
      <c r="O74" s="23">
        <v>256</v>
      </c>
      <c r="P74" s="23">
        <v>291</v>
      </c>
      <c r="Q74" s="23">
        <v>298</v>
      </c>
      <c r="R74" s="20">
        <v>310</v>
      </c>
      <c r="S74" s="20">
        <v>284</v>
      </c>
      <c r="T74" s="20">
        <v>286</v>
      </c>
      <c r="U74" s="20">
        <v>312</v>
      </c>
      <c r="V74" s="20">
        <v>367</v>
      </c>
      <c r="W74" s="20">
        <v>344</v>
      </c>
      <c r="X74" s="20">
        <f>703-W74</f>
        <v>359</v>
      </c>
      <c r="Y74" s="20">
        <v>372</v>
      </c>
      <c r="Z74" s="20">
        <v>368</v>
      </c>
      <c r="AA74" s="20">
        <v>390</v>
      </c>
      <c r="AB74" s="23">
        <v>408</v>
      </c>
      <c r="AC74" s="23">
        <v>438</v>
      </c>
      <c r="AD74" s="23">
        <v>415</v>
      </c>
      <c r="AE74" s="23">
        <v>413</v>
      </c>
      <c r="AF74" s="23">
        <f>+AE74</f>
        <v>413</v>
      </c>
      <c r="AG74" s="23">
        <f t="shared" si="90"/>
        <v>413</v>
      </c>
      <c r="AH74" s="23">
        <f t="shared" si="90"/>
        <v>413</v>
      </c>
      <c r="AI74" s="23"/>
      <c r="AJ74" s="23"/>
      <c r="AK74" s="23"/>
      <c r="AL74" s="23"/>
      <c r="AM74" s="23"/>
      <c r="AN74" s="23">
        <v>83</v>
      </c>
      <c r="AO74" s="54">
        <v>86</v>
      </c>
      <c r="AP74" s="23"/>
      <c r="AQ74" s="23"/>
      <c r="AR74" s="23"/>
      <c r="AS74" s="23"/>
      <c r="AT74" s="23"/>
      <c r="AU74" s="23"/>
      <c r="AV74" s="23"/>
      <c r="AW74" s="23"/>
      <c r="AX74" s="23"/>
      <c r="AY74" s="23"/>
      <c r="AZ74" s="23"/>
      <c r="BA74" s="23"/>
      <c r="BB74" s="23"/>
      <c r="BC74" s="23"/>
      <c r="BD74" s="23"/>
      <c r="BE74" s="23"/>
      <c r="BF74" s="23"/>
      <c r="BG74" s="23"/>
      <c r="BH74" s="23"/>
      <c r="BI74" s="23"/>
      <c r="BJ74" s="23"/>
      <c r="BK74" s="54"/>
      <c r="BL74" s="54"/>
      <c r="BM74" s="54"/>
      <c r="BN74" s="54"/>
      <c r="BO74" s="54"/>
      <c r="BP74" s="54"/>
      <c r="BQ74" s="54"/>
      <c r="BR74" s="54"/>
      <c r="BS74" s="54"/>
      <c r="BT74" s="54"/>
      <c r="BU74" s="54"/>
      <c r="BV74" s="54"/>
      <c r="BW74" s="54"/>
      <c r="BX74" s="54"/>
      <c r="BY74" s="54"/>
      <c r="BZ74" s="54"/>
      <c r="CA74" s="54"/>
      <c r="CB74" s="54"/>
      <c r="CC74" s="54"/>
      <c r="CD74" s="54"/>
      <c r="CE74" s="54"/>
      <c r="CF74" s="54"/>
      <c r="CG74" s="54"/>
      <c r="CH74" s="54"/>
      <c r="CI74" s="54"/>
      <c r="CJ74" s="54"/>
      <c r="CK74" s="54"/>
      <c r="CL74" s="54"/>
      <c r="CM74" s="54"/>
      <c r="CN74" s="23"/>
      <c r="CP74" s="23"/>
      <c r="CQ74" s="23"/>
      <c r="CR74" s="23"/>
      <c r="CS74" s="23"/>
      <c r="CT74" s="23"/>
      <c r="CU74" s="23">
        <f>SUM(W74:Z74)</f>
        <v>1443</v>
      </c>
      <c r="CV74" s="23"/>
      <c r="CW74" s="23"/>
      <c r="CX74" s="23"/>
      <c r="CY74" s="23"/>
      <c r="CZ74" s="23"/>
      <c r="DA74" s="23"/>
      <c r="DB74" s="23"/>
      <c r="DC74" s="23"/>
    </row>
    <row r="75" spans="2:114" x14ac:dyDescent="0.2">
      <c r="C75" s="23">
        <f>12196-D75</f>
        <v>5919</v>
      </c>
      <c r="D75" s="23">
        <v>6277</v>
      </c>
      <c r="G75" s="23">
        <f>13104-H75</f>
        <v>6417</v>
      </c>
      <c r="H75" s="23">
        <v>6687</v>
      </c>
      <c r="CP75" s="23"/>
      <c r="CQ75" s="23"/>
      <c r="CR75" s="23"/>
      <c r="CS75" s="23"/>
      <c r="CT75" s="23"/>
      <c r="CU75" s="23"/>
      <c r="CV75" s="23"/>
      <c r="CW75" s="23"/>
      <c r="CX75" s="23"/>
      <c r="CY75" s="23"/>
      <c r="CZ75" s="23"/>
      <c r="DA75" s="23"/>
      <c r="DB75" s="23"/>
      <c r="DC75" s="23"/>
    </row>
    <row r="76" spans="2:114" s="11" customFormat="1" x14ac:dyDescent="0.2">
      <c r="B76" s="11" t="s">
        <v>181</v>
      </c>
      <c r="C76" s="39">
        <f>C74+C75</f>
        <v>6140</v>
      </c>
      <c r="D76" s="39">
        <f>D74+D75</f>
        <v>6563</v>
      </c>
      <c r="E76" s="39"/>
      <c r="F76" s="39"/>
      <c r="G76" s="39">
        <f>G74+G75</f>
        <v>6660</v>
      </c>
      <c r="H76" s="39">
        <f>H74+H75</f>
        <v>6992</v>
      </c>
      <c r="I76" s="39"/>
      <c r="J76" s="39"/>
      <c r="K76" s="39">
        <f t="shared" ref="K76:Z76" si="92">SUM(K4:K65)</f>
        <v>7035</v>
      </c>
      <c r="L76" s="39">
        <f t="shared" si="92"/>
        <v>7081</v>
      </c>
      <c r="M76" s="39">
        <f t="shared" si="92"/>
        <v>6901</v>
      </c>
      <c r="N76" s="39">
        <f t="shared" si="92"/>
        <v>7356</v>
      </c>
      <c r="O76" s="39">
        <f t="shared" si="92"/>
        <v>7177</v>
      </c>
      <c r="P76" s="39">
        <f t="shared" si="92"/>
        <v>6939</v>
      </c>
      <c r="Q76" s="39">
        <f t="shared" si="92"/>
        <v>7025</v>
      </c>
      <c r="R76" s="39">
        <f t="shared" si="92"/>
        <v>6911</v>
      </c>
      <c r="S76" s="39">
        <f t="shared" si="92"/>
        <v>6919</v>
      </c>
      <c r="T76" s="39">
        <f t="shared" si="92"/>
        <v>6689</v>
      </c>
      <c r="U76" s="39">
        <f t="shared" si="92"/>
        <v>6853</v>
      </c>
      <c r="V76" s="39">
        <f t="shared" si="92"/>
        <v>7089</v>
      </c>
      <c r="W76" s="39">
        <f t="shared" si="92"/>
        <v>7107</v>
      </c>
      <c r="X76" s="39">
        <f t="shared" si="92"/>
        <v>7442</v>
      </c>
      <c r="Y76" s="39">
        <f t="shared" si="92"/>
        <v>7400</v>
      </c>
      <c r="Z76" s="39">
        <f t="shared" si="92"/>
        <v>7361</v>
      </c>
      <c r="AA76" s="39">
        <f>SUM(AA4:AA73)</f>
        <v>7898</v>
      </c>
      <c r="AB76" s="39">
        <f>SUM(AB4:AB65)</f>
        <v>7783</v>
      </c>
      <c r="AC76" s="39">
        <f>SUM(AC4:AC65)</f>
        <v>7821</v>
      </c>
      <c r="AD76" s="39">
        <f>SUM(AD4:AD65)</f>
        <v>7395</v>
      </c>
      <c r="AE76" s="39">
        <f t="shared" ref="AE76:AM76" si="93">SUM(AE4:AE73)</f>
        <v>7779</v>
      </c>
      <c r="AF76" s="39">
        <f t="shared" si="93"/>
        <v>7875</v>
      </c>
      <c r="AG76" s="39">
        <f t="shared" si="93"/>
        <v>7853</v>
      </c>
      <c r="AH76" s="39">
        <f t="shared" si="93"/>
        <v>7495.4</v>
      </c>
      <c r="AI76" s="39">
        <f t="shared" si="93"/>
        <v>54</v>
      </c>
      <c r="AJ76" s="39">
        <f t="shared" si="93"/>
        <v>0</v>
      </c>
      <c r="AK76" s="39">
        <f t="shared" si="93"/>
        <v>0</v>
      </c>
      <c r="AL76" s="39">
        <f t="shared" si="93"/>
        <v>0</v>
      </c>
      <c r="AM76" s="39">
        <f t="shared" si="93"/>
        <v>0</v>
      </c>
      <c r="AN76" s="39">
        <f>SUM(AN4:AN74)</f>
        <v>8073</v>
      </c>
      <c r="AO76" s="39">
        <f>SUM(AO4:AO74)</f>
        <v>8502</v>
      </c>
      <c r="AP76" s="39"/>
      <c r="AQ76" s="39"/>
      <c r="AR76" s="39">
        <f>SUM(AR4:AR74)</f>
        <v>8075</v>
      </c>
      <c r="AS76" s="39"/>
      <c r="AT76" s="39"/>
      <c r="AU76" s="39"/>
      <c r="AV76" s="39"/>
      <c r="AW76" s="39"/>
      <c r="AX76" s="39"/>
      <c r="AY76" s="39"/>
      <c r="AZ76" s="39"/>
      <c r="BA76" s="39"/>
      <c r="BB76" s="39"/>
      <c r="BC76" s="39"/>
      <c r="BD76" s="39"/>
      <c r="BE76" s="39"/>
      <c r="BF76" s="39"/>
      <c r="BG76" s="39"/>
      <c r="BH76" s="39"/>
      <c r="BI76" s="39"/>
      <c r="BJ76" s="39"/>
      <c r="BK76" s="62">
        <f>SUM(BK3:BK75)</f>
        <v>8391</v>
      </c>
      <c r="BL76" s="62">
        <f>SUM(BL3:BL75)</f>
        <v>0</v>
      </c>
      <c r="BM76" s="62">
        <f>SUM(BM3:BM75)</f>
        <v>0</v>
      </c>
      <c r="BN76" s="62">
        <f>SUM(BN3:BN75)</f>
        <v>0</v>
      </c>
      <c r="BO76" s="62">
        <f t="shared" ref="BO76:BX76" si="94">SUM(BO3:BO75)</f>
        <v>8973</v>
      </c>
      <c r="BP76" s="62">
        <f t="shared" si="94"/>
        <v>8207</v>
      </c>
      <c r="BQ76" s="62">
        <f t="shared" si="94"/>
        <v>9479</v>
      </c>
      <c r="BR76" s="62">
        <f t="shared" si="94"/>
        <v>9382</v>
      </c>
      <c r="BS76" s="62">
        <f t="shared" si="94"/>
        <v>8591</v>
      </c>
      <c r="BT76" s="62">
        <f t="shared" si="94"/>
        <v>8744</v>
      </c>
      <c r="BU76" s="62">
        <f t="shared" si="94"/>
        <v>10432</v>
      </c>
      <c r="BV76" s="62">
        <f t="shared" si="94"/>
        <v>9994</v>
      </c>
      <c r="BW76" s="62">
        <f t="shared" si="94"/>
        <v>9673</v>
      </c>
      <c r="BX76" s="62">
        <f t="shared" si="94"/>
        <v>10116</v>
      </c>
      <c r="BY76" s="62">
        <f t="shared" ref="BY76:CL76" si="95">SUM(BY3:BY75)</f>
        <v>12482</v>
      </c>
      <c r="BZ76" s="62">
        <f>SUM(BZ3:BZ75)</f>
        <v>10724</v>
      </c>
      <c r="CA76" s="62">
        <f t="shared" si="95"/>
        <v>10221</v>
      </c>
      <c r="CB76" s="62">
        <f t="shared" si="95"/>
        <v>9965</v>
      </c>
      <c r="CC76" s="62">
        <f t="shared" si="95"/>
        <v>11964</v>
      </c>
      <c r="CD76" s="62">
        <f>SUM(CD3:CD75)</f>
        <v>9704</v>
      </c>
      <c r="CE76" s="62">
        <f>SUM(CE3:CE75)</f>
        <v>10464</v>
      </c>
      <c r="CF76" s="62">
        <f t="shared" si="95"/>
        <v>10745</v>
      </c>
      <c r="CG76" s="62">
        <f t="shared" si="95"/>
        <v>13439</v>
      </c>
      <c r="CH76" s="62">
        <f>SUM(CH3:CH75)</f>
        <v>10563</v>
      </c>
      <c r="CI76" s="62">
        <f t="shared" si="95"/>
        <v>9896</v>
      </c>
      <c r="CJ76" s="62">
        <f t="shared" si="95"/>
        <v>10328.43</v>
      </c>
      <c r="CK76" s="62">
        <f t="shared" si="95"/>
        <v>12260.529999999999</v>
      </c>
      <c r="CL76" s="62">
        <f t="shared" si="95"/>
        <v>10767.89</v>
      </c>
      <c r="CM76" s="62"/>
      <c r="CN76" s="39"/>
      <c r="CO76" s="45"/>
      <c r="CP76" s="45"/>
      <c r="CQ76" s="45"/>
      <c r="CR76" s="39">
        <f>SUM(CR4:CR65)</f>
        <v>28373</v>
      </c>
      <c r="CS76" s="39">
        <f>SUM(CS4:CS65)</f>
        <v>28052</v>
      </c>
      <c r="CT76" s="39">
        <f>SUM(CT4:CT65)</f>
        <v>27550</v>
      </c>
      <c r="CU76" s="39">
        <f>SUM(CU4:CU65)</f>
        <v>29310</v>
      </c>
      <c r="CV76" s="39">
        <f>SUM(CV4:CV65)</f>
        <v>30415</v>
      </c>
      <c r="CW76" s="39">
        <f t="shared" ref="CW76:DC76" si="96">SUM(CW4:CW73)</f>
        <v>30145.23</v>
      </c>
      <c r="CX76" s="39">
        <f t="shared" si="96"/>
        <v>29130.449300000004</v>
      </c>
      <c r="CY76" s="39">
        <f t="shared" si="96"/>
        <v>27509.208572000003</v>
      </c>
      <c r="CZ76" s="39">
        <f t="shared" si="96"/>
        <v>26261.69246577</v>
      </c>
      <c r="DA76" s="39">
        <f t="shared" si="96"/>
        <v>25739.669793202305</v>
      </c>
      <c r="DB76" s="39">
        <f t="shared" si="96"/>
        <v>24572.232721612385</v>
      </c>
      <c r="DC76" s="39">
        <f t="shared" si="96"/>
        <v>22307.744321120292</v>
      </c>
      <c r="DJ76" s="77">
        <f>SUM(DJ3:DJ74)</f>
        <v>41109</v>
      </c>
    </row>
    <row r="77" spans="2:114" x14ac:dyDescent="0.2">
      <c r="B77" s="1" t="s">
        <v>2</v>
      </c>
      <c r="C77" s="23">
        <f>3379-D77</f>
        <v>1625</v>
      </c>
      <c r="D77" s="23">
        <v>1754</v>
      </c>
      <c r="G77" s="23">
        <f>3418-H77</f>
        <v>1697</v>
      </c>
      <c r="H77" s="23">
        <v>1721</v>
      </c>
      <c r="M77" s="23">
        <v>1840</v>
      </c>
      <c r="N77" s="23">
        <v>1957</v>
      </c>
      <c r="O77" s="23">
        <v>1864</v>
      </c>
      <c r="P77" s="23">
        <v>1840</v>
      </c>
      <c r="Q77" s="23">
        <v>1903</v>
      </c>
      <c r="R77" s="23">
        <v>1964</v>
      </c>
      <c r="S77" s="23">
        <v>1889</v>
      </c>
      <c r="T77" s="23">
        <v>1726</v>
      </c>
      <c r="U77" s="23">
        <v>1793</v>
      </c>
      <c r="V77" s="23">
        <v>1927</v>
      </c>
      <c r="W77" s="23">
        <v>1767</v>
      </c>
      <c r="X77" s="23">
        <f>3600-W77</f>
        <v>1833</v>
      </c>
      <c r="Y77" s="23">
        <v>2028</v>
      </c>
      <c r="Z77" s="23">
        <v>2225</v>
      </c>
      <c r="AA77" s="23">
        <f>2025</f>
        <v>2025</v>
      </c>
      <c r="AB77" s="23">
        <v>2058</v>
      </c>
      <c r="AC77" s="23">
        <v>2296</v>
      </c>
      <c r="AD77" s="23">
        <v>2310</v>
      </c>
      <c r="AE77" s="23">
        <v>2362</v>
      </c>
      <c r="AF77" s="23">
        <f>+AF76-AF78</f>
        <v>1890</v>
      </c>
      <c r="AG77" s="23">
        <f t="shared" ref="AG77:AH77" si="97">+AG76-AG78</f>
        <v>1884.7200000000003</v>
      </c>
      <c r="AH77" s="23">
        <f t="shared" si="97"/>
        <v>1798.8959999999997</v>
      </c>
      <c r="AI77" s="23"/>
      <c r="AJ77" s="23"/>
      <c r="AK77" s="23"/>
      <c r="AL77" s="23"/>
      <c r="AM77" s="23"/>
      <c r="AN77" s="23">
        <v>2672</v>
      </c>
      <c r="AO77" s="23">
        <v>2873</v>
      </c>
      <c r="AP77" s="23"/>
      <c r="AQ77" s="23"/>
      <c r="AR77" s="23"/>
      <c r="AS77" s="23"/>
      <c r="AT77" s="23"/>
      <c r="AU77" s="23"/>
      <c r="AV77" s="23"/>
      <c r="AW77" s="23"/>
      <c r="AX77" s="23"/>
      <c r="AY77" s="23"/>
      <c r="AZ77" s="23"/>
      <c r="BA77" s="23"/>
      <c r="BB77" s="23"/>
      <c r="BC77" s="23"/>
      <c r="BD77" s="23"/>
      <c r="BE77" s="23"/>
      <c r="BF77" s="23"/>
      <c r="BG77" s="23"/>
      <c r="BH77" s="23"/>
      <c r="BI77" s="23"/>
      <c r="BJ77" s="23"/>
      <c r="BK77" s="54"/>
      <c r="BL77" s="54"/>
      <c r="BM77" s="54"/>
      <c r="BN77" s="54"/>
      <c r="BO77" s="54">
        <f>2847-343</f>
        <v>2504</v>
      </c>
      <c r="BP77" s="54">
        <f>2660-231</f>
        <v>2429</v>
      </c>
      <c r="BQ77" s="54">
        <f>3159-400</f>
        <v>2759</v>
      </c>
      <c r="BR77" s="54">
        <f>3439-354</f>
        <v>3085</v>
      </c>
      <c r="BS77" s="54">
        <f>2684-295</f>
        <v>2389</v>
      </c>
      <c r="BT77" s="54">
        <f>2858-301</f>
        <v>2557</v>
      </c>
      <c r="BU77" s="54">
        <f>3238-397</f>
        <v>2841</v>
      </c>
      <c r="BV77" s="54">
        <f>3471-421</f>
        <v>3050</v>
      </c>
      <c r="BW77" s="54">
        <f>2878-379</f>
        <v>2499</v>
      </c>
      <c r="BX77" s="54">
        <f>3249-626</f>
        <v>2623</v>
      </c>
      <c r="BY77" s="54">
        <f>3831-656</f>
        <v>3175</v>
      </c>
      <c r="BZ77" s="54">
        <f>3734-731</f>
        <v>3003</v>
      </c>
      <c r="CA77" s="54">
        <f>3079-641</f>
        <v>2438</v>
      </c>
      <c r="CB77" s="54">
        <f>3263-717</f>
        <v>2546</v>
      </c>
      <c r="CC77" s="54">
        <f>3840-734</f>
        <v>3106</v>
      </c>
      <c r="CD77" s="54">
        <f>4034-1282</f>
        <v>2752</v>
      </c>
      <c r="CE77" s="54">
        <f>3424-654</f>
        <v>2770</v>
      </c>
      <c r="CF77" s="54">
        <f>3406-635</f>
        <v>2771</v>
      </c>
      <c r="CG77" s="54">
        <f>4085-719</f>
        <v>3366</v>
      </c>
      <c r="CH77" s="54">
        <f>3576-856</f>
        <v>2720</v>
      </c>
      <c r="CI77" s="54">
        <f>2826-617</f>
        <v>2209</v>
      </c>
      <c r="CJ77" s="54"/>
      <c r="CK77" s="54"/>
      <c r="CL77" s="54"/>
      <c r="CM77" s="54"/>
      <c r="CN77" s="23"/>
      <c r="CR77" s="23"/>
      <c r="CS77" s="23"/>
      <c r="CT77" s="23">
        <f t="shared" ref="CT77:DB77" si="98">CT76-CT78</f>
        <v>6086</v>
      </c>
      <c r="CU77" s="23">
        <f>CU76-CU78</f>
        <v>6410</v>
      </c>
      <c r="CV77" s="23">
        <f>CV76-CV78</f>
        <v>6995.4500000000007</v>
      </c>
      <c r="CW77" s="23">
        <f>CW76-CW78</f>
        <v>7234.8551999999981</v>
      </c>
      <c r="CX77" s="23">
        <f t="shared" si="98"/>
        <v>6991.3078320000022</v>
      </c>
      <c r="CY77" s="23">
        <f t="shared" si="98"/>
        <v>6877.3021430000008</v>
      </c>
      <c r="CZ77" s="23">
        <f t="shared" si="98"/>
        <v>6565.4231164425</v>
      </c>
      <c r="DA77" s="23">
        <f t="shared" si="98"/>
        <v>6434.9174483005772</v>
      </c>
      <c r="DB77" s="23">
        <f t="shared" si="98"/>
        <v>6143.0581804030953</v>
      </c>
      <c r="DC77" s="23">
        <f t="shared" ref="DC77" si="99">DC76-DC78</f>
        <v>5576.9360802800729</v>
      </c>
    </row>
    <row r="78" spans="2:114" x14ac:dyDescent="0.2">
      <c r="B78" s="1" t="s">
        <v>168</v>
      </c>
      <c r="C78" s="23">
        <f>C76-C77</f>
        <v>4515</v>
      </c>
      <c r="D78" s="23">
        <f>D76-D77</f>
        <v>4809</v>
      </c>
      <c r="G78" s="23">
        <f>G76-G77</f>
        <v>4963</v>
      </c>
      <c r="H78" s="23">
        <f>H76-H77</f>
        <v>5271</v>
      </c>
      <c r="M78" s="23">
        <f t="shared" ref="M78:AE78" si="100">M76-M77+M74</f>
        <v>5302</v>
      </c>
      <c r="N78" s="23">
        <f t="shared" si="100"/>
        <v>5627</v>
      </c>
      <c r="O78" s="23">
        <f t="shared" si="100"/>
        <v>5569</v>
      </c>
      <c r="P78" s="23">
        <f t="shared" si="100"/>
        <v>5390</v>
      </c>
      <c r="Q78" s="23">
        <f t="shared" si="100"/>
        <v>5420</v>
      </c>
      <c r="R78" s="23">
        <f t="shared" si="100"/>
        <v>5257</v>
      </c>
      <c r="S78" s="23">
        <f t="shared" si="100"/>
        <v>5314</v>
      </c>
      <c r="T78" s="23">
        <f t="shared" si="100"/>
        <v>5249</v>
      </c>
      <c r="U78" s="23">
        <f t="shared" si="100"/>
        <v>5372</v>
      </c>
      <c r="V78" s="23">
        <f t="shared" si="100"/>
        <v>5529</v>
      </c>
      <c r="W78" s="23">
        <f t="shared" si="100"/>
        <v>5684</v>
      </c>
      <c r="X78" s="23">
        <f t="shared" si="100"/>
        <v>5968</v>
      </c>
      <c r="Y78" s="23">
        <f t="shared" si="100"/>
        <v>5744</v>
      </c>
      <c r="Z78" s="23">
        <f t="shared" si="100"/>
        <v>5504</v>
      </c>
      <c r="AA78" s="23">
        <f t="shared" si="100"/>
        <v>6263</v>
      </c>
      <c r="AB78" s="23">
        <f t="shared" si="100"/>
        <v>6133</v>
      </c>
      <c r="AC78" s="23">
        <f t="shared" si="100"/>
        <v>5963</v>
      </c>
      <c r="AD78" s="23">
        <f t="shared" si="100"/>
        <v>5500</v>
      </c>
      <c r="AE78" s="23">
        <f t="shared" si="100"/>
        <v>5830</v>
      </c>
      <c r="AF78" s="23">
        <f>+AF76*AF93</f>
        <v>5985</v>
      </c>
      <c r="AG78" s="23">
        <f t="shared" ref="AG78:AH78" si="101">+AG76*AG93</f>
        <v>5968.28</v>
      </c>
      <c r="AH78" s="23">
        <f t="shared" si="101"/>
        <v>5696.5039999999999</v>
      </c>
      <c r="AI78" s="23"/>
      <c r="AJ78" s="23"/>
      <c r="AK78" s="23"/>
      <c r="AL78" s="23"/>
      <c r="AM78" s="23"/>
      <c r="AN78" s="23">
        <f t="shared" ref="AN78" si="102">+AN76-AN77</f>
        <v>5401</v>
      </c>
      <c r="AO78" s="23">
        <f>+AO76-AO77</f>
        <v>5629</v>
      </c>
      <c r="AP78" s="23"/>
      <c r="AQ78" s="23"/>
      <c r="AR78" s="23"/>
      <c r="AS78" s="23"/>
      <c r="AT78" s="23"/>
      <c r="AU78" s="23"/>
      <c r="AV78" s="23"/>
      <c r="AW78" s="23"/>
      <c r="AX78" s="23"/>
      <c r="AY78" s="23"/>
      <c r="AZ78" s="23"/>
      <c r="BA78" s="23"/>
      <c r="BB78" s="23"/>
      <c r="BC78" s="23"/>
      <c r="BD78" s="23"/>
      <c r="BE78" s="23"/>
      <c r="BF78" s="23"/>
      <c r="BG78" s="23"/>
      <c r="BH78" s="23"/>
      <c r="BI78" s="23"/>
      <c r="BJ78" s="23"/>
      <c r="BK78" s="54"/>
      <c r="BL78" s="54"/>
      <c r="BM78" s="54"/>
      <c r="BN78" s="54"/>
      <c r="BO78" s="54">
        <f t="shared" ref="BO78" si="103">BO76-BO77</f>
        <v>6469</v>
      </c>
      <c r="BP78" s="54">
        <f t="shared" ref="BP78" si="104">BP76-BP77</f>
        <v>5778</v>
      </c>
      <c r="BQ78" s="54">
        <f t="shared" ref="BQ78:BR78" si="105">BQ76-BQ77</f>
        <v>6720</v>
      </c>
      <c r="BR78" s="54">
        <f t="shared" si="105"/>
        <v>6297</v>
      </c>
      <c r="BS78" s="54">
        <f t="shared" ref="BS78:BX78" si="106">BS76-BS77</f>
        <v>6202</v>
      </c>
      <c r="BT78" s="54">
        <f t="shared" si="106"/>
        <v>6187</v>
      </c>
      <c r="BU78" s="54">
        <f t="shared" si="106"/>
        <v>7591</v>
      </c>
      <c r="BV78" s="54">
        <f t="shared" si="106"/>
        <v>6944</v>
      </c>
      <c r="BW78" s="54">
        <f t="shared" si="106"/>
        <v>7174</v>
      </c>
      <c r="BX78" s="54">
        <f t="shared" si="106"/>
        <v>7493</v>
      </c>
      <c r="BY78" s="54">
        <f t="shared" ref="BY78:CE78" si="107">+BY76-BY77</f>
        <v>9307</v>
      </c>
      <c r="BZ78" s="54">
        <f t="shared" si="107"/>
        <v>7721</v>
      </c>
      <c r="CA78" s="54">
        <f t="shared" si="107"/>
        <v>7783</v>
      </c>
      <c r="CB78" s="54">
        <f t="shared" si="107"/>
        <v>7419</v>
      </c>
      <c r="CC78" s="54">
        <f t="shared" si="107"/>
        <v>8858</v>
      </c>
      <c r="CD78" s="54">
        <f t="shared" si="107"/>
        <v>6952</v>
      </c>
      <c r="CE78" s="54">
        <f t="shared" si="107"/>
        <v>7694</v>
      </c>
      <c r="CF78" s="54">
        <f>CF76-CF77</f>
        <v>7974</v>
      </c>
      <c r="CG78" s="54">
        <f>CG76-CG77</f>
        <v>10073</v>
      </c>
      <c r="CH78" s="54">
        <f>+CH76-CH77</f>
        <v>7843</v>
      </c>
      <c r="CI78" s="54">
        <f>+CI76-CI77</f>
        <v>7687</v>
      </c>
      <c r="CJ78" s="54"/>
      <c r="CK78" s="54"/>
      <c r="CL78" s="54"/>
      <c r="CM78" s="54"/>
      <c r="CN78" s="23"/>
      <c r="CR78" s="23"/>
      <c r="CS78" s="23"/>
      <c r="CT78" s="23">
        <f>SUM(S78:V78)</f>
        <v>21464</v>
      </c>
      <c r="CU78" s="23">
        <f>SUM(W78:Z78)</f>
        <v>22900</v>
      </c>
      <c r="CV78" s="23">
        <f>CV76*CV93</f>
        <v>23419.55</v>
      </c>
      <c r="CW78" s="23">
        <f>CW76*CW93</f>
        <v>22910.374800000001</v>
      </c>
      <c r="CX78" s="23">
        <f t="shared" ref="CX78:CY78" si="108">CX76*CX93</f>
        <v>22139.141468000002</v>
      </c>
      <c r="CY78" s="23">
        <f t="shared" si="108"/>
        <v>20631.906429000002</v>
      </c>
      <c r="CZ78" s="23">
        <f>CZ76*CZ93</f>
        <v>19696.2693493275</v>
      </c>
      <c r="DA78" s="23">
        <f>DA76*DA93</f>
        <v>19304.752344901728</v>
      </c>
      <c r="DB78" s="23">
        <f>DB76*DB93</f>
        <v>18429.17454120929</v>
      </c>
      <c r="DC78" s="23">
        <f>DC76*DC93</f>
        <v>16730.808240840219</v>
      </c>
    </row>
    <row r="79" spans="2:114" x14ac:dyDescent="0.2">
      <c r="B79" s="1" t="s">
        <v>3</v>
      </c>
      <c r="C79" s="23">
        <f>1909-D79</f>
        <v>920</v>
      </c>
      <c r="D79" s="23">
        <v>989</v>
      </c>
      <c r="G79" s="23">
        <f>1902-H79</f>
        <v>923</v>
      </c>
      <c r="H79" s="23">
        <v>979</v>
      </c>
      <c r="M79" s="23">
        <v>1075</v>
      </c>
      <c r="N79" s="23">
        <v>1211</v>
      </c>
      <c r="O79" s="23">
        <v>1081</v>
      </c>
      <c r="P79" s="23">
        <v>1101</v>
      </c>
      <c r="Q79" s="23">
        <v>1084</v>
      </c>
      <c r="R79" s="23">
        <v>1271</v>
      </c>
      <c r="S79" s="23">
        <v>1089</v>
      </c>
      <c r="T79" s="23">
        <v>1091</v>
      </c>
      <c r="U79" s="23">
        <v>1089</v>
      </c>
      <c r="V79" s="23">
        <v>1306</v>
      </c>
      <c r="W79" s="23">
        <v>1152</v>
      </c>
      <c r="X79" s="23">
        <f>2260-W79</f>
        <v>1108</v>
      </c>
      <c r="Y79" s="23">
        <v>1109</v>
      </c>
      <c r="Z79" s="23">
        <v>1214</v>
      </c>
      <c r="AA79" s="23">
        <v>1110</v>
      </c>
      <c r="AB79" s="23">
        <v>1080</v>
      </c>
      <c r="AC79" s="23">
        <v>1085</v>
      </c>
      <c r="AD79" s="23">
        <v>1126</v>
      </c>
      <c r="AE79" s="23">
        <v>1100</v>
      </c>
      <c r="AF79" s="23"/>
      <c r="AG79" s="23"/>
      <c r="AH79" s="23"/>
      <c r="AI79" s="23"/>
      <c r="AJ79" s="23"/>
      <c r="AK79" s="23"/>
      <c r="AL79" s="23"/>
      <c r="AM79" s="23"/>
      <c r="AN79" s="23">
        <v>1186</v>
      </c>
      <c r="AO79" s="23">
        <v>1183</v>
      </c>
      <c r="AP79" s="23"/>
      <c r="AQ79" s="23"/>
      <c r="AR79" s="23"/>
      <c r="AS79" s="23"/>
      <c r="AT79" s="23"/>
      <c r="AU79" s="23"/>
      <c r="AV79" s="23"/>
      <c r="AW79" s="23"/>
      <c r="AX79" s="23"/>
      <c r="AY79" s="23"/>
      <c r="AZ79" s="23"/>
      <c r="BA79" s="23"/>
      <c r="BB79" s="23"/>
      <c r="BC79" s="23"/>
      <c r="BD79" s="23"/>
      <c r="BE79" s="23"/>
      <c r="BF79" s="23"/>
      <c r="BG79" s="23"/>
      <c r="BH79" s="23"/>
      <c r="BI79" s="23"/>
      <c r="BJ79" s="23"/>
      <c r="BK79" s="54"/>
      <c r="BL79" s="54"/>
      <c r="BM79" s="54"/>
      <c r="BN79" s="54"/>
      <c r="BO79" s="54">
        <v>1340</v>
      </c>
      <c r="BP79" s="54">
        <v>1352</v>
      </c>
      <c r="BQ79" s="54">
        <v>1321</v>
      </c>
      <c r="BR79" s="54">
        <v>1516</v>
      </c>
      <c r="BS79" s="54">
        <v>1267</v>
      </c>
      <c r="BT79" s="54">
        <v>1396</v>
      </c>
      <c r="BU79" s="54">
        <v>1443</v>
      </c>
      <c r="BV79" s="54">
        <v>1585</v>
      </c>
      <c r="BW79" s="54">
        <v>1489</v>
      </c>
      <c r="BX79" s="54">
        <v>1658</v>
      </c>
      <c r="BY79" s="54">
        <v>1736</v>
      </c>
      <c r="BZ79" s="54">
        <v>1823</v>
      </c>
      <c r="CA79" s="54">
        <v>1563</v>
      </c>
      <c r="CB79" s="54">
        <v>1630</v>
      </c>
      <c r="CC79" s="54">
        <v>1663</v>
      </c>
      <c r="CD79" s="54">
        <v>1872</v>
      </c>
      <c r="CE79" s="54">
        <v>1719</v>
      </c>
      <c r="CF79" s="54">
        <v>1704</v>
      </c>
      <c r="CG79" s="54">
        <v>1852</v>
      </c>
      <c r="CH79" s="54">
        <v>2257</v>
      </c>
      <c r="CI79" s="54">
        <v>1808</v>
      </c>
      <c r="CJ79" s="54"/>
      <c r="CK79" s="54"/>
      <c r="CL79" s="54"/>
      <c r="CM79" s="54"/>
      <c r="CN79" s="23"/>
      <c r="CR79" s="23"/>
      <c r="CS79" s="23">
        <f>SUM(O79:R79)</f>
        <v>4537</v>
      </c>
      <c r="CT79" s="23">
        <f>SUM(S79:V79)</f>
        <v>4575</v>
      </c>
      <c r="CU79" s="23">
        <f>SUM(W79:Z79)</f>
        <v>4583</v>
      </c>
      <c r="CV79" s="23">
        <f>SUM(AA79:AD79)</f>
        <v>4401</v>
      </c>
      <c r="CW79" s="23">
        <f>SUM(AE79:AH79)</f>
        <v>1100</v>
      </c>
      <c r="CX79" s="23"/>
      <c r="CY79" s="23"/>
      <c r="CZ79" s="23"/>
      <c r="DA79" s="23"/>
      <c r="DB79" s="23"/>
      <c r="DC79" s="23"/>
    </row>
    <row r="80" spans="2:114" x14ac:dyDescent="0.2">
      <c r="B80" s="1" t="s">
        <v>4</v>
      </c>
      <c r="C80" s="23">
        <f>3911-D80</f>
        <v>1906</v>
      </c>
      <c r="D80" s="23">
        <v>2005</v>
      </c>
      <c r="G80" s="23">
        <f>3949-H80</f>
        <v>1920</v>
      </c>
      <c r="H80" s="23">
        <v>2029</v>
      </c>
      <c r="M80" s="23">
        <v>1806</v>
      </c>
      <c r="N80" s="23">
        <v>2153</v>
      </c>
      <c r="O80" s="23">
        <v>1873</v>
      </c>
      <c r="P80" s="23">
        <v>1931</v>
      </c>
      <c r="Q80" s="23">
        <v>1754</v>
      </c>
      <c r="R80" s="23">
        <v>1996</v>
      </c>
      <c r="S80" s="23">
        <v>1783</v>
      </c>
      <c r="T80" s="23">
        <v>1789</v>
      </c>
      <c r="U80" s="23">
        <v>1651</v>
      </c>
      <c r="V80" s="23">
        <v>1945</v>
      </c>
      <c r="W80" s="23">
        <v>1732</v>
      </c>
      <c r="X80" s="23">
        <f>3627-W80</f>
        <v>1895</v>
      </c>
      <c r="Y80" s="23">
        <v>1707</v>
      </c>
      <c r="Z80" s="23">
        <v>1991</v>
      </c>
      <c r="AA80" s="23">
        <v>1701</v>
      </c>
      <c r="AB80" s="23">
        <v>1958</v>
      </c>
      <c r="AC80" s="23">
        <v>1851</v>
      </c>
      <c r="AD80" s="23">
        <v>2057</v>
      </c>
      <c r="AE80" s="23">
        <v>1933</v>
      </c>
      <c r="AF80" s="23"/>
      <c r="AG80" s="23"/>
      <c r="AH80" s="23"/>
      <c r="AI80" s="23"/>
      <c r="AJ80" s="23"/>
      <c r="AK80" s="23"/>
      <c r="AL80" s="23"/>
      <c r="AM80" s="23"/>
      <c r="AN80" s="23">
        <v>2309</v>
      </c>
      <c r="AO80" s="23">
        <v>2016</v>
      </c>
      <c r="AP80" s="23"/>
      <c r="AQ80" s="23"/>
      <c r="AR80" s="23"/>
      <c r="AS80" s="23"/>
      <c r="AT80" s="23"/>
      <c r="AU80" s="23"/>
      <c r="AV80" s="23"/>
      <c r="AW80" s="23"/>
      <c r="AX80" s="23"/>
      <c r="AY80" s="23"/>
      <c r="AZ80" s="23"/>
      <c r="BA80" s="23"/>
      <c r="BB80" s="23"/>
      <c r="BC80" s="23"/>
      <c r="BD80" s="23"/>
      <c r="BE80" s="23"/>
      <c r="BF80" s="23"/>
      <c r="BG80" s="23"/>
      <c r="BH80" s="23"/>
      <c r="BI80" s="23"/>
      <c r="BJ80" s="23"/>
      <c r="BK80" s="54"/>
      <c r="BL80" s="54"/>
      <c r="BM80" s="54"/>
      <c r="BN80" s="54"/>
      <c r="BO80" s="54">
        <v>2342</v>
      </c>
      <c r="BP80" s="54">
        <v>2265</v>
      </c>
      <c r="BQ80" s="54">
        <v>2182</v>
      </c>
      <c r="BR80" s="54">
        <v>2602</v>
      </c>
      <c r="BS80" s="54">
        <v>2194</v>
      </c>
      <c r="BT80" s="54">
        <v>2337</v>
      </c>
      <c r="BU80" s="54">
        <v>2267</v>
      </c>
      <c r="BV80" s="54">
        <v>2758</v>
      </c>
      <c r="BW80" s="54">
        <v>2379</v>
      </c>
      <c r="BX80" s="54">
        <v>2574</v>
      </c>
      <c r="BY80" s="54">
        <v>2644</v>
      </c>
      <c r="BZ80" s="54">
        <v>2895</v>
      </c>
      <c r="CA80" s="54">
        <v>2607</v>
      </c>
      <c r="CB80" s="54">
        <v>2575</v>
      </c>
      <c r="CC80" s="54">
        <v>2579</v>
      </c>
      <c r="CD80" s="54">
        <v>2931</v>
      </c>
      <c r="CE80" s="54">
        <v>2605</v>
      </c>
      <c r="CF80" s="54">
        <v>2655</v>
      </c>
      <c r="CG80" s="54">
        <v>2681</v>
      </c>
      <c r="CH80" s="54">
        <v>2648</v>
      </c>
      <c r="CI80" s="54">
        <v>2200</v>
      </c>
      <c r="CJ80" s="54"/>
      <c r="CK80" s="54"/>
      <c r="CL80" s="54"/>
      <c r="CM80" s="54"/>
      <c r="CN80" s="23"/>
      <c r="CR80" s="23"/>
      <c r="CS80" s="23">
        <f>SUM(O80:R80)</f>
        <v>7554</v>
      </c>
      <c r="CT80" s="23">
        <f>SUM(S80:V80)</f>
        <v>7168</v>
      </c>
      <c r="CU80" s="23">
        <f>SUM(W80:Z80)</f>
        <v>7325</v>
      </c>
      <c r="CV80" s="23">
        <f>SUM(AA80:AD80)</f>
        <v>7567</v>
      </c>
      <c r="CW80" s="23">
        <f>SUM(AE80:AH80)</f>
        <v>1933</v>
      </c>
      <c r="CX80" s="23">
        <f t="shared" ref="CX80:CY80" si="109">CW80</f>
        <v>1933</v>
      </c>
      <c r="CY80" s="23">
        <f t="shared" si="109"/>
        <v>1933</v>
      </c>
      <c r="CZ80" s="23">
        <f>CY80</f>
        <v>1933</v>
      </c>
      <c r="DA80" s="23">
        <f>CZ80</f>
        <v>1933</v>
      </c>
      <c r="DB80" s="23">
        <f>DA80</f>
        <v>1933</v>
      </c>
      <c r="DC80" s="23">
        <f>DB80</f>
        <v>1933</v>
      </c>
    </row>
    <row r="81" spans="2:170" x14ac:dyDescent="0.2">
      <c r="B81" s="1" t="s">
        <v>164</v>
      </c>
      <c r="C81" s="23">
        <f>(-89+48-194)-D81</f>
        <v>-151</v>
      </c>
      <c r="D81" s="23">
        <f>-48+21-57</f>
        <v>-84</v>
      </c>
      <c r="G81" s="23">
        <f>-76-H81</f>
        <v>-67</v>
      </c>
      <c r="H81" s="23">
        <f>-56+37+10</f>
        <v>-9</v>
      </c>
      <c r="M81" s="23">
        <f t="shared" ref="M81:W81" si="110">M80+M79</f>
        <v>2881</v>
      </c>
      <c r="N81" s="23">
        <f t="shared" si="110"/>
        <v>3364</v>
      </c>
      <c r="O81" s="23">
        <f t="shared" si="110"/>
        <v>2954</v>
      </c>
      <c r="P81" s="23">
        <f t="shared" si="110"/>
        <v>3032</v>
      </c>
      <c r="Q81" s="23">
        <f t="shared" si="110"/>
        <v>2838</v>
      </c>
      <c r="R81" s="23">
        <f t="shared" si="110"/>
        <v>3267</v>
      </c>
      <c r="S81" s="23">
        <f t="shared" si="110"/>
        <v>2872</v>
      </c>
      <c r="T81" s="23">
        <f t="shared" si="110"/>
        <v>2880</v>
      </c>
      <c r="U81" s="23">
        <f>U80+U79</f>
        <v>2740</v>
      </c>
      <c r="V81" s="23">
        <f t="shared" si="110"/>
        <v>3251</v>
      </c>
      <c r="W81" s="23">
        <f t="shared" si="110"/>
        <v>2884</v>
      </c>
      <c r="X81" s="23">
        <f t="shared" ref="X81:Y81" si="111">X80+X79</f>
        <v>3003</v>
      </c>
      <c r="Y81" s="23">
        <f t="shared" si="111"/>
        <v>2816</v>
      </c>
      <c r="Z81" s="23">
        <f t="shared" ref="Z81:AA81" si="112">Z80+Z79</f>
        <v>3205</v>
      </c>
      <c r="AA81" s="23">
        <f t="shared" si="112"/>
        <v>2811</v>
      </c>
      <c r="AB81" s="23">
        <f t="shared" ref="AB81:AC81" si="113">AB80+AB79</f>
        <v>3038</v>
      </c>
      <c r="AC81" s="23">
        <f t="shared" si="113"/>
        <v>2936</v>
      </c>
      <c r="AD81" s="23">
        <f>AD80+AD79</f>
        <v>3183</v>
      </c>
      <c r="AE81" s="23">
        <f t="shared" ref="AE81:AF81" si="114">AE80+AE79</f>
        <v>3033</v>
      </c>
      <c r="AF81" s="23">
        <f t="shared" si="114"/>
        <v>0</v>
      </c>
      <c r="AG81" s="23">
        <f t="shared" ref="AG81:AH81" si="115">AG80+AG79</f>
        <v>0</v>
      </c>
      <c r="AH81" s="23">
        <f t="shared" si="115"/>
        <v>0</v>
      </c>
      <c r="AI81" s="23">
        <f t="shared" ref="AI81:AO81" si="116">AI80+AI79</f>
        <v>0</v>
      </c>
      <c r="AJ81" s="23">
        <f t="shared" si="116"/>
        <v>0</v>
      </c>
      <c r="AK81" s="23">
        <f t="shared" si="116"/>
        <v>0</v>
      </c>
      <c r="AL81" s="23">
        <f t="shared" si="116"/>
        <v>0</v>
      </c>
      <c r="AM81" s="23">
        <f t="shared" si="116"/>
        <v>0</v>
      </c>
      <c r="AN81" s="23">
        <f t="shared" si="116"/>
        <v>3495</v>
      </c>
      <c r="AO81" s="23">
        <f t="shared" si="116"/>
        <v>3199</v>
      </c>
      <c r="AP81" s="23"/>
      <c r="AQ81" s="23"/>
      <c r="AR81" s="23"/>
      <c r="AS81" s="23"/>
      <c r="AT81" s="23"/>
      <c r="AU81" s="23"/>
      <c r="AV81" s="23"/>
      <c r="AW81" s="23"/>
      <c r="AX81" s="23"/>
      <c r="AY81" s="23"/>
      <c r="AZ81" s="23"/>
      <c r="BA81" s="23"/>
      <c r="BB81" s="23"/>
      <c r="BC81" s="23"/>
      <c r="BD81" s="23"/>
      <c r="BE81" s="23"/>
      <c r="BF81" s="23"/>
      <c r="BG81" s="23"/>
      <c r="BH81" s="23"/>
      <c r="BI81" s="23"/>
      <c r="BJ81" s="23"/>
      <c r="BK81" s="54"/>
      <c r="BL81" s="54"/>
      <c r="BM81" s="54"/>
      <c r="BN81" s="54"/>
      <c r="BO81" s="54">
        <f t="shared" ref="BO81" si="117">BO79+BO80</f>
        <v>3682</v>
      </c>
      <c r="BP81" s="54">
        <f t="shared" ref="BP81:BQ81" si="118">BP79+BP80</f>
        <v>3617</v>
      </c>
      <c r="BQ81" s="54">
        <f t="shared" si="118"/>
        <v>3503</v>
      </c>
      <c r="BR81" s="54">
        <f t="shared" ref="BR81:BV81" si="119">BR79+BR80</f>
        <v>4118</v>
      </c>
      <c r="BS81" s="54">
        <f t="shared" si="119"/>
        <v>3461</v>
      </c>
      <c r="BT81" s="54">
        <f t="shared" si="119"/>
        <v>3733</v>
      </c>
      <c r="BU81" s="54">
        <f t="shared" si="119"/>
        <v>3710</v>
      </c>
      <c r="BV81" s="54">
        <f t="shared" si="119"/>
        <v>4343</v>
      </c>
      <c r="BW81" s="54">
        <f>BW79+BW80</f>
        <v>3868</v>
      </c>
      <c r="BX81" s="54">
        <f>BX79+BX80</f>
        <v>4232</v>
      </c>
      <c r="BY81" s="54">
        <f t="shared" ref="BY81:CE81" si="120">BY80+BY79</f>
        <v>4380</v>
      </c>
      <c r="BZ81" s="54">
        <f t="shared" si="120"/>
        <v>4718</v>
      </c>
      <c r="CA81" s="54">
        <f t="shared" si="120"/>
        <v>4170</v>
      </c>
      <c r="CB81" s="54">
        <f t="shared" si="120"/>
        <v>4205</v>
      </c>
      <c r="CC81" s="54">
        <f t="shared" si="120"/>
        <v>4242</v>
      </c>
      <c r="CD81" s="54">
        <f t="shared" si="120"/>
        <v>4803</v>
      </c>
      <c r="CE81" s="54">
        <f t="shared" si="120"/>
        <v>4324</v>
      </c>
      <c r="CF81" s="54">
        <f>CF80+CF79</f>
        <v>4359</v>
      </c>
      <c r="CG81" s="54">
        <f>CG80+CG79</f>
        <v>4533</v>
      </c>
      <c r="CH81" s="54">
        <f t="shared" ref="CH81:CI81" si="121">CH80+CH79</f>
        <v>4905</v>
      </c>
      <c r="CI81" s="54">
        <f t="shared" si="121"/>
        <v>4008</v>
      </c>
      <c r="CJ81" s="54"/>
      <c r="CK81" s="54"/>
      <c r="CL81" s="54"/>
      <c r="CM81" s="54"/>
      <c r="CN81" s="23"/>
      <c r="CR81" s="23"/>
      <c r="CS81" s="23"/>
      <c r="CT81" s="23">
        <f t="shared" ref="CT81:CY81" si="122">CT79+CT80</f>
        <v>11743</v>
      </c>
      <c r="CU81" s="23">
        <f>CU79+CU80</f>
        <v>11908</v>
      </c>
      <c r="CV81" s="23">
        <f>CV79+CV80</f>
        <v>11968</v>
      </c>
      <c r="CW81" s="23">
        <f>CW79+CW80</f>
        <v>3033</v>
      </c>
      <c r="CX81" s="23">
        <f t="shared" si="122"/>
        <v>1933</v>
      </c>
      <c r="CY81" s="23">
        <f t="shared" si="122"/>
        <v>1933</v>
      </c>
      <c r="CZ81" s="23">
        <f>CZ79+CZ80</f>
        <v>1933</v>
      </c>
      <c r="DA81" s="23">
        <f>DA79+DA80</f>
        <v>1933</v>
      </c>
      <c r="DB81" s="23">
        <f>DB79+DB80</f>
        <v>1933</v>
      </c>
      <c r="DC81" s="23">
        <f>DC79+DC80</f>
        <v>1933</v>
      </c>
    </row>
    <row r="82" spans="2:170" x14ac:dyDescent="0.2">
      <c r="B82" s="1" t="s">
        <v>167</v>
      </c>
      <c r="C82" s="23">
        <f>C78-C79-C80-C81</f>
        <v>1840</v>
      </c>
      <c r="D82" s="23">
        <f>D78-D79-D80-D81</f>
        <v>1899</v>
      </c>
      <c r="G82" s="23">
        <f>G78-G79-G80-G81</f>
        <v>2187</v>
      </c>
      <c r="H82" s="23">
        <f>H78-H79-H80-H81</f>
        <v>2272</v>
      </c>
      <c r="M82" s="23">
        <f t="shared" ref="M82:W82" si="123">M78-M81</f>
        <v>2421</v>
      </c>
      <c r="N82" s="23">
        <f t="shared" si="123"/>
        <v>2263</v>
      </c>
      <c r="O82" s="23">
        <f t="shared" si="123"/>
        <v>2615</v>
      </c>
      <c r="P82" s="23">
        <f t="shared" si="123"/>
        <v>2358</v>
      </c>
      <c r="Q82" s="23">
        <f t="shared" si="123"/>
        <v>2582</v>
      </c>
      <c r="R82" s="23">
        <f t="shared" si="123"/>
        <v>1990</v>
      </c>
      <c r="S82" s="23">
        <f t="shared" si="123"/>
        <v>2442</v>
      </c>
      <c r="T82" s="23">
        <f t="shared" si="123"/>
        <v>2369</v>
      </c>
      <c r="U82" s="23">
        <f>U78-U81</f>
        <v>2632</v>
      </c>
      <c r="V82" s="23">
        <f t="shared" si="123"/>
        <v>2278</v>
      </c>
      <c r="W82" s="23">
        <f t="shared" si="123"/>
        <v>2800</v>
      </c>
      <c r="X82" s="23">
        <f>X78-X81</f>
        <v>2965</v>
      </c>
      <c r="Y82" s="23">
        <f>Y78-Y81</f>
        <v>2928</v>
      </c>
      <c r="Z82" s="23">
        <f>Z78-Z81</f>
        <v>2299</v>
      </c>
      <c r="AA82" s="23">
        <f>AA78-AA81</f>
        <v>3452</v>
      </c>
      <c r="AB82" s="23">
        <f t="shared" ref="AB82:AC82" si="124">AB78-AB81</f>
        <v>3095</v>
      </c>
      <c r="AC82" s="23">
        <f t="shared" si="124"/>
        <v>3027</v>
      </c>
      <c r="AD82" s="23">
        <f>AD78-AD81</f>
        <v>2317</v>
      </c>
      <c r="AE82" s="23">
        <f>AE78-AE81</f>
        <v>2797</v>
      </c>
      <c r="AF82" s="23">
        <f>AF78-AF81</f>
        <v>5985</v>
      </c>
      <c r="AG82" s="23">
        <f>AG78-AG81</f>
        <v>5968.28</v>
      </c>
      <c r="AH82" s="23">
        <f>AH78-AH81</f>
        <v>5696.5039999999999</v>
      </c>
      <c r="AI82" s="23">
        <f t="shared" ref="AI82:AO82" si="125">AI78-AI81</f>
        <v>0</v>
      </c>
      <c r="AJ82" s="23">
        <f t="shared" si="125"/>
        <v>0</v>
      </c>
      <c r="AK82" s="23">
        <f t="shared" si="125"/>
        <v>0</v>
      </c>
      <c r="AL82" s="23">
        <f t="shared" si="125"/>
        <v>0</v>
      </c>
      <c r="AM82" s="23">
        <f t="shared" si="125"/>
        <v>0</v>
      </c>
      <c r="AN82" s="23">
        <f t="shared" si="125"/>
        <v>1906</v>
      </c>
      <c r="AO82" s="23">
        <f t="shared" si="125"/>
        <v>2430</v>
      </c>
      <c r="AP82" s="23"/>
      <c r="AQ82" s="23"/>
      <c r="AR82" s="23"/>
      <c r="AS82" s="23"/>
      <c r="AT82" s="23"/>
      <c r="AU82" s="23"/>
      <c r="AV82" s="23"/>
      <c r="AW82" s="23"/>
      <c r="AX82" s="23"/>
      <c r="AY82" s="23"/>
      <c r="AZ82" s="23"/>
      <c r="BA82" s="23"/>
      <c r="BB82" s="23"/>
      <c r="BC82" s="23"/>
      <c r="BD82" s="23"/>
      <c r="BE82" s="23"/>
      <c r="BF82" s="23"/>
      <c r="BG82" s="23"/>
      <c r="BH82" s="23"/>
      <c r="BI82" s="23"/>
      <c r="BJ82" s="23"/>
      <c r="BK82" s="54"/>
      <c r="BL82" s="54"/>
      <c r="BM82" s="54"/>
      <c r="BN82" s="54"/>
      <c r="BO82" s="54">
        <f t="shared" ref="BO82" si="126">BO78-BO81</f>
        <v>2787</v>
      </c>
      <c r="BP82" s="54">
        <f t="shared" ref="BP82:BQ82" si="127">BP78-BP81</f>
        <v>2161</v>
      </c>
      <c r="BQ82" s="54">
        <f t="shared" si="127"/>
        <v>3217</v>
      </c>
      <c r="BR82" s="54">
        <f t="shared" ref="BR82:BV82" si="128">BR78-BR81</f>
        <v>2179</v>
      </c>
      <c r="BS82" s="54">
        <f t="shared" si="128"/>
        <v>2741</v>
      </c>
      <c r="BT82" s="54">
        <f t="shared" si="128"/>
        <v>2454</v>
      </c>
      <c r="BU82" s="54">
        <f t="shared" si="128"/>
        <v>3881</v>
      </c>
      <c r="BV82" s="54">
        <f t="shared" si="128"/>
        <v>2601</v>
      </c>
      <c r="BW82" s="54">
        <f>BW78-BW81</f>
        <v>3306</v>
      </c>
      <c r="BX82" s="54">
        <f>BX78-BX81</f>
        <v>3261</v>
      </c>
      <c r="BY82" s="54">
        <f t="shared" ref="BY82:CE82" si="129">BY78-BY81</f>
        <v>4927</v>
      </c>
      <c r="BZ82" s="54">
        <f t="shared" si="129"/>
        <v>3003</v>
      </c>
      <c r="CA82" s="54">
        <f t="shared" si="129"/>
        <v>3613</v>
      </c>
      <c r="CB82" s="54">
        <f t="shared" si="129"/>
        <v>3214</v>
      </c>
      <c r="CC82" s="54">
        <f t="shared" si="129"/>
        <v>4616</v>
      </c>
      <c r="CD82" s="54">
        <f t="shared" si="129"/>
        <v>2149</v>
      </c>
      <c r="CE82" s="54">
        <f t="shared" si="129"/>
        <v>3370</v>
      </c>
      <c r="CF82" s="54">
        <f>CF78-CF81</f>
        <v>3615</v>
      </c>
      <c r="CG82" s="54">
        <f>CG78-CG81</f>
        <v>5540</v>
      </c>
      <c r="CH82" s="54">
        <f t="shared" ref="CH82:CI82" si="130">CH78-CH81</f>
        <v>2938</v>
      </c>
      <c r="CI82" s="54">
        <f t="shared" si="130"/>
        <v>3679</v>
      </c>
      <c r="CJ82" s="54"/>
      <c r="CK82" s="54"/>
      <c r="CL82" s="54"/>
      <c r="CM82" s="54"/>
      <c r="CN82" s="23"/>
      <c r="CR82" s="23"/>
      <c r="CS82" s="23"/>
      <c r="CT82" s="23">
        <f t="shared" ref="CT82:CY82" si="131">CT78-CT81</f>
        <v>9721</v>
      </c>
      <c r="CU82" s="23">
        <f>CU78-CU81</f>
        <v>10992</v>
      </c>
      <c r="CV82" s="23">
        <f>CV78-CV81</f>
        <v>11451.55</v>
      </c>
      <c r="CW82" s="23">
        <f>CW78-CW81</f>
        <v>19877.374800000001</v>
      </c>
      <c r="CX82" s="23">
        <f t="shared" si="131"/>
        <v>20206.141468000002</v>
      </c>
      <c r="CY82" s="23">
        <f t="shared" si="131"/>
        <v>18698.906429000002</v>
      </c>
      <c r="CZ82" s="23">
        <f>CZ78-CZ81</f>
        <v>17763.2693493275</v>
      </c>
      <c r="DA82" s="23">
        <f>DA78-DA81</f>
        <v>17371.752344901728</v>
      </c>
      <c r="DB82" s="23">
        <f>DB78-DB81</f>
        <v>16496.17454120929</v>
      </c>
      <c r="DC82" s="23">
        <f>DC78-DC81</f>
        <v>14797.808240840219</v>
      </c>
    </row>
    <row r="83" spans="2:170" x14ac:dyDescent="0.2">
      <c r="B83" s="1" t="s">
        <v>6</v>
      </c>
      <c r="C83" s="23">
        <f>492-99-D83</f>
        <v>210</v>
      </c>
      <c r="D83" s="23">
        <f>264-81</f>
        <v>183</v>
      </c>
      <c r="G83" s="23">
        <f>305-100</f>
        <v>205</v>
      </c>
      <c r="H83" s="23">
        <f>143-44</f>
        <v>99</v>
      </c>
      <c r="M83" s="23">
        <f>122-26-119+66</f>
        <v>43</v>
      </c>
      <c r="N83" s="23">
        <f>69-30+16-56+122</f>
        <v>121</v>
      </c>
      <c r="O83" s="23">
        <f>191-54-83+51</f>
        <v>105</v>
      </c>
      <c r="P83" s="23">
        <f>5-87+48</f>
        <v>-34</v>
      </c>
      <c r="Q83" s="23">
        <f>110-52-86+46</f>
        <v>18</v>
      </c>
      <c r="R83" s="20">
        <f>15-73+45</f>
        <v>-13</v>
      </c>
      <c r="S83" s="20">
        <f>104-78+61</f>
        <v>87</v>
      </c>
      <c r="T83" s="20">
        <f>74-82+49</f>
        <v>41</v>
      </c>
      <c r="U83" s="20">
        <f>49+29-89</f>
        <v>-11</v>
      </c>
      <c r="V83" s="20">
        <f>-24-86-36</f>
        <v>-146</v>
      </c>
      <c r="W83" s="20">
        <f>148-65+21</f>
        <v>104</v>
      </c>
      <c r="X83" s="20">
        <f>-114-W83</f>
        <v>-218</v>
      </c>
      <c r="Y83" s="20">
        <f>86-74+5</f>
        <v>17</v>
      </c>
      <c r="Z83" s="20">
        <v>19</v>
      </c>
      <c r="AA83" s="20">
        <f>70+243+128-78</f>
        <v>363</v>
      </c>
      <c r="AB83" s="20">
        <f>26+248-70+122</f>
        <v>326</v>
      </c>
      <c r="AC83" s="20">
        <f>39-115-12</f>
        <v>-88</v>
      </c>
      <c r="AD83" s="20">
        <v>-95</v>
      </c>
      <c r="AE83" s="20">
        <v>-78</v>
      </c>
      <c r="AF83" s="20">
        <v>-200</v>
      </c>
      <c r="AG83" s="20">
        <v>-200</v>
      </c>
      <c r="AH83" s="20">
        <v>-200</v>
      </c>
      <c r="AN83" s="20">
        <f>140+3-45-137</f>
        <v>-39</v>
      </c>
      <c r="AO83" s="20">
        <f>28+38-36-123</f>
        <v>-93</v>
      </c>
      <c r="BO83" s="53">
        <f>-247+131-12</f>
        <v>-128</v>
      </c>
      <c r="BP83" s="53">
        <f>-91+7-5-96</f>
        <v>-185</v>
      </c>
      <c r="BQ83" s="53">
        <f>-182+1-9-76</f>
        <v>-266</v>
      </c>
      <c r="BR83" s="53">
        <f>-123+4-8-93</f>
        <v>-220</v>
      </c>
      <c r="BS83" s="53">
        <f>-101+9-12-84</f>
        <v>-188</v>
      </c>
      <c r="BT83" s="53">
        <f>-198+17-8-76</f>
        <v>-265</v>
      </c>
      <c r="BU83" s="53">
        <f>-289-5-29-85</f>
        <v>-408</v>
      </c>
      <c r="BV83" s="53">
        <f>-356+18-7-83</f>
        <v>-428</v>
      </c>
      <c r="BW83" s="53">
        <f>-265+30-7-78</f>
        <v>-320</v>
      </c>
      <c r="BX83" s="53">
        <f>-523+25-10-77</f>
        <v>-585</v>
      </c>
      <c r="BY83" s="53">
        <f>-450+27-6-51</f>
        <v>-480</v>
      </c>
      <c r="BZ83" s="53">
        <f>-276+6-10-28</f>
        <v>-308</v>
      </c>
      <c r="CA83" s="53">
        <f>-304+33-10-7</f>
        <v>-288</v>
      </c>
      <c r="CB83" s="53">
        <f>-501+22-9-42</f>
        <v>-530</v>
      </c>
      <c r="CC83" s="53">
        <f>-598+20-10-83</f>
        <v>-671</v>
      </c>
      <c r="CD83" s="53">
        <f>-821+47-7-49</f>
        <v>-830</v>
      </c>
      <c r="CE83" s="53">
        <f>-562+44-9-43</f>
        <v>-570</v>
      </c>
      <c r="CF83" s="53">
        <f>-831+31-2-86</f>
        <v>-888</v>
      </c>
      <c r="CG83" s="54">
        <f>187-1158-265+133</f>
        <v>-1103</v>
      </c>
      <c r="CH83" s="53">
        <f>-886+32-7-62</f>
        <v>-923</v>
      </c>
      <c r="CI83" s="53">
        <v>-826</v>
      </c>
      <c r="CR83" s="23"/>
      <c r="CS83" s="23"/>
      <c r="CT83" s="23">
        <v>0</v>
      </c>
      <c r="CU83" s="23">
        <f>SUM(W83:Z83)</f>
        <v>-78</v>
      </c>
      <c r="CV83" s="23">
        <f>SUM(AA83:AD83)</f>
        <v>506</v>
      </c>
      <c r="CW83" s="23">
        <f t="shared" ref="CW83:DC83" si="132">CV106*$DO$92</f>
        <v>-663.26133120000009</v>
      </c>
      <c r="CX83" s="23">
        <f t="shared" si="132"/>
        <v>201.37377489600001</v>
      </c>
      <c r="CY83" s="23">
        <f t="shared" si="132"/>
        <v>1119.7119608263201</v>
      </c>
      <c r="CZ83" s="23">
        <f t="shared" si="132"/>
        <v>2011.5497883685046</v>
      </c>
      <c r="DA83" s="23">
        <f t="shared" si="132"/>
        <v>2901.4166495648246</v>
      </c>
      <c r="DB83" s="23">
        <f t="shared" si="132"/>
        <v>3813.7092543158196</v>
      </c>
      <c r="DC83" s="23">
        <f t="shared" si="132"/>
        <v>4727.6540251144497</v>
      </c>
    </row>
    <row r="84" spans="2:170" x14ac:dyDescent="0.2">
      <c r="B84" s="1" t="s">
        <v>7</v>
      </c>
      <c r="C84" s="23">
        <f>C82-C83</f>
        <v>1630</v>
      </c>
      <c r="D84" s="23">
        <f>D82-D83</f>
        <v>1716</v>
      </c>
      <c r="G84" s="23">
        <f>G82-G83</f>
        <v>1982</v>
      </c>
      <c r="H84" s="23">
        <f>H82-H83</f>
        <v>2173</v>
      </c>
      <c r="M84" s="23">
        <f>M83+M82</f>
        <v>2464</v>
      </c>
      <c r="N84" s="23">
        <f>N83+N82</f>
        <v>2384</v>
      </c>
      <c r="O84" s="23">
        <f t="shared" ref="O84:AH84" si="133">O82+O83</f>
        <v>2720</v>
      </c>
      <c r="P84" s="23">
        <f t="shared" si="133"/>
        <v>2324</v>
      </c>
      <c r="Q84" s="23">
        <f t="shared" si="133"/>
        <v>2600</v>
      </c>
      <c r="R84" s="23">
        <f t="shared" si="133"/>
        <v>1977</v>
      </c>
      <c r="S84" s="23">
        <f t="shared" si="133"/>
        <v>2529</v>
      </c>
      <c r="T84" s="23">
        <f t="shared" si="133"/>
        <v>2410</v>
      </c>
      <c r="U84" s="23">
        <f t="shared" si="133"/>
        <v>2621</v>
      </c>
      <c r="V84" s="23">
        <f t="shared" si="133"/>
        <v>2132</v>
      </c>
      <c r="W84" s="23">
        <f t="shared" si="133"/>
        <v>2904</v>
      </c>
      <c r="X84" s="23">
        <f t="shared" si="133"/>
        <v>2747</v>
      </c>
      <c r="Y84" s="23">
        <f t="shared" si="133"/>
        <v>2945</v>
      </c>
      <c r="Z84" s="23">
        <f t="shared" si="133"/>
        <v>2318</v>
      </c>
      <c r="AA84" s="23">
        <f t="shared" si="133"/>
        <v>3815</v>
      </c>
      <c r="AB84" s="23">
        <f>AB82+AB83</f>
        <v>3421</v>
      </c>
      <c r="AC84" s="23">
        <f t="shared" si="133"/>
        <v>2939</v>
      </c>
      <c r="AD84" s="23">
        <f>AD82+AD83</f>
        <v>2222</v>
      </c>
      <c r="AE84" s="23">
        <f t="shared" si="133"/>
        <v>2719</v>
      </c>
      <c r="AF84" s="23">
        <f t="shared" si="133"/>
        <v>5785</v>
      </c>
      <c r="AG84" s="23">
        <f t="shared" si="133"/>
        <v>5768.28</v>
      </c>
      <c r="AH84" s="23">
        <f t="shared" si="133"/>
        <v>5496.5039999999999</v>
      </c>
      <c r="AI84" s="23"/>
      <c r="AJ84" s="23"/>
      <c r="AK84" s="23"/>
      <c r="AL84" s="23"/>
      <c r="AM84" s="23"/>
      <c r="AN84" s="23">
        <f t="shared" ref="AN84:AO84" si="134">AN82+AN83</f>
        <v>1867</v>
      </c>
      <c r="AO84" s="23">
        <f t="shared" si="134"/>
        <v>2337</v>
      </c>
      <c r="AP84" s="23"/>
      <c r="AQ84" s="23"/>
      <c r="AR84" s="23"/>
      <c r="AS84" s="23"/>
      <c r="AT84" s="23"/>
      <c r="AU84" s="23"/>
      <c r="AV84" s="23"/>
      <c r="AW84" s="23"/>
      <c r="AX84" s="23"/>
      <c r="AY84" s="23"/>
      <c r="AZ84" s="23"/>
      <c r="BA84" s="23"/>
      <c r="BB84" s="23"/>
      <c r="BC84" s="23"/>
      <c r="BD84" s="23"/>
      <c r="BE84" s="23"/>
      <c r="BF84" s="23"/>
      <c r="BG84" s="23"/>
      <c r="BH84" s="23"/>
      <c r="BI84" s="23"/>
      <c r="BJ84" s="23"/>
      <c r="BK84" s="54"/>
      <c r="BL84" s="54"/>
      <c r="BM84" s="54"/>
      <c r="BN84" s="54"/>
      <c r="BO84" s="54">
        <f t="shared" ref="BO84" si="135">BO82+BO83</f>
        <v>2659</v>
      </c>
      <c r="BP84" s="54">
        <f>BP82+BP83</f>
        <v>1976</v>
      </c>
      <c r="BQ84" s="54">
        <f t="shared" ref="BQ84" si="136">BQ82+BQ83</f>
        <v>2951</v>
      </c>
      <c r="BR84" s="54">
        <f t="shared" ref="BR84:BV84" si="137">BR82+BR83</f>
        <v>1959</v>
      </c>
      <c r="BS84" s="54">
        <f t="shared" si="137"/>
        <v>2553</v>
      </c>
      <c r="BT84" s="54">
        <f t="shared" si="137"/>
        <v>2189</v>
      </c>
      <c r="BU84" s="54">
        <f t="shared" si="137"/>
        <v>3473</v>
      </c>
      <c r="BV84" s="54">
        <f t="shared" si="137"/>
        <v>2173</v>
      </c>
      <c r="BW84" s="54">
        <f>BW82+BW83</f>
        <v>2986</v>
      </c>
      <c r="BX84" s="54">
        <f>BX82+BX83</f>
        <v>2676</v>
      </c>
      <c r="BY84" s="54">
        <f t="shared" ref="BY84:CE84" si="138">BY82+BY83</f>
        <v>4447</v>
      </c>
      <c r="BZ84" s="54">
        <f t="shared" si="138"/>
        <v>2695</v>
      </c>
      <c r="CA84" s="54">
        <f t="shared" si="138"/>
        <v>3325</v>
      </c>
      <c r="CB84" s="54">
        <f t="shared" si="138"/>
        <v>2684</v>
      </c>
      <c r="CC84" s="54">
        <f t="shared" si="138"/>
        <v>3945</v>
      </c>
      <c r="CD84" s="54">
        <f t="shared" si="138"/>
        <v>1319</v>
      </c>
      <c r="CE84" s="54">
        <f t="shared" si="138"/>
        <v>2800</v>
      </c>
      <c r="CF84" s="54">
        <f>CF82+CF83</f>
        <v>2727</v>
      </c>
      <c r="CG84" s="54">
        <f>CG82+CG83</f>
        <v>4437</v>
      </c>
      <c r="CH84" s="54">
        <f>CH82+CH83</f>
        <v>2015</v>
      </c>
      <c r="CI84" s="54">
        <f>CI82+CI83</f>
        <v>2853</v>
      </c>
      <c r="CJ84" s="54"/>
      <c r="CK84" s="54"/>
      <c r="CL84" s="54"/>
      <c r="CM84" s="54"/>
      <c r="CN84" s="23"/>
      <c r="CR84" s="23"/>
      <c r="CS84" s="23"/>
      <c r="CT84" s="23">
        <f t="shared" ref="CT84" si="139">CT82+CT83</f>
        <v>9721</v>
      </c>
      <c r="CU84" s="23">
        <f t="shared" ref="CU84:DC84" si="140">CU82+CU83</f>
        <v>10914</v>
      </c>
      <c r="CV84" s="23">
        <f t="shared" si="140"/>
        <v>11957.55</v>
      </c>
      <c r="CW84" s="23">
        <f t="shared" si="140"/>
        <v>19214.113468800002</v>
      </c>
      <c r="CX84" s="23">
        <f t="shared" si="140"/>
        <v>20407.515242896003</v>
      </c>
      <c r="CY84" s="23">
        <f t="shared" si="140"/>
        <v>19818.618389826323</v>
      </c>
      <c r="CZ84" s="23">
        <f t="shared" si="140"/>
        <v>19774.819137696006</v>
      </c>
      <c r="DA84" s="23">
        <f t="shared" si="140"/>
        <v>20273.168994466552</v>
      </c>
      <c r="DB84" s="23">
        <f t="shared" si="140"/>
        <v>20309.883795525107</v>
      </c>
      <c r="DC84" s="23">
        <f t="shared" si="140"/>
        <v>19525.462265954669</v>
      </c>
    </row>
    <row r="85" spans="2:170" x14ac:dyDescent="0.2">
      <c r="B85" s="1" t="s">
        <v>5</v>
      </c>
      <c r="C85" s="23">
        <f>947-D85</f>
        <v>472</v>
      </c>
      <c r="D85" s="23">
        <v>475</v>
      </c>
      <c r="G85" s="23">
        <f>1302-H85</f>
        <v>650</v>
      </c>
      <c r="H85" s="23">
        <v>652</v>
      </c>
      <c r="M85" s="23">
        <v>743</v>
      </c>
      <c r="N85" s="23">
        <v>534</v>
      </c>
      <c r="O85" s="23">
        <v>268</v>
      </c>
      <c r="P85" s="23">
        <v>695</v>
      </c>
      <c r="Q85" s="23">
        <v>818</v>
      </c>
      <c r="R85" s="23">
        <v>464</v>
      </c>
      <c r="S85" s="20">
        <v>733</v>
      </c>
      <c r="T85" s="20">
        <v>628</v>
      </c>
      <c r="U85" s="23">
        <v>749</v>
      </c>
      <c r="V85" s="23">
        <v>559</v>
      </c>
      <c r="W85" s="23">
        <v>828</v>
      </c>
      <c r="X85" s="23">
        <f>1718-W85</f>
        <v>890</v>
      </c>
      <c r="Y85" s="23">
        <v>837</v>
      </c>
      <c r="Z85" s="23">
        <v>509</v>
      </c>
      <c r="AA85" s="23">
        <f>45+830</f>
        <v>875</v>
      </c>
      <c r="AB85" s="23">
        <f>95+848</f>
        <v>943</v>
      </c>
      <c r="AC85" s="23">
        <v>364</v>
      </c>
      <c r="AD85" s="23">
        <v>582</v>
      </c>
      <c r="AE85" s="23">
        <v>779</v>
      </c>
      <c r="AF85" s="23">
        <f>+AF84*AF94</f>
        <v>1619.8000000000002</v>
      </c>
      <c r="AG85" s="23">
        <f t="shared" ref="AG85:AH85" si="141">+AG84*AG94</f>
        <v>1615.1184000000001</v>
      </c>
      <c r="AH85" s="23">
        <f t="shared" si="141"/>
        <v>1539.0211200000001</v>
      </c>
      <c r="AI85" s="23"/>
      <c r="AJ85" s="23"/>
      <c r="AK85" s="23"/>
      <c r="AL85" s="23"/>
      <c r="AM85" s="23"/>
      <c r="AN85" s="23">
        <v>405</v>
      </c>
      <c r="AO85" s="23">
        <v>563</v>
      </c>
      <c r="AP85" s="23"/>
      <c r="AQ85" s="23"/>
      <c r="AR85" s="23"/>
      <c r="AS85" s="23"/>
      <c r="AT85" s="23"/>
      <c r="AU85" s="23"/>
      <c r="AV85" s="23"/>
      <c r="AW85" s="23"/>
      <c r="AX85" s="23"/>
      <c r="AY85" s="23"/>
      <c r="AZ85" s="23"/>
      <c r="BA85" s="23"/>
      <c r="BB85" s="23"/>
      <c r="BC85" s="23"/>
      <c r="BD85" s="23"/>
      <c r="BE85" s="23"/>
      <c r="BF85" s="23"/>
      <c r="BG85" s="23"/>
      <c r="BH85" s="23"/>
      <c r="BI85" s="23"/>
      <c r="BJ85" s="23"/>
      <c r="BK85" s="54"/>
      <c r="BL85" s="54"/>
      <c r="BM85" s="54"/>
      <c r="BN85" s="54"/>
      <c r="BO85" s="54">
        <v>542</v>
      </c>
      <c r="BP85" s="54">
        <v>436</v>
      </c>
      <c r="BQ85" s="54">
        <v>652</v>
      </c>
      <c r="BR85" s="54">
        <v>432</v>
      </c>
      <c r="BS85" s="54">
        <v>537</v>
      </c>
      <c r="BT85" s="54">
        <v>458</v>
      </c>
      <c r="BU85" s="54">
        <v>737</v>
      </c>
      <c r="BV85" s="54">
        <v>443</v>
      </c>
      <c r="BW85" s="54">
        <v>563</v>
      </c>
      <c r="BX85" s="54">
        <v>506</v>
      </c>
      <c r="BY85" s="54">
        <v>841</v>
      </c>
      <c r="BZ85" s="54">
        <v>555</v>
      </c>
      <c r="CA85" s="54">
        <v>627</v>
      </c>
      <c r="CB85" s="54">
        <v>507</v>
      </c>
      <c r="CC85" s="54">
        <v>749</v>
      </c>
      <c r="CD85" s="54">
        <v>451</v>
      </c>
      <c r="CE85" s="54">
        <v>581</v>
      </c>
      <c r="CF85" s="54">
        <v>566</v>
      </c>
      <c r="CG85" s="54">
        <v>737</v>
      </c>
      <c r="CH85" s="54">
        <v>374</v>
      </c>
      <c r="CI85" s="54">
        <v>622</v>
      </c>
      <c r="CJ85" s="54"/>
      <c r="CK85" s="54"/>
      <c r="CL85" s="54"/>
      <c r="CM85" s="54"/>
      <c r="CN85" s="23"/>
      <c r="CR85" s="23"/>
      <c r="CS85" s="23"/>
      <c r="CT85" s="23">
        <f>SUM(S85:V85)</f>
        <v>2669</v>
      </c>
      <c r="CU85" s="23">
        <f>SUM(W85:Z85)</f>
        <v>3064</v>
      </c>
      <c r="CV85" s="23">
        <f>SUM(AA85:AD85)</f>
        <v>2764</v>
      </c>
      <c r="CW85" s="23">
        <f t="shared" ref="CW85:DC85" si="142">CW84*CW94</f>
        <v>4803.5283672000005</v>
      </c>
      <c r="CX85" s="23">
        <f t="shared" si="142"/>
        <v>5101.8788107240007</v>
      </c>
      <c r="CY85" s="23">
        <f t="shared" si="142"/>
        <v>4954.6545974565806</v>
      </c>
      <c r="CZ85" s="23">
        <f t="shared" si="142"/>
        <v>4943.7047844240014</v>
      </c>
      <c r="DA85" s="23">
        <f t="shared" si="142"/>
        <v>5068.2922486166381</v>
      </c>
      <c r="DB85" s="23">
        <f t="shared" si="142"/>
        <v>5077.4709488812769</v>
      </c>
      <c r="DC85" s="23">
        <f t="shared" si="142"/>
        <v>4881.3655664886674</v>
      </c>
    </row>
    <row r="86" spans="2:170" x14ac:dyDescent="0.2">
      <c r="B86" s="1" t="s">
        <v>8</v>
      </c>
      <c r="C86" s="23">
        <f>233-D86</f>
        <v>93</v>
      </c>
      <c r="D86" s="23">
        <v>140</v>
      </c>
      <c r="G86" s="23">
        <f>269-H86</f>
        <v>107</v>
      </c>
      <c r="H86" s="23">
        <v>162</v>
      </c>
      <c r="M86" s="23">
        <v>116</v>
      </c>
      <c r="N86" s="23">
        <v>50</v>
      </c>
      <c r="O86" s="23">
        <v>138</v>
      </c>
      <c r="P86" s="23">
        <v>210</v>
      </c>
      <c r="Q86" s="23">
        <v>213</v>
      </c>
      <c r="R86" s="23">
        <v>178</v>
      </c>
      <c r="S86" s="23">
        <v>234</v>
      </c>
      <c r="T86" s="23">
        <v>217</v>
      </c>
      <c r="U86" s="23">
        <v>219</v>
      </c>
      <c r="V86" s="23">
        <v>220</v>
      </c>
      <c r="W86" s="23">
        <f>273-121</f>
        <v>152</v>
      </c>
      <c r="X86" s="23">
        <f>539-W86</f>
        <v>387</v>
      </c>
      <c r="Y86" s="23">
        <f>235+59</f>
        <v>294</v>
      </c>
      <c r="Z86" s="23">
        <f>197+52</f>
        <v>249</v>
      </c>
      <c r="AA86" s="23"/>
      <c r="AB86" s="23"/>
      <c r="AC86" s="23">
        <v>285</v>
      </c>
      <c r="AD86" s="23">
        <f>-52+253+52-55</f>
        <v>198</v>
      </c>
      <c r="AE86" s="23">
        <f>16+292-78</f>
        <v>230</v>
      </c>
      <c r="AF86" s="23">
        <f>+AE86</f>
        <v>230</v>
      </c>
      <c r="AG86" s="23">
        <f>+AF86</f>
        <v>230</v>
      </c>
      <c r="AH86" s="23">
        <f>+AG86</f>
        <v>230</v>
      </c>
      <c r="AI86" s="23"/>
      <c r="AJ86" s="23"/>
      <c r="AK86" s="23"/>
      <c r="AL86" s="23"/>
      <c r="AM86" s="23"/>
      <c r="AN86" s="23">
        <v>0</v>
      </c>
      <c r="AO86" s="23">
        <v>0</v>
      </c>
      <c r="AP86" s="23"/>
      <c r="AQ86" s="23"/>
      <c r="AR86" s="23"/>
      <c r="AS86" s="23"/>
      <c r="AT86" s="23"/>
      <c r="AU86" s="23"/>
      <c r="AV86" s="23"/>
      <c r="AW86" s="23"/>
      <c r="AX86" s="23"/>
      <c r="AY86" s="23"/>
      <c r="AZ86" s="23"/>
      <c r="BA86" s="23"/>
      <c r="BB86" s="23"/>
      <c r="BC86" s="23"/>
      <c r="BD86" s="23"/>
      <c r="BE86" s="23"/>
      <c r="BF86" s="23"/>
      <c r="BG86" s="23"/>
      <c r="BH86" s="23"/>
      <c r="BI86" s="23"/>
      <c r="BJ86" s="23"/>
      <c r="BK86" s="54"/>
      <c r="BL86" s="54"/>
      <c r="BM86" s="54"/>
      <c r="BN86" s="54"/>
      <c r="BO86" s="54">
        <v>75</v>
      </c>
      <c r="BP86" s="54">
        <v>0</v>
      </c>
      <c r="BQ86" s="54">
        <v>0</v>
      </c>
      <c r="BR86" s="54">
        <v>0</v>
      </c>
      <c r="BS86" s="54">
        <v>0</v>
      </c>
      <c r="BT86" s="54">
        <v>0</v>
      </c>
      <c r="BU86" s="54">
        <v>0</v>
      </c>
      <c r="BV86" s="54">
        <v>0</v>
      </c>
      <c r="BW86" s="54">
        <v>0</v>
      </c>
      <c r="BX86" s="54">
        <v>0</v>
      </c>
      <c r="BY86" s="54">
        <v>0</v>
      </c>
      <c r="BZ86" s="54">
        <v>0</v>
      </c>
      <c r="CA86" s="54">
        <v>0</v>
      </c>
      <c r="CB86" s="54">
        <v>0</v>
      </c>
      <c r="CC86" s="54">
        <v>0</v>
      </c>
      <c r="CD86" s="54">
        <v>0</v>
      </c>
      <c r="CE86" s="54">
        <v>0</v>
      </c>
      <c r="CF86" s="54">
        <v>0</v>
      </c>
      <c r="CG86" s="54">
        <v>-78</v>
      </c>
      <c r="CH86" s="54">
        <v>0</v>
      </c>
      <c r="CI86" s="54">
        <v>0</v>
      </c>
      <c r="CJ86" s="54"/>
      <c r="CK86" s="54"/>
      <c r="CL86" s="54"/>
      <c r="CM86" s="54"/>
      <c r="CN86" s="23"/>
      <c r="CR86" s="23"/>
      <c r="CS86" s="23">
        <f>SUM(O86:R86)</f>
        <v>739</v>
      </c>
      <c r="CT86" s="23">
        <f>SUM(S86:V86)</f>
        <v>890</v>
      </c>
      <c r="CU86" s="23">
        <f>SUM(W86:Z86)</f>
        <v>1082</v>
      </c>
      <c r="CV86" s="23"/>
      <c r="CW86" s="23"/>
      <c r="CX86" s="23"/>
      <c r="CY86" s="23"/>
      <c r="CZ86" s="23"/>
      <c r="DA86" s="23"/>
      <c r="DB86" s="23"/>
      <c r="DC86" s="23"/>
    </row>
    <row r="87" spans="2:170" x14ac:dyDescent="0.2">
      <c r="B87" s="1" t="s">
        <v>9</v>
      </c>
      <c r="C87" s="23">
        <f>C84-C85+C86</f>
        <v>1251</v>
      </c>
      <c r="D87" s="23">
        <f>D84-D85+D86</f>
        <v>1381</v>
      </c>
      <c r="G87" s="23">
        <f>G84-G85+G86</f>
        <v>1439</v>
      </c>
      <c r="H87" s="23">
        <f>H84-H85+H86</f>
        <v>1683</v>
      </c>
      <c r="M87" s="23">
        <f t="shared" ref="M87:R87" si="143">M84-M85+M86</f>
        <v>1837</v>
      </c>
      <c r="N87" s="23">
        <f t="shared" si="143"/>
        <v>1900</v>
      </c>
      <c r="O87" s="23">
        <f t="shared" si="143"/>
        <v>2590</v>
      </c>
      <c r="P87" s="23">
        <f t="shared" si="143"/>
        <v>1839</v>
      </c>
      <c r="Q87" s="23">
        <f t="shared" si="143"/>
        <v>1995</v>
      </c>
      <c r="R87" s="23">
        <f t="shared" si="143"/>
        <v>1691</v>
      </c>
      <c r="S87" s="23">
        <f>S84-S85+S86</f>
        <v>2030</v>
      </c>
      <c r="T87" s="23">
        <f>T84-T85+T86</f>
        <v>1999</v>
      </c>
      <c r="U87" s="23">
        <f>U84-U85+U86</f>
        <v>2091</v>
      </c>
      <c r="V87" s="23">
        <f>V84-V85+V86</f>
        <v>1793</v>
      </c>
      <c r="W87" s="23">
        <f t="shared" ref="W87:AC87" si="144">W84-W85+W86</f>
        <v>2228</v>
      </c>
      <c r="X87" s="23">
        <f t="shared" si="144"/>
        <v>2244</v>
      </c>
      <c r="Y87" s="23">
        <f t="shared" si="144"/>
        <v>2402</v>
      </c>
      <c r="Z87" s="23">
        <f t="shared" si="144"/>
        <v>2058</v>
      </c>
      <c r="AA87" s="23">
        <f t="shared" si="144"/>
        <v>2940</v>
      </c>
      <c r="AB87" s="23">
        <f t="shared" si="144"/>
        <v>2478</v>
      </c>
      <c r="AC87" s="23">
        <f t="shared" si="144"/>
        <v>2860</v>
      </c>
      <c r="AD87" s="23">
        <f>AD84-AD85+AD86</f>
        <v>1838</v>
      </c>
      <c r="AE87" s="23">
        <f>AE84-AE85+AE86</f>
        <v>2170</v>
      </c>
      <c r="AF87" s="23">
        <f t="shared" ref="AF87:AH87" si="145">AF84-AF85+AF86</f>
        <v>4395.2</v>
      </c>
      <c r="AG87" s="23">
        <f t="shared" si="145"/>
        <v>4383.1615999999995</v>
      </c>
      <c r="AH87" s="23">
        <f t="shared" si="145"/>
        <v>4187.4828799999996</v>
      </c>
      <c r="AI87" s="23"/>
      <c r="AJ87" s="23"/>
      <c r="AK87" s="23"/>
      <c r="AL87" s="23"/>
      <c r="AM87" s="23"/>
      <c r="AN87" s="23">
        <f t="shared" ref="AN87:AO87" si="146">AN84-AN85+AN86</f>
        <v>1462</v>
      </c>
      <c r="AO87" s="23">
        <f t="shared" si="146"/>
        <v>1774</v>
      </c>
      <c r="AP87" s="23"/>
      <c r="AQ87" s="23"/>
      <c r="AR87" s="23"/>
      <c r="AS87" s="23"/>
      <c r="AT87" s="23"/>
      <c r="AU87" s="23"/>
      <c r="AV87" s="23"/>
      <c r="AW87" s="23"/>
      <c r="AX87" s="23"/>
      <c r="AY87" s="23"/>
      <c r="AZ87" s="23"/>
      <c r="BA87" s="23"/>
      <c r="BB87" s="23"/>
      <c r="BC87" s="23"/>
      <c r="BD87" s="23"/>
      <c r="BE87" s="23"/>
      <c r="BF87" s="23"/>
      <c r="BG87" s="23"/>
      <c r="BH87" s="23"/>
      <c r="BI87" s="23"/>
      <c r="BJ87" s="23"/>
      <c r="BK87" s="54"/>
      <c r="BL87" s="54"/>
      <c r="BM87" s="54"/>
      <c r="BN87" s="54"/>
      <c r="BO87" s="54">
        <f t="shared" ref="BO87" si="147">BO84-BO85-BO86</f>
        <v>2042</v>
      </c>
      <c r="BP87" s="54">
        <f t="shared" ref="BP87" si="148">BP84-BP85-BP86</f>
        <v>1540</v>
      </c>
      <c r="BQ87" s="54">
        <f t="shared" ref="BQ87:BR87" si="149">BQ84-BQ85-BQ86</f>
        <v>2299</v>
      </c>
      <c r="BR87" s="54">
        <f t="shared" si="149"/>
        <v>1527</v>
      </c>
      <c r="BS87" s="54">
        <f t="shared" ref="BS87:BV87" si="150">BS84-BS85-BS86</f>
        <v>2016</v>
      </c>
      <c r="BT87" s="54">
        <f t="shared" si="150"/>
        <v>1731</v>
      </c>
      <c r="BU87" s="54">
        <f t="shared" si="150"/>
        <v>2736</v>
      </c>
      <c r="BV87" s="54">
        <f t="shared" si="150"/>
        <v>1730</v>
      </c>
      <c r="BW87" s="54">
        <f>BW84-BW85-BW86</f>
        <v>2423</v>
      </c>
      <c r="BX87" s="54">
        <f>BX84-BX85-BX86</f>
        <v>2170</v>
      </c>
      <c r="BY87" s="54">
        <f t="shared" ref="BY87:CE87" si="151">BY84-BY85-BY86</f>
        <v>3606</v>
      </c>
      <c r="BZ87" s="54">
        <f t="shared" si="151"/>
        <v>2140</v>
      </c>
      <c r="CA87" s="54">
        <f t="shared" si="151"/>
        <v>2698</v>
      </c>
      <c r="CB87" s="54">
        <f t="shared" si="151"/>
        <v>2177</v>
      </c>
      <c r="CC87" s="54">
        <f t="shared" si="151"/>
        <v>3196</v>
      </c>
      <c r="CD87" s="54">
        <f t="shared" si="151"/>
        <v>868</v>
      </c>
      <c r="CE87" s="54">
        <f t="shared" si="151"/>
        <v>2219</v>
      </c>
      <c r="CF87" s="54">
        <f>CF84-CF85-CF86</f>
        <v>2161</v>
      </c>
      <c r="CG87" s="54">
        <f>CG84-CG85-CG86</f>
        <v>3778</v>
      </c>
      <c r="CH87" s="54">
        <f>CH84-CH85-CH86</f>
        <v>1641</v>
      </c>
      <c r="CI87" s="54">
        <f>CI84-CI85-CI86</f>
        <v>2231</v>
      </c>
      <c r="CJ87" s="54"/>
      <c r="CK87" s="54"/>
      <c r="CL87" s="54"/>
      <c r="CM87" s="54"/>
      <c r="CN87" s="23"/>
      <c r="CR87" s="23"/>
      <c r="CS87" s="23">
        <f t="shared" ref="CS87:CT87" si="152">CS84-CS85+CS86</f>
        <v>739</v>
      </c>
      <c r="CT87" s="23">
        <f t="shared" si="152"/>
        <v>7942</v>
      </c>
      <c r="CU87" s="23">
        <f t="shared" ref="CU87:DC87" si="153">CU84-CU85+CU86</f>
        <v>8932</v>
      </c>
      <c r="CV87" s="23">
        <f t="shared" si="153"/>
        <v>9193.5499999999993</v>
      </c>
      <c r="CW87" s="23">
        <f t="shared" si="153"/>
        <v>14410.585101600002</v>
      </c>
      <c r="CX87" s="23">
        <f t="shared" si="153"/>
        <v>15305.636432172003</v>
      </c>
      <c r="CY87" s="23">
        <f t="shared" si="153"/>
        <v>14863.963792369741</v>
      </c>
      <c r="CZ87" s="23">
        <f t="shared" si="153"/>
        <v>14831.114353272005</v>
      </c>
      <c r="DA87" s="23">
        <f t="shared" si="153"/>
        <v>15204.876745849913</v>
      </c>
      <c r="DB87" s="23">
        <f t="shared" si="153"/>
        <v>15232.412846643831</v>
      </c>
      <c r="DC87" s="23">
        <f t="shared" si="153"/>
        <v>14644.096699466001</v>
      </c>
    </row>
    <row r="88" spans="2:170" x14ac:dyDescent="0.2">
      <c r="B88" s="1" t="s">
        <v>173</v>
      </c>
      <c r="C88" s="23">
        <f>-141-D88</f>
        <v>-67</v>
      </c>
      <c r="D88" s="23">
        <v>-74</v>
      </c>
      <c r="G88" s="23">
        <v>-170</v>
      </c>
      <c r="H88" s="23">
        <v>-87</v>
      </c>
      <c r="M88" s="23">
        <v>-100</v>
      </c>
      <c r="N88" s="23">
        <v>-103</v>
      </c>
      <c r="O88" s="23">
        <v>-112</v>
      </c>
      <c r="P88" s="23">
        <v>-99</v>
      </c>
      <c r="Q88" s="23">
        <v>-111</v>
      </c>
      <c r="R88" s="20">
        <v>-97</v>
      </c>
      <c r="S88" s="20">
        <v>-115</v>
      </c>
      <c r="T88" s="20">
        <v>-105</v>
      </c>
      <c r="U88" s="23">
        <v>-111</v>
      </c>
      <c r="V88" s="23">
        <v>-110</v>
      </c>
      <c r="W88" s="23">
        <v>-121</v>
      </c>
      <c r="X88" s="23">
        <f>-232-W88</f>
        <v>-111</v>
      </c>
      <c r="Y88" s="23">
        <v>-114</v>
      </c>
      <c r="Z88" s="23">
        <v>-81</v>
      </c>
      <c r="AA88" s="23"/>
      <c r="AB88" s="23"/>
      <c r="AC88" s="23"/>
      <c r="AD88" s="23"/>
      <c r="AE88" s="23"/>
      <c r="AF88" s="23"/>
      <c r="AG88" s="23"/>
      <c r="AH88" s="23"/>
      <c r="AI88" s="23"/>
      <c r="AJ88" s="23"/>
      <c r="AK88" s="23"/>
      <c r="AL88" s="23"/>
      <c r="AM88" s="23"/>
      <c r="AN88" s="23"/>
      <c r="AO88" s="23"/>
      <c r="AP88" s="23"/>
      <c r="AQ88" s="23"/>
      <c r="AR88" s="23"/>
      <c r="AS88" s="23"/>
      <c r="AT88" s="23"/>
      <c r="AU88" s="23"/>
      <c r="AV88" s="23"/>
      <c r="AW88" s="23"/>
      <c r="AX88" s="23"/>
      <c r="AY88" s="23"/>
      <c r="AZ88" s="23"/>
      <c r="BA88" s="23"/>
      <c r="BB88" s="23"/>
      <c r="BC88" s="23"/>
      <c r="BD88" s="23"/>
      <c r="BE88" s="23"/>
      <c r="BF88" s="23"/>
      <c r="BG88" s="23"/>
      <c r="BH88" s="23"/>
      <c r="BI88" s="23"/>
      <c r="BJ88" s="23"/>
      <c r="BK88" s="54"/>
      <c r="BL88" s="54"/>
      <c r="BM88" s="54"/>
      <c r="BN88" s="54"/>
      <c r="BO88" s="54">
        <v>0</v>
      </c>
      <c r="BP88" s="54">
        <v>0</v>
      </c>
      <c r="BQ88" s="54">
        <v>0</v>
      </c>
      <c r="BR88" s="54">
        <v>0</v>
      </c>
      <c r="BS88" s="54">
        <v>0</v>
      </c>
      <c r="BT88" s="54">
        <v>0</v>
      </c>
      <c r="BU88" s="54">
        <v>0</v>
      </c>
      <c r="BV88" s="54">
        <v>0</v>
      </c>
      <c r="BW88" s="54">
        <v>0</v>
      </c>
      <c r="BX88" s="54">
        <v>0</v>
      </c>
      <c r="BY88" s="54">
        <v>0</v>
      </c>
      <c r="BZ88" s="54">
        <v>0</v>
      </c>
      <c r="CA88" s="54">
        <v>0</v>
      </c>
      <c r="CB88" s="54">
        <v>0</v>
      </c>
      <c r="CC88" s="54">
        <v>0</v>
      </c>
      <c r="CD88" s="54">
        <v>0</v>
      </c>
      <c r="CE88" s="54">
        <v>0</v>
      </c>
      <c r="CF88" s="54">
        <v>0</v>
      </c>
      <c r="CG88" s="54">
        <v>29</v>
      </c>
      <c r="CH88" s="54">
        <v>0</v>
      </c>
      <c r="CI88" s="54">
        <v>0</v>
      </c>
      <c r="CJ88" s="54"/>
      <c r="CK88" s="54"/>
      <c r="CL88" s="54"/>
      <c r="CM88" s="54"/>
      <c r="CN88" s="23"/>
      <c r="CR88" s="23"/>
      <c r="CS88" s="23"/>
      <c r="CT88" s="23">
        <f>SUM(O88:R88)</f>
        <v>-419</v>
      </c>
      <c r="CU88" s="23">
        <f>CT88</f>
        <v>-419</v>
      </c>
      <c r="CV88" s="23"/>
      <c r="CW88" s="23"/>
      <c r="CX88" s="23"/>
      <c r="CY88" s="23"/>
      <c r="CZ88" s="23"/>
      <c r="DA88" s="23"/>
      <c r="DB88" s="23"/>
      <c r="DC88" s="23"/>
    </row>
    <row r="89" spans="2:170" x14ac:dyDescent="0.2">
      <c r="B89" s="1" t="s">
        <v>172</v>
      </c>
      <c r="C89" s="23">
        <f>C87+C88</f>
        <v>1184</v>
      </c>
      <c r="D89" s="23">
        <f>D87+D88</f>
        <v>1307</v>
      </c>
      <c r="G89" s="23">
        <f>G87+G88</f>
        <v>1269</v>
      </c>
      <c r="H89" s="23">
        <f>H87+H88</f>
        <v>1596</v>
      </c>
      <c r="M89" s="23">
        <f t="shared" ref="M89:W89" si="154">M87+M88</f>
        <v>1737</v>
      </c>
      <c r="N89" s="23">
        <f t="shared" si="154"/>
        <v>1797</v>
      </c>
      <c r="O89" s="23">
        <f t="shared" si="154"/>
        <v>2478</v>
      </c>
      <c r="P89" s="23">
        <f t="shared" si="154"/>
        <v>1740</v>
      </c>
      <c r="Q89" s="23">
        <f t="shared" si="154"/>
        <v>1884</v>
      </c>
      <c r="R89" s="23">
        <f t="shared" si="154"/>
        <v>1594</v>
      </c>
      <c r="S89" s="23">
        <f t="shared" si="154"/>
        <v>1915</v>
      </c>
      <c r="T89" s="23">
        <f t="shared" si="154"/>
        <v>1894</v>
      </c>
      <c r="U89" s="23">
        <f>U87+U88</f>
        <v>1980</v>
      </c>
      <c r="V89" s="23">
        <f t="shared" si="154"/>
        <v>1683</v>
      </c>
      <c r="W89" s="23">
        <f t="shared" si="154"/>
        <v>2107</v>
      </c>
      <c r="X89" s="23">
        <f t="shared" ref="X89:AC89" si="155">X87+X88</f>
        <v>2133</v>
      </c>
      <c r="Y89" s="23">
        <f t="shared" si="155"/>
        <v>2288</v>
      </c>
      <c r="Z89" s="23">
        <f t="shared" si="155"/>
        <v>1977</v>
      </c>
      <c r="AA89" s="23">
        <f t="shared" si="155"/>
        <v>2940</v>
      </c>
      <c r="AB89" s="23">
        <f t="shared" si="155"/>
        <v>2478</v>
      </c>
      <c r="AC89" s="23">
        <f t="shared" si="155"/>
        <v>2860</v>
      </c>
      <c r="AD89" s="23">
        <f>AD87+AD88</f>
        <v>1838</v>
      </c>
      <c r="AE89" s="23">
        <f>AE87+AE88</f>
        <v>2170</v>
      </c>
      <c r="AF89" s="23">
        <f t="shared" ref="AF89:AH89" si="156">AF87+AF88</f>
        <v>4395.2</v>
      </c>
      <c r="AG89" s="23">
        <f t="shared" si="156"/>
        <v>4383.1615999999995</v>
      </c>
      <c r="AH89" s="23">
        <f t="shared" si="156"/>
        <v>4187.4828799999996</v>
      </c>
      <c r="AI89" s="23"/>
      <c r="AJ89" s="23"/>
      <c r="AK89" s="23"/>
      <c r="AL89" s="23"/>
      <c r="AM89" s="23"/>
      <c r="AN89" s="23">
        <f t="shared" ref="AN89:AO89" si="157">AN87+AN88</f>
        <v>1462</v>
      </c>
      <c r="AO89" s="23">
        <f t="shared" si="157"/>
        <v>1774</v>
      </c>
      <c r="AP89" s="23"/>
      <c r="AQ89" s="23"/>
      <c r="AR89" s="23"/>
      <c r="AS89" s="23"/>
      <c r="AT89" s="23"/>
      <c r="AU89" s="23"/>
      <c r="AV89" s="23"/>
      <c r="AW89" s="23"/>
      <c r="AX89" s="23"/>
      <c r="AY89" s="23"/>
      <c r="AZ89" s="23"/>
      <c r="BA89" s="23"/>
      <c r="BB89" s="23"/>
      <c r="BC89" s="23"/>
      <c r="BD89" s="23"/>
      <c r="BE89" s="23"/>
      <c r="BF89" s="23"/>
      <c r="BG89" s="23"/>
      <c r="BH89" s="23"/>
      <c r="BI89" s="23"/>
      <c r="BJ89" s="23"/>
      <c r="BK89" s="54"/>
      <c r="BL89" s="54"/>
      <c r="BM89" s="54"/>
      <c r="BN89" s="54"/>
      <c r="BO89" s="54">
        <f t="shared" ref="BO89" si="158">BO87-BO88</f>
        <v>2042</v>
      </c>
      <c r="BP89" s="54">
        <f t="shared" ref="BP89:BQ89" si="159">BP87-BP88</f>
        <v>1540</v>
      </c>
      <c r="BQ89" s="54">
        <f t="shared" si="159"/>
        <v>2299</v>
      </c>
      <c r="BR89" s="54">
        <f t="shared" ref="BR89:BX89" si="160">BR87-BR88</f>
        <v>1527</v>
      </c>
      <c r="BS89" s="54">
        <f t="shared" si="160"/>
        <v>2016</v>
      </c>
      <c r="BT89" s="54">
        <f t="shared" si="160"/>
        <v>1731</v>
      </c>
      <c r="BU89" s="54">
        <f t="shared" si="160"/>
        <v>2736</v>
      </c>
      <c r="BV89" s="54">
        <f t="shared" si="160"/>
        <v>1730</v>
      </c>
      <c r="BW89" s="54">
        <f t="shared" si="160"/>
        <v>2423</v>
      </c>
      <c r="BX89" s="54">
        <f t="shared" si="160"/>
        <v>2170</v>
      </c>
      <c r="BY89" s="54">
        <f t="shared" ref="BY89:CB89" si="161">BY87-BY88</f>
        <v>3606</v>
      </c>
      <c r="BZ89" s="54">
        <f t="shared" si="161"/>
        <v>2140</v>
      </c>
      <c r="CA89" s="54">
        <f t="shared" si="161"/>
        <v>2698</v>
      </c>
      <c r="CB89" s="54">
        <f t="shared" si="161"/>
        <v>2177</v>
      </c>
      <c r="CC89" s="54">
        <f t="shared" ref="CC89:CD89" si="162">CC87-CC88</f>
        <v>3196</v>
      </c>
      <c r="CD89" s="54">
        <f t="shared" si="162"/>
        <v>868</v>
      </c>
      <c r="CE89" s="54">
        <f t="shared" ref="CE89:CI89" si="163">CE87-CE88</f>
        <v>2219</v>
      </c>
      <c r="CF89" s="54">
        <f t="shared" si="163"/>
        <v>2161</v>
      </c>
      <c r="CG89" s="54">
        <f t="shared" si="163"/>
        <v>3749</v>
      </c>
      <c r="CH89" s="54">
        <f t="shared" si="163"/>
        <v>1641</v>
      </c>
      <c r="CI89" s="54">
        <f t="shared" si="163"/>
        <v>2231</v>
      </c>
      <c r="CJ89" s="54"/>
      <c r="CK89" s="54"/>
      <c r="CL89" s="54"/>
      <c r="CM89" s="54"/>
      <c r="CN89" s="23"/>
      <c r="CR89" s="23"/>
      <c r="CS89" s="23"/>
      <c r="CT89" s="23">
        <f t="shared" ref="CT89" si="164">CT87+CT88</f>
        <v>7523</v>
      </c>
      <c r="CU89" s="23">
        <f t="shared" ref="CU89:DC89" si="165">CU87+CU88</f>
        <v>8513</v>
      </c>
      <c r="CV89" s="23">
        <f t="shared" si="165"/>
        <v>9193.5499999999993</v>
      </c>
      <c r="CW89" s="23">
        <f t="shared" si="165"/>
        <v>14410.585101600002</v>
      </c>
      <c r="CX89" s="23">
        <f t="shared" si="165"/>
        <v>15305.636432172003</v>
      </c>
      <c r="CY89" s="23">
        <f t="shared" si="165"/>
        <v>14863.963792369741</v>
      </c>
      <c r="CZ89" s="23">
        <f t="shared" si="165"/>
        <v>14831.114353272005</v>
      </c>
      <c r="DA89" s="23">
        <f t="shared" si="165"/>
        <v>15204.876745849913</v>
      </c>
      <c r="DB89" s="23">
        <f t="shared" si="165"/>
        <v>15232.412846643831</v>
      </c>
      <c r="DC89" s="23">
        <f t="shared" si="165"/>
        <v>14644.096699466001</v>
      </c>
      <c r="DD89" s="14">
        <f t="shared" ref="DD89:EI89" si="166">DC89*(1+$DO$93)</f>
        <v>14497.655732471341</v>
      </c>
      <c r="DE89" s="14">
        <f t="shared" si="166"/>
        <v>14352.679175146628</v>
      </c>
      <c r="DF89" s="14">
        <f t="shared" si="166"/>
        <v>14209.152383395161</v>
      </c>
      <c r="DG89" s="14">
        <f t="shared" si="166"/>
        <v>14067.06085956121</v>
      </c>
      <c r="DH89" s="14">
        <f t="shared" si="166"/>
        <v>13926.390250965598</v>
      </c>
      <c r="DI89" s="14">
        <f t="shared" si="166"/>
        <v>13787.126348455942</v>
      </c>
      <c r="DJ89" s="14">
        <f t="shared" si="166"/>
        <v>13649.255084971383</v>
      </c>
      <c r="DK89" s="14">
        <f t="shared" si="166"/>
        <v>13512.762534121668</v>
      </c>
      <c r="DL89" s="14">
        <f t="shared" si="166"/>
        <v>13377.634908780452</v>
      </c>
      <c r="DM89" s="14">
        <f t="shared" si="166"/>
        <v>13243.858559692648</v>
      </c>
      <c r="DN89" s="14">
        <f t="shared" si="166"/>
        <v>13111.419974095721</v>
      </c>
      <c r="DO89" s="14">
        <f t="shared" si="166"/>
        <v>12980.305774354763</v>
      </c>
      <c r="DP89" s="14">
        <f t="shared" si="166"/>
        <v>12850.502716611216</v>
      </c>
      <c r="DQ89" s="14">
        <f t="shared" si="166"/>
        <v>12721.997689445103</v>
      </c>
      <c r="DR89" s="14">
        <f t="shared" si="166"/>
        <v>12594.777712550651</v>
      </c>
      <c r="DS89" s="14">
        <f t="shared" si="166"/>
        <v>12468.829935425145</v>
      </c>
      <c r="DT89" s="14">
        <f t="shared" si="166"/>
        <v>12344.141636070894</v>
      </c>
      <c r="DU89" s="14">
        <f t="shared" si="166"/>
        <v>12220.700219710185</v>
      </c>
      <c r="DV89" s="14">
        <f t="shared" si="166"/>
        <v>12098.493217513083</v>
      </c>
      <c r="DW89" s="14">
        <f t="shared" si="166"/>
        <v>11977.508285337952</v>
      </c>
      <c r="DX89" s="14">
        <f t="shared" si="166"/>
        <v>11857.733202484573</v>
      </c>
      <c r="DY89" s="14">
        <f t="shared" si="166"/>
        <v>11739.155870459726</v>
      </c>
      <c r="DZ89" s="14">
        <f t="shared" si="166"/>
        <v>11621.764311755129</v>
      </c>
      <c r="EA89" s="14">
        <f t="shared" si="166"/>
        <v>11505.546668637577</v>
      </c>
      <c r="EB89" s="14">
        <f t="shared" si="166"/>
        <v>11390.491201951201</v>
      </c>
      <c r="EC89" s="14">
        <f t="shared" si="166"/>
        <v>11276.586289931689</v>
      </c>
      <c r="ED89" s="14">
        <f t="shared" si="166"/>
        <v>11163.820427032371</v>
      </c>
      <c r="EE89" s="14">
        <f t="shared" si="166"/>
        <v>11052.182222762047</v>
      </c>
      <c r="EF89" s="14">
        <f t="shared" si="166"/>
        <v>10941.660400534427</v>
      </c>
      <c r="EG89" s="14">
        <f t="shared" si="166"/>
        <v>10832.243796529083</v>
      </c>
      <c r="EH89" s="14">
        <f t="shared" si="166"/>
        <v>10723.921358563792</v>
      </c>
      <c r="EI89" s="14">
        <f t="shared" si="166"/>
        <v>10616.682144978155</v>
      </c>
      <c r="EJ89" s="14">
        <f t="shared" ref="EJ89:FN89" si="167">EI89*(1+$DO$93)</f>
        <v>10510.515323528372</v>
      </c>
      <c r="EK89" s="14">
        <f t="shared" si="167"/>
        <v>10405.410170293089</v>
      </c>
      <c r="EL89" s="14">
        <f t="shared" si="167"/>
        <v>10301.356068590158</v>
      </c>
      <c r="EM89" s="14">
        <f t="shared" si="167"/>
        <v>10198.342507904255</v>
      </c>
      <c r="EN89" s="14">
        <f t="shared" si="167"/>
        <v>10096.359082825213</v>
      </c>
      <c r="EO89" s="14">
        <f t="shared" si="167"/>
        <v>9995.3954919969601</v>
      </c>
      <c r="EP89" s="14">
        <f t="shared" si="167"/>
        <v>9895.4415370769912</v>
      </c>
      <c r="EQ89" s="14">
        <f t="shared" si="167"/>
        <v>9796.4871217062209</v>
      </c>
      <c r="ER89" s="14">
        <f t="shared" si="167"/>
        <v>9698.522250489159</v>
      </c>
      <c r="ES89" s="14">
        <f t="shared" si="167"/>
        <v>9601.5370279842682</v>
      </c>
      <c r="ET89" s="14">
        <f t="shared" si="167"/>
        <v>9505.5216577044248</v>
      </c>
      <c r="EU89" s="14">
        <f t="shared" si="167"/>
        <v>9410.4664411273807</v>
      </c>
      <c r="EV89" s="14">
        <f t="shared" si="167"/>
        <v>9316.3617767161068</v>
      </c>
      <c r="EW89" s="14">
        <f t="shared" si="167"/>
        <v>9223.198158948946</v>
      </c>
      <c r="EX89" s="14">
        <f t="shared" si="167"/>
        <v>9130.9661773594562</v>
      </c>
      <c r="EY89" s="14">
        <f t="shared" si="167"/>
        <v>9039.6565155858607</v>
      </c>
      <c r="EZ89" s="14">
        <f t="shared" si="167"/>
        <v>8949.2599504300015</v>
      </c>
      <c r="FA89" s="14">
        <f t="shared" si="167"/>
        <v>8859.767350925702</v>
      </c>
      <c r="FB89" s="14">
        <f t="shared" si="167"/>
        <v>8771.1696774164448</v>
      </c>
      <c r="FC89" s="14">
        <f t="shared" si="167"/>
        <v>8683.4579806422807</v>
      </c>
      <c r="FD89" s="14">
        <f t="shared" si="167"/>
        <v>8596.623400835857</v>
      </c>
      <c r="FE89" s="14">
        <f t="shared" si="167"/>
        <v>8510.6571668274992</v>
      </c>
      <c r="FF89" s="14">
        <f t="shared" si="167"/>
        <v>8425.550595159224</v>
      </c>
      <c r="FG89" s="14">
        <f t="shared" si="167"/>
        <v>8341.2950892076315</v>
      </c>
      <c r="FH89" s="14">
        <f t="shared" si="167"/>
        <v>8257.8821383155555</v>
      </c>
      <c r="FI89" s="14">
        <f t="shared" si="167"/>
        <v>8175.3033169323999</v>
      </c>
      <c r="FJ89" s="14">
        <f t="shared" si="167"/>
        <v>8093.5502837630756</v>
      </c>
      <c r="FK89" s="14">
        <f t="shared" si="167"/>
        <v>8012.6147809254444</v>
      </c>
      <c r="FL89" s="14">
        <f t="shared" si="167"/>
        <v>7932.4886331161897</v>
      </c>
      <c r="FM89" s="14">
        <f t="shared" si="167"/>
        <v>7853.1637467850278</v>
      </c>
      <c r="FN89" s="14">
        <f t="shared" si="167"/>
        <v>7774.6321093171773</v>
      </c>
    </row>
    <row r="90" spans="2:170" s="15" customFormat="1" x14ac:dyDescent="0.2">
      <c r="B90" s="15" t="s">
        <v>10</v>
      </c>
      <c r="C90" s="40">
        <f>C89/C91</f>
        <v>0.89327480514322943</v>
      </c>
      <c r="D90" s="40">
        <f>D89/D91</f>
        <v>0.9857784830591656</v>
      </c>
      <c r="E90" s="40"/>
      <c r="F90" s="40"/>
      <c r="G90" s="40">
        <f>G89/G91</f>
        <v>0.95046141194076128</v>
      </c>
      <c r="H90" s="40">
        <f>H89/H91</f>
        <v>1.1948209730300241</v>
      </c>
      <c r="I90" s="40"/>
      <c r="J90" s="40"/>
      <c r="K90" s="40"/>
      <c r="L90" s="40"/>
      <c r="M90" s="40">
        <f t="shared" ref="M90:W90" si="168">M89/M91</f>
        <v>1.2885756676557865</v>
      </c>
      <c r="N90" s="40">
        <f t="shared" si="168"/>
        <v>1.3322953736654806</v>
      </c>
      <c r="O90" s="40">
        <f t="shared" si="168"/>
        <v>1.8340611353711791</v>
      </c>
      <c r="P90" s="40">
        <f t="shared" si="168"/>
        <v>1.2870774465566979</v>
      </c>
      <c r="Q90" s="40">
        <f t="shared" si="168"/>
        <v>1.3962795523604832</v>
      </c>
      <c r="R90" s="40">
        <f t="shared" si="168"/>
        <v>1.1937392346289224</v>
      </c>
      <c r="S90" s="40">
        <f t="shared" si="168"/>
        <v>1.4498788612961842</v>
      </c>
      <c r="T90" s="40">
        <f t="shared" si="168"/>
        <v>1.4502297090352221</v>
      </c>
      <c r="U90" s="40">
        <f t="shared" si="168"/>
        <v>1.5174739423666463</v>
      </c>
      <c r="V90" s="40">
        <f t="shared" si="168"/>
        <v>1.289556355834802</v>
      </c>
      <c r="W90" s="40">
        <f t="shared" si="168"/>
        <v>1.613941018766756</v>
      </c>
      <c r="X90" s="40">
        <f t="shared" ref="X90:Y90" si="169">X89/X91</f>
        <v>1.6338567598621219</v>
      </c>
      <c r="Y90" s="40">
        <f t="shared" si="169"/>
        <v>1.7523167649536646</v>
      </c>
      <c r="Z90" s="40">
        <f t="shared" ref="Z90:AH90" si="170">Z89/Z91</f>
        <v>1.5126243305279266</v>
      </c>
      <c r="AA90" s="40">
        <f t="shared" si="170"/>
        <v>2.2489099671077795</v>
      </c>
      <c r="AB90" s="40">
        <f t="shared" si="170"/>
        <v>1.8998696618876025</v>
      </c>
      <c r="AC90" s="40">
        <f t="shared" si="170"/>
        <v>2.1919068056407114</v>
      </c>
      <c r="AD90" s="40"/>
      <c r="AE90" s="40">
        <f t="shared" si="170"/>
        <v>1.6625804474410051</v>
      </c>
      <c r="AF90" s="40">
        <f t="shared" si="170"/>
        <v>3.3674532638676062</v>
      </c>
      <c r="AG90" s="40">
        <f t="shared" si="170"/>
        <v>3.3582298498314431</v>
      </c>
      <c r="AH90" s="40">
        <f t="shared" si="170"/>
        <v>3.2083074471345383</v>
      </c>
      <c r="AI90" s="40"/>
      <c r="AJ90" s="40"/>
      <c r="AK90" s="40"/>
      <c r="AL90" s="40"/>
      <c r="AM90" s="40"/>
      <c r="AN90" s="40">
        <f t="shared" ref="AN90:AO90" si="171">AN89/AN91</f>
        <v>1.1028136079052575</v>
      </c>
      <c r="AO90" s="40">
        <f t="shared" si="171"/>
        <v>1.3403853418964866</v>
      </c>
      <c r="AP90" s="40"/>
      <c r="AQ90" s="40"/>
      <c r="AR90" s="40"/>
      <c r="AS90" s="40"/>
      <c r="AT90" s="40"/>
      <c r="AU90" s="40"/>
      <c r="AV90" s="40"/>
      <c r="AW90" s="40"/>
      <c r="AX90" s="40"/>
      <c r="AY90" s="40"/>
      <c r="AZ90" s="40"/>
      <c r="BA90" s="40"/>
      <c r="BB90" s="40"/>
      <c r="BC90" s="40"/>
      <c r="BD90" s="40"/>
      <c r="BE90" s="40"/>
      <c r="BF90" s="40"/>
      <c r="BG90" s="40"/>
      <c r="BH90" s="40"/>
      <c r="BI90" s="40"/>
      <c r="BJ90" s="40"/>
      <c r="BK90" s="63"/>
      <c r="BL90" s="63"/>
      <c r="BM90" s="63"/>
      <c r="BN90" s="63"/>
      <c r="BO90" s="63">
        <f t="shared" ref="BO90" si="172">BO89/BO91</f>
        <v>1.6319028210660913</v>
      </c>
      <c r="BP90" s="63">
        <f t="shared" ref="BP90:BQ90" si="173">BP89/BP91</f>
        <v>1.2298354895384123</v>
      </c>
      <c r="BQ90" s="63">
        <f t="shared" si="173"/>
        <v>1.8308513179899657</v>
      </c>
      <c r="BR90" s="63">
        <f t="shared" ref="BR90:BX90" si="174">BR89/BR91</f>
        <v>1.2166361246115849</v>
      </c>
      <c r="BS90" s="63">
        <f t="shared" si="174"/>
        <v>1.6137036740574722</v>
      </c>
      <c r="BT90" s="63">
        <f t="shared" si="174"/>
        <v>1.3833613042435866</v>
      </c>
      <c r="BU90" s="63">
        <f t="shared" si="174"/>
        <v>2.1809485850936627</v>
      </c>
      <c r="BV90" s="63">
        <f t="shared" si="174"/>
        <v>1.3785959040561</v>
      </c>
      <c r="BW90" s="63">
        <f t="shared" si="174"/>
        <v>1.9396413704771054</v>
      </c>
      <c r="BX90" s="63">
        <f t="shared" si="174"/>
        <v>1.7348896706108092</v>
      </c>
      <c r="BY90" s="63">
        <f t="shared" ref="BY90:CE90" si="175">BY89/BY91</f>
        <v>2.8767451136816913</v>
      </c>
      <c r="BZ90" s="63">
        <f t="shared" si="175"/>
        <v>1.7065390749601277</v>
      </c>
      <c r="CA90" s="63">
        <f t="shared" si="175"/>
        <v>2.1596093812535022</v>
      </c>
      <c r="CB90" s="63">
        <f t="shared" si="175"/>
        <v>1.7407644330721255</v>
      </c>
      <c r="CC90" s="63">
        <f t="shared" si="175"/>
        <v>2.5502713054580273</v>
      </c>
      <c r="CD90" s="63">
        <f t="shared" si="175"/>
        <v>0.69240587109125717</v>
      </c>
      <c r="CE90" s="63">
        <f t="shared" si="175"/>
        <v>1.7769058295964126</v>
      </c>
      <c r="CF90" s="63">
        <f>CF89/CF91</f>
        <v>1.7286617070634351</v>
      </c>
      <c r="CG90" s="63">
        <f>CG89/CG91</f>
        <v>2.9920191540303271</v>
      </c>
      <c r="CH90" s="63">
        <f>+CH89/CH91</f>
        <v>1.3090299936183791</v>
      </c>
      <c r="CI90" s="63">
        <f>+CI89/CI91</f>
        <v>1.8080881757030551</v>
      </c>
      <c r="CJ90" s="63"/>
      <c r="CK90" s="63"/>
      <c r="CL90" s="63"/>
      <c r="CM90" s="63"/>
      <c r="CN90" s="40"/>
      <c r="CO90" s="46"/>
      <c r="CP90" s="46"/>
      <c r="CQ90" s="46"/>
      <c r="CR90" s="46"/>
      <c r="CS90" s="46">
        <f>SUM(O90:R90)</f>
        <v>5.7111573689172825</v>
      </c>
      <c r="CT90" s="46">
        <f t="shared" ref="CT90:CY90" si="176">CT89/CT91</f>
        <v>5.7463669868428582</v>
      </c>
      <c r="CU90" s="46">
        <f>CU89/CU91</f>
        <v>6.5187510768229417</v>
      </c>
      <c r="CV90" s="46">
        <f>CV89/CV91</f>
        <v>7.0423475640894706</v>
      </c>
      <c r="CW90" s="46">
        <f t="shared" si="176"/>
        <v>11.038646538862222</v>
      </c>
      <c r="CX90" s="46">
        <f t="shared" si="176"/>
        <v>11.724264451158211</v>
      </c>
      <c r="CY90" s="46">
        <f t="shared" si="176"/>
        <v>11.385938968723631</v>
      </c>
      <c r="CZ90" s="46">
        <f>CZ89/CZ91</f>
        <v>11.360775982998678</v>
      </c>
      <c r="DA90" s="46">
        <f>DA89/DA91</f>
        <v>11.647081564076638</v>
      </c>
      <c r="DB90" s="46">
        <f>DB89/DB91</f>
        <v>11.668174481649347</v>
      </c>
      <c r="DC90" s="46">
        <f>DC89/DC91</f>
        <v>11.217518664691555</v>
      </c>
    </row>
    <row r="91" spans="2:170" x14ac:dyDescent="0.2">
      <c r="B91" s="1" t="s">
        <v>11</v>
      </c>
      <c r="C91" s="23">
        <v>1325.4599740000001</v>
      </c>
      <c r="D91" s="23">
        <v>1325.855679</v>
      </c>
      <c r="G91" s="23">
        <v>1335.1410000000001</v>
      </c>
      <c r="H91" s="23">
        <v>1335.7649690000001</v>
      </c>
      <c r="M91" s="23">
        <v>1348</v>
      </c>
      <c r="N91" s="23">
        <v>1348.8</v>
      </c>
      <c r="O91" s="23">
        <v>1351.1</v>
      </c>
      <c r="P91" s="23">
        <v>1351.9</v>
      </c>
      <c r="Q91" s="23">
        <v>1349.3</v>
      </c>
      <c r="R91" s="23">
        <v>1335.3</v>
      </c>
      <c r="S91" s="23">
        <v>1320.8</v>
      </c>
      <c r="T91" s="23">
        <v>1306</v>
      </c>
      <c r="U91" s="23">
        <v>1304.8</v>
      </c>
      <c r="V91" s="23">
        <v>1305.0999999999999</v>
      </c>
      <c r="W91" s="23">
        <v>1305.5</v>
      </c>
      <c r="X91" s="23">
        <v>1305.5</v>
      </c>
      <c r="Y91" s="23">
        <v>1305.7</v>
      </c>
      <c r="Z91" s="23">
        <v>1307</v>
      </c>
      <c r="AA91" s="23">
        <v>1307.3</v>
      </c>
      <c r="AB91" s="23">
        <v>1304.3</v>
      </c>
      <c r="AC91" s="23">
        <v>1304.8</v>
      </c>
      <c r="AD91" s="23"/>
      <c r="AE91" s="23">
        <v>1305.2</v>
      </c>
      <c r="AF91" s="23">
        <f>+AE91</f>
        <v>1305.2</v>
      </c>
      <c r="AG91" s="23">
        <f>+AF91</f>
        <v>1305.2</v>
      </c>
      <c r="AH91" s="23">
        <f>+AG91</f>
        <v>1305.2</v>
      </c>
      <c r="AI91" s="23"/>
      <c r="AJ91" s="23"/>
      <c r="AK91" s="23"/>
      <c r="AL91" s="23"/>
      <c r="AM91" s="23"/>
      <c r="AN91" s="23">
        <v>1325.7</v>
      </c>
      <c r="AO91" s="23">
        <v>1323.5</v>
      </c>
      <c r="AP91" s="23"/>
      <c r="AQ91" s="23"/>
      <c r="AR91" s="23"/>
      <c r="AS91" s="23"/>
      <c r="AT91" s="23"/>
      <c r="AU91" s="23"/>
      <c r="AV91" s="23"/>
      <c r="AW91" s="23"/>
      <c r="AX91" s="23"/>
      <c r="AY91" s="23"/>
      <c r="AZ91" s="23"/>
      <c r="BA91" s="23"/>
      <c r="BB91" s="23"/>
      <c r="BC91" s="23"/>
      <c r="BD91" s="23"/>
      <c r="BE91" s="23"/>
      <c r="BF91" s="23"/>
      <c r="BG91" s="23"/>
      <c r="BH91" s="23"/>
      <c r="BI91" s="23"/>
      <c r="BJ91" s="23"/>
      <c r="BK91" s="54"/>
      <c r="BL91" s="54"/>
      <c r="BM91" s="54"/>
      <c r="BN91" s="54"/>
      <c r="BO91" s="54">
        <v>1251.3</v>
      </c>
      <c r="BP91" s="54">
        <v>1252.2</v>
      </c>
      <c r="BQ91" s="54">
        <v>1255.7</v>
      </c>
      <c r="BR91" s="54">
        <v>1255.0999999999999</v>
      </c>
      <c r="BS91" s="54">
        <v>1249.3</v>
      </c>
      <c r="BT91" s="54">
        <v>1251.3</v>
      </c>
      <c r="BU91" s="54">
        <v>1254.5</v>
      </c>
      <c r="BV91" s="54">
        <v>1254.9000000000001</v>
      </c>
      <c r="BW91" s="54">
        <v>1249.2</v>
      </c>
      <c r="BX91" s="54">
        <v>1250.8</v>
      </c>
      <c r="BY91" s="54">
        <v>1253.5</v>
      </c>
      <c r="BZ91" s="54">
        <v>1254</v>
      </c>
      <c r="CA91" s="54">
        <v>1249.3</v>
      </c>
      <c r="CB91" s="54">
        <v>1250.5999999999999</v>
      </c>
      <c r="CC91" s="54">
        <v>1253.2</v>
      </c>
      <c r="CD91" s="54">
        <v>1253.5999999999999</v>
      </c>
      <c r="CE91" s="54">
        <v>1248.8</v>
      </c>
      <c r="CF91" s="54">
        <v>1250.0999999999999</v>
      </c>
      <c r="CG91" s="54">
        <v>1253</v>
      </c>
      <c r="CH91" s="54">
        <v>1253.5999999999999</v>
      </c>
      <c r="CI91" s="54">
        <v>1233.9000000000001</v>
      </c>
      <c r="CJ91" s="54"/>
      <c r="CK91" s="54"/>
      <c r="CL91" s="54"/>
      <c r="CM91" s="54"/>
      <c r="CN91" s="23"/>
      <c r="CS91" s="23">
        <f>AVERAGE(O91:R91)</f>
        <v>1346.9</v>
      </c>
      <c r="CT91" s="23">
        <f>AVERAGE(S91:V91)</f>
        <v>1309.1750000000002</v>
      </c>
      <c r="CU91" s="23">
        <f>AVERAGE(W91:Z91)</f>
        <v>1305.925</v>
      </c>
      <c r="CV91" s="23">
        <f>AVERAGE(AA91:AD91)</f>
        <v>1305.4666666666665</v>
      </c>
      <c r="CW91" s="23">
        <f t="shared" ref="CW91:DA91" si="177">CV91</f>
        <v>1305.4666666666665</v>
      </c>
      <c r="CX91" s="23">
        <f t="shared" si="177"/>
        <v>1305.4666666666665</v>
      </c>
      <c r="CY91" s="23">
        <f t="shared" si="177"/>
        <v>1305.4666666666665</v>
      </c>
      <c r="CZ91" s="23">
        <f t="shared" si="177"/>
        <v>1305.4666666666665</v>
      </c>
      <c r="DA91" s="23">
        <f t="shared" si="177"/>
        <v>1305.4666666666665</v>
      </c>
      <c r="DB91" s="23">
        <f>DA91</f>
        <v>1305.4666666666665</v>
      </c>
      <c r="DC91" s="23">
        <f>DB91</f>
        <v>1305.4666666666665</v>
      </c>
    </row>
    <row r="92" spans="2:170" x14ac:dyDescent="0.2">
      <c r="DN92" s="19" t="s">
        <v>296</v>
      </c>
      <c r="DO92" s="25">
        <v>0.06</v>
      </c>
    </row>
    <row r="93" spans="2:170" x14ac:dyDescent="0.2">
      <c r="B93" s="1" t="s">
        <v>169</v>
      </c>
      <c r="M93" s="41">
        <f t="shared" ref="M93:W93" si="178">M78/M76</f>
        <v>0.76829445007969854</v>
      </c>
      <c r="N93" s="41">
        <f t="shared" si="178"/>
        <v>0.76495377922784125</v>
      </c>
      <c r="O93" s="41">
        <f t="shared" si="178"/>
        <v>0.77595095443778739</v>
      </c>
      <c r="P93" s="41">
        <f t="shared" si="178"/>
        <v>0.77676898688571838</v>
      </c>
      <c r="Q93" s="41">
        <f t="shared" si="178"/>
        <v>0.77153024911032031</v>
      </c>
      <c r="R93" s="41">
        <f t="shared" si="178"/>
        <v>0.76067139343076251</v>
      </c>
      <c r="S93" s="41">
        <f t="shared" si="178"/>
        <v>0.76803006214770919</v>
      </c>
      <c r="T93" s="41">
        <f t="shared" si="178"/>
        <v>0.78472118403348778</v>
      </c>
      <c r="U93" s="41">
        <f t="shared" si="178"/>
        <v>0.78389026703633446</v>
      </c>
      <c r="V93" s="41">
        <f t="shared" si="178"/>
        <v>0.77994075327972912</v>
      </c>
      <c r="W93" s="41">
        <f t="shared" si="178"/>
        <v>0.79977486984663004</v>
      </c>
      <c r="X93" s="41">
        <f t="shared" ref="X93:Y93" si="179">X78/X76</f>
        <v>0.80193496371943029</v>
      </c>
      <c r="Y93" s="41">
        <f t="shared" si="179"/>
        <v>0.77621621621621617</v>
      </c>
      <c r="Z93" s="41">
        <f t="shared" ref="Z93:AE93" si="180">Z78/Z76</f>
        <v>0.7477244939546257</v>
      </c>
      <c r="AA93" s="41">
        <f t="shared" si="180"/>
        <v>0.7929855659660674</v>
      </c>
      <c r="AB93" s="41">
        <f t="shared" si="180"/>
        <v>0.7879994860593601</v>
      </c>
      <c r="AC93" s="41">
        <f t="shared" si="180"/>
        <v>0.76243447129523079</v>
      </c>
      <c r="AD93" s="41">
        <f t="shared" si="180"/>
        <v>0.74374577417173771</v>
      </c>
      <c r="AE93" s="41">
        <f t="shared" si="180"/>
        <v>0.74945365728242708</v>
      </c>
      <c r="AF93" s="41">
        <v>0.76</v>
      </c>
      <c r="AG93" s="41">
        <v>0.76</v>
      </c>
      <c r="AH93" s="41">
        <v>0.76</v>
      </c>
      <c r="AI93" s="41"/>
      <c r="AJ93" s="41"/>
      <c r="AK93" s="41"/>
      <c r="AL93" s="41"/>
      <c r="AM93" s="41"/>
      <c r="AN93" s="41"/>
      <c r="AO93" s="41"/>
      <c r="AP93" s="41"/>
      <c r="AQ93" s="41"/>
      <c r="AR93" s="41"/>
      <c r="AS93" s="41"/>
      <c r="AT93" s="41"/>
      <c r="AU93" s="41"/>
      <c r="AV93" s="41"/>
      <c r="AW93" s="41"/>
      <c r="AX93" s="41"/>
      <c r="AY93" s="41"/>
      <c r="AZ93" s="41"/>
      <c r="BA93" s="41"/>
      <c r="BB93" s="41"/>
      <c r="BC93" s="41"/>
      <c r="BD93" s="41"/>
      <c r="BE93" s="41"/>
      <c r="BF93" s="41"/>
      <c r="BG93" s="41"/>
      <c r="BH93" s="41"/>
      <c r="BI93" s="41"/>
      <c r="BJ93" s="41"/>
      <c r="BK93" s="64"/>
      <c r="BL93" s="64"/>
      <c r="BM93" s="64"/>
      <c r="BN93" s="64"/>
      <c r="BO93" s="64">
        <f t="shared" ref="BO93" si="181">+BO78/BO76</f>
        <v>0.72094059957650725</v>
      </c>
      <c r="BP93" s="64">
        <f t="shared" ref="BP93" si="182">+BP78/BP76</f>
        <v>0.70403314243938098</v>
      </c>
      <c r="BQ93" s="64">
        <f t="shared" ref="BQ93:BR93" si="183">+BQ78/BQ76</f>
        <v>0.70893554172381057</v>
      </c>
      <c r="BR93" s="64">
        <f t="shared" si="183"/>
        <v>0.67117885312300152</v>
      </c>
      <c r="BS93" s="64">
        <f t="shared" ref="BS93" si="184">+BS78/BS76</f>
        <v>0.72191828657897805</v>
      </c>
      <c r="BT93" s="64">
        <f t="shared" ref="BT93:BU93" si="185">+BT78/BT76</f>
        <v>0.70757090576395243</v>
      </c>
      <c r="BU93" s="64">
        <f t="shared" si="185"/>
        <v>0.72766487730061347</v>
      </c>
      <c r="BV93" s="64">
        <f t="shared" ref="BV93:BW93" si="186">+BV78/BV76</f>
        <v>0.69481689013408043</v>
      </c>
      <c r="BW93" s="64">
        <f t="shared" si="186"/>
        <v>0.74165202108963091</v>
      </c>
      <c r="BX93" s="64">
        <f t="shared" ref="BX93:CF93" si="187">+BX78/BX76</f>
        <v>0.74070778964017403</v>
      </c>
      <c r="BY93" s="64">
        <f t="shared" si="187"/>
        <v>0.74563371254606636</v>
      </c>
      <c r="BZ93" s="64">
        <f t="shared" si="187"/>
        <v>0.7199738903394256</v>
      </c>
      <c r="CA93" s="64">
        <f t="shared" si="187"/>
        <v>0.76147148028568634</v>
      </c>
      <c r="CB93" s="64">
        <f t="shared" si="187"/>
        <v>0.74450577019568487</v>
      </c>
      <c r="CC93" s="64">
        <f t="shared" si="187"/>
        <v>0.74038783015713805</v>
      </c>
      <c r="CD93" s="64">
        <f t="shared" si="187"/>
        <v>0.71640560593569658</v>
      </c>
      <c r="CE93" s="64">
        <f t="shared" si="187"/>
        <v>0.735282874617737</v>
      </c>
      <c r="CF93" s="64">
        <f t="shared" si="187"/>
        <v>0.74211261051651933</v>
      </c>
      <c r="CG93" s="64">
        <f t="shared" ref="CG93:CI93" si="188">+CG78/CG76</f>
        <v>0.74953493563509188</v>
      </c>
      <c r="CH93" s="64">
        <f t="shared" si="188"/>
        <v>0.74249739657294334</v>
      </c>
      <c r="CI93" s="64">
        <f t="shared" si="188"/>
        <v>0.77677849636216656</v>
      </c>
      <c r="CJ93" s="64"/>
      <c r="CK93" s="64"/>
      <c r="CL93" s="64"/>
      <c r="CM93" s="64"/>
      <c r="CN93" s="41"/>
      <c r="CS93" s="41">
        <f t="shared" ref="CS93:CU93" si="189">CS78/CS76</f>
        <v>0</v>
      </c>
      <c r="CT93" s="41">
        <f t="shared" si="189"/>
        <v>0.77909255898366603</v>
      </c>
      <c r="CU93" s="41">
        <f t="shared" si="189"/>
        <v>0.78130330945069937</v>
      </c>
      <c r="CV93" s="41">
        <v>0.77</v>
      </c>
      <c r="CW93" s="41">
        <v>0.76</v>
      </c>
      <c r="CX93" s="41">
        <v>0.76</v>
      </c>
      <c r="CY93" s="41">
        <v>0.75</v>
      </c>
      <c r="CZ93" s="41">
        <v>0.75</v>
      </c>
      <c r="DA93" s="41">
        <v>0.75</v>
      </c>
      <c r="DB93" s="41">
        <v>0.75</v>
      </c>
      <c r="DC93" s="41">
        <v>0.75</v>
      </c>
      <c r="DN93" s="1" t="s">
        <v>205</v>
      </c>
      <c r="DO93" s="25">
        <v>-0.01</v>
      </c>
    </row>
    <row r="94" spans="2:170" x14ac:dyDescent="0.2">
      <c r="B94" s="1" t="s">
        <v>171</v>
      </c>
      <c r="M94" s="41">
        <f t="shared" ref="M94:W94" si="190">M85/M84</f>
        <v>0.30154220779220781</v>
      </c>
      <c r="N94" s="41">
        <f t="shared" si="190"/>
        <v>0.22399328859060402</v>
      </c>
      <c r="O94" s="41">
        <f t="shared" si="190"/>
        <v>9.8529411764705879E-2</v>
      </c>
      <c r="P94" s="41">
        <f t="shared" si="190"/>
        <v>0.29905335628227192</v>
      </c>
      <c r="Q94" s="41">
        <f t="shared" si="190"/>
        <v>0.31461538461538463</v>
      </c>
      <c r="R94" s="41">
        <f t="shared" si="190"/>
        <v>0.23469903894790087</v>
      </c>
      <c r="S94" s="41">
        <f t="shared" si="190"/>
        <v>0.28983788058521154</v>
      </c>
      <c r="T94" s="41">
        <f t="shared" si="190"/>
        <v>0.26058091286307056</v>
      </c>
      <c r="U94" s="41">
        <f t="shared" si="190"/>
        <v>0.28576879053796261</v>
      </c>
      <c r="V94" s="41">
        <f t="shared" si="190"/>
        <v>0.26219512195121952</v>
      </c>
      <c r="W94" s="41">
        <f t="shared" si="190"/>
        <v>0.28512396694214875</v>
      </c>
      <c r="X94" s="41">
        <f t="shared" ref="X94:Z94" si="191">X85/X84</f>
        <v>0.32398980706224972</v>
      </c>
      <c r="Y94" s="41">
        <f>Y85/Y84</f>
        <v>0.28421052631578947</v>
      </c>
      <c r="Z94" s="41">
        <f t="shared" si="191"/>
        <v>0.21958584987057808</v>
      </c>
      <c r="AA94" s="41">
        <f t="shared" ref="AA94:AC94" si="192">AA85/AA84</f>
        <v>0.22935779816513763</v>
      </c>
      <c r="AB94" s="41">
        <f t="shared" si="192"/>
        <v>0.27565039462145574</v>
      </c>
      <c r="AC94" s="41">
        <f t="shared" si="192"/>
        <v>0.12385165022116366</v>
      </c>
      <c r="AD94" s="41">
        <f>AD85/AD84</f>
        <v>0.26192619261926192</v>
      </c>
      <c r="AE94" s="41">
        <f>AE85/AE84</f>
        <v>0.28650239058477384</v>
      </c>
      <c r="AF94" s="41">
        <v>0.28000000000000003</v>
      </c>
      <c r="AG94" s="41">
        <v>0.28000000000000003</v>
      </c>
      <c r="AH94" s="41">
        <v>0.28000000000000003</v>
      </c>
      <c r="AI94" s="41"/>
      <c r="AJ94" s="41"/>
      <c r="AK94" s="41"/>
      <c r="AL94" s="41"/>
      <c r="AM94" s="41"/>
      <c r="AN94" s="41"/>
      <c r="AO94" s="41"/>
      <c r="AP94" s="41"/>
      <c r="AQ94" s="41"/>
      <c r="AR94" s="41"/>
      <c r="AS94" s="41"/>
      <c r="AT94" s="41"/>
      <c r="AU94" s="41"/>
      <c r="AV94" s="41"/>
      <c r="AW94" s="41"/>
      <c r="AX94" s="41"/>
      <c r="AY94" s="41"/>
      <c r="AZ94" s="41"/>
      <c r="BA94" s="41"/>
      <c r="BB94" s="41"/>
      <c r="BC94" s="41"/>
      <c r="BD94" s="41"/>
      <c r="BE94" s="41"/>
      <c r="BF94" s="41"/>
      <c r="BG94" s="41"/>
      <c r="BH94" s="41"/>
      <c r="BI94" s="41"/>
      <c r="BJ94" s="41"/>
      <c r="BK94" s="64"/>
      <c r="BL94" s="64"/>
      <c r="BM94" s="64"/>
      <c r="BN94" s="64"/>
      <c r="BO94" s="64">
        <f t="shared" ref="BO94" si="193">+BO85/BO84</f>
        <v>0.20383602858217376</v>
      </c>
      <c r="BP94" s="64">
        <f t="shared" ref="BP94" si="194">+BP85/BP84</f>
        <v>0.22064777327935223</v>
      </c>
      <c r="BQ94" s="64">
        <f t="shared" ref="BQ94:BR94" si="195">+BQ85/BQ84</f>
        <v>0.2209420535411725</v>
      </c>
      <c r="BR94" s="64">
        <f t="shared" si="195"/>
        <v>0.22052067381316998</v>
      </c>
      <c r="BS94" s="64">
        <f t="shared" ref="BS94" si="196">+BS85/BS84</f>
        <v>0.21034077555816685</v>
      </c>
      <c r="BT94" s="64">
        <f t="shared" ref="BT94:BU94" si="197">+BT85/BT84</f>
        <v>0.20922795797167656</v>
      </c>
      <c r="BU94" s="64">
        <f t="shared" si="197"/>
        <v>0.21220846530377196</v>
      </c>
      <c r="BV94" s="64">
        <f t="shared" ref="BV94:BW94" si="198">+BV85/BV84</f>
        <v>0.203865623561896</v>
      </c>
      <c r="BW94" s="64">
        <f t="shared" si="198"/>
        <v>0.18854655056932351</v>
      </c>
      <c r="BX94" s="64">
        <f t="shared" ref="BX94:CF94" si="199">+BX85/BX84</f>
        <v>0.1890881913303438</v>
      </c>
      <c r="BY94" s="64">
        <f t="shared" si="199"/>
        <v>0.18911625815156285</v>
      </c>
      <c r="BZ94" s="64">
        <f t="shared" si="199"/>
        <v>0.20593692022263452</v>
      </c>
      <c r="CA94" s="64">
        <f t="shared" si="199"/>
        <v>0.18857142857142858</v>
      </c>
      <c r="CB94" s="64">
        <f t="shared" si="199"/>
        <v>0.18889716840536513</v>
      </c>
      <c r="CC94" s="64">
        <f t="shared" si="199"/>
        <v>0.18986058301647654</v>
      </c>
      <c r="CD94" s="64">
        <f t="shared" si="199"/>
        <v>0.34192570128885519</v>
      </c>
      <c r="CE94" s="64">
        <f t="shared" si="199"/>
        <v>0.20749999999999999</v>
      </c>
      <c r="CF94" s="64">
        <f t="shared" si="199"/>
        <v>0.20755408874220754</v>
      </c>
      <c r="CG94" s="64">
        <f t="shared" ref="CG94:CI94" si="200">+CG85/CG84</f>
        <v>0.16610322289835475</v>
      </c>
      <c r="CH94" s="64">
        <f t="shared" si="200"/>
        <v>0.18560794044665013</v>
      </c>
      <c r="CI94" s="64">
        <f t="shared" si="200"/>
        <v>0.21801612337889942</v>
      </c>
      <c r="CJ94" s="64"/>
      <c r="CK94" s="64"/>
      <c r="CL94" s="64"/>
      <c r="CM94" s="64"/>
      <c r="CN94" s="41"/>
      <c r="CT94" s="41">
        <f>CT85/CT84</f>
        <v>0.27456023042896821</v>
      </c>
      <c r="CU94" s="41">
        <f>CU85/CU84</f>
        <v>0.28074033351658423</v>
      </c>
      <c r="CV94" s="41">
        <v>0.25</v>
      </c>
      <c r="CW94" s="41">
        <v>0.25</v>
      </c>
      <c r="CX94" s="41">
        <v>0.25</v>
      </c>
      <c r="CY94" s="41">
        <v>0.25</v>
      </c>
      <c r="CZ94" s="41">
        <v>0.25</v>
      </c>
      <c r="DA94" s="41">
        <v>0.25</v>
      </c>
      <c r="DB94" s="41">
        <v>0.25</v>
      </c>
      <c r="DC94" s="41">
        <v>0.25</v>
      </c>
      <c r="DN94" s="1" t="s">
        <v>206</v>
      </c>
      <c r="DO94" s="47">
        <v>0.12</v>
      </c>
      <c r="DP94" s="1" t="s">
        <v>313</v>
      </c>
    </row>
    <row r="95" spans="2:170" x14ac:dyDescent="0.2">
      <c r="M95" s="41"/>
      <c r="N95" s="41"/>
      <c r="O95" s="41"/>
      <c r="P95" s="41"/>
      <c r="Q95" s="41"/>
      <c r="R95" s="41"/>
      <c r="S95" s="41"/>
      <c r="T95" s="41"/>
      <c r="U95" s="41"/>
      <c r="V95" s="41"/>
      <c r="W95" s="41"/>
      <c r="X95" s="41"/>
      <c r="Y95" s="41"/>
      <c r="Z95" s="41"/>
      <c r="AA95" s="41"/>
      <c r="AB95" s="41"/>
      <c r="AC95" s="41"/>
      <c r="AD95" s="41"/>
      <c r="AE95" s="41"/>
      <c r="AF95" s="41"/>
      <c r="AG95" s="41"/>
      <c r="AH95" s="41"/>
      <c r="AI95" s="41"/>
      <c r="AJ95" s="41"/>
      <c r="AK95" s="41"/>
      <c r="AL95" s="41"/>
      <c r="AM95" s="41"/>
      <c r="AN95" s="41"/>
      <c r="AO95" s="41"/>
      <c r="AP95" s="41"/>
      <c r="AQ95" s="41"/>
      <c r="AR95" s="41"/>
      <c r="AS95" s="41"/>
      <c r="AT95" s="41"/>
      <c r="AU95" s="41"/>
      <c r="AV95" s="41"/>
      <c r="AW95" s="41"/>
      <c r="AX95" s="41"/>
      <c r="AY95" s="41"/>
      <c r="AZ95" s="41"/>
      <c r="BA95" s="41"/>
      <c r="BB95" s="41"/>
      <c r="BC95" s="41"/>
      <c r="BD95" s="41"/>
      <c r="BE95" s="41"/>
      <c r="BF95" s="41"/>
      <c r="BG95" s="41"/>
      <c r="BH95" s="41"/>
      <c r="BI95" s="41"/>
      <c r="BJ95" s="41"/>
      <c r="BK95" s="64"/>
      <c r="BL95" s="64"/>
      <c r="BM95" s="64"/>
      <c r="BN95" s="64"/>
      <c r="BO95" s="64"/>
      <c r="BP95" s="64"/>
      <c r="BQ95" s="64"/>
      <c r="BR95" s="64"/>
      <c r="BS95" s="64"/>
      <c r="BT95" s="64"/>
      <c r="BU95" s="64"/>
      <c r="BV95" s="64"/>
      <c r="BW95" s="64"/>
      <c r="BX95" s="64"/>
      <c r="BY95" s="64"/>
      <c r="BZ95" s="64"/>
      <c r="CA95" s="64"/>
      <c r="CB95" s="64"/>
      <c r="CC95" s="64"/>
      <c r="CD95" s="64"/>
      <c r="CE95" s="64"/>
      <c r="CF95" s="64"/>
      <c r="CG95" s="64"/>
      <c r="CH95" s="64"/>
      <c r="CI95" s="64"/>
      <c r="CJ95" s="64"/>
      <c r="CK95" s="64"/>
      <c r="CL95" s="64"/>
      <c r="CM95" s="64"/>
      <c r="CN95" s="41"/>
      <c r="CT95" s="41"/>
      <c r="CU95" s="41"/>
      <c r="CV95" s="41"/>
      <c r="CW95" s="41"/>
      <c r="CX95" s="41"/>
      <c r="CY95" s="41"/>
      <c r="CZ95" s="41"/>
      <c r="DA95" s="41"/>
      <c r="DB95" s="41"/>
      <c r="DC95" s="41"/>
      <c r="DN95" s="1" t="s">
        <v>207</v>
      </c>
      <c r="DO95" s="27">
        <f>NPV($DO$94,CX89:FP89)+Main!K5-Main!K6+CW89</f>
        <v>121200.62986976348</v>
      </c>
      <c r="DP95" s="1" t="s">
        <v>208</v>
      </c>
    </row>
    <row r="96" spans="2:170" s="11" customFormat="1" x14ac:dyDescent="0.2">
      <c r="B96" s="11" t="s">
        <v>170</v>
      </c>
      <c r="C96" s="39"/>
      <c r="D96" s="39"/>
      <c r="E96" s="39"/>
      <c r="F96" s="39"/>
      <c r="G96" s="39"/>
      <c r="H96" s="39"/>
      <c r="I96" s="39"/>
      <c r="J96" s="39"/>
      <c r="K96" s="39"/>
      <c r="L96" s="39"/>
      <c r="M96" s="39"/>
      <c r="N96" s="39"/>
      <c r="O96" s="42">
        <f t="shared" ref="O96:V96" si="201">O76/K76-1</f>
        <v>2.0184790334043967E-2</v>
      </c>
      <c r="P96" s="42">
        <f t="shared" si="201"/>
        <v>-2.005366473661907E-2</v>
      </c>
      <c r="Q96" s="42">
        <f t="shared" si="201"/>
        <v>1.7968410375307942E-2</v>
      </c>
      <c r="R96" s="42">
        <f t="shared" si="201"/>
        <v>-6.0494834148994037E-2</v>
      </c>
      <c r="S96" s="42">
        <f t="shared" si="201"/>
        <v>-3.5948167758116156E-2</v>
      </c>
      <c r="T96" s="42">
        <f t="shared" si="201"/>
        <v>-3.6028246144977683E-2</v>
      </c>
      <c r="U96" s="42">
        <f>U76/Q76-1</f>
        <v>-2.4483985765124561E-2</v>
      </c>
      <c r="V96" s="42">
        <f t="shared" si="201"/>
        <v>2.5756041093908166E-2</v>
      </c>
      <c r="W96" s="42">
        <f t="shared" ref="W96:X96" si="202">W76/S76-1</f>
        <v>2.7171556583321266E-2</v>
      </c>
      <c r="X96" s="42">
        <f t="shared" si="202"/>
        <v>0.11257288084915529</v>
      </c>
      <c r="Y96" s="42">
        <f t="shared" ref="Y96:AE96" si="203">Y76/U76-1</f>
        <v>7.9819057347147337E-2</v>
      </c>
      <c r="Z96" s="42">
        <f t="shared" si="203"/>
        <v>3.83693045563549E-2</v>
      </c>
      <c r="AA96" s="42">
        <f t="shared" si="203"/>
        <v>0.11129871957225279</v>
      </c>
      <c r="AB96" s="42">
        <f t="shared" si="203"/>
        <v>4.5821015855952663E-2</v>
      </c>
      <c r="AC96" s="42">
        <f t="shared" si="203"/>
        <v>5.6891891891891921E-2</v>
      </c>
      <c r="AD96" s="42">
        <f t="shared" si="203"/>
        <v>4.6189376443417363E-3</v>
      </c>
      <c r="AE96" s="42">
        <f t="shared" si="203"/>
        <v>-1.5067105596353492E-2</v>
      </c>
      <c r="AF96" s="42"/>
      <c r="AG96" s="42"/>
      <c r="AH96" s="42"/>
      <c r="AI96" s="42"/>
      <c r="AJ96" s="42"/>
      <c r="AK96" s="42"/>
      <c r="AL96" s="42"/>
      <c r="AM96" s="42"/>
      <c r="AN96" s="42"/>
      <c r="AO96" s="42"/>
      <c r="AP96" s="42"/>
      <c r="AQ96" s="42"/>
      <c r="AR96" s="42"/>
      <c r="AS96" s="42"/>
      <c r="AT96" s="42"/>
      <c r="AU96" s="42"/>
      <c r="AV96" s="42"/>
      <c r="AW96" s="42"/>
      <c r="AX96" s="42"/>
      <c r="AY96" s="42"/>
      <c r="AZ96" s="42"/>
      <c r="BA96" s="42"/>
      <c r="BB96" s="42"/>
      <c r="BC96" s="42"/>
      <c r="BD96" s="42"/>
      <c r="BE96" s="42"/>
      <c r="BF96" s="42"/>
      <c r="BG96" s="42"/>
      <c r="BH96" s="42"/>
      <c r="BI96" s="42"/>
      <c r="BJ96" s="42"/>
      <c r="BK96" s="65"/>
      <c r="BL96" s="65"/>
      <c r="BM96" s="65"/>
      <c r="BN96" s="65"/>
      <c r="BO96" s="65"/>
      <c r="BP96" s="65"/>
      <c r="BQ96" s="65"/>
      <c r="BR96" s="65"/>
      <c r="BS96" s="65">
        <f>+BS76/BO76-1</f>
        <v>-4.2572160927226155E-2</v>
      </c>
      <c r="BT96" s="65">
        <f>+BT76/BP76-1</f>
        <v>6.5431948336785561E-2</v>
      </c>
      <c r="BU96" s="65">
        <f>+BU76/BQ76-1</f>
        <v>0.1005380314379154</v>
      </c>
      <c r="BV96" s="65">
        <f>+BV76/BR76-1</f>
        <v>6.5231293967171089E-2</v>
      </c>
      <c r="BW96" s="65">
        <f t="shared" ref="BW96" si="204">+BW76/BS76-1</f>
        <v>0.12594575718775469</v>
      </c>
      <c r="BX96" s="65">
        <f>+BX76/BT76-1</f>
        <v>0.15690759377859109</v>
      </c>
      <c r="BY96" s="65">
        <f t="shared" ref="BY96:CH96" si="205">+BY76/BU76-1</f>
        <v>0.19651073619631898</v>
      </c>
      <c r="BZ96" s="65">
        <f t="shared" si="205"/>
        <v>7.3043826295777547E-2</v>
      </c>
      <c r="CA96" s="65">
        <f t="shared" si="205"/>
        <v>5.6652537992349927E-2</v>
      </c>
      <c r="CB96" s="65">
        <f t="shared" si="205"/>
        <v>-1.4926848556741756E-2</v>
      </c>
      <c r="CC96" s="65">
        <f t="shared" si="205"/>
        <v>-4.1499759653901624E-2</v>
      </c>
      <c r="CD96" s="65">
        <f t="shared" si="205"/>
        <v>-9.5113763521074257E-2</v>
      </c>
      <c r="CE96" s="65">
        <f>+CE76/CA76-1</f>
        <v>2.3774581743469358E-2</v>
      </c>
      <c r="CF96" s="65">
        <f t="shared" si="205"/>
        <v>7.8273958855995973E-2</v>
      </c>
      <c r="CG96" s="65">
        <f t="shared" si="205"/>
        <v>0.12328652624540282</v>
      </c>
      <c r="CH96" s="65">
        <f t="shared" si="205"/>
        <v>8.8520197856553962E-2</v>
      </c>
      <c r="CI96" s="65">
        <f t="shared" ref="CI96" si="206">+CI76/CE76-1</f>
        <v>-5.4281345565749262E-2</v>
      </c>
      <c r="CJ96" s="65">
        <f t="shared" ref="CJ96" si="207">+CJ76/CF76-1</f>
        <v>-3.8768729641693755E-2</v>
      </c>
      <c r="CK96" s="65">
        <f t="shared" ref="CK96" si="208">+CK76/CG76-1</f>
        <v>-8.7690304338120528E-2</v>
      </c>
      <c r="CL96" s="65">
        <f t="shared" ref="CL96" si="209">+CL76/CH76-1</f>
        <v>1.9396951623591674E-2</v>
      </c>
      <c r="CM96" s="65"/>
      <c r="CN96" s="42"/>
      <c r="CO96" s="45"/>
      <c r="CP96" s="45"/>
      <c r="CQ96" s="45"/>
      <c r="CR96" s="45"/>
      <c r="CS96" s="42">
        <f>CS76/CR76-1</f>
        <v>-1.1313572762837953E-2</v>
      </c>
      <c r="CT96" s="42">
        <f t="shared" ref="CT96:CY96" si="210">CT76/CS76-1</f>
        <v>-1.7895337230857011E-2</v>
      </c>
      <c r="CU96" s="42">
        <f t="shared" si="210"/>
        <v>6.3883847549909278E-2</v>
      </c>
      <c r="CV96" s="42">
        <f t="shared" si="210"/>
        <v>3.7700443534629757E-2</v>
      </c>
      <c r="CW96" s="42">
        <f t="shared" si="210"/>
        <v>-8.8696366924214676E-3</v>
      </c>
      <c r="CX96" s="42">
        <f t="shared" si="210"/>
        <v>-3.3663060457657656E-2</v>
      </c>
      <c r="CY96" s="42">
        <f t="shared" si="210"/>
        <v>-5.5654504717852049E-2</v>
      </c>
      <c r="CZ96" s="42">
        <f>CZ76/CY76-1</f>
        <v>-4.5349036594959591E-2</v>
      </c>
      <c r="DA96" s="42">
        <f>DA76/CZ76-1</f>
        <v>-1.9877723922329449E-2</v>
      </c>
      <c r="DB96" s="42">
        <f>DB76/DA76-1</f>
        <v>-4.5355557432140592E-2</v>
      </c>
      <c r="DC96" s="42">
        <f>DC76/DB76-1</f>
        <v>-9.2156395641669664E-2</v>
      </c>
      <c r="DN96" s="19" t="s">
        <v>338</v>
      </c>
      <c r="DO96" s="21">
        <f>DO95/Main!K3</f>
        <v>96.882997497812525</v>
      </c>
      <c r="DP96" s="1"/>
    </row>
    <row r="97" spans="2:120" s="11" customFormat="1" x14ac:dyDescent="0.2">
      <c r="B97" s="11" t="s">
        <v>308</v>
      </c>
      <c r="C97" s="39"/>
      <c r="D97" s="39"/>
      <c r="E97" s="39"/>
      <c r="F97" s="39"/>
      <c r="G97" s="39"/>
      <c r="H97" s="39"/>
      <c r="I97" s="39"/>
      <c r="J97" s="39"/>
      <c r="K97" s="39"/>
      <c r="L97" s="39"/>
      <c r="M97" s="39"/>
      <c r="N97" s="39"/>
      <c r="O97" s="42"/>
      <c r="P97" s="42"/>
      <c r="Q97" s="42"/>
      <c r="R97" s="42"/>
      <c r="S97" s="42"/>
      <c r="T97" s="42"/>
      <c r="U97" s="42"/>
      <c r="V97" s="42"/>
      <c r="W97" s="42"/>
      <c r="X97" s="42"/>
      <c r="Y97" s="42"/>
      <c r="Z97" s="42"/>
      <c r="AA97" s="42"/>
      <c r="AB97" s="42">
        <v>-1.2E-2</v>
      </c>
      <c r="AC97" s="42"/>
      <c r="AD97" s="42"/>
      <c r="AE97" s="42">
        <v>-5.1999999999999998E-2</v>
      </c>
      <c r="AF97" s="42"/>
      <c r="AG97" s="42"/>
      <c r="AH97" s="42"/>
      <c r="AI97" s="42"/>
      <c r="AJ97" s="42"/>
      <c r="AK97" s="42"/>
      <c r="AL97" s="42"/>
      <c r="AM97" s="42"/>
      <c r="AN97" s="42"/>
      <c r="AO97" s="42">
        <v>6.0000000000000001E-3</v>
      </c>
      <c r="AP97" s="42"/>
      <c r="AQ97" s="42"/>
      <c r="AR97" s="42"/>
      <c r="AS97" s="42"/>
      <c r="AT97" s="42"/>
      <c r="AU97" s="42"/>
      <c r="AV97" s="42"/>
      <c r="AW97" s="42"/>
      <c r="AX97" s="42"/>
      <c r="AY97" s="42"/>
      <c r="AZ97" s="42"/>
      <c r="BA97" s="42"/>
      <c r="BB97" s="42"/>
      <c r="BC97" s="42"/>
      <c r="BD97" s="42"/>
      <c r="BE97" s="42"/>
      <c r="BF97" s="42"/>
      <c r="BG97" s="42"/>
      <c r="BH97" s="42"/>
      <c r="BI97" s="42"/>
      <c r="BJ97" s="42"/>
      <c r="BK97" s="65"/>
      <c r="BL97" s="65"/>
      <c r="BM97" s="65"/>
      <c r="BN97" s="65"/>
      <c r="BO97" s="65"/>
      <c r="BP97" s="65"/>
      <c r="BQ97" s="65"/>
      <c r="BR97" s="65"/>
      <c r="BS97" s="65"/>
      <c r="BT97" s="65"/>
      <c r="BU97" s="65"/>
      <c r="BV97" s="65"/>
      <c r="BW97" s="65"/>
      <c r="BX97" s="65">
        <v>8.1000000000000003E-2</v>
      </c>
      <c r="BY97" s="65">
        <v>0.09</v>
      </c>
      <c r="BZ97" s="65">
        <v>2.5999999999999999E-2</v>
      </c>
      <c r="CA97" s="65">
        <v>5.5E-2</v>
      </c>
      <c r="CB97" s="65">
        <v>4.3999999999999997E-2</v>
      </c>
      <c r="CC97" s="65">
        <v>3.2000000000000001E-2</v>
      </c>
      <c r="CD97" s="65">
        <v>9.2999999999999999E-2</v>
      </c>
      <c r="CE97" s="65">
        <v>6.7000000000000004E-2</v>
      </c>
      <c r="CF97" s="65">
        <v>0.10199999999999999</v>
      </c>
      <c r="CG97" s="65">
        <v>0.157</v>
      </c>
      <c r="CH97" s="65">
        <v>0.10299999999999999</v>
      </c>
      <c r="CI97" s="65">
        <v>9.7000000000000003E-2</v>
      </c>
      <c r="CJ97" s="65"/>
      <c r="CK97" s="65"/>
      <c r="CL97" s="65"/>
      <c r="CM97" s="65"/>
      <c r="CN97" s="42"/>
      <c r="CO97" s="45"/>
      <c r="CP97" s="45"/>
      <c r="CQ97" s="45"/>
      <c r="CR97" s="45"/>
      <c r="CS97" s="42"/>
      <c r="CT97" s="42"/>
      <c r="CU97" s="42"/>
      <c r="CV97" s="42"/>
      <c r="CW97" s="42"/>
      <c r="CX97" s="42"/>
      <c r="CY97" s="42"/>
      <c r="CZ97" s="42"/>
      <c r="DA97" s="42"/>
      <c r="DB97" s="42"/>
      <c r="DC97" s="42"/>
      <c r="DJ97" s="78">
        <v>0.113</v>
      </c>
      <c r="DN97" s="19" t="s">
        <v>339</v>
      </c>
      <c r="DO97" s="25">
        <f>DO96/Main!K2-1</f>
        <v>6.4648324151785896E-2</v>
      </c>
      <c r="DP97" s="1"/>
    </row>
    <row r="98" spans="2:120" s="19" customFormat="1" x14ac:dyDescent="0.2">
      <c r="B98" s="19" t="s">
        <v>561</v>
      </c>
      <c r="C98" s="32"/>
      <c r="D98" s="32"/>
      <c r="E98" s="32"/>
      <c r="F98" s="32"/>
      <c r="G98" s="32"/>
      <c r="H98" s="32"/>
      <c r="I98" s="32"/>
      <c r="J98" s="32"/>
      <c r="K98" s="32"/>
      <c r="L98" s="32"/>
      <c r="M98" s="32"/>
      <c r="N98" s="32"/>
      <c r="O98" s="43"/>
      <c r="P98" s="43"/>
      <c r="Q98" s="43"/>
      <c r="R98" s="43"/>
      <c r="S98" s="43"/>
      <c r="T98" s="43"/>
      <c r="U98" s="43"/>
      <c r="V98" s="43"/>
      <c r="W98" s="43"/>
      <c r="X98" s="43"/>
      <c r="Y98" s="43"/>
      <c r="Z98" s="43"/>
      <c r="AA98" s="43"/>
      <c r="AB98" s="43"/>
      <c r="AC98" s="43"/>
      <c r="AD98" s="43"/>
      <c r="AE98" s="43"/>
      <c r="AF98" s="43"/>
      <c r="AG98" s="43"/>
      <c r="AH98" s="43"/>
      <c r="AI98" s="43"/>
      <c r="AJ98" s="43"/>
      <c r="AK98" s="43"/>
      <c r="AL98" s="43"/>
      <c r="AM98" s="43"/>
      <c r="AN98" s="43"/>
      <c r="AO98" s="43"/>
      <c r="AP98" s="43"/>
      <c r="AQ98" s="43"/>
      <c r="AR98" s="43"/>
      <c r="AS98" s="43"/>
      <c r="AT98" s="43"/>
      <c r="AU98" s="43"/>
      <c r="AV98" s="43"/>
      <c r="AW98" s="43"/>
      <c r="AX98" s="43"/>
      <c r="AY98" s="43"/>
      <c r="AZ98" s="43"/>
      <c r="BA98" s="43"/>
      <c r="BB98" s="43"/>
      <c r="BC98" s="43"/>
      <c r="BD98" s="43"/>
      <c r="BE98" s="43"/>
      <c r="BF98" s="43"/>
      <c r="BG98" s="43"/>
      <c r="BH98" s="43"/>
      <c r="BI98" s="43"/>
      <c r="BJ98" s="43"/>
      <c r="BK98" s="66"/>
      <c r="BL98" s="66"/>
      <c r="BM98" s="66"/>
      <c r="BN98" s="66"/>
      <c r="BO98" s="66"/>
      <c r="BP98" s="66"/>
      <c r="BQ98" s="66"/>
      <c r="BR98" s="66"/>
      <c r="BS98" s="66">
        <f t="shared" ref="BS98:CA98" si="211">+BS3/BO3-1</f>
        <v>0.34922680412371143</v>
      </c>
      <c r="BT98" s="66">
        <f t="shared" si="211"/>
        <v>0.44871794871794868</v>
      </c>
      <c r="BU98" s="66">
        <f t="shared" si="211"/>
        <v>0.53594771241830075</v>
      </c>
      <c r="BV98" s="66">
        <f t="shared" si="211"/>
        <v>0.57739307535641538</v>
      </c>
      <c r="BW98" s="66">
        <f t="shared" si="211"/>
        <v>0.54154727793696278</v>
      </c>
      <c r="BX98" s="66">
        <f t="shared" si="211"/>
        <v>0.57924376508447306</v>
      </c>
      <c r="BY98" s="66">
        <f t="shared" si="211"/>
        <v>0.64113475177304968</v>
      </c>
      <c r="BZ98" s="66">
        <f t="shared" si="211"/>
        <v>0.55067785668173008</v>
      </c>
      <c r="CA98" s="66">
        <f t="shared" si="211"/>
        <v>0.43494423791821557</v>
      </c>
      <c r="CB98" s="66">
        <f t="shared" ref="CB98:CG98" si="212">+CB3/BX3-1</f>
        <v>0.30514518593988793</v>
      </c>
      <c r="CC98" s="66">
        <f t="shared" si="212"/>
        <v>0.2303370786516854</v>
      </c>
      <c r="CD98" s="66">
        <f t="shared" si="212"/>
        <v>0.24479600333055784</v>
      </c>
      <c r="CE98" s="66">
        <f t="shared" si="212"/>
        <v>0.22409326424870457</v>
      </c>
      <c r="CF98" s="66">
        <f t="shared" si="212"/>
        <v>0.28922716627634659</v>
      </c>
      <c r="CG98" s="66">
        <f t="shared" si="212"/>
        <v>0.22093431682472775</v>
      </c>
      <c r="CH98" s="66">
        <f t="shared" ref="CH98:CL99" si="213">+CH3/CD3-1</f>
        <v>0.15652173913043477</v>
      </c>
      <c r="CI98" s="66">
        <f t="shared" si="213"/>
        <v>0.22751322751322745</v>
      </c>
      <c r="CJ98" s="66">
        <f t="shared" si="213"/>
        <v>0.19999999999999996</v>
      </c>
      <c r="CK98" s="66">
        <f t="shared" si="213"/>
        <v>0.19999999999999996</v>
      </c>
      <c r="CL98" s="66">
        <f t="shared" si="213"/>
        <v>0.19999999999999973</v>
      </c>
      <c r="CM98" s="66"/>
      <c r="CN98" s="43"/>
      <c r="CO98" s="33"/>
      <c r="CP98" s="33"/>
      <c r="CQ98" s="33"/>
      <c r="CR98" s="33"/>
      <c r="CS98" s="43"/>
      <c r="CT98" s="43"/>
      <c r="CU98" s="43"/>
      <c r="CV98" s="43"/>
      <c r="CW98" s="43"/>
      <c r="CX98" s="43"/>
      <c r="CY98" s="43"/>
      <c r="CZ98" s="43"/>
      <c r="DA98" s="43"/>
      <c r="DB98" s="43"/>
      <c r="DC98" s="43"/>
      <c r="DO98" s="73"/>
    </row>
    <row r="99" spans="2:120" s="19" customFormat="1" x14ac:dyDescent="0.2">
      <c r="B99" s="19" t="s">
        <v>283</v>
      </c>
      <c r="C99" s="32"/>
      <c r="D99" s="32"/>
      <c r="E99" s="32"/>
      <c r="F99" s="32"/>
      <c r="G99" s="32"/>
      <c r="H99" s="32"/>
      <c r="I99" s="32"/>
      <c r="J99" s="32"/>
      <c r="K99" s="32"/>
      <c r="L99" s="43"/>
      <c r="M99" s="43"/>
      <c r="N99" s="43"/>
      <c r="O99" s="43">
        <f t="shared" ref="O99:AE99" si="214">O4/K4-1</f>
        <v>0.19895287958115193</v>
      </c>
      <c r="P99" s="43">
        <f t="shared" si="214"/>
        <v>0.19477434679334915</v>
      </c>
      <c r="Q99" s="43">
        <f t="shared" si="214"/>
        <v>0.25728155339805836</v>
      </c>
      <c r="R99" s="43">
        <f t="shared" si="214"/>
        <v>0.22394678492239461</v>
      </c>
      <c r="S99" s="43">
        <f t="shared" si="214"/>
        <v>0.21615720524017457</v>
      </c>
      <c r="T99" s="43">
        <f t="shared" si="214"/>
        <v>0.14512922465208744</v>
      </c>
      <c r="U99" s="43">
        <f t="shared" si="214"/>
        <v>0.18146718146718155</v>
      </c>
      <c r="V99" s="43">
        <f t="shared" si="214"/>
        <v>0.27717391304347827</v>
      </c>
      <c r="W99" s="43">
        <f t="shared" si="214"/>
        <v>0.34111310592459598</v>
      </c>
      <c r="X99" s="43">
        <f t="shared" si="214"/>
        <v>0.375</v>
      </c>
      <c r="Y99" s="43">
        <f t="shared" si="214"/>
        <v>0.2712418300653594</v>
      </c>
      <c r="Z99" s="43">
        <f t="shared" si="214"/>
        <v>8.2269503546099187E-2</v>
      </c>
      <c r="AA99" s="43">
        <f t="shared" si="214"/>
        <v>5.7563587684069661E-2</v>
      </c>
      <c r="AB99" s="43">
        <f t="shared" si="214"/>
        <v>0.16919191919191912</v>
      </c>
      <c r="AC99" s="43">
        <f t="shared" si="214"/>
        <v>0.15681233933161964</v>
      </c>
      <c r="AD99" s="43">
        <f t="shared" si="214"/>
        <v>0.17169069462647446</v>
      </c>
      <c r="AE99" s="43">
        <f t="shared" si="214"/>
        <v>0.17088607594936711</v>
      </c>
      <c r="AF99" s="43"/>
      <c r="AG99" s="43"/>
      <c r="AH99" s="43"/>
      <c r="AI99" s="43"/>
      <c r="AJ99" s="43"/>
      <c r="AK99" s="43"/>
      <c r="AL99" s="43"/>
      <c r="AM99" s="43"/>
      <c r="AN99" s="43"/>
      <c r="AO99" s="43"/>
      <c r="AP99" s="43"/>
      <c r="AQ99" s="43"/>
      <c r="AR99" s="43"/>
      <c r="AS99" s="43"/>
      <c r="AT99" s="43"/>
      <c r="AU99" s="43"/>
      <c r="AV99" s="43"/>
      <c r="AW99" s="43"/>
      <c r="AX99" s="43"/>
      <c r="AY99" s="43"/>
      <c r="AZ99" s="43"/>
      <c r="BA99" s="43"/>
      <c r="BB99" s="43"/>
      <c r="BC99" s="43"/>
      <c r="BD99" s="43"/>
      <c r="BE99" s="43"/>
      <c r="BF99" s="43"/>
      <c r="BG99" s="43"/>
      <c r="BH99" s="43"/>
      <c r="BI99" s="43"/>
      <c r="BJ99" s="43"/>
      <c r="BK99" s="66"/>
      <c r="BL99" s="66"/>
      <c r="BM99" s="66"/>
      <c r="BN99" s="66"/>
      <c r="BO99" s="66"/>
      <c r="BP99" s="66"/>
      <c r="BQ99" s="66"/>
      <c r="BR99" s="66"/>
      <c r="BS99" s="66">
        <f>+BS4/BO4-1</f>
        <v>-9.9447513812154664E-2</v>
      </c>
      <c r="BT99" s="66">
        <f t="shared" ref="BT99:CD99" si="215">+BT4/BP4-1</f>
        <v>-8.0808080808080773E-2</v>
      </c>
      <c r="BU99" s="66">
        <f t="shared" si="215"/>
        <v>-5.3272450532724558E-2</v>
      </c>
      <c r="BV99" s="66">
        <f t="shared" si="215"/>
        <v>-6.8143100511073307E-3</v>
      </c>
      <c r="BW99" s="66">
        <f t="shared" si="215"/>
        <v>2.914110429447847E-2</v>
      </c>
      <c r="BX99" s="66">
        <f t="shared" si="215"/>
        <v>-5.8084772370486704E-2</v>
      </c>
      <c r="BY99" s="66">
        <f t="shared" si="215"/>
        <v>-0.1012861736334405</v>
      </c>
      <c r="BZ99" s="66">
        <f t="shared" si="215"/>
        <v>-0.26415094339622647</v>
      </c>
      <c r="CA99" s="66">
        <f t="shared" si="215"/>
        <v>-0.33383010432190763</v>
      </c>
      <c r="CB99" s="66">
        <f t="shared" si="215"/>
        <v>-0.41166666666666663</v>
      </c>
      <c r="CC99" s="66">
        <f t="shared" si="215"/>
        <v>-0.38640429338103754</v>
      </c>
      <c r="CD99" s="66">
        <f t="shared" si="215"/>
        <v>-0.35431235431235431</v>
      </c>
      <c r="CE99" s="66">
        <f>+CE4/CA4-1</f>
        <v>-0.19463087248322153</v>
      </c>
      <c r="CF99" s="66">
        <f>+CF4/CB4-1</f>
        <v>0.12747875354107641</v>
      </c>
      <c r="CG99" s="66">
        <f>+CG4/CC4-1</f>
        <v>0.2565597667638484</v>
      </c>
      <c r="CH99" s="66">
        <f t="shared" si="213"/>
        <v>0.58483754512635389</v>
      </c>
      <c r="CI99" s="66">
        <f t="shared" si="213"/>
        <v>0.25</v>
      </c>
      <c r="CJ99" s="66">
        <f t="shared" si="213"/>
        <v>-9.9999999999999978E-2</v>
      </c>
      <c r="CK99" s="66">
        <f t="shared" si="213"/>
        <v>-9.9999999999999867E-2</v>
      </c>
      <c r="CL99" s="66">
        <f t="shared" si="213"/>
        <v>-9.9999999999999978E-2</v>
      </c>
      <c r="CM99" s="66"/>
      <c r="CN99" s="43"/>
      <c r="CO99" s="33"/>
      <c r="CP99" s="33"/>
      <c r="CQ99" s="33"/>
      <c r="CR99" s="33"/>
      <c r="CS99" s="43"/>
      <c r="CT99" s="43"/>
      <c r="CU99" s="43"/>
      <c r="CV99" s="43"/>
      <c r="CW99" s="43"/>
      <c r="CX99" s="43"/>
      <c r="CY99" s="43"/>
      <c r="CZ99" s="43"/>
      <c r="DA99" s="43"/>
      <c r="DB99" s="43"/>
      <c r="DC99" s="43"/>
      <c r="DF99" s="73"/>
    </row>
    <row r="100" spans="2:120" s="19" customFormat="1" x14ac:dyDescent="0.2">
      <c r="B100" s="19" t="s">
        <v>297</v>
      </c>
      <c r="C100" s="32"/>
      <c r="D100" s="32"/>
      <c r="E100" s="32"/>
      <c r="F100" s="32"/>
      <c r="G100" s="32"/>
      <c r="H100" s="32"/>
      <c r="I100" s="32"/>
      <c r="J100" s="32"/>
      <c r="K100" s="32"/>
      <c r="L100" s="43"/>
      <c r="M100" s="43"/>
      <c r="N100" s="43"/>
      <c r="O100" s="43"/>
      <c r="P100" s="43"/>
      <c r="Q100" s="43"/>
      <c r="R100" s="43"/>
      <c r="S100" s="43"/>
      <c r="T100" s="43"/>
      <c r="U100" s="43"/>
      <c r="V100" s="43">
        <f t="shared" ref="V100:AE100" si="216">V6/R6-1</f>
        <v>0.11127596439169141</v>
      </c>
      <c r="W100" s="43">
        <f t="shared" si="216"/>
        <v>6.2761506276150625E-2</v>
      </c>
      <c r="X100" s="43">
        <f t="shared" si="216"/>
        <v>0.22448979591836737</v>
      </c>
      <c r="Y100" s="43">
        <f t="shared" si="216"/>
        <v>0.17637795275590551</v>
      </c>
      <c r="Z100" s="43">
        <f t="shared" si="216"/>
        <v>6.6755674232310547E-3</v>
      </c>
      <c r="AA100" s="43">
        <f t="shared" si="216"/>
        <v>9.1863517060366551E-3</v>
      </c>
      <c r="AB100" s="43">
        <f t="shared" si="216"/>
        <v>0.11025641025641031</v>
      </c>
      <c r="AC100" s="43">
        <f t="shared" si="216"/>
        <v>-0.21151271753681389</v>
      </c>
      <c r="AD100" s="43">
        <f t="shared" si="216"/>
        <v>-0.22811671087533159</v>
      </c>
      <c r="AE100" s="43">
        <f t="shared" si="216"/>
        <v>-0.24187256176853056</v>
      </c>
      <c r="AF100" s="43"/>
      <c r="AG100" s="43"/>
      <c r="AH100" s="43"/>
      <c r="AI100" s="43"/>
      <c r="AJ100" s="43"/>
      <c r="AK100" s="43"/>
      <c r="AL100" s="43"/>
      <c r="AM100" s="43"/>
      <c r="AN100" s="43"/>
      <c r="AO100" s="43"/>
      <c r="AP100" s="43"/>
      <c r="AQ100" s="43"/>
      <c r="AR100" s="43"/>
      <c r="AS100" s="43"/>
      <c r="AT100" s="43"/>
      <c r="AU100" s="43"/>
      <c r="AV100" s="43"/>
      <c r="AW100" s="43"/>
      <c r="AX100" s="43"/>
      <c r="AY100" s="43"/>
      <c r="AZ100" s="43"/>
      <c r="BA100" s="43"/>
      <c r="BB100" s="43"/>
      <c r="BC100" s="43"/>
      <c r="BD100" s="43"/>
      <c r="BE100" s="43"/>
      <c r="BF100" s="43"/>
      <c r="BG100" s="43"/>
      <c r="BH100" s="43"/>
      <c r="BI100" s="43"/>
      <c r="BJ100" s="43"/>
      <c r="BK100" s="66"/>
      <c r="BL100" s="66"/>
      <c r="BM100" s="66"/>
      <c r="BN100" s="66"/>
      <c r="BO100" s="66"/>
      <c r="BP100" s="66"/>
      <c r="BQ100" s="66"/>
      <c r="BR100" s="66"/>
      <c r="BS100" s="66"/>
      <c r="BT100" s="66"/>
      <c r="BU100" s="66"/>
      <c r="BV100" s="66"/>
      <c r="BW100" s="66"/>
      <c r="BX100" s="66"/>
      <c r="BY100" s="66"/>
      <c r="BZ100" s="66"/>
      <c r="CA100" s="66"/>
      <c r="CB100" s="66"/>
      <c r="CC100" s="66"/>
      <c r="CD100" s="66"/>
      <c r="CE100" s="66"/>
      <c r="CF100" s="66"/>
      <c r="CG100" s="66"/>
      <c r="CH100" s="66"/>
      <c r="CI100" s="66"/>
      <c r="CJ100" s="66"/>
      <c r="CK100" s="66"/>
      <c r="CL100" s="66"/>
      <c r="CM100" s="66"/>
      <c r="CN100" s="43"/>
      <c r="CO100" s="33"/>
      <c r="CP100" s="33"/>
      <c r="CQ100" s="33"/>
      <c r="CR100" s="33"/>
      <c r="CS100" s="43"/>
      <c r="CT100" s="43"/>
      <c r="CU100" s="43"/>
      <c r="CV100" s="43"/>
      <c r="CW100" s="43"/>
      <c r="CX100" s="43"/>
      <c r="CY100" s="43"/>
      <c r="CZ100" s="43"/>
      <c r="DA100" s="43"/>
      <c r="DB100" s="43"/>
      <c r="DC100" s="43"/>
    </row>
    <row r="101" spans="2:120" s="19" customFormat="1" x14ac:dyDescent="0.2">
      <c r="B101" s="19" t="s">
        <v>176</v>
      </c>
      <c r="C101" s="32"/>
      <c r="D101" s="32"/>
      <c r="E101" s="32"/>
      <c r="F101" s="32"/>
      <c r="G101" s="32"/>
      <c r="H101" s="32"/>
      <c r="I101" s="32"/>
      <c r="J101" s="32"/>
      <c r="K101" s="32"/>
      <c r="L101" s="32"/>
      <c r="M101" s="32"/>
      <c r="N101" s="32"/>
      <c r="O101" s="43"/>
      <c r="P101" s="43"/>
      <c r="Q101" s="43">
        <f t="shared" ref="Q101:V101" si="217">Q90/M90-1</f>
        <v>8.3583671031624229E-2</v>
      </c>
      <c r="R101" s="43">
        <f t="shared" si="217"/>
        <v>-0.10399806362410113</v>
      </c>
      <c r="S101" s="43">
        <f t="shared" si="217"/>
        <v>-0.20947081134089007</v>
      </c>
      <c r="T101" s="43">
        <f t="shared" si="217"/>
        <v>0.12676180669236614</v>
      </c>
      <c r="U101" s="43">
        <f t="shared" si="217"/>
        <v>8.6798084095178307E-2</v>
      </c>
      <c r="V101" s="43">
        <f t="shared" si="217"/>
        <v>8.0266375123093425E-2</v>
      </c>
      <c r="W101" s="43">
        <f t="shared" ref="W101:X101" si="218">W90/S90-1</f>
        <v>0.11315576897500335</v>
      </c>
      <c r="X101" s="43">
        <f t="shared" si="218"/>
        <v>0.1266192863674398</v>
      </c>
      <c r="Y101" s="43">
        <f>Y90/U90-1</f>
        <v>0.15475904793512196</v>
      </c>
      <c r="Z101" s="43">
        <f>Z90/V90-1</f>
        <v>0.17298040033986739</v>
      </c>
      <c r="AA101" s="43">
        <f>AA90/W90-1</f>
        <v>0.39342760420465406</v>
      </c>
      <c r="AB101" s="43">
        <f>AB90/X90-1</f>
        <v>0.16281286619515467</v>
      </c>
      <c r="AC101" s="43">
        <f>AC90/Y90-1</f>
        <v>0.25086220110361768</v>
      </c>
      <c r="AD101" s="43"/>
      <c r="AE101" s="43"/>
      <c r="AF101" s="43"/>
      <c r="AG101" s="43"/>
      <c r="AH101" s="43"/>
      <c r="AI101" s="43"/>
      <c r="AJ101" s="43"/>
      <c r="AK101" s="43"/>
      <c r="AL101" s="43"/>
      <c r="AM101" s="43"/>
      <c r="AN101" s="43"/>
      <c r="AO101" s="43"/>
      <c r="AP101" s="43"/>
      <c r="AQ101" s="43"/>
      <c r="AR101" s="43"/>
      <c r="AS101" s="43"/>
      <c r="AT101" s="43"/>
      <c r="AU101" s="43"/>
      <c r="AV101" s="43"/>
      <c r="AW101" s="43"/>
      <c r="AX101" s="43"/>
      <c r="AY101" s="43"/>
      <c r="AZ101" s="43"/>
      <c r="BA101" s="43"/>
      <c r="BB101" s="43"/>
      <c r="BC101" s="43"/>
      <c r="BD101" s="43"/>
      <c r="BE101" s="43"/>
      <c r="BF101" s="43"/>
      <c r="BG101" s="43"/>
      <c r="BH101" s="43"/>
      <c r="BI101" s="43"/>
      <c r="BJ101" s="43"/>
      <c r="BK101" s="66"/>
      <c r="BL101" s="66"/>
      <c r="BM101" s="66"/>
      <c r="BN101" s="66"/>
      <c r="BO101" s="66"/>
      <c r="BP101" s="66"/>
      <c r="BQ101" s="66"/>
      <c r="BR101" s="66"/>
      <c r="BS101" s="66"/>
      <c r="BT101" s="66"/>
      <c r="BU101" s="66"/>
      <c r="BV101" s="66"/>
      <c r="BW101" s="66"/>
      <c r="BX101" s="66"/>
      <c r="BY101" s="66"/>
      <c r="BZ101" s="66"/>
      <c r="CA101" s="66"/>
      <c r="CB101" s="66"/>
      <c r="CC101" s="66"/>
      <c r="CD101" s="66"/>
      <c r="CE101" s="66"/>
      <c r="CF101" s="66"/>
      <c r="CG101" s="66"/>
      <c r="CH101" s="66"/>
      <c r="CI101" s="66"/>
      <c r="CJ101" s="66"/>
      <c r="CK101" s="66"/>
      <c r="CL101" s="66"/>
      <c r="CM101" s="66"/>
      <c r="CN101" s="43"/>
      <c r="CO101" s="33"/>
      <c r="CP101" s="33"/>
      <c r="CQ101" s="33"/>
      <c r="CR101" s="33"/>
      <c r="CS101" s="43"/>
      <c r="CT101" s="43">
        <f t="shared" ref="CT101:CY101" si="219">CT90/CS90-1</f>
        <v>6.165058262481482E-3</v>
      </c>
      <c r="CU101" s="43">
        <f t="shared" si="219"/>
        <v>0.13441259351318302</v>
      </c>
      <c r="CV101" s="43">
        <f t="shared" si="219"/>
        <v>8.0321595516685163E-2</v>
      </c>
      <c r="CW101" s="43">
        <f t="shared" si="219"/>
        <v>0.56746687640791649</v>
      </c>
      <c r="CX101" s="43">
        <f t="shared" si="219"/>
        <v>6.211068629493921E-2</v>
      </c>
      <c r="CY101" s="43">
        <f t="shared" si="219"/>
        <v>-2.8856862095187452E-2</v>
      </c>
      <c r="CZ101" s="43">
        <f>CZ90/CY90-1</f>
        <v>-2.2100053227118721E-3</v>
      </c>
      <c r="DA101" s="43">
        <f>DA90/CZ90-1</f>
        <v>2.5201234625734426E-2</v>
      </c>
      <c r="DB101" s="43">
        <f>DB90/DA90-1</f>
        <v>1.8110045384902573E-3</v>
      </c>
      <c r="DC101" s="43">
        <f t="shared" ref="DC101" si="220">DC90/DB90-1</f>
        <v>-3.8622649812662835E-2</v>
      </c>
      <c r="DN101" s="10"/>
    </row>
    <row r="102" spans="2:120" s="19" customFormat="1" x14ac:dyDescent="0.2">
      <c r="C102" s="32"/>
      <c r="D102" s="32"/>
      <c r="E102" s="32"/>
      <c r="F102" s="32"/>
      <c r="G102" s="32"/>
      <c r="H102" s="32"/>
      <c r="I102" s="32"/>
      <c r="J102" s="32"/>
      <c r="K102" s="32"/>
      <c r="L102" s="32"/>
      <c r="M102" s="32"/>
      <c r="N102" s="32"/>
      <c r="O102" s="43"/>
      <c r="P102" s="43"/>
      <c r="Q102" s="43"/>
      <c r="R102" s="43"/>
      <c r="S102" s="43"/>
      <c r="T102" s="43"/>
      <c r="U102" s="43"/>
      <c r="V102" s="43"/>
      <c r="W102" s="43"/>
      <c r="X102" s="43"/>
      <c r="Y102" s="43"/>
      <c r="Z102" s="43"/>
      <c r="AA102" s="43"/>
      <c r="AB102" s="43"/>
      <c r="AC102" s="43"/>
      <c r="AD102" s="43"/>
      <c r="AE102" s="43"/>
      <c r="AF102" s="43"/>
      <c r="AG102" s="43"/>
      <c r="AH102" s="43"/>
      <c r="AI102" s="43"/>
      <c r="AJ102" s="43"/>
      <c r="AK102" s="43"/>
      <c r="AL102" s="43"/>
      <c r="AM102" s="43"/>
      <c r="AN102" s="43"/>
      <c r="AO102" s="43"/>
      <c r="AP102" s="43"/>
      <c r="AQ102" s="43"/>
      <c r="AR102" s="43"/>
      <c r="AS102" s="43"/>
      <c r="AT102" s="43"/>
      <c r="AU102" s="43"/>
      <c r="AV102" s="43"/>
      <c r="AW102" s="43"/>
      <c r="AX102" s="43"/>
      <c r="AY102" s="43"/>
      <c r="AZ102" s="43"/>
      <c r="BA102" s="43"/>
      <c r="BB102" s="43"/>
      <c r="BC102" s="43"/>
      <c r="BD102" s="43"/>
      <c r="BE102" s="43"/>
      <c r="BF102" s="43"/>
      <c r="BG102" s="43"/>
      <c r="BH102" s="43"/>
      <c r="BI102" s="43"/>
      <c r="BJ102" s="43"/>
      <c r="BK102" s="66"/>
      <c r="BL102" s="66"/>
      <c r="BM102" s="66"/>
      <c r="BN102" s="66"/>
      <c r="BO102" s="66"/>
      <c r="BP102" s="66"/>
      <c r="BQ102" s="66"/>
      <c r="BR102" s="66"/>
      <c r="BS102" s="66"/>
      <c r="BT102" s="66"/>
      <c r="BU102" s="66"/>
      <c r="BV102" s="66"/>
      <c r="BW102" s="66"/>
      <c r="BX102" s="66"/>
      <c r="BY102" s="66"/>
      <c r="BZ102" s="66"/>
      <c r="CA102" s="66"/>
      <c r="CB102" s="66"/>
      <c r="CC102" s="66"/>
      <c r="CD102" s="66"/>
      <c r="CE102" s="66"/>
      <c r="CF102" s="66"/>
      <c r="CG102" s="66"/>
      <c r="CH102" s="66"/>
      <c r="CI102" s="66"/>
      <c r="CJ102" s="66"/>
      <c r="CK102" s="66"/>
      <c r="CL102" s="66"/>
      <c r="CM102" s="66"/>
      <c r="CN102" s="43"/>
      <c r="CO102" s="33"/>
      <c r="CP102" s="33"/>
      <c r="CQ102" s="33"/>
      <c r="CR102" s="33"/>
      <c r="CS102" s="43"/>
      <c r="CT102" s="43"/>
      <c r="CU102" s="43"/>
      <c r="CV102" s="43"/>
      <c r="CW102" s="43"/>
      <c r="CX102" s="43"/>
      <c r="CY102" s="43"/>
      <c r="CZ102" s="43"/>
      <c r="DA102" s="43"/>
      <c r="DB102" s="43"/>
      <c r="DC102" s="43"/>
    </row>
    <row r="103" spans="2:120" x14ac:dyDescent="0.2">
      <c r="B103" s="1" t="s">
        <v>174</v>
      </c>
      <c r="Q103" s="23">
        <v>-4500</v>
      </c>
      <c r="R103" s="23">
        <f>Q103+R89</f>
        <v>-2906</v>
      </c>
      <c r="S103" s="23">
        <v>-4000</v>
      </c>
      <c r="T103" s="23">
        <v>-5593</v>
      </c>
      <c r="U103" s="23">
        <v>-3700</v>
      </c>
      <c r="V103" s="23">
        <f>U103+V89</f>
        <v>-2017</v>
      </c>
      <c r="W103" s="23">
        <v>-1236</v>
      </c>
      <c r="X103" s="23"/>
      <c r="Y103" s="23">
        <v>-5050</v>
      </c>
      <c r="Z103" s="23">
        <v>-4135</v>
      </c>
      <c r="AA103" s="23"/>
      <c r="AB103" s="23"/>
      <c r="AC103" s="23"/>
      <c r="AD103" s="23"/>
      <c r="AE103" s="23"/>
      <c r="AF103" s="23"/>
      <c r="AG103" s="23"/>
      <c r="AH103" s="23"/>
      <c r="AI103" s="23"/>
      <c r="AJ103" s="23"/>
      <c r="AK103" s="23"/>
      <c r="AL103" s="23"/>
      <c r="AM103" s="23"/>
      <c r="AN103" s="23"/>
      <c r="AO103" s="23"/>
      <c r="AP103" s="23"/>
      <c r="AQ103" s="23"/>
      <c r="AR103" s="23"/>
      <c r="AS103" s="23"/>
      <c r="AT103" s="23"/>
      <c r="AU103" s="23"/>
      <c r="AV103" s="23"/>
      <c r="AW103" s="23"/>
      <c r="AX103" s="23"/>
      <c r="AY103" s="23"/>
      <c r="AZ103" s="23"/>
      <c r="BA103" s="23"/>
      <c r="BB103" s="23"/>
      <c r="BC103" s="23"/>
      <c r="BD103" s="23"/>
      <c r="BE103" s="23"/>
      <c r="BF103" s="23"/>
      <c r="BG103" s="23"/>
      <c r="BH103" s="23"/>
      <c r="BI103" s="23"/>
      <c r="BJ103" s="23"/>
      <c r="BK103" s="54"/>
      <c r="BL103" s="54"/>
      <c r="BM103" s="54"/>
      <c r="BN103" s="54"/>
      <c r="BO103" s="54"/>
      <c r="BP103" s="54"/>
      <c r="BQ103" s="54"/>
      <c r="BR103" s="54"/>
      <c r="BS103" s="54"/>
      <c r="BT103" s="54"/>
      <c r="BU103" s="54"/>
      <c r="BV103" s="54"/>
      <c r="BW103" s="54"/>
      <c r="BX103" s="54"/>
      <c r="BY103" s="54"/>
      <c r="BZ103" s="54"/>
      <c r="CA103" s="54"/>
      <c r="CB103" s="54"/>
      <c r="CC103" s="54"/>
      <c r="CD103" s="54"/>
      <c r="CE103" s="54"/>
      <c r="CF103" s="54"/>
      <c r="CG103" s="54"/>
      <c r="CH103" s="54"/>
      <c r="CI103" s="54"/>
      <c r="CJ103" s="54"/>
      <c r="CK103" s="54"/>
      <c r="CL103" s="54"/>
      <c r="CM103" s="54"/>
      <c r="CN103" s="23"/>
      <c r="CS103" s="23"/>
      <c r="CT103" s="23"/>
      <c r="CU103" s="23"/>
    </row>
    <row r="104" spans="2:120" x14ac:dyDescent="0.2">
      <c r="B104" s="1" t="s">
        <v>175</v>
      </c>
      <c r="CT104" s="23">
        <f t="shared" ref="CT104:CY104" si="221">CT89</f>
        <v>7523</v>
      </c>
      <c r="CU104" s="23">
        <f>CU89</f>
        <v>8513</v>
      </c>
      <c r="CV104" s="23">
        <f t="shared" si="221"/>
        <v>9193.5499999999993</v>
      </c>
      <c r="CW104" s="23">
        <f t="shared" si="221"/>
        <v>14410.585101600002</v>
      </c>
      <c r="CX104" s="23">
        <f t="shared" si="221"/>
        <v>15305.636432172003</v>
      </c>
      <c r="CY104" s="23">
        <f t="shared" si="221"/>
        <v>14863.963792369741</v>
      </c>
      <c r="CZ104" s="23">
        <f>CZ89</f>
        <v>14831.114353272005</v>
      </c>
      <c r="DA104" s="23">
        <f>DA89</f>
        <v>15204.876745849913</v>
      </c>
      <c r="DB104" s="23">
        <f>DB89</f>
        <v>15232.412846643831</v>
      </c>
      <c r="DC104" s="23"/>
    </row>
    <row r="106" spans="2:120" s="27" customFormat="1" x14ac:dyDescent="0.2">
      <c r="B106" s="48" t="s">
        <v>337</v>
      </c>
      <c r="C106" s="23"/>
      <c r="D106" s="23"/>
      <c r="E106" s="23"/>
      <c r="F106" s="23"/>
      <c r="G106" s="23"/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  <c r="V106" s="23"/>
      <c r="W106" s="23"/>
      <c r="X106" s="23"/>
      <c r="Y106" s="23"/>
      <c r="Z106" s="23"/>
      <c r="AA106" s="23"/>
      <c r="AB106" s="23">
        <f>3221+181+1256</f>
        <v>4658</v>
      </c>
      <c r="AC106" s="23"/>
      <c r="AD106" s="23"/>
      <c r="AE106" s="23">
        <f>19199-19183</f>
        <v>16</v>
      </c>
      <c r="AF106" s="23">
        <f>+AE106-19641</f>
        <v>-19625</v>
      </c>
      <c r="AG106" s="23">
        <f>+AF106+AG89</f>
        <v>-15241.838400000001</v>
      </c>
      <c r="AH106" s="23">
        <f t="shared" ref="AH106" si="222">+AG106+AH89</f>
        <v>-11054.355520000001</v>
      </c>
      <c r="AI106" s="23"/>
      <c r="AJ106" s="23"/>
      <c r="AK106" s="23"/>
      <c r="AL106" s="23"/>
      <c r="AM106" s="23"/>
      <c r="AN106" s="23"/>
      <c r="AO106" s="23"/>
      <c r="AP106" s="23"/>
      <c r="AQ106" s="23"/>
      <c r="AR106" s="23"/>
      <c r="AS106" s="23"/>
      <c r="AT106" s="23"/>
      <c r="AU106" s="23"/>
      <c r="AV106" s="23"/>
      <c r="AW106" s="23"/>
      <c r="AX106" s="23"/>
      <c r="AY106" s="23"/>
      <c r="AZ106" s="23"/>
      <c r="BA106" s="23"/>
      <c r="BB106" s="23"/>
      <c r="BC106" s="23"/>
      <c r="BD106" s="23"/>
      <c r="BE106" s="23"/>
      <c r="BF106" s="23"/>
      <c r="BG106" s="23"/>
      <c r="BH106" s="23"/>
      <c r="BI106" s="23"/>
      <c r="BJ106" s="23"/>
      <c r="BK106" s="54"/>
      <c r="BL106" s="54"/>
      <c r="BM106" s="54"/>
      <c r="BN106" s="54"/>
      <c r="BO106" s="54"/>
      <c r="BP106" s="54"/>
      <c r="BQ106" s="54"/>
      <c r="BR106" s="54"/>
      <c r="BS106" s="54"/>
      <c r="BT106" s="54"/>
      <c r="BU106" s="54"/>
      <c r="BV106" s="54"/>
      <c r="BW106" s="54"/>
      <c r="BX106" s="54"/>
      <c r="BY106" s="54"/>
      <c r="BZ106" s="54"/>
      <c r="CA106" s="54"/>
      <c r="CB106" s="54"/>
      <c r="CC106" s="54"/>
      <c r="CD106" s="54"/>
      <c r="CE106" s="54"/>
      <c r="CF106" s="54"/>
      <c r="CG106" s="54"/>
      <c r="CH106" s="54"/>
      <c r="CI106" s="54"/>
      <c r="CJ106" s="54"/>
      <c r="CK106" s="54"/>
      <c r="CL106" s="54"/>
      <c r="CM106" s="54"/>
      <c r="CN106" s="23"/>
      <c r="CO106" s="23"/>
      <c r="CP106" s="23"/>
      <c r="CQ106" s="23"/>
      <c r="CR106" s="23"/>
      <c r="CS106" s="23"/>
      <c r="CT106" s="23"/>
      <c r="CU106" s="23"/>
      <c r="CV106" s="23">
        <f>+AH106</f>
        <v>-11054.355520000001</v>
      </c>
      <c r="CW106" s="23">
        <f t="shared" ref="CW106:DC106" si="223">CW104+CV106</f>
        <v>3356.2295816000005</v>
      </c>
      <c r="CX106" s="23">
        <f t="shared" si="223"/>
        <v>18661.866013772003</v>
      </c>
      <c r="CY106" s="23">
        <f t="shared" si="223"/>
        <v>33525.829806141744</v>
      </c>
      <c r="CZ106" s="23">
        <f t="shared" si="223"/>
        <v>48356.944159413746</v>
      </c>
      <c r="DA106" s="23">
        <f t="shared" si="223"/>
        <v>63561.820905263659</v>
      </c>
      <c r="DB106" s="23">
        <f t="shared" si="223"/>
        <v>78794.233751907494</v>
      </c>
      <c r="DC106" s="23">
        <f t="shared" si="223"/>
        <v>78794.233751907494</v>
      </c>
    </row>
    <row r="107" spans="2:120" s="27" customFormat="1" x14ac:dyDescent="0.2">
      <c r="B107" s="48" t="s">
        <v>309</v>
      </c>
      <c r="C107" s="23"/>
      <c r="D107" s="23"/>
      <c r="E107" s="23"/>
      <c r="F107" s="23"/>
      <c r="G107" s="23"/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  <c r="V107" s="23"/>
      <c r="W107" s="23"/>
      <c r="X107" s="23"/>
      <c r="Y107" s="23"/>
      <c r="Z107" s="23"/>
      <c r="AA107" s="23"/>
      <c r="AB107" s="23"/>
      <c r="AC107" s="23"/>
      <c r="AD107" s="23"/>
      <c r="AE107" s="23"/>
      <c r="AF107" s="23"/>
      <c r="AG107" s="23"/>
      <c r="AH107" s="23"/>
      <c r="AI107" s="23"/>
      <c r="AJ107" s="23"/>
      <c r="AK107" s="23"/>
      <c r="AL107" s="23"/>
      <c r="AM107" s="23"/>
      <c r="AN107" s="23"/>
      <c r="AO107" s="23"/>
      <c r="AP107" s="23"/>
      <c r="AQ107" s="23"/>
      <c r="AR107" s="23"/>
      <c r="AS107" s="23"/>
      <c r="AT107" s="23"/>
      <c r="AU107" s="23"/>
      <c r="AV107" s="23"/>
      <c r="AW107" s="23"/>
      <c r="AX107" s="23"/>
      <c r="AY107" s="23"/>
      <c r="AZ107" s="23"/>
      <c r="BA107" s="23"/>
      <c r="BB107" s="23"/>
      <c r="BC107" s="23"/>
      <c r="BD107" s="23"/>
      <c r="BE107" s="23"/>
      <c r="BF107" s="23"/>
      <c r="BG107" s="23"/>
      <c r="BH107" s="23"/>
      <c r="BI107" s="23"/>
      <c r="BJ107" s="23"/>
      <c r="BK107" s="54"/>
      <c r="BL107" s="54"/>
      <c r="BM107" s="54"/>
      <c r="BN107" s="54"/>
      <c r="BO107" s="54"/>
      <c r="BP107" s="54"/>
      <c r="BQ107" s="54"/>
      <c r="BR107" s="54"/>
      <c r="BS107" s="54"/>
      <c r="BT107" s="54"/>
      <c r="BU107" s="54"/>
      <c r="BV107" s="54"/>
      <c r="BW107" s="54"/>
      <c r="BX107" s="54"/>
      <c r="BY107" s="54"/>
      <c r="BZ107" s="54"/>
      <c r="CA107" s="54"/>
      <c r="CB107" s="54"/>
      <c r="CC107" s="54"/>
      <c r="CD107" s="54"/>
      <c r="CE107" s="54"/>
      <c r="CF107" s="54"/>
      <c r="CG107" s="54"/>
      <c r="CH107" s="54"/>
      <c r="CI107" s="54"/>
      <c r="CJ107" s="54"/>
      <c r="CK107" s="54"/>
      <c r="CL107" s="54"/>
      <c r="CM107" s="54"/>
      <c r="CN107" s="23"/>
      <c r="CO107" s="23"/>
      <c r="CP107" s="23"/>
      <c r="CQ107" s="23"/>
      <c r="CR107" s="23"/>
      <c r="CS107" s="23"/>
      <c r="CT107" s="23"/>
      <c r="CU107" s="23"/>
      <c r="CV107" s="23"/>
      <c r="CW107" s="23"/>
      <c r="CX107" s="23"/>
      <c r="CY107" s="23"/>
      <c r="CZ107" s="23"/>
      <c r="DA107" s="23"/>
      <c r="DB107" s="23"/>
      <c r="DC107" s="23"/>
    </row>
    <row r="108" spans="2:120" s="27" customFormat="1" x14ac:dyDescent="0.2">
      <c r="B108" s="48" t="s">
        <v>310</v>
      </c>
      <c r="C108" s="23"/>
      <c r="D108" s="23"/>
      <c r="E108" s="23"/>
      <c r="F108" s="23"/>
      <c r="G108" s="23"/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  <c r="V108" s="23"/>
      <c r="W108" s="23"/>
      <c r="X108" s="23"/>
      <c r="Y108" s="23"/>
      <c r="Z108" s="23"/>
      <c r="AA108" s="23"/>
      <c r="AB108" s="23"/>
      <c r="AC108" s="23"/>
      <c r="AD108" s="23"/>
      <c r="AE108" s="23"/>
      <c r="AF108" s="23"/>
      <c r="AG108" s="23"/>
      <c r="AH108" s="23"/>
      <c r="AI108" s="23"/>
      <c r="AJ108" s="23"/>
      <c r="AK108" s="23"/>
      <c r="AL108" s="23"/>
      <c r="AM108" s="23"/>
      <c r="AN108" s="23"/>
      <c r="AO108" s="23"/>
      <c r="AP108" s="23"/>
      <c r="AQ108" s="23"/>
      <c r="AR108" s="23"/>
      <c r="AS108" s="23"/>
      <c r="AT108" s="23"/>
      <c r="AU108" s="23"/>
      <c r="AV108" s="23"/>
      <c r="AW108" s="23"/>
      <c r="AX108" s="23"/>
      <c r="AY108" s="23"/>
      <c r="AZ108" s="23"/>
      <c r="BA108" s="23"/>
      <c r="BB108" s="23"/>
      <c r="BC108" s="23"/>
      <c r="BD108" s="23"/>
      <c r="BE108" s="23"/>
      <c r="BF108" s="23"/>
      <c r="BG108" s="23"/>
      <c r="BH108" s="23"/>
      <c r="BI108" s="23"/>
      <c r="BJ108" s="23"/>
      <c r="BK108" s="54"/>
      <c r="BL108" s="54"/>
      <c r="BM108" s="54"/>
      <c r="BN108" s="54"/>
      <c r="BO108" s="54"/>
      <c r="BP108" s="54"/>
      <c r="BQ108" s="54"/>
      <c r="BR108" s="54"/>
      <c r="BS108" s="54"/>
      <c r="BT108" s="54"/>
      <c r="BU108" s="54"/>
      <c r="BV108" s="54"/>
      <c r="BW108" s="54"/>
      <c r="BX108" s="54"/>
      <c r="BY108" s="54"/>
      <c r="BZ108" s="54"/>
      <c r="CA108" s="54"/>
      <c r="CB108" s="54"/>
      <c r="CC108" s="54"/>
      <c r="CD108" s="54"/>
      <c r="CE108" s="54"/>
      <c r="CF108" s="54"/>
      <c r="CG108" s="54"/>
      <c r="CH108" s="54"/>
      <c r="CI108" s="54"/>
      <c r="CJ108" s="54"/>
      <c r="CK108" s="54"/>
      <c r="CL108" s="54"/>
      <c r="CM108" s="54"/>
      <c r="CN108" s="23"/>
      <c r="CO108" s="23"/>
      <c r="CP108" s="23"/>
      <c r="CQ108" s="23"/>
      <c r="CR108" s="23"/>
      <c r="CS108" s="23"/>
      <c r="CT108" s="39"/>
      <c r="CU108" s="39"/>
      <c r="CV108" s="39"/>
      <c r="CW108" s="39"/>
      <c r="CX108" s="39"/>
      <c r="CY108" s="39"/>
      <c r="CZ108" s="39"/>
      <c r="DA108" s="39"/>
      <c r="DB108" s="39"/>
      <c r="DC108" s="39"/>
    </row>
    <row r="109" spans="2:120" s="27" customFormat="1" x14ac:dyDescent="0.2">
      <c r="B109" s="48" t="s">
        <v>311</v>
      </c>
      <c r="C109" s="23"/>
      <c r="D109" s="23"/>
      <c r="E109" s="23"/>
      <c r="F109" s="23"/>
      <c r="G109" s="23"/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  <c r="V109" s="23"/>
      <c r="W109" s="23"/>
      <c r="X109" s="23"/>
      <c r="Y109" s="23"/>
      <c r="Z109" s="23"/>
      <c r="AA109" s="23"/>
      <c r="AB109" s="23"/>
      <c r="AC109" s="23"/>
      <c r="AD109" s="23"/>
      <c r="AE109" s="23"/>
      <c r="AF109" s="23"/>
      <c r="AG109" s="23"/>
      <c r="AH109" s="23"/>
      <c r="AI109" s="23"/>
      <c r="AJ109" s="23"/>
      <c r="AK109" s="23"/>
      <c r="AL109" s="23"/>
      <c r="AM109" s="23"/>
      <c r="AN109" s="23"/>
      <c r="AO109" s="23"/>
      <c r="AP109" s="23"/>
      <c r="AQ109" s="23"/>
      <c r="AR109" s="23"/>
      <c r="AS109" s="23"/>
      <c r="AT109" s="23"/>
      <c r="AU109" s="23"/>
      <c r="AV109" s="23"/>
      <c r="AW109" s="23"/>
      <c r="AX109" s="23"/>
      <c r="AY109" s="23"/>
      <c r="AZ109" s="23"/>
      <c r="BA109" s="23"/>
      <c r="BB109" s="23"/>
      <c r="BC109" s="23"/>
      <c r="BD109" s="23"/>
      <c r="BE109" s="23"/>
      <c r="BF109" s="23"/>
      <c r="BG109" s="23"/>
      <c r="BH109" s="23"/>
      <c r="BI109" s="23"/>
      <c r="BJ109" s="23"/>
      <c r="BK109" s="54"/>
      <c r="BL109" s="54"/>
      <c r="BM109" s="54"/>
      <c r="BN109" s="54"/>
      <c r="BO109" s="54"/>
      <c r="BP109" s="54"/>
      <c r="BQ109" s="54"/>
      <c r="BR109" s="54"/>
      <c r="BS109" s="54"/>
      <c r="BT109" s="54"/>
      <c r="BU109" s="54"/>
      <c r="BV109" s="54"/>
      <c r="BW109" s="54"/>
      <c r="BX109" s="54"/>
      <c r="BY109" s="54"/>
      <c r="BZ109" s="54"/>
      <c r="CA109" s="54"/>
      <c r="CB109" s="54"/>
      <c r="CC109" s="54"/>
      <c r="CD109" s="54"/>
      <c r="CE109" s="54"/>
      <c r="CF109" s="54"/>
      <c r="CG109" s="54"/>
      <c r="CH109" s="54"/>
      <c r="CI109" s="54"/>
      <c r="CJ109" s="54"/>
      <c r="CK109" s="54"/>
      <c r="CL109" s="54"/>
      <c r="CM109" s="54"/>
      <c r="CN109" s="23"/>
      <c r="CO109" s="23"/>
      <c r="CP109" s="23"/>
      <c r="CQ109" s="23"/>
      <c r="CR109" s="23"/>
      <c r="CS109" s="23"/>
      <c r="CT109" s="39"/>
      <c r="CU109" s="39"/>
      <c r="CV109" s="39"/>
      <c r="CW109" s="39"/>
      <c r="CX109" s="39"/>
      <c r="CY109" s="39"/>
      <c r="CZ109" s="39"/>
      <c r="DA109" s="39"/>
      <c r="DB109" s="39"/>
      <c r="DC109" s="39"/>
    </row>
    <row r="110" spans="2:120" s="27" customFormat="1" x14ac:dyDescent="0.2">
      <c r="B110" s="48" t="s">
        <v>312</v>
      </c>
      <c r="C110" s="23"/>
      <c r="D110" s="23"/>
      <c r="E110" s="23"/>
      <c r="F110" s="23"/>
      <c r="G110" s="23"/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  <c r="V110" s="23"/>
      <c r="W110" s="23"/>
      <c r="X110" s="23"/>
      <c r="Y110" s="23"/>
      <c r="Z110" s="23"/>
      <c r="AA110" s="23"/>
      <c r="AB110" s="23"/>
      <c r="AC110" s="23"/>
      <c r="AD110" s="23"/>
      <c r="AE110" s="23"/>
      <c r="AF110" s="23"/>
      <c r="AG110" s="23"/>
      <c r="AH110" s="23"/>
      <c r="AI110" s="23"/>
      <c r="AJ110" s="23"/>
      <c r="AK110" s="23"/>
      <c r="AL110" s="23"/>
      <c r="AM110" s="23"/>
      <c r="AN110" s="23"/>
      <c r="AO110" s="23"/>
      <c r="AP110" s="23"/>
      <c r="AQ110" s="23"/>
      <c r="AR110" s="23"/>
      <c r="AS110" s="23"/>
      <c r="AT110" s="23"/>
      <c r="AU110" s="23"/>
      <c r="AV110" s="23"/>
      <c r="AW110" s="23"/>
      <c r="AX110" s="23"/>
      <c r="AY110" s="23"/>
      <c r="AZ110" s="23"/>
      <c r="BA110" s="23"/>
      <c r="BB110" s="23"/>
      <c r="BC110" s="23"/>
      <c r="BD110" s="23"/>
      <c r="BE110" s="23"/>
      <c r="BF110" s="23"/>
      <c r="BG110" s="23"/>
      <c r="BH110" s="23"/>
      <c r="BI110" s="23"/>
      <c r="BJ110" s="23"/>
      <c r="BK110" s="54"/>
      <c r="BL110" s="54"/>
      <c r="BM110" s="54"/>
      <c r="BN110" s="54"/>
      <c r="BO110" s="54"/>
      <c r="BP110" s="54"/>
      <c r="BQ110" s="54"/>
      <c r="BR110" s="54"/>
      <c r="BS110" s="54"/>
      <c r="BT110" s="54"/>
      <c r="BU110" s="54"/>
      <c r="BV110" s="54"/>
      <c r="BW110" s="54"/>
      <c r="BX110" s="54"/>
      <c r="BY110" s="54"/>
      <c r="BZ110" s="54"/>
      <c r="CA110" s="54"/>
      <c r="CB110" s="54"/>
      <c r="CC110" s="54"/>
      <c r="CD110" s="54"/>
      <c r="CE110" s="54"/>
      <c r="CF110" s="54"/>
      <c r="CG110" s="54"/>
      <c r="CH110" s="54"/>
      <c r="CI110" s="54"/>
      <c r="CJ110" s="54"/>
      <c r="CK110" s="54"/>
      <c r="CL110" s="54"/>
      <c r="CM110" s="54"/>
      <c r="CN110" s="23"/>
      <c r="CO110" s="23"/>
      <c r="CP110" s="23"/>
      <c r="CQ110" s="23"/>
      <c r="CR110" s="23"/>
      <c r="CS110" s="23"/>
      <c r="CT110" s="23"/>
      <c r="CU110" s="23"/>
      <c r="CV110" s="23"/>
      <c r="CW110" s="23"/>
      <c r="CX110" s="23"/>
      <c r="CY110" s="23"/>
      <c r="CZ110" s="23"/>
      <c r="DA110" s="23"/>
      <c r="DB110" s="23"/>
      <c r="DC110" s="23"/>
    </row>
    <row r="111" spans="2:120" s="27" customFormat="1" x14ac:dyDescent="0.2">
      <c r="C111" s="23"/>
      <c r="D111" s="23"/>
      <c r="E111" s="23"/>
      <c r="F111" s="23"/>
      <c r="G111" s="23"/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  <c r="V111" s="23"/>
      <c r="W111" s="23"/>
      <c r="X111" s="23"/>
      <c r="Y111" s="23"/>
      <c r="Z111" s="23"/>
      <c r="AA111" s="23"/>
      <c r="AB111" s="23"/>
      <c r="AC111" s="23"/>
      <c r="AD111" s="23"/>
      <c r="AE111" s="23"/>
      <c r="AF111" s="23"/>
      <c r="AG111" s="23"/>
      <c r="AH111" s="23"/>
      <c r="AI111" s="23"/>
      <c r="AJ111" s="23"/>
      <c r="AK111" s="23"/>
      <c r="AL111" s="23"/>
      <c r="AM111" s="23"/>
      <c r="AN111" s="23"/>
      <c r="AO111" s="23"/>
      <c r="AP111" s="23"/>
      <c r="AQ111" s="23"/>
      <c r="AR111" s="23"/>
      <c r="AS111" s="23"/>
      <c r="AT111" s="23"/>
      <c r="AU111" s="23"/>
      <c r="AV111" s="23"/>
      <c r="AW111" s="23"/>
      <c r="AX111" s="23"/>
      <c r="AY111" s="23"/>
      <c r="AZ111" s="23"/>
      <c r="BA111" s="23"/>
      <c r="BB111" s="23"/>
      <c r="BC111" s="23"/>
      <c r="BD111" s="23"/>
      <c r="BE111" s="23"/>
      <c r="BF111" s="23"/>
      <c r="BG111" s="23"/>
      <c r="BH111" s="23"/>
      <c r="BI111" s="23"/>
      <c r="BJ111" s="23"/>
      <c r="BK111" s="54"/>
      <c r="BL111" s="54"/>
      <c r="BM111" s="54"/>
      <c r="BN111" s="54"/>
      <c r="BO111" s="54"/>
      <c r="BP111" s="54"/>
      <c r="BQ111" s="54"/>
      <c r="BR111" s="54"/>
      <c r="BS111" s="54"/>
      <c r="BT111" s="54"/>
      <c r="BU111" s="54"/>
      <c r="BV111" s="54"/>
      <c r="BW111" s="54"/>
      <c r="BX111" s="54"/>
      <c r="BY111" s="54"/>
      <c r="BZ111" s="54"/>
      <c r="CA111" s="54"/>
      <c r="CB111" s="54"/>
      <c r="CC111" s="54"/>
      <c r="CD111" s="54"/>
      <c r="CE111" s="54"/>
      <c r="CF111" s="54"/>
      <c r="CG111" s="54"/>
      <c r="CH111" s="54"/>
      <c r="CI111" s="54"/>
      <c r="CJ111" s="54"/>
      <c r="CK111" s="54"/>
      <c r="CL111" s="54"/>
      <c r="CM111" s="54"/>
      <c r="CN111" s="23"/>
      <c r="CO111" s="23"/>
      <c r="CP111" s="23"/>
      <c r="CQ111" s="23"/>
      <c r="CR111" s="23"/>
      <c r="CS111" s="23"/>
      <c r="CT111" s="23"/>
      <c r="CU111" s="23"/>
      <c r="CV111" s="23"/>
      <c r="CW111" s="23"/>
      <c r="CX111" s="23"/>
      <c r="CY111" s="23"/>
      <c r="CZ111" s="23"/>
      <c r="DA111" s="23"/>
      <c r="DB111" s="23"/>
      <c r="DC111" s="23"/>
    </row>
    <row r="112" spans="2:120" s="27" customFormat="1" x14ac:dyDescent="0.2">
      <c r="C112" s="23"/>
      <c r="D112" s="23"/>
      <c r="E112" s="23"/>
      <c r="F112" s="23"/>
      <c r="G112" s="23"/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  <c r="V112" s="23"/>
      <c r="W112" s="23"/>
      <c r="X112" s="23"/>
      <c r="Y112" s="23"/>
      <c r="Z112" s="23"/>
      <c r="AA112" s="23"/>
      <c r="AB112" s="23"/>
      <c r="AC112" s="23"/>
      <c r="AD112" s="23"/>
      <c r="AE112" s="23"/>
      <c r="AF112" s="23"/>
      <c r="AG112" s="23"/>
      <c r="AH112" s="23"/>
      <c r="AI112" s="23"/>
      <c r="AJ112" s="23"/>
      <c r="AK112" s="23"/>
      <c r="AL112" s="23"/>
      <c r="AM112" s="23"/>
      <c r="AN112" s="23"/>
      <c r="AO112" s="23"/>
      <c r="AP112" s="23"/>
      <c r="AQ112" s="23"/>
      <c r="AR112" s="23"/>
      <c r="AS112" s="23"/>
      <c r="AT112" s="23"/>
      <c r="AU112" s="23"/>
      <c r="AV112" s="23"/>
      <c r="AW112" s="23"/>
      <c r="AX112" s="23"/>
      <c r="AY112" s="23"/>
      <c r="AZ112" s="23"/>
      <c r="BA112" s="23"/>
      <c r="BB112" s="23"/>
      <c r="BC112" s="23"/>
      <c r="BD112" s="23"/>
      <c r="BE112" s="23"/>
      <c r="BF112" s="23"/>
      <c r="BG112" s="23"/>
      <c r="BH112" s="23"/>
      <c r="BI112" s="23"/>
      <c r="BJ112" s="23"/>
      <c r="BK112" s="54"/>
      <c r="BL112" s="54"/>
      <c r="BM112" s="54"/>
      <c r="BN112" s="54"/>
      <c r="BO112" s="54"/>
      <c r="BP112" s="54"/>
      <c r="BQ112" s="54"/>
      <c r="BR112" s="54"/>
      <c r="BS112" s="54"/>
      <c r="BT112" s="54"/>
      <c r="BU112" s="54"/>
      <c r="BV112" s="54"/>
      <c r="BW112" s="54"/>
      <c r="BX112" s="54"/>
      <c r="BY112" s="54"/>
      <c r="BZ112" s="54"/>
      <c r="CA112" s="54"/>
      <c r="CB112" s="54"/>
      <c r="CC112" s="54"/>
      <c r="CD112" s="54"/>
      <c r="CE112" s="54"/>
      <c r="CF112" s="54"/>
      <c r="CG112" s="54"/>
      <c r="CH112" s="54"/>
      <c r="CI112" s="54"/>
      <c r="CJ112" s="54"/>
      <c r="CK112" s="54"/>
      <c r="CL112" s="54"/>
      <c r="CM112" s="54"/>
      <c r="CN112" s="23"/>
      <c r="CO112" s="23"/>
      <c r="CP112" s="23"/>
      <c r="CQ112" s="23"/>
      <c r="CR112" s="23"/>
      <c r="CS112" s="23"/>
      <c r="CT112" s="23"/>
      <c r="CU112" s="23"/>
      <c r="CV112" s="23"/>
      <c r="CW112" s="23"/>
      <c r="CX112" s="23"/>
      <c r="CY112" s="23"/>
      <c r="CZ112" s="23"/>
      <c r="DA112" s="23"/>
      <c r="DB112" s="23"/>
      <c r="DC112" s="23"/>
    </row>
    <row r="113" spans="3:107" s="27" customFormat="1" x14ac:dyDescent="0.2">
      <c r="C113" s="23"/>
      <c r="D113" s="23"/>
      <c r="E113" s="23"/>
      <c r="F113" s="23"/>
      <c r="G113" s="23"/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  <c r="V113" s="23"/>
      <c r="W113" s="23"/>
      <c r="X113" s="23"/>
      <c r="Y113" s="23"/>
      <c r="Z113" s="23"/>
      <c r="AA113" s="23"/>
      <c r="AB113" s="23"/>
      <c r="AC113" s="23"/>
      <c r="AD113" s="23"/>
      <c r="AE113" s="23"/>
      <c r="AF113" s="23"/>
      <c r="AG113" s="23"/>
      <c r="AH113" s="23"/>
      <c r="AI113" s="23"/>
      <c r="AJ113" s="23"/>
      <c r="AK113" s="23"/>
      <c r="AL113" s="23"/>
      <c r="AM113" s="23"/>
      <c r="AN113" s="23"/>
      <c r="AO113" s="23"/>
      <c r="AP113" s="23"/>
      <c r="AQ113" s="23"/>
      <c r="AR113" s="23"/>
      <c r="AS113" s="23"/>
      <c r="AT113" s="23"/>
      <c r="AU113" s="23"/>
      <c r="AV113" s="23"/>
      <c r="AW113" s="23"/>
      <c r="AX113" s="23"/>
      <c r="AY113" s="23"/>
      <c r="AZ113" s="23"/>
      <c r="BA113" s="23"/>
      <c r="BB113" s="23"/>
      <c r="BC113" s="23"/>
      <c r="BD113" s="23"/>
      <c r="BE113" s="23"/>
      <c r="BF113" s="23"/>
      <c r="BG113" s="23"/>
      <c r="BH113" s="23"/>
      <c r="BI113" s="23"/>
      <c r="BJ113" s="23"/>
      <c r="BK113" s="54"/>
      <c r="BL113" s="54"/>
      <c r="BM113" s="54"/>
      <c r="BN113" s="54"/>
      <c r="BO113" s="54"/>
      <c r="BP113" s="54"/>
      <c r="BQ113" s="54"/>
      <c r="BR113" s="54"/>
      <c r="BS113" s="54"/>
      <c r="BT113" s="54"/>
      <c r="BU113" s="54"/>
      <c r="BV113" s="54"/>
      <c r="BW113" s="54"/>
      <c r="BX113" s="54"/>
      <c r="BY113" s="54"/>
      <c r="BZ113" s="54"/>
      <c r="CA113" s="54"/>
      <c r="CB113" s="54"/>
      <c r="CC113" s="54"/>
      <c r="CD113" s="54"/>
      <c r="CE113" s="54"/>
      <c r="CF113" s="54"/>
      <c r="CG113" s="54"/>
      <c r="CH113" s="54"/>
      <c r="CI113" s="54"/>
      <c r="CJ113" s="54"/>
      <c r="CK113" s="54"/>
      <c r="CL113" s="54"/>
      <c r="CM113" s="54"/>
      <c r="CN113" s="23"/>
      <c r="CO113" s="23"/>
      <c r="CP113" s="23"/>
      <c r="CQ113" s="23"/>
      <c r="CR113" s="23"/>
      <c r="CS113" s="23"/>
      <c r="CT113" s="23"/>
      <c r="CU113" s="23"/>
      <c r="CV113" s="23"/>
      <c r="CW113" s="23"/>
      <c r="CX113" s="23"/>
      <c r="CY113" s="23"/>
      <c r="CZ113" s="23"/>
      <c r="DA113" s="23"/>
      <c r="DB113" s="23"/>
      <c r="DC113" s="23"/>
    </row>
    <row r="114" spans="3:107" s="27" customFormat="1" x14ac:dyDescent="0.2">
      <c r="C114" s="23"/>
      <c r="D114" s="23"/>
      <c r="E114" s="23"/>
      <c r="F114" s="23"/>
      <c r="G114" s="23"/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  <c r="V114" s="23"/>
      <c r="W114" s="23"/>
      <c r="X114" s="23"/>
      <c r="Y114" s="23"/>
      <c r="Z114" s="23"/>
      <c r="AA114" s="23"/>
      <c r="AB114" s="23"/>
      <c r="AC114" s="23"/>
      <c r="AD114" s="23"/>
      <c r="AE114" s="23"/>
      <c r="AF114" s="23"/>
      <c r="AG114" s="23"/>
      <c r="AH114" s="23"/>
      <c r="AI114" s="23"/>
      <c r="AJ114" s="23"/>
      <c r="AK114" s="23"/>
      <c r="AL114" s="23"/>
      <c r="AM114" s="23"/>
      <c r="AN114" s="23"/>
      <c r="AO114" s="23"/>
      <c r="AP114" s="23"/>
      <c r="AQ114" s="23"/>
      <c r="AR114" s="23"/>
      <c r="AS114" s="23"/>
      <c r="AT114" s="23"/>
      <c r="AU114" s="23"/>
      <c r="AV114" s="23"/>
      <c r="AW114" s="23"/>
      <c r="AX114" s="23"/>
      <c r="AY114" s="23"/>
      <c r="AZ114" s="23"/>
      <c r="BA114" s="23"/>
      <c r="BB114" s="23"/>
      <c r="BC114" s="23"/>
      <c r="BD114" s="23"/>
      <c r="BE114" s="23"/>
      <c r="BF114" s="23"/>
      <c r="BG114" s="23"/>
      <c r="BH114" s="23"/>
      <c r="BI114" s="23"/>
      <c r="BJ114" s="23"/>
      <c r="BK114" s="54"/>
      <c r="BL114" s="54"/>
      <c r="BM114" s="54"/>
      <c r="BN114" s="54"/>
      <c r="BO114" s="54"/>
      <c r="BP114" s="54"/>
      <c r="BQ114" s="54"/>
      <c r="BR114" s="54"/>
      <c r="BS114" s="54"/>
      <c r="BT114" s="54"/>
      <c r="BU114" s="54"/>
      <c r="BV114" s="54"/>
      <c r="BW114" s="54"/>
      <c r="BX114" s="54"/>
      <c r="BY114" s="54"/>
      <c r="BZ114" s="54"/>
      <c r="CA114" s="54"/>
      <c r="CB114" s="54"/>
      <c r="CC114" s="54"/>
      <c r="CD114" s="54"/>
      <c r="CE114" s="54"/>
      <c r="CF114" s="54"/>
      <c r="CG114" s="54"/>
      <c r="CH114" s="54"/>
      <c r="CI114" s="54"/>
      <c r="CJ114" s="54"/>
      <c r="CK114" s="54"/>
      <c r="CL114" s="54"/>
      <c r="CM114" s="54"/>
      <c r="CN114" s="23"/>
      <c r="CO114" s="23"/>
      <c r="CP114" s="23"/>
      <c r="CQ114" s="23"/>
      <c r="CR114" s="23"/>
      <c r="CS114" s="23"/>
      <c r="CT114" s="23"/>
      <c r="CU114" s="23"/>
      <c r="CV114" s="23"/>
      <c r="CW114" s="23"/>
      <c r="CX114" s="23"/>
      <c r="CY114" s="23"/>
      <c r="CZ114" s="23"/>
      <c r="DA114" s="23"/>
      <c r="DB114" s="23"/>
      <c r="DC114" s="23"/>
    </row>
    <row r="115" spans="3:107" s="27" customFormat="1" x14ac:dyDescent="0.2">
      <c r="C115" s="23"/>
      <c r="D115" s="23"/>
      <c r="E115" s="23"/>
      <c r="F115" s="23"/>
      <c r="G115" s="23"/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  <c r="V115" s="23"/>
      <c r="W115" s="23"/>
      <c r="X115" s="23"/>
      <c r="Y115" s="23"/>
      <c r="Z115" s="23"/>
      <c r="AA115" s="23"/>
      <c r="AB115" s="23"/>
      <c r="AC115" s="23"/>
      <c r="AD115" s="23"/>
      <c r="AE115" s="23"/>
      <c r="AF115" s="23"/>
      <c r="AG115" s="23"/>
      <c r="AH115" s="23"/>
      <c r="AI115" s="23"/>
      <c r="AJ115" s="23"/>
      <c r="AK115" s="23"/>
      <c r="AL115" s="23"/>
      <c r="AM115" s="23"/>
      <c r="AN115" s="23"/>
      <c r="AO115" s="23"/>
      <c r="AP115" s="23"/>
      <c r="AQ115" s="23"/>
      <c r="AR115" s="23"/>
      <c r="AS115" s="23"/>
      <c r="AT115" s="23"/>
      <c r="AU115" s="23"/>
      <c r="AV115" s="23"/>
      <c r="AW115" s="23"/>
      <c r="AX115" s="23"/>
      <c r="AY115" s="23"/>
      <c r="AZ115" s="23"/>
      <c r="BA115" s="23"/>
      <c r="BB115" s="23"/>
      <c r="BC115" s="23"/>
      <c r="BD115" s="23"/>
      <c r="BE115" s="23"/>
      <c r="BF115" s="23"/>
      <c r="BG115" s="23"/>
      <c r="BH115" s="23"/>
      <c r="BI115" s="23"/>
      <c r="BJ115" s="23"/>
      <c r="BK115" s="54"/>
      <c r="BL115" s="54"/>
      <c r="BM115" s="54"/>
      <c r="BN115" s="54"/>
      <c r="BO115" s="54"/>
      <c r="BP115" s="54"/>
      <c r="BQ115" s="54"/>
      <c r="BR115" s="54"/>
      <c r="BS115" s="54"/>
      <c r="BT115" s="54"/>
      <c r="BU115" s="54"/>
      <c r="BV115" s="54"/>
      <c r="BW115" s="54"/>
      <c r="BX115" s="54"/>
      <c r="BY115" s="54"/>
      <c r="BZ115" s="54"/>
      <c r="CA115" s="54"/>
      <c r="CB115" s="54"/>
      <c r="CC115" s="54"/>
      <c r="CD115" s="54"/>
      <c r="CE115" s="54"/>
      <c r="CF115" s="54"/>
      <c r="CG115" s="54"/>
      <c r="CH115" s="54"/>
      <c r="CI115" s="54"/>
      <c r="CJ115" s="54"/>
      <c r="CK115" s="54"/>
      <c r="CL115" s="54"/>
      <c r="CM115" s="54"/>
      <c r="CN115" s="23"/>
      <c r="CO115" s="23"/>
      <c r="CP115" s="23"/>
      <c r="CQ115" s="23"/>
      <c r="CR115" s="23"/>
      <c r="CS115" s="23"/>
      <c r="CT115" s="23"/>
      <c r="CU115" s="23"/>
      <c r="CV115" s="23"/>
      <c r="CW115" s="23"/>
      <c r="CX115" s="23"/>
      <c r="CY115" s="23"/>
      <c r="CZ115" s="23"/>
      <c r="DA115" s="23"/>
      <c r="DB115" s="23"/>
      <c r="DC115" s="23"/>
    </row>
    <row r="116" spans="3:107" s="27" customFormat="1" x14ac:dyDescent="0.2">
      <c r="C116" s="23"/>
      <c r="D116" s="23"/>
      <c r="E116" s="23"/>
      <c r="F116" s="23"/>
      <c r="G116" s="23"/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  <c r="V116" s="23"/>
      <c r="W116" s="23"/>
      <c r="X116" s="23"/>
      <c r="Y116" s="23"/>
      <c r="Z116" s="23"/>
      <c r="AA116" s="23"/>
      <c r="AB116" s="23"/>
      <c r="AC116" s="23"/>
      <c r="AD116" s="23"/>
      <c r="AE116" s="23"/>
      <c r="AF116" s="23"/>
      <c r="AG116" s="23"/>
      <c r="AH116" s="23"/>
      <c r="AI116" s="23"/>
      <c r="AJ116" s="23"/>
      <c r="AK116" s="23"/>
      <c r="AL116" s="23"/>
      <c r="AM116" s="23"/>
      <c r="AN116" s="23"/>
      <c r="AO116" s="23"/>
      <c r="AP116" s="23"/>
      <c r="AQ116" s="23"/>
      <c r="AR116" s="23"/>
      <c r="AS116" s="23"/>
      <c r="AT116" s="23"/>
      <c r="AU116" s="23"/>
      <c r="AV116" s="23"/>
      <c r="AW116" s="23"/>
      <c r="AX116" s="23"/>
      <c r="AY116" s="23"/>
      <c r="AZ116" s="23"/>
      <c r="BA116" s="23"/>
      <c r="BB116" s="23"/>
      <c r="BC116" s="23"/>
      <c r="BD116" s="23"/>
      <c r="BE116" s="23"/>
      <c r="BF116" s="23"/>
      <c r="BG116" s="23"/>
      <c r="BH116" s="23"/>
      <c r="BI116" s="23"/>
      <c r="BJ116" s="23"/>
      <c r="BK116" s="54"/>
      <c r="BL116" s="54"/>
      <c r="BM116" s="54"/>
      <c r="BN116" s="54"/>
      <c r="BO116" s="54"/>
      <c r="BP116" s="54"/>
      <c r="BQ116" s="54"/>
      <c r="BR116" s="54"/>
      <c r="BS116" s="54"/>
      <c r="BT116" s="54"/>
      <c r="BU116" s="54"/>
      <c r="BV116" s="54"/>
      <c r="BW116" s="54"/>
      <c r="BX116" s="54"/>
      <c r="BY116" s="54"/>
      <c r="BZ116" s="54"/>
      <c r="CA116" s="54"/>
      <c r="CB116" s="54"/>
      <c r="CC116" s="54"/>
      <c r="CD116" s="54"/>
      <c r="CE116" s="54"/>
      <c r="CF116" s="54"/>
      <c r="CG116" s="54"/>
      <c r="CH116" s="54"/>
      <c r="CI116" s="54"/>
      <c r="CJ116" s="54"/>
      <c r="CK116" s="54"/>
      <c r="CL116" s="54"/>
      <c r="CM116" s="54"/>
      <c r="CN116" s="23"/>
      <c r="CO116" s="23"/>
      <c r="CP116" s="23"/>
      <c r="CQ116" s="23"/>
      <c r="CR116" s="23"/>
      <c r="CS116" s="23"/>
      <c r="CT116" s="23"/>
      <c r="CU116" s="23"/>
      <c r="CV116" s="23"/>
      <c r="CW116" s="23"/>
      <c r="CX116" s="23"/>
      <c r="CY116" s="23"/>
      <c r="CZ116" s="23"/>
      <c r="DA116" s="23"/>
      <c r="DB116" s="23"/>
      <c r="DC116" s="23"/>
    </row>
    <row r="117" spans="3:107" s="27" customFormat="1" x14ac:dyDescent="0.2">
      <c r="C117" s="23"/>
      <c r="D117" s="23"/>
      <c r="E117" s="23"/>
      <c r="F117" s="23"/>
      <c r="G117" s="23"/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  <c r="V117" s="23"/>
      <c r="W117" s="23"/>
      <c r="X117" s="23"/>
      <c r="Y117" s="23"/>
      <c r="Z117" s="23"/>
      <c r="AA117" s="23"/>
      <c r="AB117" s="23"/>
      <c r="AC117" s="23"/>
      <c r="AD117" s="23"/>
      <c r="AE117" s="23"/>
      <c r="AF117" s="23"/>
      <c r="AG117" s="23"/>
      <c r="AH117" s="23"/>
      <c r="AI117" s="23"/>
      <c r="AJ117" s="23"/>
      <c r="AK117" s="23"/>
      <c r="AL117" s="23"/>
      <c r="AM117" s="23"/>
      <c r="AN117" s="23"/>
      <c r="AO117" s="23"/>
      <c r="AP117" s="23"/>
      <c r="AQ117" s="23"/>
      <c r="AR117" s="23"/>
      <c r="AS117" s="23"/>
      <c r="AT117" s="23"/>
      <c r="AU117" s="23"/>
      <c r="AV117" s="23"/>
      <c r="AW117" s="23"/>
      <c r="AX117" s="23"/>
      <c r="AY117" s="23"/>
      <c r="AZ117" s="23"/>
      <c r="BA117" s="23"/>
      <c r="BB117" s="23"/>
      <c r="BC117" s="23"/>
      <c r="BD117" s="23"/>
      <c r="BE117" s="23"/>
      <c r="BF117" s="23"/>
      <c r="BG117" s="23"/>
      <c r="BH117" s="23"/>
      <c r="BI117" s="23"/>
      <c r="BJ117" s="23"/>
      <c r="BK117" s="54"/>
      <c r="BL117" s="54"/>
      <c r="BM117" s="54"/>
      <c r="BN117" s="54"/>
      <c r="BO117" s="54"/>
      <c r="BP117" s="54"/>
      <c r="BQ117" s="54"/>
      <c r="BR117" s="54"/>
      <c r="BS117" s="54"/>
      <c r="BT117" s="54"/>
      <c r="BU117" s="54"/>
      <c r="BV117" s="54"/>
      <c r="BW117" s="54"/>
      <c r="BX117" s="54"/>
      <c r="BY117" s="54"/>
      <c r="BZ117" s="54"/>
      <c r="CA117" s="54"/>
      <c r="CB117" s="54"/>
      <c r="CC117" s="54"/>
      <c r="CD117" s="54"/>
      <c r="CE117" s="54"/>
      <c r="CF117" s="54"/>
      <c r="CG117" s="54"/>
      <c r="CH117" s="54"/>
      <c r="CI117" s="54"/>
      <c r="CJ117" s="54"/>
      <c r="CK117" s="54"/>
      <c r="CL117" s="54"/>
      <c r="CM117" s="54"/>
      <c r="CN117" s="23"/>
      <c r="CO117" s="23"/>
      <c r="CP117" s="23"/>
      <c r="CQ117" s="23"/>
      <c r="CR117" s="23"/>
      <c r="CS117" s="23"/>
      <c r="CT117" s="23"/>
      <c r="CU117" s="23"/>
      <c r="CV117" s="23"/>
      <c r="CW117" s="23"/>
      <c r="CX117" s="23"/>
      <c r="CY117" s="23"/>
      <c r="CZ117" s="23"/>
      <c r="DA117" s="23"/>
      <c r="DB117" s="23"/>
      <c r="DC117" s="23"/>
    </row>
    <row r="118" spans="3:107" s="27" customFormat="1" x14ac:dyDescent="0.2">
      <c r="C118" s="23"/>
      <c r="D118" s="23"/>
      <c r="E118" s="23"/>
      <c r="F118" s="23"/>
      <c r="G118" s="23"/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  <c r="V118" s="23"/>
      <c r="W118" s="23"/>
      <c r="X118" s="23"/>
      <c r="Y118" s="23"/>
      <c r="Z118" s="23"/>
      <c r="AA118" s="23"/>
      <c r="AB118" s="23"/>
      <c r="AC118" s="23"/>
      <c r="AD118" s="23"/>
      <c r="AE118" s="23"/>
      <c r="AF118" s="23"/>
      <c r="AG118" s="23"/>
      <c r="AH118" s="23"/>
      <c r="AI118" s="23"/>
      <c r="AJ118" s="23"/>
      <c r="AK118" s="23"/>
      <c r="AL118" s="23"/>
      <c r="AM118" s="23"/>
      <c r="AN118" s="23"/>
      <c r="AO118" s="23"/>
      <c r="AP118" s="23"/>
      <c r="AQ118" s="23"/>
      <c r="AR118" s="23"/>
      <c r="AS118" s="23"/>
      <c r="AT118" s="23"/>
      <c r="AU118" s="23"/>
      <c r="AV118" s="23"/>
      <c r="AW118" s="23"/>
      <c r="AX118" s="23"/>
      <c r="AY118" s="23"/>
      <c r="AZ118" s="23"/>
      <c r="BA118" s="23"/>
      <c r="BB118" s="23"/>
      <c r="BC118" s="23"/>
      <c r="BD118" s="23"/>
      <c r="BE118" s="23"/>
      <c r="BF118" s="23"/>
      <c r="BG118" s="23"/>
      <c r="BH118" s="23"/>
      <c r="BI118" s="23"/>
      <c r="BJ118" s="23"/>
      <c r="BK118" s="54"/>
      <c r="BL118" s="54"/>
      <c r="BM118" s="54"/>
      <c r="BN118" s="54"/>
      <c r="BO118" s="54"/>
      <c r="BP118" s="54"/>
      <c r="BQ118" s="54"/>
      <c r="BR118" s="54"/>
      <c r="BS118" s="54"/>
      <c r="BT118" s="54"/>
      <c r="BU118" s="54"/>
      <c r="BV118" s="54"/>
      <c r="BW118" s="54"/>
      <c r="BX118" s="54"/>
      <c r="BY118" s="54"/>
      <c r="BZ118" s="54"/>
      <c r="CA118" s="54"/>
      <c r="CB118" s="54"/>
      <c r="CC118" s="54"/>
      <c r="CD118" s="54"/>
      <c r="CE118" s="54"/>
      <c r="CF118" s="54"/>
      <c r="CG118" s="54"/>
      <c r="CH118" s="54"/>
      <c r="CI118" s="54"/>
      <c r="CJ118" s="54"/>
      <c r="CK118" s="54"/>
      <c r="CL118" s="54"/>
      <c r="CM118" s="54"/>
      <c r="CN118" s="23"/>
      <c r="CO118" s="23"/>
      <c r="CP118" s="23"/>
      <c r="CQ118" s="23"/>
      <c r="CR118" s="23"/>
      <c r="CS118" s="23"/>
      <c r="CT118" s="23"/>
      <c r="CU118" s="23"/>
      <c r="CV118" s="23"/>
      <c r="CW118" s="23"/>
      <c r="CX118" s="23"/>
      <c r="CY118" s="23"/>
      <c r="CZ118" s="23"/>
      <c r="DA118" s="23"/>
      <c r="DB118" s="23"/>
      <c r="DC118" s="23"/>
    </row>
    <row r="119" spans="3:107" s="27" customFormat="1" x14ac:dyDescent="0.2">
      <c r="C119" s="23"/>
      <c r="D119" s="23"/>
      <c r="E119" s="23"/>
      <c r="F119" s="23"/>
      <c r="G119" s="23"/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  <c r="V119" s="23"/>
      <c r="W119" s="23"/>
      <c r="X119" s="23"/>
      <c r="Y119" s="23"/>
      <c r="Z119" s="23"/>
      <c r="AA119" s="23"/>
      <c r="AB119" s="23"/>
      <c r="AC119" s="23"/>
      <c r="AD119" s="23"/>
      <c r="AE119" s="23"/>
      <c r="AF119" s="23"/>
      <c r="AG119" s="23"/>
      <c r="AH119" s="23"/>
      <c r="AI119" s="23"/>
      <c r="AJ119" s="23"/>
      <c r="AK119" s="23"/>
      <c r="AL119" s="23"/>
      <c r="AM119" s="23"/>
      <c r="AN119" s="23"/>
      <c r="AO119" s="23"/>
      <c r="AP119" s="23"/>
      <c r="AQ119" s="23"/>
      <c r="AR119" s="23"/>
      <c r="AS119" s="23"/>
      <c r="AT119" s="23"/>
      <c r="AU119" s="23"/>
      <c r="AV119" s="23"/>
      <c r="AW119" s="23"/>
      <c r="AX119" s="23"/>
      <c r="AY119" s="23"/>
      <c r="AZ119" s="23"/>
      <c r="BA119" s="23"/>
      <c r="BB119" s="23"/>
      <c r="BC119" s="23"/>
      <c r="BD119" s="23"/>
      <c r="BE119" s="23"/>
      <c r="BF119" s="23"/>
      <c r="BG119" s="23"/>
      <c r="BH119" s="23"/>
      <c r="BI119" s="23"/>
      <c r="BJ119" s="23"/>
      <c r="BK119" s="54"/>
      <c r="BL119" s="54"/>
      <c r="BM119" s="54"/>
      <c r="BN119" s="54"/>
      <c r="BO119" s="54"/>
      <c r="BP119" s="54"/>
      <c r="BQ119" s="54"/>
      <c r="BR119" s="54"/>
      <c r="BS119" s="54"/>
      <c r="BT119" s="54"/>
      <c r="BU119" s="54"/>
      <c r="BV119" s="54"/>
      <c r="BW119" s="54"/>
      <c r="BX119" s="54"/>
      <c r="BY119" s="54"/>
      <c r="BZ119" s="54"/>
      <c r="CA119" s="54"/>
      <c r="CB119" s="54"/>
      <c r="CC119" s="54"/>
      <c r="CD119" s="54"/>
      <c r="CE119" s="54"/>
      <c r="CF119" s="54"/>
      <c r="CG119" s="54"/>
      <c r="CH119" s="54"/>
      <c r="CI119" s="54"/>
      <c r="CJ119" s="54"/>
      <c r="CK119" s="54"/>
      <c r="CL119" s="54"/>
      <c r="CM119" s="54"/>
      <c r="CN119" s="23"/>
      <c r="CO119" s="23"/>
      <c r="CP119" s="23"/>
      <c r="CQ119" s="23"/>
      <c r="CR119" s="23"/>
      <c r="CS119" s="23"/>
      <c r="CT119" s="23"/>
      <c r="CU119" s="23"/>
      <c r="CV119" s="23"/>
      <c r="CW119" s="23"/>
      <c r="CX119" s="23"/>
      <c r="CY119" s="23"/>
      <c r="CZ119" s="23"/>
      <c r="DA119" s="23"/>
      <c r="DB119" s="23"/>
      <c r="DC119" s="23"/>
    </row>
    <row r="120" spans="3:107" s="27" customFormat="1" x14ac:dyDescent="0.2">
      <c r="C120" s="23"/>
      <c r="D120" s="23"/>
      <c r="E120" s="23"/>
      <c r="F120" s="23"/>
      <c r="G120" s="23"/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  <c r="V120" s="23"/>
      <c r="W120" s="23"/>
      <c r="X120" s="23"/>
      <c r="Y120" s="23"/>
      <c r="Z120" s="23"/>
      <c r="AA120" s="23"/>
      <c r="AB120" s="23"/>
      <c r="AC120" s="23"/>
      <c r="AD120" s="23"/>
      <c r="AE120" s="23"/>
      <c r="AF120" s="23"/>
      <c r="AG120" s="23"/>
      <c r="AH120" s="23"/>
      <c r="AI120" s="23"/>
      <c r="AJ120" s="23"/>
      <c r="AK120" s="23"/>
      <c r="AL120" s="23"/>
      <c r="AM120" s="23"/>
      <c r="AN120" s="23"/>
      <c r="AO120" s="23"/>
      <c r="AP120" s="23"/>
      <c r="AQ120" s="23"/>
      <c r="AR120" s="23"/>
      <c r="AS120" s="23"/>
      <c r="AT120" s="23"/>
      <c r="AU120" s="23"/>
      <c r="AV120" s="23"/>
      <c r="AW120" s="23"/>
      <c r="AX120" s="23"/>
      <c r="AY120" s="23"/>
      <c r="AZ120" s="23"/>
      <c r="BA120" s="23"/>
      <c r="BB120" s="23"/>
      <c r="BC120" s="23"/>
      <c r="BD120" s="23"/>
      <c r="BE120" s="23"/>
      <c r="BF120" s="23"/>
      <c r="BG120" s="23"/>
      <c r="BH120" s="23"/>
      <c r="BI120" s="23"/>
      <c r="BJ120" s="23"/>
      <c r="BK120" s="54"/>
      <c r="BL120" s="54"/>
      <c r="BM120" s="54"/>
      <c r="BN120" s="54"/>
      <c r="BO120" s="54"/>
      <c r="BP120" s="54"/>
      <c r="BQ120" s="54"/>
      <c r="BR120" s="54"/>
      <c r="BS120" s="54"/>
      <c r="BT120" s="54"/>
      <c r="BU120" s="54"/>
      <c r="BV120" s="54"/>
      <c r="BW120" s="54"/>
      <c r="BX120" s="54"/>
      <c r="BY120" s="54"/>
      <c r="BZ120" s="54"/>
      <c r="CA120" s="54"/>
      <c r="CB120" s="54"/>
      <c r="CC120" s="54"/>
      <c r="CD120" s="54"/>
      <c r="CE120" s="54"/>
      <c r="CF120" s="54"/>
      <c r="CG120" s="54"/>
      <c r="CH120" s="54"/>
      <c r="CI120" s="54"/>
      <c r="CJ120" s="54"/>
      <c r="CK120" s="54"/>
      <c r="CL120" s="54"/>
      <c r="CM120" s="54"/>
      <c r="CN120" s="23"/>
      <c r="CO120" s="23"/>
      <c r="CP120" s="23"/>
      <c r="CQ120" s="23"/>
      <c r="CR120" s="23"/>
      <c r="CS120" s="23"/>
      <c r="CT120" s="23"/>
      <c r="CU120" s="23"/>
      <c r="CV120" s="23"/>
      <c r="CW120" s="23"/>
      <c r="CX120" s="23"/>
      <c r="CY120" s="23"/>
      <c r="CZ120" s="23"/>
      <c r="DA120" s="23"/>
      <c r="DB120" s="23"/>
      <c r="DC120" s="23"/>
    </row>
    <row r="121" spans="3:107" s="27" customFormat="1" x14ac:dyDescent="0.2">
      <c r="C121" s="23"/>
      <c r="D121" s="23"/>
      <c r="E121" s="23"/>
      <c r="F121" s="23"/>
      <c r="G121" s="23"/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  <c r="V121" s="23"/>
      <c r="W121" s="23"/>
      <c r="X121" s="23"/>
      <c r="Y121" s="23"/>
      <c r="Z121" s="23"/>
      <c r="AA121" s="23"/>
      <c r="AB121" s="23"/>
      <c r="AC121" s="23"/>
      <c r="AD121" s="23"/>
      <c r="AE121" s="23"/>
      <c r="AF121" s="23"/>
      <c r="AG121" s="23"/>
      <c r="AH121" s="23"/>
      <c r="AI121" s="23"/>
      <c r="AJ121" s="23"/>
      <c r="AK121" s="23"/>
      <c r="AL121" s="23"/>
      <c r="AM121" s="23"/>
      <c r="AN121" s="23"/>
      <c r="AO121" s="23"/>
      <c r="AP121" s="23"/>
      <c r="AQ121" s="23"/>
      <c r="AR121" s="23"/>
      <c r="AS121" s="23"/>
      <c r="AT121" s="23"/>
      <c r="AU121" s="23"/>
      <c r="AV121" s="23"/>
      <c r="AW121" s="23"/>
      <c r="AX121" s="23"/>
      <c r="AY121" s="23"/>
      <c r="AZ121" s="23"/>
      <c r="BA121" s="23"/>
      <c r="BB121" s="23"/>
      <c r="BC121" s="23"/>
      <c r="BD121" s="23"/>
      <c r="BE121" s="23"/>
      <c r="BF121" s="23"/>
      <c r="BG121" s="23"/>
      <c r="BH121" s="23"/>
      <c r="BI121" s="23"/>
      <c r="BJ121" s="23"/>
      <c r="BK121" s="54"/>
      <c r="BL121" s="54"/>
      <c r="BM121" s="54"/>
      <c r="BN121" s="54"/>
      <c r="BO121" s="54"/>
      <c r="BP121" s="54"/>
      <c r="BQ121" s="54"/>
      <c r="BR121" s="54"/>
      <c r="BS121" s="54"/>
      <c r="BT121" s="54"/>
      <c r="BU121" s="54"/>
      <c r="BV121" s="54"/>
      <c r="BW121" s="54"/>
      <c r="BX121" s="54"/>
      <c r="BY121" s="54"/>
      <c r="BZ121" s="54"/>
      <c r="CA121" s="54"/>
      <c r="CB121" s="54"/>
      <c r="CC121" s="54"/>
      <c r="CD121" s="54"/>
      <c r="CE121" s="54"/>
      <c r="CF121" s="54"/>
      <c r="CG121" s="54"/>
      <c r="CH121" s="54"/>
      <c r="CI121" s="54"/>
      <c r="CJ121" s="54"/>
      <c r="CK121" s="54"/>
      <c r="CL121" s="54"/>
      <c r="CM121" s="54"/>
      <c r="CN121" s="23"/>
      <c r="CO121" s="23"/>
      <c r="CP121" s="23"/>
      <c r="CQ121" s="23"/>
      <c r="CR121" s="23"/>
      <c r="CS121" s="23"/>
      <c r="CT121" s="23"/>
      <c r="CU121" s="23"/>
      <c r="CV121" s="23"/>
      <c r="CW121" s="23"/>
      <c r="CX121" s="23"/>
      <c r="CY121" s="23"/>
      <c r="CZ121" s="23"/>
      <c r="DA121" s="23"/>
      <c r="DB121" s="23"/>
      <c r="DC121" s="23"/>
    </row>
    <row r="122" spans="3:107" s="27" customFormat="1" x14ac:dyDescent="0.2">
      <c r="C122" s="23"/>
      <c r="D122" s="23"/>
      <c r="E122" s="23"/>
      <c r="F122" s="23"/>
      <c r="G122" s="23"/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  <c r="V122" s="23"/>
      <c r="W122" s="23"/>
      <c r="X122" s="23"/>
      <c r="Y122" s="23"/>
      <c r="Z122" s="23"/>
      <c r="AA122" s="23"/>
      <c r="AB122" s="23"/>
      <c r="AC122" s="23"/>
      <c r="AD122" s="23"/>
      <c r="AE122" s="23"/>
      <c r="AF122" s="23"/>
      <c r="AG122" s="23"/>
      <c r="AH122" s="23"/>
      <c r="AI122" s="23"/>
      <c r="AJ122" s="23"/>
      <c r="AK122" s="23"/>
      <c r="AL122" s="23"/>
      <c r="AM122" s="23"/>
      <c r="AN122" s="23"/>
      <c r="AO122" s="23"/>
      <c r="AP122" s="23"/>
      <c r="AQ122" s="23"/>
      <c r="AR122" s="23"/>
      <c r="AS122" s="23"/>
      <c r="AT122" s="23"/>
      <c r="AU122" s="23"/>
      <c r="AV122" s="23"/>
      <c r="AW122" s="23"/>
      <c r="AX122" s="23"/>
      <c r="AY122" s="23"/>
      <c r="AZ122" s="23"/>
      <c r="BA122" s="23"/>
      <c r="BB122" s="23"/>
      <c r="BC122" s="23"/>
      <c r="BD122" s="23"/>
      <c r="BE122" s="23"/>
      <c r="BF122" s="23"/>
      <c r="BG122" s="23"/>
      <c r="BH122" s="23"/>
      <c r="BI122" s="23"/>
      <c r="BJ122" s="23"/>
      <c r="BK122" s="54"/>
      <c r="BL122" s="54"/>
      <c r="BM122" s="54"/>
      <c r="BN122" s="54"/>
      <c r="BO122" s="54"/>
      <c r="BP122" s="54"/>
      <c r="BQ122" s="54"/>
      <c r="BR122" s="54"/>
      <c r="BS122" s="54"/>
      <c r="BT122" s="54"/>
      <c r="BU122" s="54"/>
      <c r="BV122" s="54"/>
      <c r="BW122" s="54"/>
      <c r="BX122" s="54"/>
      <c r="BY122" s="54"/>
      <c r="BZ122" s="54"/>
      <c r="CA122" s="54"/>
      <c r="CB122" s="54"/>
      <c r="CC122" s="54"/>
      <c r="CD122" s="54"/>
      <c r="CE122" s="54"/>
      <c r="CF122" s="54"/>
      <c r="CG122" s="54"/>
      <c r="CH122" s="54"/>
      <c r="CI122" s="54"/>
      <c r="CJ122" s="54"/>
      <c r="CK122" s="54"/>
      <c r="CL122" s="54"/>
      <c r="CM122" s="54"/>
      <c r="CN122" s="23"/>
      <c r="CO122" s="23"/>
      <c r="CP122" s="23"/>
      <c r="CQ122" s="23"/>
      <c r="CR122" s="23"/>
      <c r="CS122" s="23"/>
      <c r="CT122" s="23"/>
      <c r="CU122" s="23"/>
      <c r="CV122" s="23"/>
      <c r="CW122" s="23"/>
      <c r="CX122" s="23"/>
      <c r="CY122" s="23"/>
      <c r="CZ122" s="23"/>
      <c r="DA122" s="23"/>
      <c r="DB122" s="23"/>
      <c r="DC122" s="23"/>
    </row>
    <row r="123" spans="3:107" s="27" customFormat="1" x14ac:dyDescent="0.2">
      <c r="C123" s="23"/>
      <c r="D123" s="23"/>
      <c r="E123" s="23"/>
      <c r="F123" s="23"/>
      <c r="G123" s="23"/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  <c r="V123" s="23"/>
      <c r="W123" s="23"/>
      <c r="X123" s="23"/>
      <c r="Y123" s="23"/>
      <c r="Z123" s="23"/>
      <c r="AA123" s="23"/>
      <c r="AB123" s="23"/>
      <c r="AC123" s="23"/>
      <c r="AD123" s="23"/>
      <c r="AE123" s="23"/>
      <c r="AF123" s="23"/>
      <c r="AG123" s="23"/>
      <c r="AH123" s="23"/>
      <c r="AI123" s="23"/>
      <c r="AJ123" s="23"/>
      <c r="AK123" s="23"/>
      <c r="AL123" s="23"/>
      <c r="AM123" s="23"/>
      <c r="AN123" s="23"/>
      <c r="AO123" s="23"/>
      <c r="AP123" s="23"/>
      <c r="AQ123" s="23"/>
      <c r="AR123" s="23"/>
      <c r="AS123" s="23"/>
      <c r="AT123" s="23"/>
      <c r="AU123" s="23"/>
      <c r="AV123" s="23"/>
      <c r="AW123" s="23"/>
      <c r="AX123" s="23"/>
      <c r="AY123" s="23"/>
      <c r="AZ123" s="23"/>
      <c r="BA123" s="23"/>
      <c r="BB123" s="23"/>
      <c r="BC123" s="23"/>
      <c r="BD123" s="23"/>
      <c r="BE123" s="23"/>
      <c r="BF123" s="23"/>
      <c r="BG123" s="23"/>
      <c r="BH123" s="23"/>
      <c r="BI123" s="23"/>
      <c r="BJ123" s="23"/>
      <c r="BK123" s="54"/>
      <c r="BL123" s="54"/>
      <c r="BM123" s="54"/>
      <c r="BN123" s="54"/>
      <c r="BO123" s="54"/>
      <c r="BP123" s="54"/>
      <c r="BQ123" s="54"/>
      <c r="BR123" s="54"/>
      <c r="BS123" s="54"/>
      <c r="BT123" s="54"/>
      <c r="BU123" s="54"/>
      <c r="BV123" s="54"/>
      <c r="BW123" s="54"/>
      <c r="BX123" s="54"/>
      <c r="BY123" s="54"/>
      <c r="BZ123" s="54"/>
      <c r="CA123" s="54"/>
      <c r="CB123" s="54"/>
      <c r="CC123" s="54"/>
      <c r="CD123" s="54"/>
      <c r="CE123" s="54"/>
      <c r="CF123" s="54"/>
      <c r="CG123" s="54"/>
      <c r="CH123" s="54"/>
      <c r="CI123" s="54"/>
      <c r="CJ123" s="54"/>
      <c r="CK123" s="54"/>
      <c r="CL123" s="54"/>
      <c r="CM123" s="54"/>
      <c r="CN123" s="23"/>
      <c r="CO123" s="23"/>
      <c r="CP123" s="23"/>
      <c r="CQ123" s="23"/>
      <c r="CR123" s="23"/>
      <c r="CS123" s="23"/>
      <c r="CT123" s="23"/>
      <c r="CU123" s="23"/>
      <c r="CV123" s="23"/>
      <c r="CW123" s="23"/>
      <c r="CX123" s="23"/>
      <c r="CY123" s="23"/>
      <c r="CZ123" s="23"/>
      <c r="DA123" s="23"/>
      <c r="DB123" s="23"/>
      <c r="DC123" s="23"/>
    </row>
    <row r="124" spans="3:107" s="27" customFormat="1" x14ac:dyDescent="0.2">
      <c r="C124" s="23"/>
      <c r="D124" s="23"/>
      <c r="E124" s="23"/>
      <c r="F124" s="23"/>
      <c r="G124" s="23"/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  <c r="V124" s="23"/>
      <c r="W124" s="23"/>
      <c r="X124" s="23"/>
      <c r="Y124" s="23"/>
      <c r="Z124" s="23"/>
      <c r="AA124" s="23"/>
      <c r="AB124" s="23"/>
      <c r="AC124" s="23"/>
      <c r="AD124" s="23"/>
      <c r="AE124" s="23"/>
      <c r="AF124" s="23"/>
      <c r="AG124" s="23"/>
      <c r="AH124" s="23"/>
      <c r="AI124" s="23"/>
      <c r="AJ124" s="23"/>
      <c r="AK124" s="23"/>
      <c r="AL124" s="23"/>
      <c r="AM124" s="23"/>
      <c r="AN124" s="23"/>
      <c r="AO124" s="23"/>
      <c r="AP124" s="23"/>
      <c r="AQ124" s="23"/>
      <c r="AR124" s="23"/>
      <c r="AS124" s="23"/>
      <c r="AT124" s="23"/>
      <c r="AU124" s="23"/>
      <c r="AV124" s="23"/>
      <c r="AW124" s="23"/>
      <c r="AX124" s="23"/>
      <c r="AY124" s="23"/>
      <c r="AZ124" s="23"/>
      <c r="BA124" s="23"/>
      <c r="BB124" s="23"/>
      <c r="BC124" s="23"/>
      <c r="BD124" s="23"/>
      <c r="BE124" s="23"/>
      <c r="BF124" s="23"/>
      <c r="BG124" s="23"/>
      <c r="BH124" s="23"/>
      <c r="BI124" s="23"/>
      <c r="BJ124" s="23"/>
      <c r="BK124" s="54"/>
      <c r="BL124" s="54"/>
      <c r="BM124" s="54"/>
      <c r="BN124" s="54"/>
      <c r="BO124" s="54"/>
      <c r="BP124" s="54"/>
      <c r="BQ124" s="54"/>
      <c r="BR124" s="54"/>
      <c r="BS124" s="54"/>
      <c r="BT124" s="54"/>
      <c r="BU124" s="54"/>
      <c r="BV124" s="54"/>
      <c r="BW124" s="54"/>
      <c r="BX124" s="54"/>
      <c r="BY124" s="54"/>
      <c r="BZ124" s="54"/>
      <c r="CA124" s="54"/>
      <c r="CB124" s="54"/>
      <c r="CC124" s="54"/>
      <c r="CD124" s="54"/>
      <c r="CE124" s="54"/>
      <c r="CF124" s="54"/>
      <c r="CG124" s="54"/>
      <c r="CH124" s="54"/>
      <c r="CI124" s="54"/>
      <c r="CJ124" s="54"/>
      <c r="CK124" s="54"/>
      <c r="CL124" s="54"/>
      <c r="CM124" s="54"/>
      <c r="CN124" s="23"/>
      <c r="CO124" s="23"/>
      <c r="CP124" s="23"/>
      <c r="CQ124" s="23"/>
      <c r="CR124" s="23"/>
      <c r="CS124" s="23"/>
      <c r="CT124" s="23"/>
      <c r="CU124" s="23"/>
      <c r="CV124" s="23"/>
      <c r="CW124" s="23"/>
      <c r="CX124" s="23"/>
      <c r="CY124" s="23"/>
      <c r="CZ124" s="23"/>
      <c r="DA124" s="23"/>
      <c r="DB124" s="23"/>
      <c r="DC124" s="23"/>
    </row>
  </sheetData>
  <phoneticPr fontId="2" type="noConversion"/>
  <hyperlinks>
    <hyperlink ref="A1" location="Main!A1" display="Main" xr:uid="{00000000-0004-0000-0300-000000000000}"/>
  </hyperlinks>
  <pageMargins left="0.17" right="0.02" top="0.42" bottom="1" header="0.5" footer="0.5"/>
  <pageSetup scale="16" orientation="landscape" horizontalDpi="4294967293" r:id="rId1"/>
  <headerFooter alignWithMargins="0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0BD0FC-BE9A-4804-A1F8-5730C974DDE3}">
  <dimension ref="A1:C26"/>
  <sheetViews>
    <sheetView zoomScale="175" zoomScaleNormal="175" workbookViewId="0"/>
  </sheetViews>
  <sheetFormatPr defaultRowHeight="12.75" x14ac:dyDescent="0.2"/>
  <cols>
    <col min="1" max="1" width="5" bestFit="1" customWidth="1"/>
    <col min="2" max="2" width="9.85546875" bestFit="1" customWidth="1"/>
  </cols>
  <sheetData>
    <row r="1" spans="1:3" x14ac:dyDescent="0.2">
      <c r="A1" s="28" t="s">
        <v>65</v>
      </c>
    </row>
    <row r="2" spans="1:3" x14ac:dyDescent="0.2">
      <c r="B2" s="29" t="s">
        <v>585</v>
      </c>
      <c r="C2" s="29" t="s">
        <v>527</v>
      </c>
    </row>
    <row r="3" spans="1:3" x14ac:dyDescent="0.2">
      <c r="B3" s="29" t="s">
        <v>586</v>
      </c>
      <c r="C3" s="29" t="s">
        <v>587</v>
      </c>
    </row>
    <row r="4" spans="1:3" x14ac:dyDescent="0.2">
      <c r="B4" s="29" t="s">
        <v>588</v>
      </c>
      <c r="C4" s="29" t="s">
        <v>593</v>
      </c>
    </row>
    <row r="5" spans="1:3" x14ac:dyDescent="0.2">
      <c r="B5" s="29"/>
      <c r="C5" s="29" t="s">
        <v>605</v>
      </c>
    </row>
    <row r="6" spans="1:3" x14ac:dyDescent="0.2">
      <c r="B6" s="29"/>
      <c r="C6" s="29" t="s">
        <v>610</v>
      </c>
    </row>
    <row r="7" spans="1:3" x14ac:dyDescent="0.2">
      <c r="B7" s="29" t="s">
        <v>589</v>
      </c>
      <c r="C7" s="29" t="s">
        <v>590</v>
      </c>
    </row>
    <row r="8" spans="1:3" x14ac:dyDescent="0.2">
      <c r="B8" s="29" t="s">
        <v>591</v>
      </c>
      <c r="C8" s="29" t="s">
        <v>592</v>
      </c>
    </row>
    <row r="9" spans="1:3" x14ac:dyDescent="0.2">
      <c r="C9" s="29" t="s">
        <v>600</v>
      </c>
    </row>
    <row r="18" spans="3:3" x14ac:dyDescent="0.2">
      <c r="C18" s="30" t="s">
        <v>606</v>
      </c>
    </row>
    <row r="22" spans="3:3" x14ac:dyDescent="0.2">
      <c r="C22" s="30" t="s">
        <v>607</v>
      </c>
    </row>
    <row r="23" spans="3:3" x14ac:dyDescent="0.2">
      <c r="C23" s="29" t="s">
        <v>609</v>
      </c>
    </row>
    <row r="25" spans="3:3" x14ac:dyDescent="0.2">
      <c r="C25" s="30" t="s">
        <v>608</v>
      </c>
    </row>
    <row r="26" spans="3:3" x14ac:dyDescent="0.2">
      <c r="C26" s="29" t="s">
        <v>609</v>
      </c>
    </row>
  </sheetData>
  <hyperlinks>
    <hyperlink ref="A1" location="Main!A1" display="Main" xr:uid="{CC029C72-D8AD-46DE-B91C-F1BE7254C244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8"/>
  <sheetViews>
    <sheetView workbookViewId="0">
      <selection activeCell="C8" sqref="C8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49</v>
      </c>
    </row>
    <row r="3" spans="1:3" x14ac:dyDescent="0.2">
      <c r="B3" s="1" t="s">
        <v>67</v>
      </c>
      <c r="C3" s="1" t="s">
        <v>68</v>
      </c>
    </row>
    <row r="4" spans="1:3" x14ac:dyDescent="0.2">
      <c r="B4" s="1" t="s">
        <v>16</v>
      </c>
      <c r="C4" s="1" t="s">
        <v>166</v>
      </c>
    </row>
    <row r="5" spans="1:3" x14ac:dyDescent="0.2">
      <c r="B5" s="1" t="s">
        <v>13</v>
      </c>
      <c r="C5" s="1" t="s">
        <v>69</v>
      </c>
    </row>
    <row r="6" spans="1:3" x14ac:dyDescent="0.2">
      <c r="B6" s="1" t="s">
        <v>15</v>
      </c>
      <c r="C6" s="1" t="s">
        <v>187</v>
      </c>
    </row>
    <row r="7" spans="1:3" x14ac:dyDescent="0.2">
      <c r="C7" s="19" t="s">
        <v>290</v>
      </c>
    </row>
    <row r="8" spans="1:3" x14ac:dyDescent="0.2">
      <c r="B8" s="1" t="s">
        <v>70</v>
      </c>
      <c r="C8" s="1" t="s">
        <v>165</v>
      </c>
    </row>
    <row r="9" spans="1:3" x14ac:dyDescent="0.2">
      <c r="B9" s="1" t="s">
        <v>74</v>
      </c>
    </row>
    <row r="12" spans="1:3" x14ac:dyDescent="0.2">
      <c r="C12" s="10" t="s">
        <v>148</v>
      </c>
    </row>
    <row r="13" spans="1:3" x14ac:dyDescent="0.2">
      <c r="C13" s="1" t="s">
        <v>146</v>
      </c>
    </row>
    <row r="17" spans="3:3" x14ac:dyDescent="0.2">
      <c r="C17" s="10" t="s">
        <v>147</v>
      </c>
    </row>
    <row r="18" spans="3:3" x14ac:dyDescent="0.2">
      <c r="C18" s="1" t="s">
        <v>149</v>
      </c>
    </row>
  </sheetData>
  <phoneticPr fontId="2" type="noConversion"/>
  <hyperlinks>
    <hyperlink ref="A1" location="Main!A1" display="Main" xr:uid="{00000000-0004-0000-0400-000000000000}"/>
  </hyperlinks>
  <pageMargins left="0.75" right="0.75" top="1" bottom="1" header="0.5" footer="0.5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0"/>
  <sheetViews>
    <sheetView workbookViewId="0"/>
  </sheetViews>
  <sheetFormatPr defaultColWidth="8.85546875" defaultRowHeight="12.75" x14ac:dyDescent="0.2"/>
  <cols>
    <col min="1" max="1" width="5" bestFit="1" customWidth="1"/>
    <col min="2" max="2" width="12.85546875" bestFit="1" customWidth="1"/>
  </cols>
  <sheetData>
    <row r="1" spans="1:3" x14ac:dyDescent="0.2">
      <c r="A1" s="28" t="s">
        <v>65</v>
      </c>
    </row>
    <row r="2" spans="1:3" x14ac:dyDescent="0.2">
      <c r="B2" s="29" t="s">
        <v>66</v>
      </c>
      <c r="C2" s="29" t="s">
        <v>62</v>
      </c>
    </row>
    <row r="3" spans="1:3" x14ac:dyDescent="0.2">
      <c r="B3" s="29" t="s">
        <v>67</v>
      </c>
      <c r="C3" s="29" t="s">
        <v>218</v>
      </c>
    </row>
    <row r="4" spans="1:3" x14ac:dyDescent="0.2">
      <c r="B4" s="29" t="s">
        <v>74</v>
      </c>
    </row>
    <row r="5" spans="1:3" x14ac:dyDescent="0.2">
      <c r="C5" s="30" t="s">
        <v>219</v>
      </c>
    </row>
    <row r="6" spans="1:3" x14ac:dyDescent="0.2">
      <c r="C6" s="29" t="s">
        <v>220</v>
      </c>
    </row>
    <row r="7" spans="1:3" x14ac:dyDescent="0.2">
      <c r="C7" s="29" t="s">
        <v>221</v>
      </c>
    </row>
    <row r="9" spans="1:3" x14ac:dyDescent="0.2">
      <c r="C9" s="30" t="s">
        <v>224</v>
      </c>
    </row>
    <row r="10" spans="1:3" x14ac:dyDescent="0.2">
      <c r="C10" s="29" t="s">
        <v>225</v>
      </c>
    </row>
  </sheetData>
  <hyperlinks>
    <hyperlink ref="A1" location="Main!A1" display="Main" xr:uid="{00000000-0004-0000-0500-000000000000}"/>
  </hyperlink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9"/>
  <sheetViews>
    <sheetView zoomScale="145" zoomScaleNormal="145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9" t="s">
        <v>350</v>
      </c>
    </row>
    <row r="3" spans="1:3" x14ac:dyDescent="0.2">
      <c r="B3" s="1" t="s">
        <v>67</v>
      </c>
      <c r="C3" s="1" t="s">
        <v>200</v>
      </c>
    </row>
    <row r="4" spans="1:3" x14ac:dyDescent="0.2">
      <c r="B4" s="1" t="s">
        <v>70</v>
      </c>
      <c r="C4" s="1" t="s">
        <v>201</v>
      </c>
    </row>
    <row r="5" spans="1:3" x14ac:dyDescent="0.2">
      <c r="B5" s="19" t="s">
        <v>15</v>
      </c>
      <c r="C5" s="19" t="s">
        <v>564</v>
      </c>
    </row>
    <row r="6" spans="1:3" x14ac:dyDescent="0.2">
      <c r="B6" s="1" t="s">
        <v>74</v>
      </c>
    </row>
    <row r="7" spans="1:3" x14ac:dyDescent="0.2">
      <c r="C7" s="10" t="s">
        <v>202</v>
      </c>
    </row>
    <row r="8" spans="1:3" x14ac:dyDescent="0.2">
      <c r="C8" s="1" t="s">
        <v>203</v>
      </c>
    </row>
    <row r="9" spans="1:3" x14ac:dyDescent="0.2">
      <c r="C9" s="1" t="s">
        <v>204</v>
      </c>
    </row>
  </sheetData>
  <phoneticPr fontId="2" type="noConversion"/>
  <hyperlinks>
    <hyperlink ref="A1" location="Main!A1" display="Main" xr:uid="{00000000-0004-0000-1100-000000000000}"/>
  </hyperlinks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26"/>
  <sheetViews>
    <sheetView zoomScale="120" workbookViewId="0">
      <selection activeCell="C6" sqref="C6"/>
    </sheetView>
  </sheetViews>
  <sheetFormatPr defaultColWidth="9.140625" defaultRowHeight="12.75" x14ac:dyDescent="0.2"/>
  <cols>
    <col min="1" max="1" width="5" style="1" bestFit="1" customWidth="1"/>
    <col min="2" max="2" width="12.8554687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39</v>
      </c>
    </row>
    <row r="3" spans="1:3" x14ac:dyDescent="0.2">
      <c r="B3" s="1" t="s">
        <v>67</v>
      </c>
      <c r="C3" s="1" t="s">
        <v>42</v>
      </c>
    </row>
    <row r="4" spans="1:3" x14ac:dyDescent="0.2">
      <c r="B4" s="1" t="s">
        <v>13</v>
      </c>
      <c r="C4" s="1" t="s">
        <v>195</v>
      </c>
    </row>
    <row r="5" spans="1:3" x14ac:dyDescent="0.2">
      <c r="B5" s="1" t="s">
        <v>14</v>
      </c>
      <c r="C5" s="19" t="s">
        <v>280</v>
      </c>
    </row>
    <row r="6" spans="1:3" x14ac:dyDescent="0.2">
      <c r="B6" s="1" t="s">
        <v>15</v>
      </c>
      <c r="C6" s="1" t="s">
        <v>117</v>
      </c>
    </row>
    <row r="7" spans="1:3" x14ac:dyDescent="0.2">
      <c r="C7" s="1" t="s">
        <v>194</v>
      </c>
    </row>
    <row r="8" spans="1:3" x14ac:dyDescent="0.2">
      <c r="C8" s="1" t="s">
        <v>197</v>
      </c>
    </row>
    <row r="9" spans="1:3" x14ac:dyDescent="0.2">
      <c r="C9" s="1" t="s">
        <v>198</v>
      </c>
    </row>
    <row r="10" spans="1:3" x14ac:dyDescent="0.2">
      <c r="B10" s="1" t="s">
        <v>74</v>
      </c>
    </row>
    <row r="11" spans="1:3" x14ac:dyDescent="0.2">
      <c r="C11" s="1" t="s">
        <v>43</v>
      </c>
    </row>
    <row r="14" spans="1:3" x14ac:dyDescent="0.2">
      <c r="C14" s="10" t="s">
        <v>115</v>
      </c>
    </row>
    <row r="15" spans="1:3" x14ac:dyDescent="0.2">
      <c r="C15" s="1" t="s">
        <v>116</v>
      </c>
    </row>
    <row r="18" spans="3:3" x14ac:dyDescent="0.2">
      <c r="C18" s="10" t="s">
        <v>111</v>
      </c>
    </row>
    <row r="22" spans="3:3" x14ac:dyDescent="0.2">
      <c r="C22" s="10" t="s">
        <v>114</v>
      </c>
    </row>
    <row r="25" spans="3:3" x14ac:dyDescent="0.2">
      <c r="C25" s="10" t="s">
        <v>112</v>
      </c>
    </row>
    <row r="26" spans="3:3" x14ac:dyDescent="0.2">
      <c r="C26" s="1" t="s">
        <v>113</v>
      </c>
    </row>
  </sheetData>
  <phoneticPr fontId="2" type="noConversion"/>
  <hyperlinks>
    <hyperlink ref="A1" location="Main!A1" display="Main" xr:uid="{00000000-0004-0000-0600-000000000000}"/>
  </hyperlinks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/>
  </sheetViews>
  <sheetFormatPr defaultColWidth="9.140625" defaultRowHeight="12.75" x14ac:dyDescent="0.2"/>
  <cols>
    <col min="1" max="1" width="5" style="1" bestFit="1" customWidth="1"/>
    <col min="2" max="2" width="11.28515625" style="1" bestFit="1" customWidth="1"/>
    <col min="3" max="16384" width="9.140625" style="1"/>
  </cols>
  <sheetData>
    <row r="1" spans="1:3" x14ac:dyDescent="0.2">
      <c r="A1" s="9" t="s">
        <v>65</v>
      </c>
    </row>
    <row r="2" spans="1:3" x14ac:dyDescent="0.2">
      <c r="B2" s="1" t="s">
        <v>66</v>
      </c>
      <c r="C2" s="1" t="s">
        <v>189</v>
      </c>
    </row>
    <row r="3" spans="1:3" x14ac:dyDescent="0.2">
      <c r="B3" s="1" t="s">
        <v>13</v>
      </c>
      <c r="C3" s="1" t="s">
        <v>152</v>
      </c>
    </row>
    <row r="4" spans="1:3" x14ac:dyDescent="0.2">
      <c r="B4" s="1" t="s">
        <v>57</v>
      </c>
      <c r="C4" s="1" t="s">
        <v>252</v>
      </c>
    </row>
    <row r="5" spans="1:3" x14ac:dyDescent="0.2">
      <c r="B5" s="1" t="s">
        <v>190</v>
      </c>
    </row>
    <row r="6" spans="1:3" x14ac:dyDescent="0.2">
      <c r="C6" s="10" t="s">
        <v>191</v>
      </c>
    </row>
    <row r="7" spans="1:3" x14ac:dyDescent="0.2">
      <c r="C7" s="1" t="s">
        <v>192</v>
      </c>
    </row>
    <row r="8" spans="1:3" x14ac:dyDescent="0.2">
      <c r="C8" s="1" t="s">
        <v>193</v>
      </c>
    </row>
  </sheetData>
  <phoneticPr fontId="2" type="noConversion"/>
  <hyperlinks>
    <hyperlink ref="A1" location="Main!A1" display="Main" xr:uid="{00000000-0004-0000-0700-000000000000}"/>
  </hyperlinks>
  <pageMargins left="0.75" right="0.75" top="1" bottom="1" header="0.5" footer="0.5"/>
  <pageSetup orientation="portrait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64A4B226BE2F34C80DFAA3D37A3CB30" ma:contentTypeVersion="0" ma:contentTypeDescription="Create a new document." ma:contentTypeScope="" ma:versionID="70544b0716d1f2dd0e24adda29a3d132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6797E59-4DFD-499C-8A4E-CC49F873674A}">
  <ds:schemaRefs>
    <ds:schemaRef ds:uri="http://schemas.microsoft.com/office/infopath/2007/PartnerControls"/>
    <ds:schemaRef ds:uri="http://purl.org/dc/terms/"/>
    <ds:schemaRef ds:uri="http://www.w3.org/XML/1998/namespace"/>
    <ds:schemaRef ds:uri="http://schemas.microsoft.com/office/2006/documentManagement/types"/>
    <ds:schemaRef ds:uri="http://purl.org/dc/elements/1.1/"/>
    <ds:schemaRef ds:uri="http://purl.org/dc/dcmitype/"/>
    <ds:schemaRef ds:uri="http://schemas.openxmlformats.org/package/2006/metadata/core-properties"/>
    <ds:schemaRef ds:uri="http://schemas.microsoft.com/office/2006/metadata/properties"/>
  </ds:schemaRefs>
</ds:datastoreItem>
</file>

<file path=customXml/itemProps2.xml><?xml version="1.0" encoding="utf-8"?>
<ds:datastoreItem xmlns:ds="http://schemas.openxmlformats.org/officeDocument/2006/customXml" ds:itemID="{A163F551-4DC3-4346-BFB2-E5655EE44603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CFCAF3-5635-4E82-8C3B-EBE76824AE5D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</vt:lpstr>
      <vt:lpstr>Main</vt:lpstr>
      <vt:lpstr>Model</vt:lpstr>
      <vt:lpstr>Dupixent</vt:lpstr>
      <vt:lpstr>Lovenox</vt:lpstr>
      <vt:lpstr>Lantus</vt:lpstr>
      <vt:lpstr>Aubagio</vt:lpstr>
      <vt:lpstr>Plavix</vt:lpstr>
      <vt:lpstr>Multaq</vt:lpstr>
      <vt:lpstr>idraparinux</vt:lpstr>
      <vt:lpstr>SR 58611</vt:lpstr>
      <vt:lpstr>Eplivanserin</vt:lpstr>
      <vt:lpstr>SSR 591813</vt:lpstr>
      <vt:lpstr>Xaliproden</vt:lpstr>
      <vt:lpstr>Alvocidib</vt:lpstr>
      <vt:lpstr>SR 121463</vt:lpstr>
      <vt:lpstr>BSI-201</vt:lpstr>
      <vt:lpstr>Zimulti</vt:lpstr>
      <vt:lpstr>Failures</vt:lpstr>
    </vt:vector>
  </TitlesOfParts>
  <Company>Intrepid Capital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mshkreli</dc:creator>
  <cp:lastModifiedBy>Martin Shkreli</cp:lastModifiedBy>
  <cp:lastPrinted>2009-08-12T21:35:29Z</cp:lastPrinted>
  <dcterms:created xsi:type="dcterms:W3CDTF">2005-08-31T13:03:15Z</dcterms:created>
  <dcterms:modified xsi:type="dcterms:W3CDTF">2025-04-29T20:57:33Z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0x010100764A4B226BE2F34C80DFAA3D37A3CB30</vt:lpwstr>
  </property>
</Properties>
</file>