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3DEDD0F-F2F2-497A-908C-F249EDF97D83}" xr6:coauthVersionLast="47" xr6:coauthVersionMax="47" xr10:uidLastSave="{00000000-0000-0000-0000-000000000000}"/>
  <bookViews>
    <workbookView xWindow="-25935" yWindow="1065" windowWidth="25545" windowHeight="17280" activeTab="1" xr2:uid="{E26B75FC-9989-4D2B-A8FA-900EA2F6829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2" l="1"/>
  <c r="R12" i="2"/>
  <c r="V19" i="2"/>
  <c r="R10" i="2"/>
  <c r="R6" i="2"/>
  <c r="V16" i="2"/>
  <c r="V14" i="2"/>
  <c r="V15" i="2"/>
  <c r="V13" i="2"/>
  <c r="V12" i="2"/>
  <c r="R11" i="2" l="1"/>
  <c r="R13" i="2" s="1"/>
  <c r="R15" i="2" s="1"/>
  <c r="R16" i="2" s="1"/>
  <c r="V11" i="2" l="1"/>
  <c r="V10" i="2"/>
  <c r="V6" i="2"/>
  <c r="V2" i="2"/>
  <c r="U2" i="2"/>
  <c r="T2" i="2"/>
  <c r="S2" i="2"/>
  <c r="R2" i="2"/>
  <c r="Q2" i="2"/>
  <c r="P2" i="2"/>
  <c r="O2" i="2"/>
  <c r="D20" i="2"/>
  <c r="D10" i="2"/>
  <c r="D6" i="2"/>
  <c r="H20" i="2"/>
  <c r="H19" i="2"/>
  <c r="H10" i="2"/>
  <c r="H6" i="2"/>
  <c r="E20" i="2"/>
  <c r="E12" i="2"/>
  <c r="E10" i="2"/>
  <c r="E6" i="2"/>
  <c r="E11" i="2" s="1"/>
  <c r="E13" i="2" s="1"/>
  <c r="E15" i="2" s="1"/>
  <c r="E16" i="2" s="1"/>
  <c r="I20" i="2"/>
  <c r="I19" i="2"/>
  <c r="I12" i="2"/>
  <c r="I10" i="2"/>
  <c r="I6" i="2"/>
  <c r="I11" i="2" s="1"/>
  <c r="I13" i="2" s="1"/>
  <c r="I15" i="2" s="1"/>
  <c r="I16" i="2" s="1"/>
  <c r="F20" i="2"/>
  <c r="F12" i="2"/>
  <c r="F10" i="2"/>
  <c r="F11" i="2" s="1"/>
  <c r="F13" i="2" s="1"/>
  <c r="F15" i="2" s="1"/>
  <c r="F16" i="2" s="1"/>
  <c r="F6" i="2"/>
  <c r="J20" i="2"/>
  <c r="J19" i="2"/>
  <c r="J10" i="2"/>
  <c r="J6" i="2"/>
  <c r="J11" i="2" s="1"/>
  <c r="J13" i="2" s="1"/>
  <c r="J15" i="2" s="1"/>
  <c r="J16" i="2" s="1"/>
  <c r="K43" i="2"/>
  <c r="K42" i="2"/>
  <c r="K32" i="2"/>
  <c r="K30" i="2"/>
  <c r="K24" i="2"/>
  <c r="K28" i="2"/>
  <c r="K22" i="2"/>
  <c r="G20" i="2"/>
  <c r="K20" i="2"/>
  <c r="K19" i="2"/>
  <c r="G12" i="2"/>
  <c r="G13" i="2"/>
  <c r="G15" i="2" s="1"/>
  <c r="G16" i="2" s="1"/>
  <c r="K16" i="2"/>
  <c r="K15" i="2"/>
  <c r="K13" i="2"/>
  <c r="K12" i="2"/>
  <c r="G10" i="2"/>
  <c r="G11" i="2" s="1"/>
  <c r="K11" i="2"/>
  <c r="K10" i="2"/>
  <c r="K6" i="2"/>
  <c r="G6" i="2"/>
  <c r="M5" i="1"/>
  <c r="M4" i="1"/>
  <c r="M7" i="1" s="1"/>
  <c r="D11" i="2" l="1"/>
  <c r="D13" i="2" s="1"/>
  <c r="D15" i="2" s="1"/>
  <c r="D16" i="2" s="1"/>
  <c r="H11" i="2"/>
  <c r="H13" i="2" s="1"/>
  <c r="H15" i="2" s="1"/>
  <c r="H16" i="2" s="1"/>
</calcChain>
</file>

<file path=xl/sharedStrings.xml><?xml version="1.0" encoding="utf-8"?>
<sst xmlns="http://schemas.openxmlformats.org/spreadsheetml/2006/main" count="67" uniqueCount="62">
  <si>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</si>
  <si>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</si>
  <si>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</si>
  <si>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</si>
  <si>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</si>
  <si>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</si>
  <si>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</si>
  <si>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</si>
  <si>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</si>
  <si>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</si>
  <si>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</si>
  <si>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</si>
  <si>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</si>
  <si>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</si>
  <si>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</si>
  <si>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</si>
  <si>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</si>
  <si>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</si>
  <si>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</si>
  <si>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</si>
  <si>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</si>
  <si>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COGS</t>
  </si>
  <si>
    <t>Gross Profit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</si>
  <si>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</si>
  <si>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</si>
  <si>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</si>
  <si>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</si>
  <si>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</si>
  <si>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</si>
  <si>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</si>
  <si>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</si>
  <si>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 Income</t>
  </si>
  <si>
    <t>Interest</t>
  </si>
  <si>
    <t>Revenue Growth</t>
  </si>
  <si>
    <t>Gross Margin</t>
  </si>
  <si>
    <t>OA</t>
  </si>
  <si>
    <t>Goodwill</t>
  </si>
  <si>
    <t>Lease</t>
  </si>
  <si>
    <t>PP&amp;E</t>
  </si>
  <si>
    <t>Commissions</t>
  </si>
  <si>
    <t>Prepaids</t>
  </si>
  <si>
    <t>AR</t>
  </si>
  <si>
    <t>Assets</t>
  </si>
  <si>
    <t>Model NI</t>
  </si>
  <si>
    <t>Reported NI</t>
  </si>
  <si>
    <t>CFFO</t>
  </si>
  <si>
    <t>WC</t>
  </si>
  <si>
    <t>D&amp;A</t>
  </si>
  <si>
    <t>Non-Cash Lease</t>
  </si>
  <si>
    <t>SBC</t>
  </si>
  <si>
    <t>Investments</t>
  </si>
  <si>
    <t>DT</t>
  </si>
  <si>
    <t>Other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</si>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</sst>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166" fontId="0" fillId="0" borderId="0" xfId="0" applyNumberFormat="1"/>
    <xf numFmtId="166" fontId="0" fillId="0" borderId="0" xfId="0" applyNumberFormat="1" applyAlignment="1">
      <alignment horizontal="righ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F5664A5-7DBE-41F3-93A0-FBC8507AE8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47625</xdr:rowOff>
    </xdr:from>
    <xdr:to>
      <xdr:col>11</xdr:col>
      <xdr:colOff>28575</xdr:colOff>
      <xdr:row>41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C0F9D1-5A5B-C912-E3CB-E5C298ED84A7}"/>
            </a:ext>
          </a:extLst>
        </xdr:cNvPr>
        <xdr:cNvCxnSpPr/>
      </xdr:nvCxnSpPr>
      <xdr:spPr>
        <a:xfrm>
          <a:off x="6724650" y="47625"/>
          <a:ext cx="0" cy="670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5F87-C53B-4BF8-B238-ED8253036919}">
  <dimension ref="L2:N7"/>
  <sheetViews>
    <sheetView zoomScale="145" zoomScaleNormal="145" workbookViewId="0">
      <selection activeCell="M3" sqref="M3"/>
    </sheetView>
  </sheetViews>
  <sheetFormatPr defaultRowHeight="12.75" x14ac:dyDescent="0.2"/>
  <sheetData>
    <row r="2" spans="12:14" x14ac:dyDescent="0.2">
      <c r="L2" t="s">
        <v>0</v>
      </c>
      <c r="M2" s="1">
        <v>152</v>
      </c>
    </row>
    <row r="3" spans="12:14" x14ac:dyDescent="0.2">
      <c r="L3" t="s">
        <v>1</v>
      </c>
      <c r="M3" s="2">
        <v>331</v>
      </c>
      <c r="N3" s="3" t="s">
        <v>61</v>
      </c>
    </row>
    <row r="4" spans="12:14" x14ac:dyDescent="0.2">
      <c r="L4" t="s">
        <v>2</v>
      </c>
      <c r="M4" s="2">
        <f>+M2*M3</f>
        <v>50312</v>
      </c>
    </row>
    <row r="5" spans="12:14" x14ac:dyDescent="0.2">
      <c r="L5" t="s">
        <v>3</v>
      </c>
      <c r="M5" s="2">
        <f>1063.401+2751.679+1212.378</f>
        <v>5027.4579999999996</v>
      </c>
      <c r="N5" s="3" t="s">
        <v>6</v>
      </c>
    </row>
    <row r="6" spans="12:14" x14ac:dyDescent="0.2">
      <c r="L6" t="s">
        <v>4</v>
      </c>
      <c r="M6" s="2">
        <v>0</v>
      </c>
      <c r="N6" s="3" t="s">
        <v>6</v>
      </c>
    </row>
    <row r="7" spans="12:14" x14ac:dyDescent="0.2">
      <c r="L7" t="s">
        <v>5</v>
      </c>
      <c r="M7" s="2">
        <f>+M4-M5+M6</f>
        <v>45284.542000000001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461E-5EFB-45DD-9161-EF94163D814D}">
  <dimension ref="A1:V43"/>
  <sheetViews>
    <sheetView tabSelected="1" zoomScale="160" zoomScaleNormal="160" workbookViewId="0">
      <pane xSplit="2" ySplit="3" topLeftCell="N4" activePane="bottomRight" state="frozen"/>
      <selection pane="topRight" activeCell="C1" sqref="C1"/>
      <selection pane="bottomLeft" activeCell="A3" sqref="A3"/>
      <selection pane="bottomRight" activeCell="V17" sqref="V17"/>
    </sheetView>
  </sheetViews>
  <sheetFormatPr defaultRowHeight="12.75" x14ac:dyDescent="0.2"/>
  <cols>
    <col min="1" max="1" width="5" bestFit="1" customWidth="1"/>
    <col min="2" max="2" width="18.28515625" customWidth="1"/>
    <col min="3" max="3" width="9.140625" style="3"/>
    <col min="4" max="14" width="10.7109375" style="3" customWidth="1"/>
  </cols>
  <sheetData>
    <row r="1" spans="1:22" x14ac:dyDescent="0.2">
      <c r="A1" s="4" t="s">
        <v>7</v>
      </c>
    </row>
    <row r="2" spans="1:22" s="13" customFormat="1" x14ac:dyDescent="0.2">
      <c r="C2" s="14"/>
      <c r="D2" s="14">
        <v>44043</v>
      </c>
      <c r="E2" s="14">
        <v>44135</v>
      </c>
      <c r="F2" s="14">
        <v>44227</v>
      </c>
      <c r="G2" s="14">
        <v>44316</v>
      </c>
      <c r="H2" s="14">
        <v>44408</v>
      </c>
      <c r="I2" s="14">
        <v>44500</v>
      </c>
      <c r="J2" s="14">
        <v>44592</v>
      </c>
      <c r="K2" s="14">
        <v>44681</v>
      </c>
      <c r="L2" s="14">
        <v>44773</v>
      </c>
      <c r="M2" s="14">
        <v>44865</v>
      </c>
      <c r="N2" s="14">
        <v>44957</v>
      </c>
      <c r="O2" s="13">
        <f>+K2+365</f>
        <v>45046</v>
      </c>
      <c r="P2" s="13">
        <f>+L2+365</f>
        <v>45138</v>
      </c>
      <c r="Q2" s="13">
        <f>+M2+365</f>
        <v>45230</v>
      </c>
      <c r="R2" s="13">
        <f>+N2+365</f>
        <v>45322</v>
      </c>
      <c r="S2" s="13">
        <f>+O2+365</f>
        <v>45411</v>
      </c>
      <c r="T2" s="13">
        <f>+P2+365</f>
        <v>45503</v>
      </c>
      <c r="U2" s="13">
        <f>+Q2+365</f>
        <v>45595</v>
      </c>
      <c r="V2" s="13">
        <f>+R2+366</f>
        <v>45688</v>
      </c>
    </row>
    <row r="3" spans="1:22" x14ac:dyDescent="0.2"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53</v>
      </c>
      <c r="P3" s="3" t="s">
        <v>54</v>
      </c>
      <c r="Q3" s="3" t="s">
        <v>55</v>
      </c>
      <c r="R3" s="3" t="s">
        <v>56</v>
      </c>
      <c r="S3" s="3" t="s">
        <v>57</v>
      </c>
      <c r="T3" s="3" t="s">
        <v>58</v>
      </c>
      <c r="U3" s="3" t="s">
        <v>59</v>
      </c>
      <c r="V3" s="3" t="s">
        <v>60</v>
      </c>
    </row>
    <row r="4" spans="1:22" s="8" customFormat="1" x14ac:dyDescent="0.2">
      <c r="B4" s="8" t="s">
        <v>8</v>
      </c>
      <c r="C4" s="9"/>
      <c r="D4" s="9">
        <v>133.14500000000001</v>
      </c>
      <c r="E4" s="9">
        <v>159.624</v>
      </c>
      <c r="F4" s="9">
        <v>190.465</v>
      </c>
      <c r="G4" s="9">
        <v>228.91399999999999</v>
      </c>
      <c r="H4" s="9">
        <v>272.19799999999998</v>
      </c>
      <c r="I4" s="9">
        <v>334.44099999999997</v>
      </c>
      <c r="J4" s="9">
        <v>383.774</v>
      </c>
      <c r="K4" s="9">
        <v>422.37099999999998</v>
      </c>
      <c r="L4" s="9"/>
      <c r="M4" s="9"/>
      <c r="N4" s="9"/>
      <c r="R4" s="8">
        <v>774.69899999999996</v>
      </c>
      <c r="V4" s="8">
        <v>986.77</v>
      </c>
    </row>
    <row r="5" spans="1:22" s="2" customFormat="1" x14ac:dyDescent="0.2">
      <c r="B5" s="2" t="s">
        <v>21</v>
      </c>
      <c r="C5" s="5"/>
      <c r="D5" s="5">
        <v>50.445999999999998</v>
      </c>
      <c r="E5" s="5">
        <v>66.680999999999997</v>
      </c>
      <c r="F5" s="5">
        <v>82.903999999999996</v>
      </c>
      <c r="G5" s="5">
        <v>97.346000000000004</v>
      </c>
      <c r="H5" s="5">
        <v>106.121</v>
      </c>
      <c r="I5" s="5">
        <v>120.786</v>
      </c>
      <c r="J5" s="5">
        <v>134.18</v>
      </c>
      <c r="K5" s="5">
        <v>147.93</v>
      </c>
      <c r="L5" s="5"/>
      <c r="M5" s="5"/>
      <c r="N5" s="5"/>
      <c r="R5" s="2">
        <v>241.804</v>
      </c>
      <c r="V5" s="2">
        <v>333.18400000000003</v>
      </c>
    </row>
    <row r="6" spans="1:22" s="2" customFormat="1" x14ac:dyDescent="0.2">
      <c r="B6" s="2" t="s">
        <v>22</v>
      </c>
      <c r="C6" s="5"/>
      <c r="D6" s="5">
        <f t="shared" ref="D6:K6" si="0">+D4-D5</f>
        <v>82.699000000000012</v>
      </c>
      <c r="E6" s="5">
        <f t="shared" si="0"/>
        <v>92.942999999999998</v>
      </c>
      <c r="F6" s="5">
        <f t="shared" si="0"/>
        <v>107.56100000000001</v>
      </c>
      <c r="G6" s="5">
        <f t="shared" si="0"/>
        <v>131.56799999999998</v>
      </c>
      <c r="H6" s="5">
        <f t="shared" si="0"/>
        <v>166.077</v>
      </c>
      <c r="I6" s="5">
        <f t="shared" si="0"/>
        <v>213.65499999999997</v>
      </c>
      <c r="J6" s="5">
        <f t="shared" si="0"/>
        <v>249.59399999999999</v>
      </c>
      <c r="K6" s="5">
        <f t="shared" si="0"/>
        <v>274.44099999999997</v>
      </c>
      <c r="L6" s="5"/>
      <c r="M6" s="5"/>
      <c r="N6" s="5"/>
      <c r="R6" s="2">
        <f>+R4-R5</f>
        <v>532.89499999999998</v>
      </c>
      <c r="V6" s="2">
        <f>+V4-V5</f>
        <v>653.58600000000001</v>
      </c>
    </row>
    <row r="7" spans="1:22" s="2" customFormat="1" x14ac:dyDescent="0.2">
      <c r="B7" s="2" t="s">
        <v>23</v>
      </c>
      <c r="C7" s="5"/>
      <c r="D7" s="5">
        <v>92.662999999999997</v>
      </c>
      <c r="E7" s="5">
        <v>134.727</v>
      </c>
      <c r="F7" s="5">
        <v>154.05000000000001</v>
      </c>
      <c r="G7" s="5">
        <v>166.804</v>
      </c>
      <c r="H7" s="5">
        <v>182.90299999999999</v>
      </c>
      <c r="I7" s="5">
        <v>190.971</v>
      </c>
      <c r="J7" s="5">
        <v>203.28700000000001</v>
      </c>
      <c r="K7" s="5">
        <v>243.91200000000001</v>
      </c>
      <c r="L7" s="5"/>
      <c r="M7" s="5"/>
      <c r="N7" s="5"/>
      <c r="R7" s="2">
        <v>361.822</v>
      </c>
      <c r="V7" s="2">
        <v>432.68299999999999</v>
      </c>
    </row>
    <row r="8" spans="1:22" s="2" customFormat="1" x14ac:dyDescent="0.2">
      <c r="B8" s="2" t="s">
        <v>24</v>
      </c>
      <c r="C8" s="5"/>
      <c r="D8" s="5">
        <v>36.533000000000001</v>
      </c>
      <c r="E8" s="5">
        <v>74.138000000000005</v>
      </c>
      <c r="F8" s="5">
        <v>93.997</v>
      </c>
      <c r="G8" s="5">
        <v>109.79600000000001</v>
      </c>
      <c r="H8" s="5">
        <v>118.087</v>
      </c>
      <c r="I8" s="5">
        <v>115.9</v>
      </c>
      <c r="J8" s="5">
        <v>123.149</v>
      </c>
      <c r="K8" s="5">
        <v>150.798</v>
      </c>
      <c r="L8" s="5"/>
      <c r="M8" s="5"/>
      <c r="N8" s="5"/>
      <c r="R8" s="2">
        <v>364.476</v>
      </c>
      <c r="V8" s="2">
        <v>492.49</v>
      </c>
    </row>
    <row r="9" spans="1:22" s="2" customFormat="1" x14ac:dyDescent="0.2">
      <c r="B9" s="2" t="s">
        <v>25</v>
      </c>
      <c r="C9" s="5"/>
      <c r="D9" s="5">
        <v>31.186</v>
      </c>
      <c r="E9" s="5">
        <v>53.531999999999996</v>
      </c>
      <c r="F9" s="5">
        <v>59.911000000000001</v>
      </c>
      <c r="G9" s="5">
        <v>60.563000000000002</v>
      </c>
      <c r="H9" s="5">
        <v>65.227999999999994</v>
      </c>
      <c r="I9" s="5">
        <v>64.055000000000007</v>
      </c>
      <c r="J9" s="5">
        <v>75.186999999999998</v>
      </c>
      <c r="K9" s="5">
        <v>68.497</v>
      </c>
      <c r="L9" s="5"/>
      <c r="M9" s="5"/>
      <c r="N9" s="5"/>
      <c r="R9" s="2">
        <v>82.102000000000004</v>
      </c>
      <c r="V9" s="2">
        <v>115.09099999999999</v>
      </c>
    </row>
    <row r="10" spans="1:22" s="2" customFormat="1" x14ac:dyDescent="0.2">
      <c r="B10" s="2" t="s">
        <v>26</v>
      </c>
      <c r="C10" s="5"/>
      <c r="D10" s="5">
        <f t="shared" ref="D10:K10" si="1">SUM(D7:D9)</f>
        <v>160.38200000000001</v>
      </c>
      <c r="E10" s="5">
        <f t="shared" si="1"/>
        <v>262.39699999999999</v>
      </c>
      <c r="F10" s="5">
        <f t="shared" si="1"/>
        <v>307.95800000000003</v>
      </c>
      <c r="G10" s="5">
        <f t="shared" si="1"/>
        <v>337.16300000000001</v>
      </c>
      <c r="H10" s="5">
        <f t="shared" si="1"/>
        <v>366.21800000000002</v>
      </c>
      <c r="I10" s="5">
        <f t="shared" si="1"/>
        <v>370.92599999999999</v>
      </c>
      <c r="J10" s="5">
        <f t="shared" si="1"/>
        <v>401.62300000000005</v>
      </c>
      <c r="K10" s="5">
        <f t="shared" si="1"/>
        <v>463.20700000000005</v>
      </c>
      <c r="L10" s="5"/>
      <c r="M10" s="5"/>
      <c r="N10" s="5"/>
      <c r="R10" s="2">
        <f>+R9+R8+R7</f>
        <v>808.4</v>
      </c>
      <c r="V10" s="2">
        <f>+V9+V8+V7</f>
        <v>1040.2640000000001</v>
      </c>
    </row>
    <row r="11" spans="1:22" s="2" customFormat="1" x14ac:dyDescent="0.2">
      <c r="B11" s="2" t="s">
        <v>27</v>
      </c>
      <c r="C11" s="5"/>
      <c r="D11" s="5">
        <f t="shared" ref="D11:K11" si="2">+D6-D10</f>
        <v>-77.682999999999993</v>
      </c>
      <c r="E11" s="5">
        <f t="shared" si="2"/>
        <v>-169.45400000000001</v>
      </c>
      <c r="F11" s="5">
        <f t="shared" si="2"/>
        <v>-200.39700000000002</v>
      </c>
      <c r="G11" s="5">
        <f t="shared" si="2"/>
        <v>-205.59500000000003</v>
      </c>
      <c r="H11" s="5">
        <f t="shared" si="2"/>
        <v>-200.14100000000002</v>
      </c>
      <c r="I11" s="5">
        <f t="shared" si="2"/>
        <v>-157.27100000000002</v>
      </c>
      <c r="J11" s="5">
        <f t="shared" si="2"/>
        <v>-152.02900000000005</v>
      </c>
      <c r="K11" s="5">
        <f t="shared" si="2"/>
        <v>-188.76600000000008</v>
      </c>
      <c r="L11" s="5"/>
      <c r="M11" s="5"/>
      <c r="N11" s="5"/>
      <c r="R11" s="2">
        <f>+R6-R10</f>
        <v>-275.505</v>
      </c>
      <c r="V11" s="2">
        <f>+V6-V10</f>
        <v>-386.67800000000011</v>
      </c>
    </row>
    <row r="12" spans="1:22" s="2" customFormat="1" x14ac:dyDescent="0.2">
      <c r="B12" s="2" t="s">
        <v>32</v>
      </c>
      <c r="C12" s="5"/>
      <c r="D12" s="5">
        <v>1.6890000000000001</v>
      </c>
      <c r="E12" s="5">
        <f>1.517-0.519</f>
        <v>0.99799999999999989</v>
      </c>
      <c r="F12" s="5">
        <f>1.853+0.951</f>
        <v>2.8039999999999998</v>
      </c>
      <c r="G12" s="5">
        <f>2.612-0.488</f>
        <v>2.1240000000000001</v>
      </c>
      <c r="H12" s="5">
        <v>2.19</v>
      </c>
      <c r="I12" s="5">
        <f>1.985+1.609</f>
        <v>3.5940000000000003</v>
      </c>
      <c r="J12" s="5">
        <v>2.3420000000000001</v>
      </c>
      <c r="K12" s="5">
        <f>4.759-8.481</f>
        <v>-3.7219999999999995</v>
      </c>
      <c r="L12" s="5"/>
      <c r="M12" s="5"/>
      <c r="N12" s="5"/>
      <c r="R12" s="2">
        <f>53.761+47.533</f>
        <v>101.29400000000001</v>
      </c>
      <c r="V12" s="2">
        <f>56.31-2.07+2.383</f>
        <v>56.623000000000005</v>
      </c>
    </row>
    <row r="13" spans="1:22" s="2" customFormat="1" x14ac:dyDescent="0.2">
      <c r="B13" s="2" t="s">
        <v>31</v>
      </c>
      <c r="C13" s="5"/>
      <c r="D13" s="5">
        <f t="shared" ref="D13:K13" si="3">+D11+D12</f>
        <v>-75.994</v>
      </c>
      <c r="E13" s="5">
        <f t="shared" si="3"/>
        <v>-168.45600000000002</v>
      </c>
      <c r="F13" s="5">
        <f t="shared" si="3"/>
        <v>-197.59300000000002</v>
      </c>
      <c r="G13" s="5">
        <f t="shared" si="3"/>
        <v>-203.47100000000003</v>
      </c>
      <c r="H13" s="5">
        <f t="shared" si="3"/>
        <v>-197.95100000000002</v>
      </c>
      <c r="I13" s="5">
        <f t="shared" si="3"/>
        <v>-153.67700000000002</v>
      </c>
      <c r="J13" s="5">
        <f t="shared" si="3"/>
        <v>-149.68700000000004</v>
      </c>
      <c r="K13" s="5">
        <f t="shared" si="3"/>
        <v>-192.48800000000008</v>
      </c>
      <c r="L13" s="5"/>
      <c r="M13" s="5"/>
      <c r="N13" s="5"/>
      <c r="R13" s="2">
        <f>+R11+R12</f>
        <v>-174.21099999999998</v>
      </c>
      <c r="V13" s="2">
        <f>+V11+V12</f>
        <v>-330.05500000000012</v>
      </c>
    </row>
    <row r="14" spans="1:22" s="2" customFormat="1" x14ac:dyDescent="0.2">
      <c r="B14" s="2" t="s">
        <v>30</v>
      </c>
      <c r="C14" s="5"/>
      <c r="D14" s="5">
        <v>0.53100000000000003</v>
      </c>
      <c r="E14" s="5">
        <v>0.433</v>
      </c>
      <c r="F14" s="5">
        <v>1.3420000000000001</v>
      </c>
      <c r="G14" s="5">
        <v>-0.251</v>
      </c>
      <c r="H14" s="5">
        <v>0.51400000000000001</v>
      </c>
      <c r="I14" s="5">
        <v>1.179</v>
      </c>
      <c r="J14" s="5">
        <v>1.546</v>
      </c>
      <c r="K14" s="5">
        <v>-26.693999999999999</v>
      </c>
      <c r="L14" s="5"/>
      <c r="M14" s="5"/>
      <c r="N14" s="5"/>
      <c r="R14" s="2">
        <f>4.299-0.56</f>
        <v>3.7390000000000003</v>
      </c>
      <c r="V14" s="2">
        <f>4.331-1.75</f>
        <v>2.5810000000000004</v>
      </c>
    </row>
    <row r="15" spans="1:22" s="2" customFormat="1" x14ac:dyDescent="0.2">
      <c r="B15" s="2" t="s">
        <v>29</v>
      </c>
      <c r="C15" s="5"/>
      <c r="D15" s="5">
        <f t="shared" ref="D15:K15" si="4">+D13-D14</f>
        <v>-76.525000000000006</v>
      </c>
      <c r="E15" s="5">
        <f t="shared" si="4"/>
        <v>-168.88900000000001</v>
      </c>
      <c r="F15" s="5">
        <f t="shared" si="4"/>
        <v>-198.93500000000003</v>
      </c>
      <c r="G15" s="5">
        <f t="shared" si="4"/>
        <v>-203.22000000000003</v>
      </c>
      <c r="H15" s="5">
        <f t="shared" si="4"/>
        <v>-198.46500000000003</v>
      </c>
      <c r="I15" s="5">
        <f t="shared" si="4"/>
        <v>-154.85600000000002</v>
      </c>
      <c r="J15" s="5">
        <f t="shared" si="4"/>
        <v>-151.23300000000003</v>
      </c>
      <c r="K15" s="5">
        <f t="shared" si="4"/>
        <v>-165.7940000000001</v>
      </c>
      <c r="L15" s="5"/>
      <c r="M15" s="5"/>
      <c r="N15" s="5"/>
      <c r="R15" s="2">
        <f>+R13+R14</f>
        <v>-170.47199999999998</v>
      </c>
      <c r="V15" s="2">
        <f>+V13+V14</f>
        <v>-327.4740000000001</v>
      </c>
    </row>
    <row r="16" spans="1:22" x14ac:dyDescent="0.2">
      <c r="B16" t="s">
        <v>28</v>
      </c>
      <c r="D16" s="6">
        <f t="shared" ref="D16:K16" si="5">+D15/D17</f>
        <v>-1.2913291780742517</v>
      </c>
      <c r="E16" s="6">
        <f t="shared" si="5"/>
        <v>-1.0121101563988826</v>
      </c>
      <c r="F16" s="6">
        <f t="shared" si="5"/>
        <v>-0.70017512244406388</v>
      </c>
      <c r="G16" s="6">
        <f t="shared" si="5"/>
        <v>-0.69742540822139709</v>
      </c>
      <c r="H16" s="6">
        <f t="shared" si="5"/>
        <v>-0.666622779365454</v>
      </c>
      <c r="I16" s="6">
        <f t="shared" si="5"/>
        <v>-0.51106463212189535</v>
      </c>
      <c r="J16" s="6">
        <f t="shared" si="5"/>
        <v>-0.48991318468714745</v>
      </c>
      <c r="K16" s="6">
        <f t="shared" si="5"/>
        <v>-0.52740002735708347</v>
      </c>
      <c r="R16" s="1">
        <f>+R15/R17</f>
        <v>-0.51489825691149238</v>
      </c>
      <c r="V16" s="1">
        <f>+V15/V17</f>
        <v>-0.98805788215984003</v>
      </c>
    </row>
    <row r="17" spans="2:22" s="2" customFormat="1" x14ac:dyDescent="0.2">
      <c r="B17" s="2" t="s">
        <v>1</v>
      </c>
      <c r="C17" s="5"/>
      <c r="D17" s="5">
        <v>59.260644999999997</v>
      </c>
      <c r="E17" s="5">
        <v>166.8682</v>
      </c>
      <c r="F17" s="5">
        <v>284.12177700000001</v>
      </c>
      <c r="G17" s="5">
        <v>291.38600000000002</v>
      </c>
      <c r="H17" s="5">
        <v>297.71709900000002</v>
      </c>
      <c r="I17" s="5">
        <v>303.006685</v>
      </c>
      <c r="J17" s="5">
        <v>308.693468</v>
      </c>
      <c r="K17" s="5">
        <v>314.36099999999999</v>
      </c>
      <c r="L17" s="5"/>
      <c r="M17" s="5"/>
      <c r="N17" s="5"/>
      <c r="R17" s="2">
        <v>331.07900000000001</v>
      </c>
      <c r="V17" s="2">
        <v>331.43200000000002</v>
      </c>
    </row>
    <row r="19" spans="2:22" s="12" customFormat="1" x14ac:dyDescent="0.2">
      <c r="B19" s="8" t="s">
        <v>33</v>
      </c>
      <c r="C19" s="10"/>
      <c r="D19" s="10"/>
      <c r="E19" s="10"/>
      <c r="F19" s="10"/>
      <c r="G19" s="10"/>
      <c r="H19" s="11">
        <f>+H4/D4-1</f>
        <v>1.0443726764054224</v>
      </c>
      <c r="I19" s="11">
        <f>+I4/E4-1</f>
        <v>1.0951799228186236</v>
      </c>
      <c r="J19" s="11">
        <f>+J4/F4-1</f>
        <v>1.0149318772477884</v>
      </c>
      <c r="K19" s="11">
        <f>+K4/G4-1</f>
        <v>0.84510776973011703</v>
      </c>
      <c r="L19" s="10"/>
      <c r="M19" s="10"/>
      <c r="N19" s="10"/>
      <c r="V19" s="15">
        <f>+V4/R4-1</f>
        <v>0.27374631953829809</v>
      </c>
    </row>
    <row r="20" spans="2:22" x14ac:dyDescent="0.2">
      <c r="B20" t="s">
        <v>34</v>
      </c>
      <c r="D20" s="7">
        <f t="shared" ref="D20:K20" si="6">+D6/D4</f>
        <v>0.6211198317623644</v>
      </c>
      <c r="E20" s="7">
        <f t="shared" si="6"/>
        <v>0.5822620658547587</v>
      </c>
      <c r="F20" s="7">
        <f t="shared" si="6"/>
        <v>0.56472842779513299</v>
      </c>
      <c r="G20" s="7">
        <f t="shared" si="6"/>
        <v>0.57474859554243074</v>
      </c>
      <c r="H20" s="7">
        <f t="shared" si="6"/>
        <v>0.61013306490128516</v>
      </c>
      <c r="I20" s="7">
        <f t="shared" si="6"/>
        <v>0.63884212760995207</v>
      </c>
      <c r="J20" s="7">
        <f t="shared" si="6"/>
        <v>0.65036714316238198</v>
      </c>
      <c r="K20" s="7">
        <f t="shared" si="6"/>
        <v>0.64976288618300027</v>
      </c>
    </row>
    <row r="22" spans="2:22" s="2" customFormat="1" x14ac:dyDescent="0.2">
      <c r="B22" s="2" t="s">
        <v>3</v>
      </c>
      <c r="C22" s="5"/>
      <c r="D22" s="5"/>
      <c r="E22" s="5"/>
      <c r="F22" s="5"/>
      <c r="G22" s="5"/>
      <c r="H22" s="5"/>
      <c r="I22" s="5"/>
      <c r="J22" s="5"/>
      <c r="K22" s="5">
        <f>1063.401+2751.679+1212.378</f>
        <v>5027.4579999999996</v>
      </c>
      <c r="L22" s="5"/>
      <c r="M22" s="5"/>
      <c r="N22" s="5"/>
    </row>
    <row r="23" spans="2:22" s="2" customFormat="1" x14ac:dyDescent="0.2">
      <c r="B23" s="2" t="s">
        <v>41</v>
      </c>
      <c r="C23" s="5"/>
      <c r="D23" s="5"/>
      <c r="E23" s="5"/>
      <c r="F23" s="5"/>
      <c r="G23" s="5"/>
      <c r="H23" s="5"/>
      <c r="I23" s="5"/>
      <c r="J23" s="5"/>
      <c r="K23" s="5">
        <v>277.55900000000003</v>
      </c>
      <c r="L23" s="5"/>
      <c r="M23" s="5"/>
      <c r="N23" s="5"/>
    </row>
    <row r="24" spans="2:22" s="2" customFormat="1" x14ac:dyDescent="0.2">
      <c r="B24" s="2" t="s">
        <v>39</v>
      </c>
      <c r="C24" s="5"/>
      <c r="D24" s="5"/>
      <c r="E24" s="5"/>
      <c r="F24" s="5"/>
      <c r="G24" s="5"/>
      <c r="H24" s="5"/>
      <c r="I24" s="5"/>
      <c r="J24" s="5"/>
      <c r="K24" s="5">
        <f>53.943+124.34</f>
        <v>178.28300000000002</v>
      </c>
      <c r="L24" s="5"/>
      <c r="M24" s="5"/>
      <c r="N24" s="5"/>
    </row>
    <row r="25" spans="2:22" s="2" customFormat="1" x14ac:dyDescent="0.2">
      <c r="B25" s="2" t="s">
        <v>40</v>
      </c>
      <c r="C25" s="5"/>
      <c r="D25" s="5"/>
      <c r="E25" s="5"/>
      <c r="F25" s="5"/>
      <c r="G25" s="5"/>
      <c r="H25" s="5"/>
      <c r="I25" s="5"/>
      <c r="J25" s="5"/>
      <c r="K25" s="5">
        <v>195.15100000000001</v>
      </c>
      <c r="L25" s="5"/>
      <c r="M25" s="5"/>
      <c r="N25" s="5"/>
    </row>
    <row r="26" spans="2:22" s="2" customFormat="1" x14ac:dyDescent="0.2">
      <c r="B26" s="2" t="s">
        <v>38</v>
      </c>
      <c r="C26" s="5"/>
      <c r="D26" s="5"/>
      <c r="E26" s="5"/>
      <c r="F26" s="5"/>
      <c r="G26" s="5"/>
      <c r="H26" s="5"/>
      <c r="I26" s="5"/>
      <c r="J26" s="5"/>
      <c r="K26" s="5">
        <v>118.611</v>
      </c>
      <c r="L26" s="5"/>
      <c r="M26" s="5"/>
      <c r="N26" s="5"/>
    </row>
    <row r="27" spans="2:22" s="2" customFormat="1" x14ac:dyDescent="0.2">
      <c r="B27" s="2" t="s">
        <v>37</v>
      </c>
      <c r="C27" s="5"/>
      <c r="D27" s="5"/>
      <c r="E27" s="5"/>
      <c r="F27" s="5"/>
      <c r="G27" s="5"/>
      <c r="H27" s="5"/>
      <c r="I27" s="5"/>
      <c r="J27" s="5"/>
      <c r="K27" s="5">
        <v>188.946</v>
      </c>
      <c r="L27" s="5"/>
      <c r="M27" s="5"/>
      <c r="N27" s="5"/>
    </row>
    <row r="28" spans="2:22" s="2" customFormat="1" x14ac:dyDescent="0.2">
      <c r="B28" s="2" t="s">
        <v>36</v>
      </c>
      <c r="C28" s="5"/>
      <c r="D28" s="5"/>
      <c r="E28" s="5"/>
      <c r="F28" s="5"/>
      <c r="G28" s="5"/>
      <c r="H28" s="5"/>
      <c r="I28" s="5"/>
      <c r="J28" s="5"/>
      <c r="K28" s="5">
        <f>502.614+181.851</f>
        <v>684.46499999999992</v>
      </c>
      <c r="L28" s="5"/>
      <c r="M28" s="5"/>
      <c r="N28" s="5"/>
    </row>
    <row r="29" spans="2:22" s="2" customFormat="1" x14ac:dyDescent="0.2">
      <c r="B29" s="2" t="s">
        <v>35</v>
      </c>
      <c r="C29" s="5"/>
      <c r="D29" s="5"/>
      <c r="E29" s="5"/>
      <c r="F29" s="5"/>
      <c r="G29" s="5"/>
      <c r="H29" s="5"/>
      <c r="I29" s="5"/>
      <c r="J29" s="5"/>
      <c r="K29" s="5">
        <v>352.226</v>
      </c>
      <c r="L29" s="5"/>
      <c r="M29" s="5"/>
      <c r="N29" s="5"/>
    </row>
    <row r="30" spans="2:22" x14ac:dyDescent="0.2">
      <c r="B30" s="2" t="s">
        <v>42</v>
      </c>
      <c r="K30" s="5">
        <f>SUM(K22:K29)</f>
        <v>7022.6989999999996</v>
      </c>
    </row>
    <row r="32" spans="2:22" s="2" customFormat="1" x14ac:dyDescent="0.2">
      <c r="B32" s="2" t="s">
        <v>43</v>
      </c>
      <c r="C32" s="5"/>
      <c r="D32" s="5"/>
      <c r="E32" s="5"/>
      <c r="F32" s="5"/>
      <c r="G32" s="5"/>
      <c r="H32" s="5"/>
      <c r="I32" s="5"/>
      <c r="J32" s="5"/>
      <c r="K32" s="5">
        <f>K15</f>
        <v>-165.7940000000001</v>
      </c>
      <c r="L32" s="5"/>
      <c r="M32" s="5"/>
      <c r="N32" s="5"/>
    </row>
    <row r="33" spans="2:14" s="2" customFormat="1" x14ac:dyDescent="0.2">
      <c r="B33" s="2" t="s">
        <v>44</v>
      </c>
      <c r="C33" s="5"/>
      <c r="D33" s="5"/>
      <c r="E33" s="5"/>
      <c r="F33" s="5"/>
      <c r="G33" s="5"/>
      <c r="H33" s="5"/>
      <c r="I33" s="5"/>
      <c r="J33" s="5"/>
      <c r="K33" s="5">
        <v>-165.79400000000001</v>
      </c>
      <c r="L33" s="5"/>
      <c r="M33" s="5"/>
      <c r="N33" s="5"/>
    </row>
    <row r="34" spans="2:14" s="2" customFormat="1" x14ac:dyDescent="0.2">
      <c r="B34" s="2" t="s">
        <v>47</v>
      </c>
      <c r="C34" s="5"/>
      <c r="D34" s="5"/>
      <c r="E34" s="5"/>
      <c r="F34" s="5"/>
      <c r="G34" s="5"/>
      <c r="H34" s="5"/>
      <c r="I34" s="5"/>
      <c r="J34" s="5"/>
      <c r="K34" s="5">
        <v>9.9410000000000007</v>
      </c>
      <c r="L34" s="5"/>
      <c r="M34" s="5"/>
      <c r="N34" s="5"/>
    </row>
    <row r="35" spans="2:14" s="2" customFormat="1" x14ac:dyDescent="0.2">
      <c r="B35" s="2" t="s">
        <v>48</v>
      </c>
      <c r="C35" s="5"/>
      <c r="D35" s="5"/>
      <c r="E35" s="5"/>
      <c r="F35" s="5"/>
      <c r="G35" s="5"/>
      <c r="H35" s="5"/>
      <c r="I35" s="5"/>
      <c r="J35" s="5"/>
      <c r="K35" s="5">
        <v>10.090999999999999</v>
      </c>
      <c r="L35" s="5"/>
      <c r="M35" s="5"/>
      <c r="N35" s="5"/>
    </row>
    <row r="36" spans="2:14" s="2" customFormat="1" x14ac:dyDescent="0.2">
      <c r="B36" s="2" t="s">
        <v>39</v>
      </c>
      <c r="C36" s="5"/>
      <c r="D36" s="5"/>
      <c r="E36" s="5"/>
      <c r="F36" s="5"/>
      <c r="G36" s="5"/>
      <c r="H36" s="5"/>
      <c r="I36" s="5"/>
      <c r="J36" s="5"/>
      <c r="K36" s="5">
        <v>13.201000000000001</v>
      </c>
      <c r="L36" s="5"/>
      <c r="M36" s="5"/>
      <c r="N36" s="5"/>
    </row>
    <row r="37" spans="2:14" s="2" customFormat="1" x14ac:dyDescent="0.2">
      <c r="B37" s="2" t="s">
        <v>49</v>
      </c>
      <c r="C37" s="5"/>
      <c r="D37" s="5"/>
      <c r="E37" s="5"/>
      <c r="F37" s="5"/>
      <c r="G37" s="5"/>
      <c r="H37" s="5"/>
      <c r="I37" s="5"/>
      <c r="J37" s="5"/>
      <c r="K37" s="5">
        <v>172.49299999999999</v>
      </c>
      <c r="L37" s="5"/>
      <c r="M37" s="5"/>
      <c r="N37" s="5"/>
    </row>
    <row r="38" spans="2:14" s="2" customFormat="1" x14ac:dyDescent="0.2">
      <c r="B38" s="2" t="s">
        <v>50</v>
      </c>
      <c r="C38" s="5"/>
      <c r="D38" s="5"/>
      <c r="E38" s="5"/>
      <c r="F38" s="5"/>
      <c r="G38" s="5"/>
      <c r="H38" s="5"/>
      <c r="I38" s="5"/>
      <c r="J38" s="5"/>
      <c r="K38" s="5">
        <v>8.1980000000000004</v>
      </c>
      <c r="L38" s="5"/>
      <c r="M38" s="5"/>
      <c r="N38" s="5"/>
    </row>
    <row r="39" spans="2:14" s="2" customFormat="1" x14ac:dyDescent="0.2">
      <c r="B39" s="2" t="s">
        <v>50</v>
      </c>
      <c r="C39" s="5"/>
      <c r="D39" s="5"/>
      <c r="E39" s="5"/>
      <c r="F39" s="5"/>
      <c r="G39" s="5"/>
      <c r="H39" s="5"/>
      <c r="I39" s="5"/>
      <c r="J39" s="5"/>
      <c r="K39" s="5">
        <v>8.859</v>
      </c>
      <c r="L39" s="5"/>
      <c r="M39" s="5"/>
      <c r="N39" s="5"/>
    </row>
    <row r="40" spans="2:14" s="2" customFormat="1" x14ac:dyDescent="0.2">
      <c r="B40" s="2" t="s">
        <v>51</v>
      </c>
      <c r="C40" s="5"/>
      <c r="D40" s="5"/>
      <c r="E40" s="5"/>
      <c r="F40" s="5"/>
      <c r="G40" s="5"/>
      <c r="H40" s="5"/>
      <c r="I40" s="5"/>
      <c r="J40" s="5"/>
      <c r="K40" s="5">
        <v>-26.664000000000001</v>
      </c>
      <c r="L40" s="5"/>
      <c r="M40" s="5"/>
      <c r="N40" s="5"/>
    </row>
    <row r="41" spans="2:14" s="2" customFormat="1" x14ac:dyDescent="0.2">
      <c r="B41" s="2" t="s">
        <v>52</v>
      </c>
      <c r="C41" s="5"/>
      <c r="D41" s="5"/>
      <c r="E41" s="5"/>
      <c r="F41" s="5"/>
      <c r="G41" s="5"/>
      <c r="H41" s="5"/>
      <c r="I41" s="5"/>
      <c r="J41" s="5"/>
      <c r="K41" s="5">
        <v>1.7609999999999999</v>
      </c>
      <c r="L41" s="5"/>
      <c r="M41" s="5"/>
      <c r="N41" s="5"/>
    </row>
    <row r="42" spans="2:14" s="2" customFormat="1" x14ac:dyDescent="0.2">
      <c r="B42" s="2" t="s">
        <v>46</v>
      </c>
      <c r="C42" s="5"/>
      <c r="D42" s="5"/>
      <c r="E42" s="5"/>
      <c r="F42" s="5"/>
      <c r="G42" s="5"/>
      <c r="H42" s="5"/>
      <c r="I42" s="5"/>
      <c r="J42" s="5"/>
      <c r="K42" s="5">
        <f>266.656-16.718-57.535+4.158-14.217-8.376-21.441</f>
        <v>152.52699999999999</v>
      </c>
      <c r="L42" s="5"/>
      <c r="M42" s="5"/>
      <c r="N42" s="5"/>
    </row>
    <row r="43" spans="2:14" s="2" customFormat="1" x14ac:dyDescent="0.2">
      <c r="B43" s="2" t="s">
        <v>45</v>
      </c>
      <c r="C43" s="5"/>
      <c r="D43" s="5"/>
      <c r="E43" s="5"/>
      <c r="F43" s="5"/>
      <c r="G43" s="5"/>
      <c r="H43" s="5"/>
      <c r="I43" s="5"/>
      <c r="J43" s="5"/>
      <c r="K43" s="5">
        <f>SUM(K33:K42)</f>
        <v>184.61299999999997</v>
      </c>
      <c r="L43" s="5"/>
      <c r="M43" s="5"/>
      <c r="N43" s="5"/>
    </row>
  </sheetData>
  <hyperlinks>
    <hyperlink ref="A1" location="Main!A1" display="Main" xr:uid="{567BD3AE-9464-472E-91DA-BE401641621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2022-07-28T12:42:20Z</dcterms:created>
  <dcterms:modified xsi:type="dcterms:W3CDTF">2025-03-12T20:26:29Z</dcterms:modified>
</cp:coreProperties>
</file>