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1CE27956-BFC1-4233-845B-89D758B56532}" xr6:coauthVersionLast="47" xr6:coauthVersionMax="47" xr10:uidLastSave="{00000000-0000-0000-0000-000000000000}"/>
  <bookViews>
    <workbookView xWindow="60" yWindow="210" windowWidth="14565" windowHeight="14595" xr2:uid="{F380DF38-F009-4BDE-AEE5-5C1E112E7B7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2" l="1"/>
  <c r="K39" i="2"/>
  <c r="K38" i="2"/>
  <c r="K43" i="2" s="1"/>
  <c r="K32" i="2"/>
  <c r="K26" i="2"/>
  <c r="K35" i="2"/>
  <c r="K57" i="2"/>
  <c r="K56" i="2"/>
  <c r="L47" i="2"/>
  <c r="K47" i="2"/>
  <c r="G17" i="2"/>
  <c r="G8" i="2"/>
  <c r="G13" i="2"/>
  <c r="G7" i="2"/>
  <c r="G9" i="2" s="1"/>
  <c r="K17" i="2"/>
  <c r="K8" i="2"/>
  <c r="K13" i="2"/>
  <c r="K7" i="2"/>
  <c r="K9" i="2" s="1"/>
  <c r="K24" i="2" s="1"/>
  <c r="L42" i="2"/>
  <c r="L43" i="2"/>
  <c r="L39" i="2"/>
  <c r="L38" i="2"/>
  <c r="L32" i="2"/>
  <c r="L35" i="2" s="1"/>
  <c r="H17" i="2"/>
  <c r="L17" i="2"/>
  <c r="H8" i="2"/>
  <c r="H13" i="2"/>
  <c r="L13" i="2"/>
  <c r="L8" i="2"/>
  <c r="L7" i="2"/>
  <c r="L9" i="2" s="1"/>
  <c r="H7" i="2"/>
  <c r="N7" i="1"/>
  <c r="N5" i="1"/>
  <c r="N4" i="1"/>
  <c r="K22" i="2" l="1"/>
  <c r="G24" i="2"/>
  <c r="G14" i="2"/>
  <c r="G16" i="2" s="1"/>
  <c r="G18" i="2" s="1"/>
  <c r="G19" i="2" s="1"/>
  <c r="K14" i="2"/>
  <c r="K16" i="2" s="1"/>
  <c r="K18" i="2" s="1"/>
  <c r="K19" i="2" s="1"/>
  <c r="L14" i="2"/>
  <c r="L16" i="2" s="1"/>
  <c r="L18" i="2" s="1"/>
  <c r="L19" i="2" s="1"/>
  <c r="L24" i="2"/>
  <c r="H9" i="2"/>
  <c r="H24" i="2" s="1"/>
  <c r="L22" i="2"/>
  <c r="H14" i="2" l="1"/>
  <c r="H16" i="2" s="1"/>
  <c r="H18" i="2" s="1"/>
  <c r="H19" i="2" s="1"/>
</calcChain>
</file>

<file path=xl/sharedStrings.xml><?xml version="1.0" encoding="utf-8"?>
<sst xmlns="http://schemas.openxmlformats.org/spreadsheetml/2006/main" count="73" uniqueCount="64">
  <si>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</si>
  <si>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</si>
  <si>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</si>
  <si>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</si>
  <si>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</si>
  <si>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</si>
  <si>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</si>
  <si>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</si>
  <si>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</si>
  <si>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</si>
  <si>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</si>
  <si>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</si>
  <si>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</si>
  <si>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</si>
  <si>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</si>
  <si>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</si>
  <si>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</si>
  <si>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Q322</t>
  </si>
  <si>
    <t>Q422</t>
  </si>
  <si>
    <t>FQ222</t>
  </si>
  <si>
    <t>Time-based products</t>
  </si>
  <si>
    <t>Upfront products</t>
  </si>
  <si>
    <t>Maintenance/Service</t>
  </si>
  <si>
    <t>COGS</t>
  </si>
  <si>
    <t>Gross Margin</t>
  </si>
  <si>
    <t>R&amp;D</t>
  </si>
  <si>
    <t>S&amp;M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</si>
  <si>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</si>
  <si>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</si>
  <si>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</si>
  <si>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</si>
  <si>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</si>
  <si>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</si>
  <si>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</si>
  <si>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Expense</t>
  </si>
  <si>
    <t>Revenue Growth</t>
  </si>
  <si>
    <t>Assets</t>
  </si>
  <si>
    <t>AR</t>
  </si>
  <si>
    <t>Inventories</t>
  </si>
  <si>
    <t>Prepaids</t>
  </si>
  <si>
    <t>PP&amp;E</t>
  </si>
  <si>
    <t>Lease</t>
  </si>
  <si>
    <t>Goodwill</t>
  </si>
  <si>
    <t>DT</t>
  </si>
  <si>
    <t>OLTA</t>
  </si>
  <si>
    <t>AP</t>
  </si>
  <si>
    <t>Leases</t>
  </si>
  <si>
    <t>DR</t>
  </si>
  <si>
    <t>OLTL</t>
  </si>
  <si>
    <t>SE</t>
  </si>
  <si>
    <t>Electronic Design Automation</t>
  </si>
  <si>
    <t>IP &amp; System Integration</t>
  </si>
  <si>
    <t xml:space="preserve">  41% of revenue</t>
  </si>
  <si>
    <t xml:space="preserve">  50% of revenue</t>
  </si>
  <si>
    <t>Model NI</t>
  </si>
  <si>
    <t>Reported NI</t>
  </si>
  <si>
    <t>CFFO</t>
  </si>
  <si>
    <t>D&amp;A</t>
  </si>
  <si>
    <t>Amortization</t>
  </si>
  <si>
    <t>SBC</t>
  </si>
  <si>
    <t>Credit Losses</t>
  </si>
  <si>
    <t>Non-Cash</t>
  </si>
  <si>
    <t>WC</t>
  </si>
  <si>
    <t>CEO: Aart de Geus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</si>
</sst>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2040-D182-436B-8CD8-7788E3B6E648}">
  <dimension ref="B2:O10"/>
  <sheetViews>
    <sheetView tabSelected="1" workbookViewId="0">
      <selection activeCell="M11" sqref="M11"/>
    </sheetView>
  </sheetViews>
  <sheetFormatPr defaultRowHeight="12.75" x14ac:dyDescent="0.2"/>
  <sheetData>
    <row r="2" spans="2:15" x14ac:dyDescent="0.2">
      <c r="B2" t="s">
        <v>50</v>
      </c>
      <c r="M2" t="s">
        <v>0</v>
      </c>
      <c r="N2">
        <v>375.71</v>
      </c>
    </row>
    <row r="3" spans="2:15" x14ac:dyDescent="0.2">
      <c r="B3" t="s">
        <v>53</v>
      </c>
      <c r="M3" t="s">
        <v>1</v>
      </c>
      <c r="N3" s="2">
        <v>152.970249</v>
      </c>
      <c r="O3" s="1" t="s">
        <v>6</v>
      </c>
    </row>
    <row r="4" spans="2:15" x14ac:dyDescent="0.2">
      <c r="M4" t="s">
        <v>2</v>
      </c>
      <c r="N4" s="2">
        <f>+N2*N3</f>
        <v>57472.452251789997</v>
      </c>
    </row>
    <row r="5" spans="2:15" x14ac:dyDescent="0.2">
      <c r="B5" t="s">
        <v>51</v>
      </c>
      <c r="M5" t="s">
        <v>3</v>
      </c>
      <c r="N5" s="2">
        <f>1573.62+146.901</f>
        <v>1720.521</v>
      </c>
      <c r="O5" s="1" t="s">
        <v>6</v>
      </c>
    </row>
    <row r="6" spans="2:15" x14ac:dyDescent="0.2">
      <c r="B6" t="s">
        <v>52</v>
      </c>
      <c r="M6" t="s">
        <v>4</v>
      </c>
      <c r="N6" s="2">
        <v>23.774999999999999</v>
      </c>
      <c r="O6" s="1" t="s">
        <v>6</v>
      </c>
    </row>
    <row r="7" spans="2:15" x14ac:dyDescent="0.2">
      <c r="M7" t="s">
        <v>5</v>
      </c>
      <c r="N7" s="2">
        <f>+N4-N5+N6</f>
        <v>55775.706251789998</v>
      </c>
    </row>
    <row r="10" spans="2:15" x14ac:dyDescent="0.2">
      <c r="M10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DE46-2908-48EA-AAAA-956F9665002A}">
  <dimension ref="A1:N57"/>
  <sheetViews>
    <sheetView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K43" sqref="K43"/>
    </sheetView>
  </sheetViews>
  <sheetFormatPr defaultRowHeight="12.75" x14ac:dyDescent="0.2"/>
  <cols>
    <col min="1" max="1" width="5" bestFit="1" customWidth="1"/>
    <col min="2" max="2" width="18.5703125" bestFit="1" customWidth="1"/>
    <col min="3" max="14" width="9.140625" style="1"/>
  </cols>
  <sheetData>
    <row r="1" spans="1:14" x14ac:dyDescent="0.2">
      <c r="A1" t="s">
        <v>7</v>
      </c>
    </row>
    <row r="2" spans="1:14" x14ac:dyDescent="0.2">
      <c r="G2" s="3">
        <v>44227</v>
      </c>
      <c r="H2" s="3">
        <v>44316</v>
      </c>
      <c r="K2" s="3">
        <v>44592</v>
      </c>
      <c r="L2" s="3">
        <v>44681</v>
      </c>
    </row>
    <row r="3" spans="1:14" x14ac:dyDescent="0.2"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6</v>
      </c>
      <c r="L3" s="1" t="s">
        <v>19</v>
      </c>
      <c r="M3" s="1" t="s">
        <v>17</v>
      </c>
      <c r="N3" s="1" t="s">
        <v>18</v>
      </c>
    </row>
    <row r="4" spans="1:14" s="2" customFormat="1" x14ac:dyDescent="0.2">
      <c r="B4" s="2" t="s">
        <v>20</v>
      </c>
      <c r="C4" s="4"/>
      <c r="D4" s="4"/>
      <c r="E4" s="4"/>
      <c r="F4" s="4"/>
      <c r="G4" s="4">
        <v>631.29</v>
      </c>
      <c r="H4" s="4">
        <v>648.79399999999998</v>
      </c>
      <c r="I4" s="4"/>
      <c r="J4" s="4"/>
      <c r="K4" s="4">
        <v>707.48299999999995</v>
      </c>
      <c r="L4" s="4">
        <v>723.82100000000003</v>
      </c>
      <c r="M4" s="4"/>
      <c r="N4" s="4"/>
    </row>
    <row r="5" spans="1:14" s="2" customFormat="1" x14ac:dyDescent="0.2">
      <c r="B5" s="2" t="s">
        <v>21</v>
      </c>
      <c r="C5" s="4"/>
      <c r="D5" s="4"/>
      <c r="E5" s="4"/>
      <c r="F5" s="4"/>
      <c r="G5" s="4">
        <v>174.381</v>
      </c>
      <c r="H5" s="4">
        <v>209.11600000000001</v>
      </c>
      <c r="I5" s="4"/>
      <c r="J5" s="4"/>
      <c r="K5" s="4">
        <v>368.274</v>
      </c>
      <c r="L5" s="4">
        <v>336.625</v>
      </c>
      <c r="M5" s="4"/>
      <c r="N5" s="4"/>
    </row>
    <row r="6" spans="1:14" s="2" customFormat="1" x14ac:dyDescent="0.2">
      <c r="B6" s="2" t="s">
        <v>22</v>
      </c>
      <c r="C6" s="4"/>
      <c r="D6" s="4"/>
      <c r="E6" s="4"/>
      <c r="F6" s="4"/>
      <c r="G6" s="4">
        <v>164.65</v>
      </c>
      <c r="H6" s="4">
        <v>166.41300000000001</v>
      </c>
      <c r="I6" s="4"/>
      <c r="J6" s="4"/>
      <c r="K6" s="4">
        <v>194.49799999999999</v>
      </c>
      <c r="L6" s="4">
        <v>218.78299999999999</v>
      </c>
      <c r="M6" s="4"/>
      <c r="N6" s="4"/>
    </row>
    <row r="7" spans="1:14" s="5" customFormat="1" x14ac:dyDescent="0.2">
      <c r="B7" s="5" t="s">
        <v>8</v>
      </c>
      <c r="C7" s="6"/>
      <c r="D7" s="6"/>
      <c r="E7" s="6"/>
      <c r="F7" s="6"/>
      <c r="G7" s="6">
        <f t="shared" ref="G7" si="0">SUM(G4:G6)</f>
        <v>970.32099999999991</v>
      </c>
      <c r="H7" s="6">
        <f>SUM(H4:H6)</f>
        <v>1024.3229999999999</v>
      </c>
      <c r="I7" s="6"/>
      <c r="J7" s="6"/>
      <c r="K7" s="6">
        <f>SUM(K4:K6)</f>
        <v>1270.2550000000001</v>
      </c>
      <c r="L7" s="6">
        <f>SUM(L4:L6)</f>
        <v>1279.2289999999998</v>
      </c>
      <c r="M7" s="6"/>
      <c r="N7" s="6"/>
    </row>
    <row r="8" spans="1:14" s="2" customFormat="1" x14ac:dyDescent="0.2">
      <c r="B8" s="2" t="s">
        <v>23</v>
      </c>
      <c r="C8" s="4"/>
      <c r="D8" s="4"/>
      <c r="E8" s="4"/>
      <c r="F8" s="4"/>
      <c r="G8" s="4">
        <f>127.347+68.766</f>
        <v>196.113</v>
      </c>
      <c r="H8" s="4">
        <f>134.738+67.84</f>
        <v>202.578</v>
      </c>
      <c r="I8" s="4"/>
      <c r="J8" s="4"/>
      <c r="K8" s="4">
        <f>165.399+78.225</f>
        <v>243.624</v>
      </c>
      <c r="L8" s="4">
        <f>150.69+87.666</f>
        <v>238.35599999999999</v>
      </c>
      <c r="M8" s="4"/>
      <c r="N8" s="4"/>
    </row>
    <row r="9" spans="1:14" s="2" customFormat="1" x14ac:dyDescent="0.2">
      <c r="B9" s="2" t="s">
        <v>24</v>
      </c>
      <c r="C9" s="4"/>
      <c r="D9" s="4"/>
      <c r="E9" s="4"/>
      <c r="F9" s="4"/>
      <c r="G9" s="4">
        <f t="shared" ref="G9" si="1">+G7-G8</f>
        <v>774.20799999999986</v>
      </c>
      <c r="H9" s="4">
        <f>+H7-H8</f>
        <v>821.74499999999989</v>
      </c>
      <c r="I9" s="4"/>
      <c r="J9" s="4"/>
      <c r="K9" s="4">
        <f>+K7-K8</f>
        <v>1026.6310000000001</v>
      </c>
      <c r="L9" s="4">
        <f>+L7-L8</f>
        <v>1040.8729999999998</v>
      </c>
      <c r="M9" s="4"/>
      <c r="N9" s="4"/>
    </row>
    <row r="10" spans="1:14" s="2" customFormat="1" x14ac:dyDescent="0.2">
      <c r="B10" s="2" t="s">
        <v>25</v>
      </c>
      <c r="C10" s="4"/>
      <c r="D10" s="4"/>
      <c r="E10" s="4"/>
      <c r="F10" s="4"/>
      <c r="G10" s="4">
        <v>357.46800000000002</v>
      </c>
      <c r="H10" s="4">
        <v>362.34500000000003</v>
      </c>
      <c r="I10" s="4"/>
      <c r="J10" s="4"/>
      <c r="K10" s="4">
        <v>383.971</v>
      </c>
      <c r="L10" s="4">
        <v>389.964</v>
      </c>
      <c r="M10" s="4"/>
      <c r="N10" s="4"/>
    </row>
    <row r="11" spans="1:14" s="2" customFormat="1" x14ac:dyDescent="0.2">
      <c r="B11" s="2" t="s">
        <v>26</v>
      </c>
      <c r="C11" s="4"/>
      <c r="D11" s="4"/>
      <c r="E11" s="4"/>
      <c r="F11" s="4"/>
      <c r="G11" s="4">
        <v>170.62799999999999</v>
      </c>
      <c r="H11" s="4">
        <v>172.75399999999999</v>
      </c>
      <c r="I11" s="4"/>
      <c r="J11" s="4"/>
      <c r="K11" s="4">
        <v>180.51</v>
      </c>
      <c r="L11" s="4">
        <v>191.57300000000001</v>
      </c>
      <c r="M11" s="4"/>
      <c r="N11" s="4"/>
    </row>
    <row r="12" spans="1:14" s="2" customFormat="1" x14ac:dyDescent="0.2">
      <c r="B12" s="2" t="s">
        <v>27</v>
      </c>
      <c r="C12" s="4"/>
      <c r="D12" s="4"/>
      <c r="E12" s="4"/>
      <c r="F12" s="4"/>
      <c r="G12" s="4">
        <v>77.488</v>
      </c>
      <c r="H12" s="4">
        <v>72.694000000000003</v>
      </c>
      <c r="I12" s="4"/>
      <c r="J12" s="4"/>
      <c r="K12" s="4">
        <v>81.007999999999996</v>
      </c>
      <c r="L12" s="4">
        <v>73.956999999999994</v>
      </c>
      <c r="M12" s="4"/>
      <c r="N12" s="4"/>
    </row>
    <row r="13" spans="1:14" s="2" customFormat="1" x14ac:dyDescent="0.2">
      <c r="B13" s="2" t="s">
        <v>28</v>
      </c>
      <c r="C13" s="4"/>
      <c r="D13" s="4"/>
      <c r="E13" s="4"/>
      <c r="F13" s="4"/>
      <c r="G13" s="4">
        <f t="shared" ref="G13" si="2">SUM(G10:G12)</f>
        <v>605.58400000000006</v>
      </c>
      <c r="H13" s="4">
        <f>SUM(H10:H12)</f>
        <v>607.79300000000001</v>
      </c>
      <c r="I13" s="4"/>
      <c r="J13" s="4"/>
      <c r="K13" s="4">
        <f>SUM(K10:K12)</f>
        <v>645.48900000000003</v>
      </c>
      <c r="L13" s="4">
        <f>SUM(L10:L12)</f>
        <v>655.49400000000003</v>
      </c>
      <c r="M13" s="4"/>
      <c r="N13" s="4"/>
    </row>
    <row r="14" spans="1:14" s="2" customFormat="1" x14ac:dyDescent="0.2">
      <c r="B14" s="2" t="s">
        <v>29</v>
      </c>
      <c r="C14" s="4"/>
      <c r="D14" s="4"/>
      <c r="E14" s="4"/>
      <c r="F14" s="4"/>
      <c r="G14" s="4">
        <f t="shared" ref="G14" si="3">+G9-G13</f>
        <v>168.6239999999998</v>
      </c>
      <c r="H14" s="4">
        <f>+H9-H13</f>
        <v>213.95199999999988</v>
      </c>
      <c r="I14" s="4"/>
      <c r="J14" s="4"/>
      <c r="K14" s="4">
        <f>+K9-K13</f>
        <v>381.14200000000005</v>
      </c>
      <c r="L14" s="4">
        <f>+L9-L13</f>
        <v>385.37899999999979</v>
      </c>
      <c r="M14" s="4"/>
      <c r="N14" s="4"/>
    </row>
    <row r="15" spans="1:14" s="2" customFormat="1" x14ac:dyDescent="0.2">
      <c r="B15" s="2" t="s">
        <v>34</v>
      </c>
      <c r="C15" s="4"/>
      <c r="D15" s="4"/>
      <c r="E15" s="4"/>
      <c r="F15" s="4"/>
      <c r="G15" s="4">
        <v>28.756</v>
      </c>
      <c r="H15" s="4">
        <v>21.763999999999999</v>
      </c>
      <c r="I15" s="4"/>
      <c r="J15" s="4"/>
      <c r="K15" s="4">
        <v>-19.792999999999999</v>
      </c>
      <c r="L15" s="4">
        <v>-23.913</v>
      </c>
      <c r="M15" s="4"/>
      <c r="N15" s="4"/>
    </row>
    <row r="16" spans="1:14" s="2" customFormat="1" x14ac:dyDescent="0.2">
      <c r="B16" s="2" t="s">
        <v>33</v>
      </c>
      <c r="C16" s="4"/>
      <c r="D16" s="4"/>
      <c r="E16" s="4"/>
      <c r="F16" s="4"/>
      <c r="G16" s="4">
        <f t="shared" ref="G16" si="4">+G14+G15</f>
        <v>197.3799999999998</v>
      </c>
      <c r="H16" s="4">
        <f>+H14+H15</f>
        <v>235.71599999999989</v>
      </c>
      <c r="I16" s="4"/>
      <c r="J16" s="4"/>
      <c r="K16" s="4">
        <f>+K14+K15</f>
        <v>361.34900000000005</v>
      </c>
      <c r="L16" s="4">
        <f>+L14+L15</f>
        <v>361.46599999999978</v>
      </c>
      <c r="M16" s="4"/>
      <c r="N16" s="4"/>
    </row>
    <row r="17" spans="2:14" s="2" customFormat="1" x14ac:dyDescent="0.2">
      <c r="B17" s="2" t="s">
        <v>32</v>
      </c>
      <c r="C17" s="4"/>
      <c r="D17" s="4"/>
      <c r="E17" s="4"/>
      <c r="F17" s="4"/>
      <c r="G17" s="4">
        <f>15.076-0.317</f>
        <v>14.759</v>
      </c>
      <c r="H17" s="4">
        <f>21.193-0.276</f>
        <v>20.917000000000002</v>
      </c>
      <c r="I17" s="4"/>
      <c r="J17" s="4"/>
      <c r="K17" s="4">
        <f>13.902-0.346</f>
        <v>13.555999999999999</v>
      </c>
      <c r="L17" s="4">
        <f>45.896-0.889</f>
        <v>45.006999999999998</v>
      </c>
      <c r="M17" s="4"/>
      <c r="N17" s="4"/>
    </row>
    <row r="18" spans="2:14" s="2" customFormat="1" x14ac:dyDescent="0.2">
      <c r="B18" s="2" t="s">
        <v>31</v>
      </c>
      <c r="C18" s="4"/>
      <c r="D18" s="4"/>
      <c r="E18" s="4"/>
      <c r="F18" s="4"/>
      <c r="G18" s="4">
        <f t="shared" ref="G18" si="5">+G16-G17</f>
        <v>182.62099999999981</v>
      </c>
      <c r="H18" s="4">
        <f>+H16-H17</f>
        <v>214.79899999999989</v>
      </c>
      <c r="I18" s="4"/>
      <c r="J18" s="4"/>
      <c r="K18" s="4">
        <f>+K16-K17</f>
        <v>347.79300000000006</v>
      </c>
      <c r="L18" s="4">
        <f>+L16-L17</f>
        <v>316.45899999999978</v>
      </c>
      <c r="M18" s="4"/>
      <c r="N18" s="4"/>
    </row>
    <row r="19" spans="2:14" s="8" customFormat="1" x14ac:dyDescent="0.2">
      <c r="B19" s="8" t="s">
        <v>30</v>
      </c>
      <c r="C19" s="7"/>
      <c r="D19" s="7"/>
      <c r="E19" s="7"/>
      <c r="F19" s="7"/>
      <c r="G19" s="7">
        <f t="shared" ref="G19" si="6">+G18/G20</f>
        <v>1.1611424429509707</v>
      </c>
      <c r="H19" s="7">
        <f>+H18/H20</f>
        <v>1.3674758239589495</v>
      </c>
      <c r="I19" s="7"/>
      <c r="J19" s="7"/>
      <c r="K19" s="7">
        <f>+K18/K20</f>
        <v>2.2113967432426422</v>
      </c>
      <c r="L19" s="7">
        <f>+L18/L20</f>
        <v>2.0264140311333367</v>
      </c>
      <c r="M19" s="7"/>
      <c r="N19" s="7"/>
    </row>
    <row r="20" spans="2:14" s="2" customFormat="1" x14ac:dyDescent="0.2">
      <c r="B20" s="2" t="s">
        <v>1</v>
      </c>
      <c r="C20" s="4"/>
      <c r="D20" s="4"/>
      <c r="E20" s="4"/>
      <c r="F20" s="4"/>
      <c r="G20" s="4">
        <v>157.27699999999999</v>
      </c>
      <c r="H20" s="4">
        <v>157.077</v>
      </c>
      <c r="I20" s="4"/>
      <c r="J20" s="4"/>
      <c r="K20" s="4">
        <v>157.273</v>
      </c>
      <c r="L20" s="4">
        <v>156.167</v>
      </c>
      <c r="M20" s="4"/>
      <c r="N20" s="4"/>
    </row>
    <row r="22" spans="2:14" x14ac:dyDescent="0.2">
      <c r="B22" s="2" t="s">
        <v>35</v>
      </c>
      <c r="K22" s="9">
        <f>+K7/G7-1</f>
        <v>0.30910801683154365</v>
      </c>
      <c r="L22" s="9">
        <f>+L7/H7-1</f>
        <v>0.24885314495525335</v>
      </c>
    </row>
    <row r="24" spans="2:14" x14ac:dyDescent="0.2">
      <c r="B24" t="s">
        <v>24</v>
      </c>
      <c r="G24" s="9">
        <f t="shared" ref="G24:H24" si="7">+G9/G7</f>
        <v>0.79788853379448654</v>
      </c>
      <c r="H24" s="9">
        <f>+H9/H7</f>
        <v>0.80223230367764853</v>
      </c>
      <c r="K24" s="9">
        <f>+K9/K7</f>
        <v>0.80820858803940943</v>
      </c>
      <c r="L24" s="9">
        <f>+L9/L7</f>
        <v>0.81367214157902923</v>
      </c>
    </row>
    <row r="26" spans="2:14" s="2" customFormat="1" x14ac:dyDescent="0.2">
      <c r="B26" s="2" t="s">
        <v>3</v>
      </c>
      <c r="C26" s="4"/>
      <c r="D26" s="4"/>
      <c r="E26" s="4"/>
      <c r="F26" s="4"/>
      <c r="G26" s="4"/>
      <c r="H26" s="4"/>
      <c r="I26" s="4"/>
      <c r="J26" s="4"/>
      <c r="K26" s="4">
        <f>1124.299+147.748</f>
        <v>1272.047</v>
      </c>
      <c r="L26" s="4">
        <v>1720.521</v>
      </c>
      <c r="M26" s="4"/>
      <c r="N26" s="4"/>
    </row>
    <row r="27" spans="2:14" s="2" customFormat="1" x14ac:dyDescent="0.2">
      <c r="B27" s="2" t="s">
        <v>37</v>
      </c>
      <c r="C27" s="4"/>
      <c r="D27" s="4"/>
      <c r="E27" s="4"/>
      <c r="F27" s="4"/>
      <c r="G27" s="4"/>
      <c r="H27" s="4"/>
      <c r="I27" s="4"/>
      <c r="J27" s="4"/>
      <c r="K27" s="4">
        <v>1038.749</v>
      </c>
      <c r="L27" s="4">
        <v>722.99199999999996</v>
      </c>
      <c r="M27" s="4"/>
      <c r="N27" s="4"/>
    </row>
    <row r="28" spans="2:14" s="2" customFormat="1" x14ac:dyDescent="0.2">
      <c r="B28" s="2" t="s">
        <v>38</v>
      </c>
      <c r="C28" s="4"/>
      <c r="D28" s="4"/>
      <c r="E28" s="4"/>
      <c r="F28" s="4"/>
      <c r="G28" s="4"/>
      <c r="H28" s="4"/>
      <c r="I28" s="4"/>
      <c r="J28" s="4"/>
      <c r="K28" s="4">
        <v>212.91900000000001</v>
      </c>
      <c r="L28" s="4">
        <v>213.53200000000001</v>
      </c>
      <c r="M28" s="4"/>
      <c r="N28" s="4"/>
    </row>
    <row r="29" spans="2:14" s="2" customFormat="1" x14ac:dyDescent="0.2">
      <c r="B29" s="2" t="s">
        <v>39</v>
      </c>
      <c r="C29" s="4"/>
      <c r="D29" s="4"/>
      <c r="E29" s="4"/>
      <c r="F29" s="4"/>
      <c r="G29" s="4"/>
      <c r="H29" s="4"/>
      <c r="I29" s="4"/>
      <c r="J29" s="4"/>
      <c r="K29" s="4">
        <v>423.78199999999998</v>
      </c>
      <c r="L29" s="4">
        <v>417.20100000000002</v>
      </c>
      <c r="M29" s="4"/>
      <c r="N29" s="4"/>
    </row>
    <row r="30" spans="2:14" s="2" customFormat="1" x14ac:dyDescent="0.2">
      <c r="B30" s="2" t="s">
        <v>40</v>
      </c>
      <c r="C30" s="4"/>
      <c r="D30" s="4"/>
      <c r="E30" s="4"/>
      <c r="F30" s="4"/>
      <c r="G30" s="4"/>
      <c r="H30" s="4"/>
      <c r="I30" s="4"/>
      <c r="J30" s="4"/>
      <c r="K30" s="4">
        <v>477.52100000000002</v>
      </c>
      <c r="L30" s="4">
        <v>491.64100000000002</v>
      </c>
      <c r="M30" s="4"/>
      <c r="N30" s="4"/>
    </row>
    <row r="31" spans="2:14" s="2" customFormat="1" x14ac:dyDescent="0.2">
      <c r="B31" s="2" t="s">
        <v>41</v>
      </c>
      <c r="C31" s="4"/>
      <c r="D31" s="4"/>
      <c r="E31" s="4"/>
      <c r="F31" s="4"/>
      <c r="G31" s="4"/>
      <c r="H31" s="4"/>
      <c r="I31" s="4"/>
      <c r="J31" s="4"/>
      <c r="K31" s="4">
        <v>481.52600000000001</v>
      </c>
      <c r="L31" s="4">
        <v>585.10799999999995</v>
      </c>
      <c r="M31" s="4"/>
      <c r="N31" s="4"/>
    </row>
    <row r="32" spans="2:14" s="2" customFormat="1" x14ac:dyDescent="0.2">
      <c r="B32" s="2" t="s">
        <v>42</v>
      </c>
      <c r="C32" s="4"/>
      <c r="D32" s="4"/>
      <c r="E32" s="4"/>
      <c r="F32" s="4"/>
      <c r="G32" s="4"/>
      <c r="H32" s="4"/>
      <c r="I32" s="4"/>
      <c r="J32" s="4"/>
      <c r="K32" s="4">
        <f>3592.788+260.81</f>
        <v>3853.598</v>
      </c>
      <c r="L32" s="4">
        <f>3616.133+333.321</f>
        <v>3949.4539999999997</v>
      </c>
      <c r="M32" s="4"/>
      <c r="N32" s="4"/>
    </row>
    <row r="33" spans="2:14" s="2" customFormat="1" x14ac:dyDescent="0.2">
      <c r="B33" s="2" t="s">
        <v>43</v>
      </c>
      <c r="C33" s="4"/>
      <c r="D33" s="4"/>
      <c r="E33" s="4"/>
      <c r="F33" s="4"/>
      <c r="G33" s="4"/>
      <c r="H33" s="4"/>
      <c r="I33" s="4"/>
      <c r="J33" s="4"/>
      <c r="K33" s="4">
        <v>628.87900000000002</v>
      </c>
      <c r="L33" s="4">
        <v>605.78499999999997</v>
      </c>
      <c r="M33" s="4"/>
      <c r="N33" s="4"/>
    </row>
    <row r="34" spans="2:14" s="2" customFormat="1" x14ac:dyDescent="0.2">
      <c r="B34" s="2" t="s">
        <v>44</v>
      </c>
      <c r="C34" s="4"/>
      <c r="D34" s="4"/>
      <c r="E34" s="4"/>
      <c r="F34" s="4"/>
      <c r="G34" s="4"/>
      <c r="H34" s="4"/>
      <c r="I34" s="4"/>
      <c r="J34" s="4"/>
      <c r="K34" s="4">
        <v>512.32500000000005</v>
      </c>
      <c r="L34" s="4">
        <v>504.14699999999999</v>
      </c>
      <c r="M34" s="4"/>
      <c r="N34" s="4"/>
    </row>
    <row r="35" spans="2:14" s="2" customFormat="1" x14ac:dyDescent="0.2">
      <c r="B35" s="2" t="s">
        <v>36</v>
      </c>
      <c r="C35" s="4"/>
      <c r="D35" s="4"/>
      <c r="E35" s="4"/>
      <c r="F35" s="4"/>
      <c r="G35" s="4"/>
      <c r="H35" s="4"/>
      <c r="I35" s="4"/>
      <c r="J35" s="4"/>
      <c r="K35" s="4">
        <f t="shared" ref="K35" si="8">SUM(K26:K34)</f>
        <v>8901.3460000000014</v>
      </c>
      <c r="L35" s="4">
        <f>SUM(L26:L34)</f>
        <v>9210.3810000000012</v>
      </c>
      <c r="M35" s="4"/>
      <c r="N35" s="4"/>
    </row>
    <row r="37" spans="2:14" s="2" customFormat="1" x14ac:dyDescent="0.2">
      <c r="B37" s="2" t="s">
        <v>45</v>
      </c>
      <c r="C37" s="4"/>
      <c r="D37" s="4"/>
      <c r="E37" s="4"/>
      <c r="F37" s="4"/>
      <c r="G37" s="4"/>
      <c r="H37" s="4"/>
      <c r="I37" s="4"/>
      <c r="J37" s="4"/>
      <c r="K37" s="4">
        <v>540.73299999999995</v>
      </c>
      <c r="L37" s="4">
        <v>612.221</v>
      </c>
      <c r="M37" s="4"/>
      <c r="N37" s="4"/>
    </row>
    <row r="38" spans="2:14" s="2" customFormat="1" x14ac:dyDescent="0.2">
      <c r="B38" s="2" t="s">
        <v>46</v>
      </c>
      <c r="C38" s="4"/>
      <c r="D38" s="4"/>
      <c r="E38" s="4"/>
      <c r="F38" s="4"/>
      <c r="G38" s="4"/>
      <c r="H38" s="4"/>
      <c r="I38" s="4"/>
      <c r="J38" s="4"/>
      <c r="K38" s="4">
        <f>78.748+477.487</f>
        <v>556.23500000000001</v>
      </c>
      <c r="L38" s="4">
        <f>55.17+601.317</f>
        <v>656.48699999999997</v>
      </c>
      <c r="M38" s="4"/>
      <c r="N38" s="4"/>
    </row>
    <row r="39" spans="2:14" s="2" customFormat="1" x14ac:dyDescent="0.2">
      <c r="B39" s="2" t="s">
        <v>47</v>
      </c>
      <c r="C39" s="4"/>
      <c r="D39" s="4"/>
      <c r="E39" s="4"/>
      <c r="F39" s="4"/>
      <c r="G39" s="4"/>
      <c r="H39" s="4"/>
      <c r="I39" s="4"/>
      <c r="J39" s="4"/>
      <c r="K39" s="4">
        <f>1852.175+157.465</f>
        <v>2009.6399999999999</v>
      </c>
      <c r="L39" s="4">
        <f>1795.267+165.911</f>
        <v>1961.1780000000001</v>
      </c>
      <c r="M39" s="4"/>
      <c r="N39" s="4"/>
    </row>
    <row r="40" spans="2:14" s="2" customFormat="1" x14ac:dyDescent="0.2">
      <c r="B40" s="2" t="s">
        <v>4</v>
      </c>
      <c r="C40" s="4"/>
      <c r="D40" s="4"/>
      <c r="E40" s="4"/>
      <c r="F40" s="4"/>
      <c r="G40" s="4"/>
      <c r="H40" s="4"/>
      <c r="I40" s="4"/>
      <c r="J40" s="4"/>
      <c r="K40" s="4">
        <v>24.37</v>
      </c>
      <c r="L40" s="4">
        <v>23.774999999999999</v>
      </c>
      <c r="M40" s="4"/>
      <c r="N40" s="4"/>
    </row>
    <row r="41" spans="2:14" s="2" customFormat="1" x14ac:dyDescent="0.2">
      <c r="B41" s="2" t="s">
        <v>48</v>
      </c>
      <c r="C41" s="4"/>
      <c r="D41" s="4"/>
      <c r="E41" s="4"/>
      <c r="F41" s="4"/>
      <c r="G41" s="4"/>
      <c r="H41" s="4"/>
      <c r="I41" s="4"/>
      <c r="J41" s="4"/>
      <c r="K41" s="4">
        <v>380.13499999999999</v>
      </c>
      <c r="L41" s="4">
        <v>345.774</v>
      </c>
      <c r="M41" s="4"/>
      <c r="N41" s="4"/>
    </row>
    <row r="42" spans="2:14" s="2" customFormat="1" x14ac:dyDescent="0.2">
      <c r="B42" s="2" t="s">
        <v>49</v>
      </c>
      <c r="C42" s="4"/>
      <c r="D42" s="4"/>
      <c r="E42" s="4"/>
      <c r="F42" s="4"/>
      <c r="G42" s="4"/>
      <c r="H42" s="4"/>
      <c r="I42" s="4"/>
      <c r="J42" s="4"/>
      <c r="K42" s="4">
        <f>5386.773+3.46</f>
        <v>5390.2330000000002</v>
      </c>
      <c r="L42" s="4">
        <f>5564.311+3.119+43.516</f>
        <v>5610.945999999999</v>
      </c>
      <c r="M42" s="4"/>
      <c r="N42" s="4"/>
    </row>
    <row r="43" spans="2:14" s="2" customFormat="1" x14ac:dyDescent="0.2">
      <c r="C43" s="4"/>
      <c r="D43" s="4"/>
      <c r="E43" s="4"/>
      <c r="F43" s="4"/>
      <c r="G43" s="4"/>
      <c r="H43" s="4"/>
      <c r="I43" s="4"/>
      <c r="J43" s="4"/>
      <c r="K43" s="4">
        <f t="shared" ref="K43" si="9">SUM(K37:K42)</f>
        <v>8901.3459999999995</v>
      </c>
      <c r="L43" s="4">
        <f>SUM(L37:L42)</f>
        <v>9210.3809999999994</v>
      </c>
      <c r="M43" s="4"/>
      <c r="N43" s="4"/>
    </row>
    <row r="47" spans="2:14" s="2" customFormat="1" x14ac:dyDescent="0.2">
      <c r="B47" s="2" t="s">
        <v>54</v>
      </c>
      <c r="C47" s="4"/>
      <c r="D47" s="4"/>
      <c r="E47" s="4"/>
      <c r="F47" s="4"/>
      <c r="G47" s="4"/>
      <c r="H47" s="4"/>
      <c r="I47" s="4"/>
      <c r="J47" s="4"/>
      <c r="K47" s="4">
        <f>+K18</f>
        <v>347.79300000000006</v>
      </c>
      <c r="L47" s="4">
        <f>+L18</f>
        <v>316.45899999999978</v>
      </c>
      <c r="M47" s="4"/>
      <c r="N47" s="4"/>
    </row>
    <row r="48" spans="2:14" s="2" customFormat="1" x14ac:dyDescent="0.2">
      <c r="B48" s="2" t="s">
        <v>55</v>
      </c>
      <c r="C48" s="4"/>
      <c r="D48" s="4"/>
      <c r="E48" s="4"/>
      <c r="F48" s="4"/>
      <c r="G48" s="4"/>
      <c r="H48" s="4"/>
      <c r="I48" s="4"/>
      <c r="J48" s="4"/>
      <c r="K48" s="4">
        <v>313.68700000000001</v>
      </c>
      <c r="L48" s="4"/>
      <c r="M48" s="4"/>
      <c r="N48" s="4"/>
    </row>
    <row r="49" spans="2:14" s="2" customFormat="1" x14ac:dyDescent="0.2">
      <c r="B49" s="2" t="s">
        <v>57</v>
      </c>
      <c r="C49" s="4"/>
      <c r="D49" s="4"/>
      <c r="E49" s="4"/>
      <c r="F49" s="4"/>
      <c r="G49" s="4"/>
      <c r="H49" s="4"/>
      <c r="I49" s="4"/>
      <c r="J49" s="4"/>
      <c r="K49" s="4">
        <v>61.685000000000002</v>
      </c>
      <c r="L49" s="4"/>
      <c r="M49" s="4"/>
      <c r="N49" s="4"/>
    </row>
    <row r="50" spans="2:14" s="2" customFormat="1" x14ac:dyDescent="0.2">
      <c r="B50" s="2" t="s">
        <v>46</v>
      </c>
      <c r="C50" s="4"/>
      <c r="D50" s="4"/>
      <c r="E50" s="4"/>
      <c r="F50" s="4"/>
      <c r="G50" s="4"/>
      <c r="H50" s="4"/>
      <c r="I50" s="4"/>
      <c r="J50" s="4"/>
      <c r="K50" s="4">
        <v>21.01</v>
      </c>
      <c r="L50" s="4"/>
      <c r="M50" s="4"/>
      <c r="N50" s="4"/>
    </row>
    <row r="51" spans="2:14" s="2" customFormat="1" x14ac:dyDescent="0.2">
      <c r="B51" s="2" t="s">
        <v>58</v>
      </c>
      <c r="C51" s="4"/>
      <c r="D51" s="4"/>
      <c r="E51" s="4"/>
      <c r="F51" s="4"/>
      <c r="G51" s="4"/>
      <c r="H51" s="4"/>
      <c r="I51" s="4"/>
      <c r="J51" s="4"/>
      <c r="K51" s="4">
        <v>16.736999999999998</v>
      </c>
      <c r="L51" s="4"/>
      <c r="M51" s="4"/>
      <c r="N51" s="4"/>
    </row>
    <row r="52" spans="2:14" s="2" customFormat="1" x14ac:dyDescent="0.2">
      <c r="B52" s="2" t="s">
        <v>59</v>
      </c>
      <c r="C52" s="4"/>
      <c r="D52" s="4"/>
      <c r="E52" s="4"/>
      <c r="F52" s="4"/>
      <c r="G52" s="4"/>
      <c r="H52" s="4"/>
      <c r="I52" s="4"/>
      <c r="J52" s="4"/>
      <c r="K52" s="4">
        <v>95.771000000000001</v>
      </c>
      <c r="L52" s="4"/>
      <c r="M52" s="4"/>
      <c r="N52" s="4"/>
    </row>
    <row r="53" spans="2:14" s="2" customFormat="1" x14ac:dyDescent="0.2">
      <c r="B53" s="2" t="s">
        <v>60</v>
      </c>
      <c r="C53" s="4"/>
      <c r="D53" s="4"/>
      <c r="E53" s="4"/>
      <c r="F53" s="4"/>
      <c r="G53" s="4"/>
      <c r="H53" s="4"/>
      <c r="I53" s="4"/>
      <c r="J53" s="4"/>
      <c r="K53" s="4">
        <v>5.2779999999999996</v>
      </c>
      <c r="L53" s="4"/>
      <c r="M53" s="4"/>
      <c r="N53" s="4"/>
    </row>
    <row r="54" spans="2:14" s="2" customFormat="1" x14ac:dyDescent="0.2">
      <c r="B54" s="2" t="s">
        <v>43</v>
      </c>
      <c r="C54" s="4"/>
      <c r="D54" s="4"/>
      <c r="E54" s="4"/>
      <c r="F54" s="4"/>
      <c r="G54" s="4"/>
      <c r="H54" s="4"/>
      <c r="I54" s="4"/>
      <c r="J54" s="4"/>
      <c r="K54" s="4">
        <v>-11.952</v>
      </c>
      <c r="L54" s="4"/>
      <c r="M54" s="4"/>
      <c r="N54" s="4"/>
    </row>
    <row r="55" spans="2:14" s="2" customFormat="1" x14ac:dyDescent="0.2">
      <c r="B55" s="2" t="s">
        <v>61</v>
      </c>
      <c r="C55" s="4"/>
      <c r="D55" s="4"/>
      <c r="E55" s="4"/>
      <c r="F55" s="4"/>
      <c r="G55" s="4"/>
      <c r="H55" s="4"/>
      <c r="I55" s="4"/>
      <c r="J55" s="4"/>
      <c r="K55" s="4">
        <v>4.4859999999999998</v>
      </c>
      <c r="L55" s="4"/>
      <c r="M55" s="4"/>
      <c r="N55" s="4"/>
    </row>
    <row r="56" spans="2:14" s="2" customFormat="1" x14ac:dyDescent="0.2">
      <c r="B56" s="2" t="s">
        <v>62</v>
      </c>
      <c r="C56" s="4"/>
      <c r="D56" s="4"/>
      <c r="E56" s="4"/>
      <c r="F56" s="4"/>
      <c r="G56" s="4"/>
      <c r="H56" s="4"/>
      <c r="I56" s="4"/>
      <c r="J56" s="4"/>
      <c r="K56" s="4">
        <f>-466.684+9.155-0.303-11.969-223.223-19.477+6.555+354.988</f>
        <v>-350.95800000000014</v>
      </c>
      <c r="L56" s="4"/>
      <c r="M56" s="4"/>
      <c r="N56" s="4"/>
    </row>
    <row r="57" spans="2:14" s="2" customFormat="1" x14ac:dyDescent="0.2">
      <c r="B57" s="2" t="s">
        <v>56</v>
      </c>
      <c r="C57" s="4"/>
      <c r="D57" s="4"/>
      <c r="E57" s="4"/>
      <c r="F57" s="4"/>
      <c r="G57" s="4"/>
      <c r="H57" s="4"/>
      <c r="I57" s="4"/>
      <c r="J57" s="4"/>
      <c r="K57" s="4">
        <f>SUM(K48:K56)</f>
        <v>155.74399999999986</v>
      </c>
      <c r="L57" s="4"/>
      <c r="M57" s="4"/>
      <c r="N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2022-08-11T03:06:33Z</dcterms:created>
  <dcterms:modified xsi:type="dcterms:W3CDTF">2022-08-11T03:26:46Z</dcterms:modified>
</cp:coreProperties>
</file>