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CFE4DA86-156B-4189-BC94-4C1AA284DDB8}" xr6:coauthVersionLast="47" xr6:coauthVersionMax="47" xr10:uidLastSave="{00000000-0000-0000-0000-000000000000}"/>
  <bookViews>
    <workbookView xWindow="25725" yWindow="375" windowWidth="25950" windowHeight="20355" activeTab="1" xr2:uid="{433A9873-B878-411D-A5EF-0D472EAC962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4" i="2" l="1"/>
  <c r="R43" i="2"/>
  <c r="R42" i="2"/>
  <c r="R41" i="2"/>
  <c r="R40" i="2"/>
  <c r="R39" i="2"/>
  <c r="R35" i="2"/>
  <c r="R6" i="2"/>
  <c r="R48" i="2"/>
  <c r="R21" i="2"/>
  <c r="R17" i="2"/>
  <c r="R14" i="2"/>
  <c r="R16" i="2"/>
  <c r="S26" i="2" s="1"/>
  <c r="S40" i="2"/>
  <c r="V40" i="2"/>
  <c r="U40" i="2"/>
  <c r="T40" i="2"/>
  <c r="S44" i="2"/>
  <c r="S43" i="2"/>
  <c r="S42" i="2"/>
  <c r="S41" i="2"/>
  <c r="S39" i="2"/>
  <c r="S48" i="2"/>
  <c r="S21" i="2"/>
  <c r="S17" i="2"/>
  <c r="S14" i="2"/>
  <c r="S16" i="2"/>
  <c r="S28" i="2" s="1"/>
  <c r="T44" i="2"/>
  <c r="T43" i="2"/>
  <c r="T42" i="2"/>
  <c r="T41" i="2"/>
  <c r="T39" i="2"/>
  <c r="T48" i="2"/>
  <c r="T28" i="2"/>
  <c r="U26" i="2"/>
  <c r="V24" i="2"/>
  <c r="U24" i="2"/>
  <c r="T21" i="2"/>
  <c r="T18" i="2"/>
  <c r="T17" i="2"/>
  <c r="T14" i="2"/>
  <c r="T16" i="2"/>
  <c r="V44" i="2"/>
  <c r="U44" i="2"/>
  <c r="V43" i="2"/>
  <c r="U43" i="2"/>
  <c r="V42" i="2"/>
  <c r="U42" i="2"/>
  <c r="V41" i="2"/>
  <c r="U41" i="2"/>
  <c r="V39" i="2"/>
  <c r="U39" i="2"/>
  <c r="W3" i="2"/>
  <c r="V48" i="2"/>
  <c r="U47" i="2"/>
  <c r="U48" i="2" s="1"/>
  <c r="U21" i="2"/>
  <c r="U17" i="2"/>
  <c r="U16" i="2"/>
  <c r="U18" i="2" s="1"/>
  <c r="U20" i="2" s="1"/>
  <c r="U22" i="2" s="1"/>
  <c r="J23" i="2"/>
  <c r="V23" i="2" s="1"/>
  <c r="J19" i="2"/>
  <c r="V19" i="2" s="1"/>
  <c r="J15" i="2"/>
  <c r="N15" i="2" s="1"/>
  <c r="W15" i="2" s="1"/>
  <c r="J14" i="2"/>
  <c r="J16" i="2" s="1"/>
  <c r="V14" i="2"/>
  <c r="S2" i="2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G21" i="2"/>
  <c r="G17" i="2"/>
  <c r="G16" i="2"/>
  <c r="K21" i="2"/>
  <c r="K17" i="2"/>
  <c r="K16" i="2"/>
  <c r="H21" i="2"/>
  <c r="H17" i="2"/>
  <c r="H16" i="2"/>
  <c r="L21" i="2"/>
  <c r="L17" i="2"/>
  <c r="L16" i="2"/>
  <c r="L18" i="2" s="1"/>
  <c r="L20" i="2" s="1"/>
  <c r="O9" i="1"/>
  <c r="O8" i="1"/>
  <c r="O7" i="1"/>
  <c r="I21" i="2"/>
  <c r="M21" i="2"/>
  <c r="I17" i="2"/>
  <c r="M17" i="2"/>
  <c r="I16" i="2"/>
  <c r="M16" i="2"/>
  <c r="M28" i="2" s="1"/>
  <c r="O6" i="1"/>
  <c r="O5" i="1"/>
  <c r="R18" i="2" l="1"/>
  <c r="R20" i="2" s="1"/>
  <c r="R22" i="2" s="1"/>
  <c r="R24" i="2" s="1"/>
  <c r="R28" i="2"/>
  <c r="T26" i="2"/>
  <c r="S18" i="2"/>
  <c r="S20" i="2" s="1"/>
  <c r="S22" i="2" s="1"/>
  <c r="S24" i="2" s="1"/>
  <c r="T20" i="2"/>
  <c r="T22" i="2" s="1"/>
  <c r="T24" i="2" s="1"/>
  <c r="K18" i="2"/>
  <c r="K27" i="2" s="1"/>
  <c r="G18" i="2"/>
  <c r="G20" i="2" s="1"/>
  <c r="G22" i="2" s="1"/>
  <c r="G24" i="2" s="1"/>
  <c r="I18" i="2"/>
  <c r="I20" i="2" s="1"/>
  <c r="J21" i="2"/>
  <c r="V15" i="2"/>
  <c r="V16" i="2" s="1"/>
  <c r="V26" i="2" s="1"/>
  <c r="L26" i="2"/>
  <c r="M26" i="2"/>
  <c r="L28" i="2"/>
  <c r="N14" i="2"/>
  <c r="W14" i="2" s="1"/>
  <c r="W16" i="2" s="1"/>
  <c r="W26" i="2" s="1"/>
  <c r="I27" i="2"/>
  <c r="L27" i="2"/>
  <c r="I28" i="2"/>
  <c r="N16" i="2"/>
  <c r="N26" i="2" s="1"/>
  <c r="H28" i="2"/>
  <c r="U28" i="2"/>
  <c r="K26" i="2"/>
  <c r="V28" i="2"/>
  <c r="V21" i="2"/>
  <c r="L22" i="2"/>
  <c r="L24" i="2" s="1"/>
  <c r="J17" i="2"/>
  <c r="J18" i="2" s="1"/>
  <c r="W28" i="2"/>
  <c r="K28" i="2"/>
  <c r="J28" i="2"/>
  <c r="G28" i="2"/>
  <c r="K20" i="2"/>
  <c r="K22" i="2" s="1"/>
  <c r="K24" i="2" s="1"/>
  <c r="H18" i="2"/>
  <c r="M18" i="2"/>
  <c r="I22" i="2"/>
  <c r="I24" i="2" s="1"/>
  <c r="G27" i="2" l="1"/>
  <c r="J20" i="2"/>
  <c r="J22" i="2" s="1"/>
  <c r="J24" i="2" s="1"/>
  <c r="J27" i="2"/>
  <c r="V17" i="2"/>
  <c r="V18" i="2" s="1"/>
  <c r="V20" i="2" s="1"/>
  <c r="V22" i="2" s="1"/>
  <c r="M20" i="2"/>
  <c r="M22" i="2" s="1"/>
  <c r="M24" i="2" s="1"/>
  <c r="M27" i="2"/>
  <c r="H20" i="2"/>
  <c r="H22" i="2" s="1"/>
  <c r="H24" i="2" s="1"/>
  <c r="H27" i="2"/>
</calcChain>
</file>

<file path=xl/sharedStrings.xml><?xml version="1.0" encoding="utf-8"?>
<sst xmlns="http://schemas.openxmlformats.org/spreadsheetml/2006/main" count="63" uniqueCount="60">
  <si>
    <t>Price JPY</t>
  </si>
  <si>
    <t>Price USD</t>
  </si>
  <si>
    <t>Shares</t>
  </si>
  <si>
    <t>MC JPY</t>
  </si>
  <si>
    <t>MC USD</t>
  </si>
  <si>
    <t>Cash JPY</t>
  </si>
  <si>
    <t>Debt JPY</t>
  </si>
  <si>
    <t>EV JPY</t>
  </si>
  <si>
    <t>Main</t>
  </si>
  <si>
    <t>Revenue</t>
  </si>
  <si>
    <t>Q121</t>
  </si>
  <si>
    <t>Q221</t>
  </si>
  <si>
    <t>Q321</t>
  </si>
  <si>
    <t>Q421</t>
  </si>
  <si>
    <t>Q122</t>
  </si>
  <si>
    <t>Q222</t>
  </si>
  <si>
    <t>Q322</t>
  </si>
  <si>
    <t>Q422</t>
  </si>
  <si>
    <t>Sales</t>
  </si>
  <si>
    <t>Financial</t>
  </si>
  <si>
    <t>COGS</t>
  </si>
  <si>
    <t>Gross Profit</t>
  </si>
  <si>
    <t>SG&amp;A</t>
  </si>
  <si>
    <t>Operating Income</t>
  </si>
  <si>
    <t>Other</t>
  </si>
  <si>
    <t>Pretax Income</t>
  </si>
  <si>
    <t>Net Income</t>
  </si>
  <si>
    <t>Taxes</t>
  </si>
  <si>
    <t>Game &amp; Network</t>
  </si>
  <si>
    <t>Music</t>
  </si>
  <si>
    <t>Pictures</t>
  </si>
  <si>
    <t>Entertainment</t>
  </si>
  <si>
    <t>Imaging &amp; Sensing</t>
  </si>
  <si>
    <t xml:space="preserve">  TVs</t>
  </si>
  <si>
    <t xml:space="preserve">  AV</t>
  </si>
  <si>
    <t xml:space="preserve">  Cameras</t>
  </si>
  <si>
    <t xml:space="preserve">  Mobiles</t>
  </si>
  <si>
    <t xml:space="preserve">  Other</t>
  </si>
  <si>
    <t>Q223</t>
  </si>
  <si>
    <t>Q323</t>
  </si>
  <si>
    <t>Q423</t>
  </si>
  <si>
    <t>Q123</t>
  </si>
  <si>
    <t>Games % of R</t>
  </si>
  <si>
    <t>Gross Margin</t>
  </si>
  <si>
    <t>Games OpInc</t>
  </si>
  <si>
    <t>Music OpInc</t>
  </si>
  <si>
    <t>Pictures OpInc</t>
  </si>
  <si>
    <t>Entertainment OpInc</t>
  </si>
  <si>
    <t>Imaging OpInc</t>
  </si>
  <si>
    <t>Financial OpInc</t>
  </si>
  <si>
    <t>Revenue y/y</t>
  </si>
  <si>
    <t>CFFO</t>
  </si>
  <si>
    <t>CapEx</t>
  </si>
  <si>
    <t>Games OpMargin</t>
  </si>
  <si>
    <t>Music OpMargin</t>
  </si>
  <si>
    <t>Pictures OpMargin</t>
  </si>
  <si>
    <t>Entertainment OpMargin</t>
  </si>
  <si>
    <t>Imaging OpMargin</t>
  </si>
  <si>
    <t>Financial OpMargin</t>
  </si>
  <si>
    <t>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</si>
</sst>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¥-411]#,##0"/>
    <numFmt numFmtId="165" formatCode="[$¥-411]#,##0.00"/>
    <numFmt numFmtId="167" formatCode="m/d/yy;@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2" fillId="0" borderId="0" xfId="1"/>
    <xf numFmtId="167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9" fontId="0" fillId="0" borderId="0" xfId="0" applyNumberFormat="1"/>
    <xf numFmtId="9" fontId="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30079</xdr:colOff>
      <xdr:row>0</xdr:row>
      <xdr:rowOff>45118</xdr:rowOff>
    </xdr:from>
    <xdr:to>
      <xdr:col>13</xdr:col>
      <xdr:colOff>30079</xdr:colOff>
      <xdr:row>40</xdr:row>
      <xdr:rowOff>70184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11FF837-1602-2B89-1494-AEDD38CB0AF1}"/>
            </a:ext>
          </a:extLst>
        </xdr:cNvPr>
        <xdr:cNvCxnSpPr/>
      </xdr:nvCxnSpPr>
      <xdr:spPr>
        <a:xfrm>
          <a:off x="8923421" y="45118"/>
          <a:ext cx="0" cy="580022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23231</xdr:colOff>
      <xdr:row>0</xdr:row>
      <xdr:rowOff>27878</xdr:rowOff>
    </xdr:from>
    <xdr:to>
      <xdr:col>22</xdr:col>
      <xdr:colOff>23231</xdr:colOff>
      <xdr:row>49</xdr:row>
      <xdr:rowOff>37170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62D71F7B-E247-3D67-53C6-F6A659AA2B41}"/>
            </a:ext>
          </a:extLst>
        </xdr:cNvPr>
        <xdr:cNvCxnSpPr/>
      </xdr:nvCxnSpPr>
      <xdr:spPr>
        <a:xfrm>
          <a:off x="13966902" y="27878"/>
          <a:ext cx="0" cy="797776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C6276-4444-4C3A-9A12-D917D82A4911}">
  <dimension ref="N2:P9"/>
  <sheetViews>
    <sheetView topLeftCell="H1" zoomScale="175" zoomScaleNormal="175" workbookViewId="0">
      <selection activeCell="O5" sqref="O5"/>
    </sheetView>
  </sheetViews>
  <sheetFormatPr defaultRowHeight="12.75" x14ac:dyDescent="0.2"/>
  <cols>
    <col min="14" max="14" width="10.5703125" customWidth="1"/>
    <col min="15" max="15" width="14.140625" bestFit="1" customWidth="1"/>
  </cols>
  <sheetData>
    <row r="2" spans="14:16" x14ac:dyDescent="0.2">
      <c r="N2" t="s">
        <v>0</v>
      </c>
      <c r="O2" s="1">
        <v>12025</v>
      </c>
    </row>
    <row r="3" spans="14:16" x14ac:dyDescent="0.2">
      <c r="N3" t="s">
        <v>1</v>
      </c>
      <c r="O3" s="2">
        <v>87.8</v>
      </c>
    </row>
    <row r="4" spans="14:16" x14ac:dyDescent="0.2">
      <c r="N4" t="s">
        <v>2</v>
      </c>
      <c r="O4" s="4">
        <v>1238.413</v>
      </c>
      <c r="P4" s="5" t="s">
        <v>17</v>
      </c>
    </row>
    <row r="5" spans="14:16" x14ac:dyDescent="0.2">
      <c r="N5" t="s">
        <v>3</v>
      </c>
      <c r="O5" s="1">
        <f>O4*O2</f>
        <v>14891916.324999999</v>
      </c>
      <c r="P5" s="3"/>
    </row>
    <row r="6" spans="14:16" x14ac:dyDescent="0.2">
      <c r="N6" t="s">
        <v>4</v>
      </c>
      <c r="O6" s="4">
        <f>O3*O4</f>
        <v>108732.6614</v>
      </c>
    </row>
    <row r="7" spans="14:16" x14ac:dyDescent="0.2">
      <c r="N7" t="s">
        <v>5</v>
      </c>
      <c r="O7" s="1">
        <f>695091+74623+317405+799294</f>
        <v>1886413</v>
      </c>
      <c r="P7" s="5" t="s">
        <v>17</v>
      </c>
    </row>
    <row r="8" spans="14:16" x14ac:dyDescent="0.2">
      <c r="N8" t="s">
        <v>6</v>
      </c>
      <c r="O8" s="1">
        <f>200317+1057033+198088</f>
        <v>1455438</v>
      </c>
      <c r="P8" s="5" t="s">
        <v>17</v>
      </c>
    </row>
    <row r="9" spans="14:16" x14ac:dyDescent="0.2">
      <c r="N9" t="s">
        <v>7</v>
      </c>
      <c r="O9" s="1">
        <f>O5-O7+O8</f>
        <v>14460941.324999999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CC8B-B691-4F8C-BA4C-D5545182D457}">
  <dimension ref="A1:AD48"/>
  <sheetViews>
    <sheetView tabSelected="1" zoomScale="205" zoomScaleNormal="205" workbookViewId="0">
      <pane xSplit="2" ySplit="2" topLeftCell="P24" activePane="bottomRight" state="frozen"/>
      <selection pane="topRight" activeCell="C1" sqref="C1"/>
      <selection pane="bottomLeft" activeCell="A3" sqref="A3"/>
      <selection pane="bottomRight" activeCell="V32" sqref="V32"/>
    </sheetView>
  </sheetViews>
  <sheetFormatPr defaultRowHeight="12.75" x14ac:dyDescent="0.2"/>
  <cols>
    <col min="1" max="1" width="5" bestFit="1" customWidth="1"/>
    <col min="2" max="2" width="18.85546875" customWidth="1"/>
    <col min="3" max="8" width="9.140625" style="5"/>
    <col min="9" max="9" width="10.42578125" style="5" bestFit="1" customWidth="1"/>
    <col min="10" max="12" width="9.140625" style="5"/>
    <col min="13" max="13" width="10.42578125" style="5" bestFit="1" customWidth="1"/>
  </cols>
  <sheetData>
    <row r="1" spans="1:30" x14ac:dyDescent="0.2">
      <c r="A1" s="9" t="s">
        <v>8</v>
      </c>
      <c r="F1" s="10">
        <v>44285</v>
      </c>
      <c r="G1" s="10">
        <v>44377</v>
      </c>
      <c r="H1" s="10">
        <v>44469</v>
      </c>
      <c r="I1" s="10">
        <v>44561</v>
      </c>
      <c r="J1" s="10">
        <v>44651</v>
      </c>
      <c r="K1" s="10">
        <v>44742</v>
      </c>
      <c r="L1" s="10">
        <v>44834</v>
      </c>
      <c r="M1" s="10">
        <v>44926</v>
      </c>
    </row>
    <row r="2" spans="1:30" x14ac:dyDescent="0.2">
      <c r="C2" s="5" t="s">
        <v>10</v>
      </c>
      <c r="D2" s="5" t="s">
        <v>11</v>
      </c>
      <c r="E2" s="5" t="s">
        <v>12</v>
      </c>
      <c r="F2" s="5" t="s">
        <v>13</v>
      </c>
      <c r="G2" s="5" t="s">
        <v>14</v>
      </c>
      <c r="H2" s="5" t="s">
        <v>15</v>
      </c>
      <c r="I2" s="5" t="s">
        <v>16</v>
      </c>
      <c r="J2" s="5" t="s">
        <v>17</v>
      </c>
      <c r="K2" s="5" t="s">
        <v>41</v>
      </c>
      <c r="L2" s="5" t="s">
        <v>38</v>
      </c>
      <c r="M2" s="5" t="s">
        <v>39</v>
      </c>
      <c r="N2" s="5" t="s">
        <v>40</v>
      </c>
      <c r="R2">
        <v>2018</v>
      </c>
      <c r="S2">
        <f>R2+1</f>
        <v>2019</v>
      </c>
      <c r="T2">
        <f t="shared" ref="T2:AD2" si="0">S2+1</f>
        <v>2020</v>
      </c>
      <c r="U2">
        <f t="shared" si="0"/>
        <v>2021</v>
      </c>
      <c r="V2">
        <f t="shared" si="0"/>
        <v>2022</v>
      </c>
      <c r="W2">
        <f t="shared" si="0"/>
        <v>2023</v>
      </c>
      <c r="X2">
        <f t="shared" si="0"/>
        <v>2024</v>
      </c>
      <c r="Y2">
        <f t="shared" si="0"/>
        <v>2025</v>
      </c>
      <c r="Z2">
        <f t="shared" si="0"/>
        <v>2026</v>
      </c>
      <c r="AA2">
        <f t="shared" si="0"/>
        <v>2027</v>
      </c>
      <c r="AB2">
        <f t="shared" si="0"/>
        <v>2028</v>
      </c>
      <c r="AC2">
        <f t="shared" si="0"/>
        <v>2029</v>
      </c>
      <c r="AD2">
        <f t="shared" si="0"/>
        <v>2030</v>
      </c>
    </row>
    <row r="3" spans="1:30" x14ac:dyDescent="0.2">
      <c r="B3" t="s">
        <v>28</v>
      </c>
      <c r="G3" s="6">
        <v>615.80999999999995</v>
      </c>
      <c r="H3" s="6">
        <v>645.43899999999996</v>
      </c>
      <c r="I3" s="6">
        <v>813.26400000000001</v>
      </c>
      <c r="J3" s="6"/>
      <c r="K3" s="6">
        <v>604.11599999999999</v>
      </c>
      <c r="L3" s="6">
        <v>720.73500000000001</v>
      </c>
      <c r="M3" s="6">
        <v>1246.549</v>
      </c>
      <c r="N3" s="6">
        <v>800</v>
      </c>
      <c r="R3" s="4">
        <v>1943.8119999999999</v>
      </c>
      <c r="S3" s="4">
        <v>2310.8719999999998</v>
      </c>
      <c r="T3" s="4">
        <v>1977.5509999999999</v>
      </c>
      <c r="U3" s="4">
        <v>2656.2779999999998</v>
      </c>
      <c r="V3" s="4">
        <v>2739.7629999999999</v>
      </c>
      <c r="W3" s="4">
        <f>SUM(K3:N3)</f>
        <v>3371.4</v>
      </c>
    </row>
    <row r="4" spans="1:30" x14ac:dyDescent="0.2">
      <c r="B4" t="s">
        <v>29</v>
      </c>
      <c r="G4" s="6">
        <v>254.87299999999999</v>
      </c>
      <c r="H4" s="6">
        <v>271.61</v>
      </c>
      <c r="I4" s="6">
        <v>295.87299999999999</v>
      </c>
      <c r="J4" s="6"/>
      <c r="K4" s="6">
        <v>308.07</v>
      </c>
      <c r="L4" s="6">
        <v>359.31900000000002</v>
      </c>
      <c r="M4" s="6">
        <v>363.74700000000001</v>
      </c>
      <c r="R4" s="4">
        <v>799.995</v>
      </c>
      <c r="S4" s="4">
        <v>807.48900000000003</v>
      </c>
      <c r="T4" s="4">
        <v>849.90899999999999</v>
      </c>
      <c r="U4" s="4">
        <v>939.86699999999996</v>
      </c>
      <c r="V4" s="4">
        <v>1116.9490000000001</v>
      </c>
    </row>
    <row r="5" spans="1:30" x14ac:dyDescent="0.2">
      <c r="B5" t="s">
        <v>30</v>
      </c>
      <c r="G5" s="6">
        <v>204.73599999999999</v>
      </c>
      <c r="H5" s="6">
        <v>260.70600000000002</v>
      </c>
      <c r="I5" s="6">
        <v>461.23399999999998</v>
      </c>
      <c r="J5" s="6"/>
      <c r="K5" s="6">
        <v>341.37700000000001</v>
      </c>
      <c r="L5" s="6">
        <v>337.46800000000002</v>
      </c>
      <c r="M5" s="6">
        <v>331.53699999999998</v>
      </c>
      <c r="R5" s="4">
        <v>1011.067</v>
      </c>
      <c r="S5" s="4">
        <v>986.87300000000005</v>
      </c>
      <c r="T5" s="4">
        <v>1011.854</v>
      </c>
      <c r="U5" s="4">
        <v>752.98699999999997</v>
      </c>
      <c r="V5" s="4">
        <v>1238.9110000000001</v>
      </c>
    </row>
    <row r="6" spans="1:30" x14ac:dyDescent="0.2">
      <c r="B6" t="s">
        <v>31</v>
      </c>
      <c r="G6" s="6">
        <v>576.26800000000003</v>
      </c>
      <c r="H6" s="6">
        <v>581.91899999999998</v>
      </c>
      <c r="I6" s="6">
        <v>686.94600000000003</v>
      </c>
      <c r="J6" s="6"/>
      <c r="K6" s="6">
        <v>552.30999999999995</v>
      </c>
      <c r="L6" s="6">
        <v>677.04499999999996</v>
      </c>
      <c r="M6" s="6">
        <v>752.82299999999998</v>
      </c>
      <c r="R6" s="4">
        <f>1222.733+655.892+723.742</f>
        <v>2602.3670000000002</v>
      </c>
      <c r="S6" s="4">
        <v>2320.6280000000002</v>
      </c>
      <c r="T6" s="4">
        <v>1911.268</v>
      </c>
      <c r="U6" s="4">
        <v>2068.087</v>
      </c>
      <c r="V6" s="4">
        <v>2339.1860000000001</v>
      </c>
    </row>
    <row r="7" spans="1:30" x14ac:dyDescent="0.2">
      <c r="B7" t="s">
        <v>33</v>
      </c>
      <c r="G7" s="6">
        <v>221.02099999999999</v>
      </c>
      <c r="H7" s="6">
        <v>207.179</v>
      </c>
      <c r="I7" s="6">
        <v>269.5</v>
      </c>
      <c r="J7" s="6"/>
      <c r="K7" s="6">
        <v>141.79300000000001</v>
      </c>
      <c r="L7" s="6">
        <v>226.751</v>
      </c>
      <c r="M7" s="6">
        <v>250.19200000000001</v>
      </c>
      <c r="S7" s="4"/>
      <c r="T7" s="4"/>
    </row>
    <row r="8" spans="1:30" x14ac:dyDescent="0.2">
      <c r="B8" t="s">
        <v>34</v>
      </c>
      <c r="G8" s="6">
        <v>73.088999999999999</v>
      </c>
      <c r="H8" s="6">
        <v>75.266999999999996</v>
      </c>
      <c r="I8" s="6">
        <v>105.3</v>
      </c>
      <c r="J8" s="6"/>
      <c r="K8" s="6">
        <v>91.06</v>
      </c>
      <c r="L8" s="6">
        <v>99.887</v>
      </c>
      <c r="M8" s="6">
        <v>122.605</v>
      </c>
      <c r="S8" s="4"/>
      <c r="T8" s="4"/>
    </row>
    <row r="9" spans="1:30" x14ac:dyDescent="0.2">
      <c r="B9" t="s">
        <v>35</v>
      </c>
      <c r="G9" s="6">
        <v>116.41</v>
      </c>
      <c r="H9" s="6">
        <v>104.97199999999999</v>
      </c>
      <c r="I9" s="6">
        <v>117.85</v>
      </c>
      <c r="J9" s="6"/>
      <c r="K9" s="6">
        <v>139.703</v>
      </c>
      <c r="L9" s="6">
        <v>147.86199999999999</v>
      </c>
      <c r="M9" s="6">
        <v>171.14599999999999</v>
      </c>
      <c r="S9" s="4"/>
      <c r="T9" s="4"/>
    </row>
    <row r="10" spans="1:30" x14ac:dyDescent="0.2">
      <c r="B10" t="s">
        <v>36</v>
      </c>
      <c r="G10" s="6">
        <v>81.412999999999997</v>
      </c>
      <c r="H10" s="6">
        <v>99.102000000000004</v>
      </c>
      <c r="I10" s="6">
        <v>102.33</v>
      </c>
      <c r="J10" s="6"/>
      <c r="K10" s="6">
        <v>99.03</v>
      </c>
      <c r="L10" s="6">
        <v>93.227000000000004</v>
      </c>
      <c r="M10" s="6">
        <v>93.302000000000007</v>
      </c>
      <c r="S10" s="4"/>
      <c r="T10" s="4"/>
    </row>
    <row r="11" spans="1:30" x14ac:dyDescent="0.2">
      <c r="B11" t="s">
        <v>37</v>
      </c>
      <c r="G11" s="6">
        <v>74.585999999999999</v>
      </c>
      <c r="H11" s="6">
        <v>81.385000000000005</v>
      </c>
      <c r="I11" s="6">
        <v>84.545000000000002</v>
      </c>
      <c r="J11" s="6"/>
      <c r="K11" s="6">
        <v>72.319999999999993</v>
      </c>
      <c r="L11" s="6">
        <v>99.004999999999995</v>
      </c>
      <c r="M11" s="6">
        <v>105.235</v>
      </c>
      <c r="S11" s="4"/>
      <c r="T11" s="4"/>
    </row>
    <row r="12" spans="1:30" x14ac:dyDescent="0.2">
      <c r="B12" t="s">
        <v>32</v>
      </c>
      <c r="G12" s="6">
        <v>197.88499999999999</v>
      </c>
      <c r="H12" s="6">
        <v>278.26299999999998</v>
      </c>
      <c r="I12" s="6">
        <v>324.81299999999999</v>
      </c>
      <c r="J12" s="6"/>
      <c r="K12" s="6">
        <v>219.22300000000001</v>
      </c>
      <c r="L12" s="6">
        <v>398.36599999999999</v>
      </c>
      <c r="M12" s="6">
        <v>417.15100000000001</v>
      </c>
      <c r="R12" s="4">
        <v>850.01</v>
      </c>
      <c r="S12" s="4">
        <v>879.33</v>
      </c>
      <c r="T12" s="4">
        <v>1070.576</v>
      </c>
      <c r="U12" s="4">
        <v>1012.497</v>
      </c>
      <c r="V12" s="4">
        <v>1076.424</v>
      </c>
    </row>
    <row r="14" spans="1:30" s="4" customFormat="1" x14ac:dyDescent="0.2">
      <c r="B14" s="4" t="s">
        <v>18</v>
      </c>
      <c r="C14" s="6"/>
      <c r="D14" s="6"/>
      <c r="E14" s="6"/>
      <c r="F14" s="6"/>
      <c r="G14" s="6">
        <v>1844.713</v>
      </c>
      <c r="H14" s="6">
        <v>2003.203</v>
      </c>
      <c r="I14" s="6">
        <v>2562.2269999999999</v>
      </c>
      <c r="J14" s="6">
        <f>8396.702-I14-H14-G14</f>
        <v>1986.5589999999995</v>
      </c>
      <c r="K14" s="6">
        <v>2016.037</v>
      </c>
      <c r="L14" s="6">
        <v>2451.0430000000001</v>
      </c>
      <c r="M14" s="6">
        <v>3056.183</v>
      </c>
      <c r="N14" s="4">
        <f>J14*1.05</f>
        <v>2085.8869499999996</v>
      </c>
      <c r="R14" s="4">
        <f>7231.613+91.134</f>
        <v>7322.7470000000003</v>
      </c>
      <c r="S14" s="4">
        <f>7306.235+84.744</f>
        <v>7390.9789999999994</v>
      </c>
      <c r="T14" s="4">
        <f>6856.09+103.948</f>
        <v>6960.0380000000005</v>
      </c>
      <c r="U14" s="4">
        <v>7333.67</v>
      </c>
      <c r="V14" s="4">
        <f>SUM(G14:J14)</f>
        <v>8396.7019999999993</v>
      </c>
      <c r="W14" s="4">
        <f>SUM(K14:N14)</f>
        <v>9609.1499499999991</v>
      </c>
    </row>
    <row r="15" spans="1:30" s="4" customFormat="1" x14ac:dyDescent="0.2">
      <c r="B15" s="4" t="s">
        <v>19</v>
      </c>
      <c r="C15" s="6"/>
      <c r="D15" s="6"/>
      <c r="E15" s="6"/>
      <c r="F15" s="6"/>
      <c r="G15" s="6">
        <v>412.13</v>
      </c>
      <c r="H15" s="6">
        <v>366.16199999999998</v>
      </c>
      <c r="I15" s="6">
        <v>469.09199999999998</v>
      </c>
      <c r="J15" s="6">
        <f>1524.811-I15-H15-G15</f>
        <v>277.42700000000002</v>
      </c>
      <c r="K15" s="6">
        <v>295.45699999999999</v>
      </c>
      <c r="L15" s="6">
        <v>300.83600000000001</v>
      </c>
      <c r="M15" s="6">
        <v>356.73099999999999</v>
      </c>
      <c r="N15" s="4">
        <f>J15*1.05</f>
        <v>291.29835000000003</v>
      </c>
      <c r="R15" s="4">
        <v>1221.2349999999999</v>
      </c>
      <c r="S15" s="4">
        <v>1274.7080000000001</v>
      </c>
      <c r="T15" s="4">
        <v>1299.847</v>
      </c>
      <c r="U15" s="4">
        <v>1664.991</v>
      </c>
      <c r="V15" s="4">
        <f>SUM(G15:J15)</f>
        <v>1524.8110000000001</v>
      </c>
      <c r="W15" s="4">
        <f>SUM(K15:N15)</f>
        <v>1244.3223499999999</v>
      </c>
    </row>
    <row r="16" spans="1:30" s="7" customFormat="1" x14ac:dyDescent="0.2">
      <c r="B16" s="7" t="s">
        <v>9</v>
      </c>
      <c r="C16" s="8"/>
      <c r="D16" s="8"/>
      <c r="E16" s="8"/>
      <c r="F16" s="8"/>
      <c r="G16" s="8">
        <f>G14+G15</f>
        <v>2256.8429999999998</v>
      </c>
      <c r="H16" s="8">
        <f>H14+H15</f>
        <v>2369.3649999999998</v>
      </c>
      <c r="I16" s="8">
        <f>I14+I15</f>
        <v>3031.319</v>
      </c>
      <c r="J16" s="8">
        <f>J14+J15</f>
        <v>2263.9859999999994</v>
      </c>
      <c r="K16" s="8">
        <f>K14+K15</f>
        <v>2311.4940000000001</v>
      </c>
      <c r="L16" s="8">
        <f>L14+L15</f>
        <v>2751.8789999999999</v>
      </c>
      <c r="M16" s="8">
        <f>M14+M15</f>
        <v>3412.9139999999998</v>
      </c>
      <c r="N16" s="8">
        <f>N14+N15</f>
        <v>2377.1852999999996</v>
      </c>
      <c r="R16" s="7">
        <f t="shared" ref="R16" si="1">R14+R15</f>
        <v>8543.982</v>
      </c>
      <c r="S16" s="7">
        <f t="shared" ref="S16" si="2">S14+S15</f>
        <v>8665.6869999999999</v>
      </c>
      <c r="T16" s="7">
        <f>T14+T15</f>
        <v>8259.8850000000002</v>
      </c>
      <c r="U16" s="7">
        <f>U14+U15</f>
        <v>8998.6610000000001</v>
      </c>
      <c r="V16" s="7">
        <f>V14+V15</f>
        <v>9921.512999999999</v>
      </c>
      <c r="W16" s="7">
        <f>W14+W15</f>
        <v>10853.472299999999</v>
      </c>
    </row>
    <row r="17" spans="2:23" x14ac:dyDescent="0.2">
      <c r="B17" t="s">
        <v>20</v>
      </c>
      <c r="G17" s="6">
        <f>1248.773+388.069</f>
        <v>1636.8419999999999</v>
      </c>
      <c r="H17" s="6">
        <f>1365.095+323.01</f>
        <v>1688.105</v>
      </c>
      <c r="I17" s="6">
        <f>1787.301+433.761</f>
        <v>2221.0619999999999</v>
      </c>
      <c r="J17" s="6">
        <f>5845.804+1374.037-I17-H17-G17</f>
        <v>1673.8320000000006</v>
      </c>
      <c r="K17" s="6">
        <f>1391.667+214.1</f>
        <v>1605.7669999999998</v>
      </c>
      <c r="L17" s="6">
        <f>1688.286+251.093</f>
        <v>1939.3790000000001</v>
      </c>
      <c r="M17" s="6">
        <f>2161.904+301.924</f>
        <v>2463.828</v>
      </c>
      <c r="R17" s="4">
        <f>5188.259+1042.163</f>
        <v>6230.4220000000005</v>
      </c>
      <c r="S17" s="4">
        <f>5150.75+1112.446</f>
        <v>6263.1959999999999</v>
      </c>
      <c r="T17" s="4">
        <f>4753.174+1171.875</f>
        <v>5925.049</v>
      </c>
      <c r="U17" s="4">
        <f>5065.879+1501.674</f>
        <v>6567.5529999999999</v>
      </c>
      <c r="V17" s="4">
        <f>SUM(G17:J17)</f>
        <v>7219.8410000000003</v>
      </c>
    </row>
    <row r="18" spans="2:23" x14ac:dyDescent="0.2">
      <c r="B18" t="s">
        <v>21</v>
      </c>
      <c r="G18" s="6">
        <f>G16-G17</f>
        <v>620.00099999999998</v>
      </c>
      <c r="H18" s="6">
        <f>H16-H17</f>
        <v>681.25999999999976</v>
      </c>
      <c r="I18" s="6">
        <f>I16-I17</f>
        <v>810.25700000000006</v>
      </c>
      <c r="J18" s="6">
        <f>J16-J17</f>
        <v>590.15399999999886</v>
      </c>
      <c r="K18" s="6">
        <f>K16-K17</f>
        <v>705.72700000000032</v>
      </c>
      <c r="L18" s="6">
        <f>L16-L17</f>
        <v>812.49999999999977</v>
      </c>
      <c r="M18" s="6">
        <f>M16-M17</f>
        <v>949.08599999999979</v>
      </c>
      <c r="R18" s="4">
        <f t="shared" ref="R18" si="3">R16-R17</f>
        <v>2313.5599999999995</v>
      </c>
      <c r="S18" s="4">
        <f t="shared" ref="S18" si="4">S16-S17</f>
        <v>2402.491</v>
      </c>
      <c r="T18" s="4">
        <f>T16-T17</f>
        <v>2334.8360000000002</v>
      </c>
      <c r="U18" s="4">
        <f>U16-U17</f>
        <v>2431.1080000000002</v>
      </c>
      <c r="V18" s="4">
        <f>V16-V17</f>
        <v>2701.6719999999987</v>
      </c>
    </row>
    <row r="19" spans="2:23" x14ac:dyDescent="0.2">
      <c r="B19" t="s">
        <v>22</v>
      </c>
      <c r="G19" s="6">
        <v>345.30200000000002</v>
      </c>
      <c r="H19" s="6">
        <v>369.90800000000002</v>
      </c>
      <c r="I19" s="6">
        <v>423.50900000000001</v>
      </c>
      <c r="J19" s="6">
        <f>1588.473-I19-H19-G19</f>
        <v>449.75399999999991</v>
      </c>
      <c r="K19" s="6">
        <v>406.76600000000002</v>
      </c>
      <c r="L19" s="6">
        <v>482.45699999999999</v>
      </c>
      <c r="M19" s="6">
        <v>529.18799999999999</v>
      </c>
      <c r="R19" s="4">
        <v>1583.1969999999999</v>
      </c>
      <c r="S19" s="4">
        <v>1576.825</v>
      </c>
      <c r="T19" s="4">
        <v>1502.625</v>
      </c>
      <c r="U19" s="4">
        <v>1473.154</v>
      </c>
      <c r="V19" s="4">
        <f>SUM(G19:J19)</f>
        <v>1588.473</v>
      </c>
    </row>
    <row r="20" spans="2:23" x14ac:dyDescent="0.2">
      <c r="B20" t="s">
        <v>23</v>
      </c>
      <c r="G20" s="6">
        <f>G18-G19</f>
        <v>274.69899999999996</v>
      </c>
      <c r="H20" s="6">
        <f>H18-H19</f>
        <v>311.35199999999975</v>
      </c>
      <c r="I20" s="6">
        <f>I18-I19</f>
        <v>386.74800000000005</v>
      </c>
      <c r="J20" s="6">
        <f>J18-J19</f>
        <v>140.39999999999895</v>
      </c>
      <c r="K20" s="6">
        <f>K18-K19</f>
        <v>298.9610000000003</v>
      </c>
      <c r="L20" s="6">
        <f>L18-L19</f>
        <v>330.04299999999978</v>
      </c>
      <c r="M20" s="6">
        <f>M18-M19</f>
        <v>419.8979999999998</v>
      </c>
      <c r="R20" s="4">
        <f t="shared" ref="R20" si="5">R18-R19</f>
        <v>730.3629999999996</v>
      </c>
      <c r="S20" s="4">
        <f t="shared" ref="S20" si="6">S18-S19</f>
        <v>825.66599999999994</v>
      </c>
      <c r="T20" s="4">
        <f>T18-T19</f>
        <v>832.21100000000024</v>
      </c>
      <c r="U20" s="4">
        <f>U18-U19</f>
        <v>957.95400000000018</v>
      </c>
      <c r="V20" s="4">
        <f>V18-V19</f>
        <v>1113.1989999999987</v>
      </c>
    </row>
    <row r="21" spans="2:23" x14ac:dyDescent="0.2">
      <c r="B21" t="s">
        <v>24</v>
      </c>
      <c r="G21" s="6">
        <f>1.101+4.268+11.685-8.543</f>
        <v>8.5110000000000028</v>
      </c>
      <c r="H21" s="6">
        <f>1.214+8.321+4.812-40.172</f>
        <v>-25.824999999999996</v>
      </c>
      <c r="I21" s="6">
        <f>70.96+7.475+4.962-8.576</f>
        <v>74.820999999999998</v>
      </c>
      <c r="J21" s="6">
        <f>65.494+23.646+19.304-104.14-I21-H21-G21</f>
        <v>-53.203000000000003</v>
      </c>
      <c r="K21" s="6">
        <f>2.725+5.277+14.382-29.969</f>
        <v>-7.5850000000000009</v>
      </c>
      <c r="L21" s="6">
        <f>8.069+5.93+18.594-16.88</f>
        <v>15.713000000000005</v>
      </c>
      <c r="M21" s="6">
        <f>6.943-37.101+7.355+1.484</f>
        <v>-21.319000000000003</v>
      </c>
      <c r="R21" s="4">
        <f>-4.072+8.569+23.728-59.539</f>
        <v>-31.314</v>
      </c>
      <c r="S21" s="4">
        <f>71.568+2.999+144.735-27.322</f>
        <v>191.98000000000002</v>
      </c>
      <c r="T21" s="4">
        <f>3.611+9.637+21.949-67.958</f>
        <v>-32.760999999999996</v>
      </c>
      <c r="U21" s="4">
        <f>-14.25+11.551+83.792-41.082</f>
        <v>40.011000000000003</v>
      </c>
      <c r="V21" s="4">
        <f>SUM(G21:J21)</f>
        <v>4.304000000000002</v>
      </c>
    </row>
    <row r="22" spans="2:23" x14ac:dyDescent="0.2">
      <c r="B22" t="s">
        <v>25</v>
      </c>
      <c r="G22" s="6">
        <f>G20+G21</f>
        <v>283.20999999999998</v>
      </c>
      <c r="H22" s="6">
        <f>H20+H21</f>
        <v>285.52699999999976</v>
      </c>
      <c r="I22" s="6">
        <f>I20+I21</f>
        <v>461.56900000000007</v>
      </c>
      <c r="J22" s="6">
        <f>J20+J21</f>
        <v>87.196999999998951</v>
      </c>
      <c r="K22" s="6">
        <f>K20+K21</f>
        <v>291.37600000000032</v>
      </c>
      <c r="L22" s="6">
        <f>L20+L21</f>
        <v>345.7559999999998</v>
      </c>
      <c r="M22" s="6">
        <f>M20+M21</f>
        <v>398.57899999999978</v>
      </c>
      <c r="R22" s="4">
        <f t="shared" ref="R22" si="7">+R20+R21</f>
        <v>699.04899999999964</v>
      </c>
      <c r="S22" s="4">
        <f t="shared" ref="S22" si="8">+S20+S21</f>
        <v>1017.646</v>
      </c>
      <c r="T22" s="4">
        <f>+T20+T21</f>
        <v>799.45000000000027</v>
      </c>
      <c r="U22" s="4">
        <f>+U20+U21</f>
        <v>997.96500000000015</v>
      </c>
      <c r="V22" s="4">
        <f>+V20+V21</f>
        <v>1117.5029999999988</v>
      </c>
    </row>
    <row r="23" spans="2:23" x14ac:dyDescent="0.2">
      <c r="B23" t="s">
        <v>27</v>
      </c>
      <c r="G23" s="6">
        <v>70.094999999999999</v>
      </c>
      <c r="H23" s="6">
        <v>68.703000000000003</v>
      </c>
      <c r="I23" s="6">
        <v>113.645</v>
      </c>
      <c r="J23" s="6">
        <f>229.097-I23-H23-G23</f>
        <v>-23.345999999999989</v>
      </c>
      <c r="K23" s="6">
        <v>73.069999999999993</v>
      </c>
      <c r="L23" s="6">
        <v>78.084999999999994</v>
      </c>
      <c r="M23" s="6">
        <v>70.072999999999993</v>
      </c>
      <c r="R23" s="4">
        <v>151.77000000000001</v>
      </c>
      <c r="S23" s="4">
        <v>45.097999999999999</v>
      </c>
      <c r="T23" s="4">
        <v>177.19</v>
      </c>
      <c r="U23" s="4">
        <v>0</v>
      </c>
      <c r="V23" s="4">
        <f>SUM(G23:J23)</f>
        <v>229.09699999999998</v>
      </c>
    </row>
    <row r="24" spans="2:23" x14ac:dyDescent="0.2">
      <c r="B24" t="s">
        <v>26</v>
      </c>
      <c r="G24" s="6">
        <f>G22-G23</f>
        <v>213.11499999999998</v>
      </c>
      <c r="H24" s="6">
        <f>H22-H23</f>
        <v>216.82399999999976</v>
      </c>
      <c r="I24" s="6">
        <f>I22-I23</f>
        <v>347.92400000000009</v>
      </c>
      <c r="J24" s="6">
        <f>J22-J23</f>
        <v>110.54299999999894</v>
      </c>
      <c r="K24" s="6">
        <f>K22-K23</f>
        <v>218.30600000000032</v>
      </c>
      <c r="L24" s="6">
        <f>L22-L23</f>
        <v>267.67099999999982</v>
      </c>
      <c r="M24" s="6">
        <f>M22-M23</f>
        <v>328.5059999999998</v>
      </c>
      <c r="R24" s="4">
        <f t="shared" ref="R24" si="9">R22-R23</f>
        <v>547.27899999999966</v>
      </c>
      <c r="S24" s="4">
        <f t="shared" ref="S24" si="10">S22-S23</f>
        <v>972.548</v>
      </c>
      <c r="T24" s="4">
        <f>T22-T23</f>
        <v>622.26000000000022</v>
      </c>
      <c r="U24" s="4">
        <f>U22-U23</f>
        <v>997.96500000000015</v>
      </c>
      <c r="V24" s="4">
        <f>V22-V23</f>
        <v>888.40599999999881</v>
      </c>
    </row>
    <row r="26" spans="2:23" x14ac:dyDescent="0.2">
      <c r="B26" t="s">
        <v>50</v>
      </c>
      <c r="J26" s="12"/>
      <c r="K26" s="12">
        <f>K16/G16-1</f>
        <v>2.4215685362251715E-2</v>
      </c>
      <c r="L26" s="12">
        <f>L16/H16-1</f>
        <v>0.16144156767741569</v>
      </c>
      <c r="M26" s="12">
        <f>M16/I16-1</f>
        <v>0.12588414482276522</v>
      </c>
      <c r="N26" s="12">
        <f>N16/J16-1</f>
        <v>5.0000000000000044E-2</v>
      </c>
      <c r="S26" s="12">
        <f t="shared" ref="S26:U26" si="11">S16/R16-1</f>
        <v>1.4244529073212053E-2</v>
      </c>
      <c r="T26" s="12">
        <f t="shared" si="11"/>
        <v>-4.6828601125334823E-2</v>
      </c>
      <c r="U26" s="12">
        <f>U16/T16-1</f>
        <v>8.9441438954658503E-2</v>
      </c>
      <c r="V26" s="12">
        <f>V16/U16-1</f>
        <v>0.10255436892222058</v>
      </c>
      <c r="W26" s="12">
        <f>W16/V16-1</f>
        <v>9.3933183376366136E-2</v>
      </c>
    </row>
    <row r="27" spans="2:23" x14ac:dyDescent="0.2">
      <c r="B27" t="s">
        <v>43</v>
      </c>
      <c r="G27" s="11">
        <f>G18/G16</f>
        <v>0.27472048343637551</v>
      </c>
      <c r="H27" s="11">
        <f>H18/H16</f>
        <v>0.28752851502406757</v>
      </c>
      <c r="I27" s="11">
        <f>I18/I16</f>
        <v>0.26729519394032764</v>
      </c>
      <c r="J27" s="11">
        <f>J18/J16</f>
        <v>0.26067033983425647</v>
      </c>
      <c r="K27" s="11">
        <f>K18/K16</f>
        <v>0.30531206224199597</v>
      </c>
      <c r="L27" s="11">
        <f>L18/L16</f>
        <v>0.29525280726369141</v>
      </c>
      <c r="M27" s="11">
        <f>M18/M16</f>
        <v>0.27808670244840622</v>
      </c>
    </row>
    <row r="28" spans="2:23" x14ac:dyDescent="0.2">
      <c r="B28" t="s">
        <v>42</v>
      </c>
      <c r="G28" s="11">
        <f>G3/G16</f>
        <v>0.27286346458304811</v>
      </c>
      <c r="H28" s="11">
        <f>H3/H16</f>
        <v>0.27241011832284179</v>
      </c>
      <c r="I28" s="11">
        <f>I3/I16</f>
        <v>0.26828717136005814</v>
      </c>
      <c r="J28" s="11">
        <f>J3/J16</f>
        <v>0</v>
      </c>
      <c r="K28" s="11">
        <f>K3/K16</f>
        <v>0.26135304699038803</v>
      </c>
      <c r="L28" s="11">
        <f>L3/L16</f>
        <v>0.26190650097624207</v>
      </c>
      <c r="M28" s="11">
        <f>M3/M16</f>
        <v>0.36524477323483689</v>
      </c>
      <c r="R28" s="11">
        <f t="shared" ref="R28:S28" si="12">R3/R16</f>
        <v>0.22750656543986164</v>
      </c>
      <c r="S28" s="11">
        <f t="shared" ref="S28:T28" si="13">S3/S16</f>
        <v>0.26666922080153599</v>
      </c>
      <c r="T28" s="11">
        <f t="shared" ref="T28:V28" si="14">T3/T16</f>
        <v>0.23941628727276468</v>
      </c>
      <c r="U28" s="11">
        <f t="shared" si="14"/>
        <v>0.29518591710477809</v>
      </c>
      <c r="V28" s="11">
        <f t="shared" si="14"/>
        <v>0.2761436688134159</v>
      </c>
      <c r="W28" s="11">
        <f>W3/W16</f>
        <v>0.31062870082600202</v>
      </c>
    </row>
    <row r="32" spans="2:23" x14ac:dyDescent="0.2">
      <c r="B32" t="s">
        <v>44</v>
      </c>
      <c r="H32" s="6">
        <v>82679</v>
      </c>
      <c r="I32" s="6"/>
      <c r="J32" s="6"/>
      <c r="K32" s="6"/>
      <c r="L32" s="6">
        <v>42132</v>
      </c>
      <c r="R32" s="4">
        <v>177.47800000000001</v>
      </c>
      <c r="S32" s="4">
        <v>311.09199999999998</v>
      </c>
      <c r="T32" s="4">
        <v>238.4</v>
      </c>
      <c r="U32" s="4">
        <v>341.71800000000002</v>
      </c>
      <c r="V32" s="4">
        <v>346.089</v>
      </c>
    </row>
    <row r="33" spans="2:22" x14ac:dyDescent="0.2">
      <c r="B33" t="s">
        <v>45</v>
      </c>
      <c r="H33" s="6">
        <v>50586</v>
      </c>
      <c r="I33" s="6"/>
      <c r="J33" s="6"/>
      <c r="K33" s="6"/>
      <c r="L33" s="6">
        <v>78733</v>
      </c>
      <c r="R33" s="4">
        <v>127.786</v>
      </c>
      <c r="S33" s="4">
        <v>232.48699999999999</v>
      </c>
      <c r="T33" s="4">
        <v>142.30000000000001</v>
      </c>
      <c r="U33" s="4">
        <v>184.786</v>
      </c>
      <c r="V33" s="4">
        <v>210.93299999999999</v>
      </c>
    </row>
    <row r="34" spans="2:22" x14ac:dyDescent="0.2">
      <c r="B34" t="s">
        <v>46</v>
      </c>
      <c r="H34" s="6">
        <v>31629</v>
      </c>
      <c r="I34" s="6"/>
      <c r="J34" s="6"/>
      <c r="K34" s="6"/>
      <c r="L34" s="6">
        <v>27620</v>
      </c>
      <c r="R34" s="4">
        <v>41.11</v>
      </c>
      <c r="S34" s="4">
        <v>54.598999999999997</v>
      </c>
      <c r="T34" s="4">
        <v>68.156999999999996</v>
      </c>
      <c r="U34" s="4">
        <v>79.850999999999999</v>
      </c>
      <c r="V34" s="4">
        <v>217.393</v>
      </c>
    </row>
    <row r="35" spans="2:22" x14ac:dyDescent="0.2">
      <c r="B35" t="s">
        <v>47</v>
      </c>
      <c r="H35" s="6">
        <v>72711</v>
      </c>
      <c r="I35" s="6"/>
      <c r="J35" s="6"/>
      <c r="K35" s="6"/>
      <c r="L35" s="6">
        <v>77840</v>
      </c>
      <c r="R35" s="4">
        <f>85.841+74.924-27.636</f>
        <v>133.12899999999999</v>
      </c>
      <c r="S35" s="4">
        <v>76.507999999999996</v>
      </c>
      <c r="T35" s="4">
        <v>87.275999999999996</v>
      </c>
      <c r="U35" s="4">
        <v>127.85899999999999</v>
      </c>
      <c r="V35" s="4">
        <v>212.94200000000001</v>
      </c>
    </row>
    <row r="36" spans="2:22" x14ac:dyDescent="0.2">
      <c r="B36" t="s">
        <v>48</v>
      </c>
      <c r="H36" s="6">
        <v>49725</v>
      </c>
      <c r="I36" s="6"/>
      <c r="J36" s="6"/>
      <c r="K36" s="6"/>
      <c r="L36" s="6">
        <v>73987</v>
      </c>
      <c r="R36" s="4">
        <v>164.023</v>
      </c>
      <c r="S36" s="4">
        <v>143.874</v>
      </c>
      <c r="T36" s="4">
        <v>235.584</v>
      </c>
      <c r="U36" s="4">
        <v>145.88399999999999</v>
      </c>
      <c r="V36" s="4">
        <v>155.59700000000001</v>
      </c>
    </row>
    <row r="37" spans="2:22" x14ac:dyDescent="0.2">
      <c r="B37" t="s">
        <v>49</v>
      </c>
      <c r="H37" s="6">
        <v>43053</v>
      </c>
      <c r="I37" s="6"/>
      <c r="J37" s="6"/>
      <c r="K37" s="6"/>
      <c r="L37" s="6">
        <v>54628</v>
      </c>
      <c r="R37" s="4">
        <v>178.947</v>
      </c>
      <c r="S37" s="4">
        <v>161.477</v>
      </c>
      <c r="T37" s="4">
        <v>129.59700000000001</v>
      </c>
      <c r="U37" s="4">
        <v>154.76499999999999</v>
      </c>
      <c r="V37" s="4">
        <v>150.11099999999999</v>
      </c>
    </row>
    <row r="38" spans="2:22" x14ac:dyDescent="0.2">
      <c r="H38" s="6"/>
      <c r="I38" s="6"/>
      <c r="J38" s="6"/>
      <c r="K38" s="6"/>
      <c r="L38" s="6"/>
      <c r="U38" s="4"/>
      <c r="V38" s="4"/>
    </row>
    <row r="39" spans="2:22" x14ac:dyDescent="0.2">
      <c r="B39" t="s">
        <v>53</v>
      </c>
      <c r="H39" s="6"/>
      <c r="I39" s="6"/>
      <c r="J39" s="6"/>
      <c r="K39" s="6"/>
      <c r="L39" s="6"/>
      <c r="R39" s="12">
        <f>R32/R3</f>
        <v>9.1304097309822155E-2</v>
      </c>
      <c r="S39" s="12">
        <f>S32/S3</f>
        <v>0.13462104348488363</v>
      </c>
      <c r="T39" s="12">
        <f>T32/T3</f>
        <v>0.12055314881891795</v>
      </c>
      <c r="U39" s="12">
        <f>U32/U3</f>
        <v>0.12864542039650972</v>
      </c>
      <c r="V39" s="12">
        <f>V32/V3</f>
        <v>0.12632078030106983</v>
      </c>
    </row>
    <row r="40" spans="2:22" x14ac:dyDescent="0.2">
      <c r="B40" t="s">
        <v>54</v>
      </c>
      <c r="H40" s="6"/>
      <c r="I40" s="6"/>
      <c r="J40" s="6"/>
      <c r="K40" s="6"/>
      <c r="L40" s="6"/>
      <c r="R40" s="13">
        <f>R33/R4</f>
        <v>0.15973349833436459</v>
      </c>
      <c r="S40" s="13">
        <f>S33/S4</f>
        <v>0.28791351956497241</v>
      </c>
      <c r="T40" s="13">
        <f>T33/T4</f>
        <v>0.1674296895314675</v>
      </c>
      <c r="U40" s="13">
        <f>U33/U4</f>
        <v>0.19660866909892571</v>
      </c>
      <c r="V40" s="13">
        <f>V33/V4</f>
        <v>0.18884747647385869</v>
      </c>
    </row>
    <row r="41" spans="2:22" x14ac:dyDescent="0.2">
      <c r="B41" t="s">
        <v>55</v>
      </c>
      <c r="R41" s="12">
        <f>R34/R5</f>
        <v>4.0660015607274294E-2</v>
      </c>
      <c r="S41" s="12">
        <f>S34/S5</f>
        <v>5.5325254617362103E-2</v>
      </c>
      <c r="T41" s="12">
        <f>T34/T5</f>
        <v>6.7358531962121007E-2</v>
      </c>
      <c r="U41" s="12">
        <f>U34/U5</f>
        <v>0.10604565550268465</v>
      </c>
      <c r="V41" s="13">
        <f>V34/V5</f>
        <v>0.17547103867832314</v>
      </c>
    </row>
    <row r="42" spans="2:22" x14ac:dyDescent="0.2">
      <c r="B42" t="s">
        <v>56</v>
      </c>
      <c r="R42" s="12">
        <f>R35/R6</f>
        <v>5.1156889093659723E-2</v>
      </c>
      <c r="S42" s="12">
        <f>S35/S6</f>
        <v>3.2968661931166904E-2</v>
      </c>
      <c r="T42" s="12">
        <f>T35/T6</f>
        <v>4.5663925728887833E-2</v>
      </c>
      <c r="U42" s="12">
        <f>U35/U6</f>
        <v>6.1824768493781934E-2</v>
      </c>
      <c r="V42" s="12">
        <f>V35/V6</f>
        <v>9.1032521569469033E-2</v>
      </c>
    </row>
    <row r="43" spans="2:22" x14ac:dyDescent="0.2">
      <c r="B43" t="s">
        <v>57</v>
      </c>
      <c r="R43" s="13">
        <f>R36/R12</f>
        <v>0.19296596510629285</v>
      </c>
      <c r="S43" s="13">
        <f>S36/S12</f>
        <v>0.16361775442666573</v>
      </c>
      <c r="T43" s="13">
        <f>T36/T12</f>
        <v>0.22005350390817652</v>
      </c>
      <c r="U43" s="12">
        <f>U36/U12</f>
        <v>0.14408338987671074</v>
      </c>
      <c r="V43" s="12">
        <f>V36/V12</f>
        <v>0.14454991713302565</v>
      </c>
    </row>
    <row r="44" spans="2:22" x14ac:dyDescent="0.2">
      <c r="B44" t="s">
        <v>58</v>
      </c>
      <c r="R44" s="12">
        <f>R37/R15</f>
        <v>0.14652953772206007</v>
      </c>
      <c r="S44" s="12">
        <f>S37/S15</f>
        <v>0.12667763911421281</v>
      </c>
      <c r="T44" s="12">
        <f>T37/T15</f>
        <v>9.9701734127170358E-2</v>
      </c>
      <c r="U44" s="12">
        <f>U37/U15</f>
        <v>9.2952454397651388E-2</v>
      </c>
      <c r="V44" s="12">
        <f>V37/V15</f>
        <v>9.8445643427283763E-2</v>
      </c>
    </row>
    <row r="46" spans="2:22" x14ac:dyDescent="0.2">
      <c r="B46" t="s">
        <v>51</v>
      </c>
      <c r="R46" s="4">
        <v>1253.971</v>
      </c>
      <c r="S46" s="4">
        <v>1258.7380000000001</v>
      </c>
      <c r="T46" s="4">
        <v>1349.7449999999999</v>
      </c>
      <c r="U46" s="4">
        <v>1140.2170000000001</v>
      </c>
      <c r="V46" s="4">
        <v>1233.643</v>
      </c>
    </row>
    <row r="47" spans="2:22" x14ac:dyDescent="0.2">
      <c r="B47" t="s">
        <v>52</v>
      </c>
      <c r="R47" s="4">
        <v>262.98899999999998</v>
      </c>
      <c r="S47" s="4">
        <v>312.64400000000001</v>
      </c>
      <c r="T47" s="4">
        <v>439.76100000000002</v>
      </c>
      <c r="U47" s="4">
        <f>477.931</f>
        <v>477.93099999999998</v>
      </c>
      <c r="V47" s="4">
        <v>441.096</v>
      </c>
    </row>
    <row r="48" spans="2:22" x14ac:dyDescent="0.2">
      <c r="B48" t="s">
        <v>59</v>
      </c>
      <c r="R48" s="4">
        <f>R46-R47</f>
        <v>990.98199999999997</v>
      </c>
      <c r="S48" s="4">
        <f>S46-S47</f>
        <v>946.09400000000005</v>
      </c>
      <c r="T48" s="4">
        <f>T46-T47</f>
        <v>909.98399999999992</v>
      </c>
      <c r="U48" s="4">
        <f>U46-U47</f>
        <v>662.28600000000006</v>
      </c>
      <c r="V48" s="4">
        <f>V46-V47</f>
        <v>792.54700000000003</v>
      </c>
    </row>
  </sheetData>
  <hyperlinks>
    <hyperlink ref="A1" location="Main!A1" display="Main" xr:uid="{DD1E6120-EC7B-46ED-8257-C3442C4C084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2023-03-09T14:49:21Z</dcterms:created>
  <dcterms:modified xsi:type="dcterms:W3CDTF">2023-03-09T16:07:01Z</dcterms:modified>
</cp:coreProperties>
</file>