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EC5AEFA-C4C3-4E5E-9647-D0C53A8A1298}" xr6:coauthVersionLast="47" xr6:coauthVersionMax="47" xr10:uidLastSave="{00000000-0000-0000-0000-000000000000}"/>
  <bookViews>
    <workbookView xWindow="-24795" yWindow="4245" windowWidth="21825" windowHeight="14220" xr2:uid="{79CAE26F-8736-4C5E-9FC6-A2D7A01B0567}"/>
  </bookViews>
  <sheets>
    <sheet name="Main" sheetId="1" r:id="rId1"/>
    <sheet name="Model" sheetId="2" r:id="rId2"/>
    <sheet name="Elevidy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2" l="1"/>
  <c r="AP27" i="2"/>
  <c r="Z7" i="2"/>
  <c r="Y7" i="2"/>
  <c r="X7" i="2"/>
  <c r="X6" i="2"/>
  <c r="AP25" i="2"/>
  <c r="AO25" i="2"/>
  <c r="AO23" i="2"/>
  <c r="AO21" i="2"/>
  <c r="AO22" i="2"/>
  <c r="AO20" i="2"/>
  <c r="AO18" i="2"/>
  <c r="AO19" i="2" s="1"/>
  <c r="AO17" i="2"/>
  <c r="AO16" i="2"/>
  <c r="AO15" i="2"/>
  <c r="AO14" i="2"/>
  <c r="AP23" i="2"/>
  <c r="AP22" i="2"/>
  <c r="AP21" i="2"/>
  <c r="AP20" i="2"/>
  <c r="AP19" i="2"/>
  <c r="AP18" i="2"/>
  <c r="AP17" i="2"/>
  <c r="AP16" i="2"/>
  <c r="AP15" i="2"/>
  <c r="AP14" i="2"/>
  <c r="AZ2" i="2"/>
  <c r="BA2" i="2" s="1"/>
  <c r="BA6" i="2"/>
  <c r="AZ6" i="2"/>
  <c r="AY6" i="2"/>
  <c r="AX6" i="2"/>
  <c r="AW6" i="2"/>
  <c r="AV6" i="2"/>
  <c r="AU6" i="2"/>
  <c r="AT6" i="2"/>
  <c r="AS6" i="2"/>
  <c r="AR6" i="2"/>
  <c r="AP11" i="2"/>
  <c r="AO11" i="2"/>
  <c r="AP3" i="2"/>
  <c r="W4" i="2"/>
  <c r="AP13" i="2"/>
  <c r="AO13" i="2"/>
  <c r="AP7" i="2"/>
  <c r="AO6" i="2"/>
  <c r="AP6" i="2"/>
  <c r="W3" i="2"/>
  <c r="U18" i="2"/>
  <c r="V18" i="2"/>
  <c r="V11" i="2"/>
  <c r="V13" i="2" s="1"/>
  <c r="V15" i="2" s="1"/>
  <c r="U11" i="2"/>
  <c r="U13" i="2" s="1"/>
  <c r="U15" i="2" s="1"/>
  <c r="Q18" i="2"/>
  <c r="Q7" i="2"/>
  <c r="Q11" i="2" s="1"/>
  <c r="Q13" i="2" s="1"/>
  <c r="Q15" i="2" s="1"/>
  <c r="R7" i="2"/>
  <c r="N18" i="2"/>
  <c r="N13" i="2"/>
  <c r="N15" i="2" s="1"/>
  <c r="R18" i="2"/>
  <c r="R13" i="2"/>
  <c r="R15" i="2" s="1"/>
  <c r="O18" i="2"/>
  <c r="O13" i="2"/>
  <c r="O15" i="2" s="1"/>
  <c r="S18" i="2"/>
  <c r="S13" i="2"/>
  <c r="S15" i="2" s="1"/>
  <c r="S19" i="2" s="1"/>
  <c r="S21" i="2" s="1"/>
  <c r="S23" i="2" s="1"/>
  <c r="S24" i="2" s="1"/>
  <c r="P11" i="2"/>
  <c r="P13" i="2" s="1"/>
  <c r="P15" i="2" s="1"/>
  <c r="T11" i="2"/>
  <c r="T13" i="2" s="1"/>
  <c r="T15" i="2" s="1"/>
  <c r="P18" i="2"/>
  <c r="T18" i="2"/>
  <c r="I11" i="2"/>
  <c r="I13" i="2" s="1"/>
  <c r="I15" i="2" s="1"/>
  <c r="M11" i="2"/>
  <c r="M13" i="2" s="1"/>
  <c r="M15" i="2" s="1"/>
  <c r="I18" i="2"/>
  <c r="M18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4" i="1"/>
  <c r="AO7" i="2" l="1"/>
  <c r="U19" i="2"/>
  <c r="U21" i="2" s="1"/>
  <c r="U23" i="2" s="1"/>
  <c r="U24" i="2" s="1"/>
  <c r="W11" i="2"/>
  <c r="R19" i="2"/>
  <c r="R21" i="2" s="1"/>
  <c r="R23" i="2" s="1"/>
  <c r="R24" i="2" s="1"/>
  <c r="T19" i="2"/>
  <c r="T21" i="2" s="1"/>
  <c r="T23" i="2" s="1"/>
  <c r="T24" i="2" s="1"/>
  <c r="V19" i="2"/>
  <c r="V21" i="2" s="1"/>
  <c r="V23" i="2" s="1"/>
  <c r="V24" i="2" s="1"/>
  <c r="Q19" i="2"/>
  <c r="Q21" i="2" s="1"/>
  <c r="Q23" i="2" s="1"/>
  <c r="Q24" i="2" s="1"/>
  <c r="N19" i="2"/>
  <c r="N21" i="2" s="1"/>
  <c r="N23" i="2" s="1"/>
  <c r="N24" i="2" s="1"/>
  <c r="O19" i="2"/>
  <c r="O21" i="2" s="1"/>
  <c r="O23" i="2" s="1"/>
  <c r="O24" i="2" s="1"/>
  <c r="P19" i="2"/>
  <c r="P21" i="2" s="1"/>
  <c r="P23" i="2" s="1"/>
  <c r="P24" i="2" s="1"/>
  <c r="M19" i="2"/>
  <c r="M21" i="2" s="1"/>
  <c r="M23" i="2" s="1"/>
  <c r="M24" i="2" s="1"/>
  <c r="L7" i="1"/>
  <c r="I19" i="2"/>
  <c r="I21" i="2" s="1"/>
  <c r="I23" i="2" s="1"/>
  <c r="I24" i="2" s="1"/>
  <c r="Y6" i="2" l="1"/>
  <c r="X3" i="2"/>
  <c r="X4" i="2" s="1"/>
  <c r="Y11" i="2"/>
  <c r="Y13" i="2" s="1"/>
  <c r="X11" i="2"/>
  <c r="X13" i="2" s="1"/>
  <c r="Z6" i="2" l="1"/>
  <c r="Y3" i="2"/>
  <c r="Y4" i="2" s="1"/>
  <c r="Z11" i="2"/>
  <c r="Z13" i="2" s="1"/>
  <c r="AQ7" i="2"/>
  <c r="Z3" i="2" l="1"/>
  <c r="Z4" i="2" s="1"/>
  <c r="AQ3" i="2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AR7" i="2"/>
  <c r="AQ11" i="2" l="1"/>
  <c r="AQ13" i="2" s="1"/>
  <c r="AQ27" i="2" s="1"/>
  <c r="AR11" i="2"/>
  <c r="AR13" i="2" s="1"/>
  <c r="AS7" i="2"/>
  <c r="AT7" i="2" l="1"/>
  <c r="AS11" i="2"/>
  <c r="AS13" i="2" s="1"/>
  <c r="AU7" i="2" l="1"/>
  <c r="AT11" i="2"/>
  <c r="AT13" i="2" s="1"/>
  <c r="AU11" i="2" l="1"/>
  <c r="AU13" i="2" s="1"/>
  <c r="AV7" i="2"/>
  <c r="AW7" i="2" l="1"/>
  <c r="AV11" i="2"/>
  <c r="AV13" i="2" s="1"/>
  <c r="AX7" i="2" l="1"/>
  <c r="AW11" i="2"/>
  <c r="AW13" i="2" s="1"/>
  <c r="AY7" i="2" l="1"/>
  <c r="AX11" i="2"/>
  <c r="AX13" i="2" s="1"/>
  <c r="AY11" i="2" l="1"/>
  <c r="AY13" i="2" s="1"/>
  <c r="AZ7" i="2"/>
  <c r="BA7" i="2" l="1"/>
  <c r="BA11" i="2" s="1"/>
  <c r="BA13" i="2" s="1"/>
  <c r="AZ11" i="2"/>
  <c r="AZ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  <author>tc={6230A4A9-C9AF-4BE7-99BF-B573BD017A22}</author>
    <author>tc={CBA3C9AE-8CDE-4C14-99CA-A98DB0CE1BE6}</author>
    <author>tc={5AFD68C2-EA74-46FE-BF40-AB537FB76AE8}</author>
    <author>tc={7C3EC1BA-FB3C-4FE0-8E5F-1192557AF098}</author>
    <author>tc={79BDC40B-94ED-4D00-94B2-1CB4305DAAA9}</author>
    <author>tc={4BF41E21-6626-4EBB-BC28-DD3A3AEE92C2}</author>
  </authors>
  <commentList>
    <comment ref="V6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  <comment ref="W13" authorId="1" shapeId="0" xr:uid="{6230A4A9-C9AF-4BE7-99BF-B573BD017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5/6/25 consensus 687m </t>
      </text>
    </comment>
    <comment ref="X13" authorId="2" shapeId="0" xr:uid="{CBA3C9AE-8CDE-4C14-99CA-A98DB0CE1BE6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741m</t>
      </text>
    </comment>
    <comment ref="Y13" authorId="3" shapeId="0" xr:uid="{5AFD68C2-EA74-46FE-BF40-AB537FB76AE8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788m</t>
      </text>
    </comment>
    <comment ref="Z13" authorId="4" shapeId="0" xr:uid="{7C3EC1BA-FB3C-4FE0-8E5F-1192557AF098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828m</t>
      </text>
    </comment>
    <comment ref="AQ13" authorId="5" shapeId="0" xr:uid="{79BDC40B-94ED-4D00-94B2-1CB4305DAAA9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product guidance: 2.9-3.1B
Consensus 3.0B</t>
      </text>
    </comment>
    <comment ref="AR13" authorId="6" shapeId="0" xr:uid="{4BF41E21-6626-4EBB-BC28-DD3A3AEE9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 3.76B</t>
      </text>
    </comment>
  </commentList>
</comments>
</file>

<file path=xl/sharedStrings.xml><?xml version="1.0" encoding="utf-8"?>
<sst xmlns="http://schemas.openxmlformats.org/spreadsheetml/2006/main" count="126" uniqueCount="111">
  <si>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</si>
  <si>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</si>
  <si>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</si>
  <si>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</si>
  <si>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</si>
  <si>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</si>
  <si>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</si>
  <si>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</si>
  <si>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</si>
  <si>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</si>
  <si>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</si>
  <si>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</si>
  <si>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</si>
  <si>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</si>
  <si>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</si>
  <si>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</si>
  <si>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</si>
  <si>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</si>
  <si>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</si>
  <si>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</si>
  <si>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</si>
  <si>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</si>
  <si>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</si>
  <si>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</si>
  <si>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</si>
  <si>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</si>
  <si>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</si>
  <si>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</si>
  <si>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</si>
  <si>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</si>
  <si>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</si>
  <si>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</si>
  <si>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</si>
  <si>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</si>
  <si>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</si>
  <si>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</si>
  <si>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</si>
  <si>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</si>
  <si>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</si>
  <si>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</si>
  <si>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</si>
  <si>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</si>
  <si>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</si>
  <si>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</si>
  <si>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</si>
  <si>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</si>
  <si>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</si>
  <si>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</si>
  <si>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</si>
  <si>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</si>
  <si>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</si>
  <si>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</si>
  <si>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</si>
  <si>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</si>
  <si>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</si>
  <si>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</si>
  <si>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</si>
  <si>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</si>
  <si>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</si>
  <si>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</si>
  <si>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</si>
  <si>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</si>
  <si>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</si>
  <si>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</si>
  <si>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</si>
  <si>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</si>
  <si>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</si>
  <si>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</si>
  <si>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</si>
  <si>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</si>
  <si>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</si>
  <si>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</si>
  <si>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</si>
  <si>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</si>
  <si>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</si>
  <si>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</si>
  <si>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</si>
  <si>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</si>
  <si>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</si>
  <si>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</si>
  <si>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</si>
  <si>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</si>
  <si>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</si>
  <si>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</si>
  <si>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</si>
  <si>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</si>
  <si>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</si>
  <si>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</si>
  <si>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used Process B product</t>
  </si>
  <si>
    <t>used Process A product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</si>
  <si>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</si>
  <si>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</si>
  <si>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</si>
  <si>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</si>
  <si>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</si>
  <si>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</si>
  <si>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</si>
  <si>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</si>
  <si>
    <t>Patients</t>
  </si>
  <si>
    <t>Net Adds</t>
  </si>
  <si>
    <t>Study 103 "ENDEAVOR" open-label - NCT04626674</t>
  </si>
  <si>
    <t>Study 102 - NCT03769116</t>
  </si>
  <si>
    <t>Study 101 open-label - NCT03375164</t>
  </si>
  <si>
    <t>PE: expression at week 12, change in NSAA at week 48</t>
  </si>
  <si>
    <t>PE: expression at week 12</t>
  </si>
  <si>
    <t>n=8 1.33E14</t>
  </si>
  <si>
    <t>n=6 6.29E13</t>
  </si>
  <si>
    <t>n=5 8.94E13</t>
  </si>
  <si>
    <t>n=21 placebo</t>
  </si>
  <si>
    <t>Part I RCT n=40</t>
  </si>
  <si>
    <t>p=0.37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</si>
</sst>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  <xf numFmtId="0" fontId="1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39</xdr:row>
      <xdr:rowOff>59871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3732329" y="0"/>
          <a:ext cx="0" cy="5938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26737</xdr:colOff>
      <xdr:row>0</xdr:row>
      <xdr:rowOff>50132</xdr:rowOff>
    </xdr:from>
    <xdr:to>
      <xdr:col>42</xdr:col>
      <xdr:colOff>26737</xdr:colOff>
      <xdr:row>29</xdr:row>
      <xdr:rowOff>26736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B75E8EF-720E-99E7-2C35-560149EF1321}"/>
            </a:ext>
          </a:extLst>
        </xdr:cNvPr>
        <xdr:cNvCxnSpPr/>
      </xdr:nvCxnSpPr>
      <xdr:spPr>
        <a:xfrm>
          <a:off x="25928053" y="50132"/>
          <a:ext cx="0" cy="4725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217757</xdr:colOff>
      <xdr:row>7</xdr:row>
      <xdr:rowOff>0</xdr:rowOff>
    </xdr:from>
    <xdr:to>
      <xdr:col>38</xdr:col>
      <xdr:colOff>320011</xdr:colOff>
      <xdr:row>33</xdr:row>
      <xdr:rowOff>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F3FA-D966-9326-9903-3958C72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9" y="1159565"/>
          <a:ext cx="7998341" cy="4323522"/>
        </a:xfrm>
        <a:prstGeom prst="rect">
          <a:avLst/>
        </a:prstGeom>
      </xdr:spPr>
    </xdr:pic>
    <xdr:clientData/>
  </xdr:twoCellAnchor>
  <xdr:twoCellAnchor editAs="oneCell">
    <xdr:from>
      <xdr:col>38</xdr:col>
      <xdr:colOff>306106</xdr:colOff>
      <xdr:row>6</xdr:row>
      <xdr:rowOff>97491</xdr:rowOff>
    </xdr:from>
    <xdr:to>
      <xdr:col>64</xdr:col>
      <xdr:colOff>209856</xdr:colOff>
      <xdr:row>84</xdr:row>
      <xdr:rowOff>134148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E5F6-BC6A-40A8-D3B1-ADCBE97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9753" y="1083609"/>
          <a:ext cx="15831044" cy="12856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184132</xdr:colOff>
      <xdr:row>4</xdr:row>
      <xdr:rowOff>92351</xdr:rowOff>
    </xdr:from>
    <xdr:to>
      <xdr:col>25</xdr:col>
      <xdr:colOff>305012</xdr:colOff>
      <xdr:row>28</xdr:row>
      <xdr:rowOff>131222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4F7BC-AD7F-AA20-2F96-91983990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9175" y="754960"/>
          <a:ext cx="8624359" cy="4014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373130</xdr:colOff>
      <xdr:row>24</xdr:row>
      <xdr:rowOff>45011</xdr:rowOff>
    </xdr:from>
    <xdr:to>
      <xdr:col>26</xdr:col>
      <xdr:colOff>309474</xdr:colOff>
      <xdr:row>60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0B2C-D18A-5C98-F7D2-2BCE738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8173" y="4020663"/>
          <a:ext cx="9047214" cy="6040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164353</xdr:colOff>
      <xdr:row>66</xdr:row>
      <xdr:rowOff>73981</xdr:rowOff>
    </xdr:from>
    <xdr:to>
      <xdr:col>32</xdr:col>
      <xdr:colOff>152526</xdr:colOff>
      <xdr:row>107</xdr:row>
      <xdr:rowOff>67141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6D561-E529-7BD8-734F-3C7105A5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294" y="10921275"/>
          <a:ext cx="11627350" cy="6731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5-03-21T16:35:25.37" personId="{0ED4F94C-7603-49B0-A19F-451A0F5F06CB}" id="{E6AB6E99-1C3B-4950-9986-65466B8F87A6}">
    <text>600 patients on therapy</text>
  </threadedComment>
  <threadedComment ref="W13" dT="2025-05-06T15:45:31.88" personId="{0ED4F94C-7603-49B0-A19F-451A0F5F06CB}" id="{6230A4A9-C9AF-4BE7-99BF-B573BD017A22}">
    <text xml:space="preserve">5/6/25 consensus 687m </text>
  </threadedComment>
  <threadedComment ref="X13" dT="2025-05-06T15:45:40.54" personId="{0ED4F94C-7603-49B0-A19F-451A0F5F06CB}" id="{CBA3C9AE-8CDE-4C14-99CA-A98DB0CE1BE6}">
    <text>5/6/25 consensus 741m</text>
  </threadedComment>
  <threadedComment ref="Y13" dT="2025-05-06T15:45:47.37" personId="{0ED4F94C-7603-49B0-A19F-451A0F5F06CB}" id="{5AFD68C2-EA74-46FE-BF40-AB537FB76AE8}">
    <text>5/6/25 consensus 788m</text>
  </threadedComment>
  <threadedComment ref="Z13" dT="2025-05-06T15:45:57.63" personId="{0ED4F94C-7603-49B0-A19F-451A0F5F06CB}" id="{7C3EC1BA-FB3C-4FE0-8E5F-1192557AF098}">
    <text>5/6/25 consensus 828m</text>
  </threadedComment>
  <threadedComment ref="AQ13" dT="2025-05-06T15:53:17.18" personId="{0ED4F94C-7603-49B0-A19F-451A0F5F06CB}" id="{79BDC40B-94ED-4D00-94B2-1CB4305DAAA9}">
    <text>Q424 product guidance: 2.9-3.1B
Consensus 3.0B</text>
  </threadedComment>
  <threadedComment ref="AR13" dT="2025-05-06T15:46:11.33" personId="{0ED4F94C-7603-49B0-A19F-451A0F5F06CB}" id="{4BF41E21-6626-4EBB-BC28-DD3A3AEE92C2}">
    <text>5/6/25 consensus 3.76B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12"/>
  <sheetViews>
    <sheetView tabSelected="1" zoomScale="175" zoomScaleNormal="175" workbookViewId="0">
      <selection activeCell="C5" sqref="C5"/>
    </sheetView>
  </sheetViews>
  <sheetFormatPr defaultRowHeight="12.75" x14ac:dyDescent="0.2"/>
  <cols>
    <col min="1" max="1" width="2.5703125" customWidth="1"/>
    <col min="2" max="2" width="37.140625" customWidth="1"/>
    <col min="4" max="4" width="10.42578125" customWidth="1"/>
  </cols>
  <sheetData>
    <row r="2" spans="2:13" x14ac:dyDescent="0.2">
      <c r="B2" s="14" t="s">
        <v>33</v>
      </c>
      <c r="C2" s="15" t="s">
        <v>40</v>
      </c>
      <c r="D2" s="15" t="s">
        <v>59</v>
      </c>
      <c r="E2" s="15" t="s">
        <v>60</v>
      </c>
      <c r="F2" s="15"/>
      <c r="G2" s="15"/>
      <c r="H2" s="15"/>
      <c r="I2" s="16"/>
      <c r="K2" t="s">
        <v>0</v>
      </c>
      <c r="L2" s="1">
        <v>38</v>
      </c>
    </row>
    <row r="3" spans="2:13" x14ac:dyDescent="0.2">
      <c r="B3" s="9" t="s">
        <v>34</v>
      </c>
      <c r="C3" t="s">
        <v>41</v>
      </c>
      <c r="I3" s="10"/>
      <c r="K3" t="s">
        <v>1</v>
      </c>
      <c r="L3" s="2">
        <v>98.277032000000005</v>
      </c>
      <c r="M3" s="3" t="s">
        <v>55</v>
      </c>
    </row>
    <row r="4" spans="2:13" x14ac:dyDescent="0.2">
      <c r="B4" s="20" t="s">
        <v>58</v>
      </c>
      <c r="C4" t="s">
        <v>41</v>
      </c>
      <c r="D4" s="18">
        <v>45463</v>
      </c>
      <c r="E4" t="s">
        <v>61</v>
      </c>
      <c r="I4" s="10"/>
      <c r="K4" t="s">
        <v>2</v>
      </c>
      <c r="L4" s="2">
        <f>+L2*L3</f>
        <v>3734.5272160000004</v>
      </c>
    </row>
    <row r="5" spans="2:13" x14ac:dyDescent="0.2">
      <c r="B5" s="9" t="s">
        <v>35</v>
      </c>
      <c r="C5" t="s">
        <v>41</v>
      </c>
      <c r="I5" s="10"/>
      <c r="K5" t="s">
        <v>3</v>
      </c>
      <c r="L5" s="2">
        <v>647</v>
      </c>
      <c r="M5" s="3" t="s">
        <v>55</v>
      </c>
    </row>
    <row r="6" spans="2:13" x14ac:dyDescent="0.2">
      <c r="B6" s="9" t="s">
        <v>36</v>
      </c>
      <c r="C6" t="s">
        <v>41</v>
      </c>
      <c r="I6" s="10"/>
      <c r="K6" t="s">
        <v>4</v>
      </c>
      <c r="L6" s="2">
        <v>1138.289</v>
      </c>
      <c r="M6" s="3" t="s">
        <v>55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4225.8162160000002</v>
      </c>
    </row>
    <row r="8" spans="2:13" x14ac:dyDescent="0.2">
      <c r="B8" s="9" t="s">
        <v>37</v>
      </c>
      <c r="C8" t="s">
        <v>41</v>
      </c>
      <c r="I8" s="10"/>
    </row>
    <row r="9" spans="2:13" x14ac:dyDescent="0.2">
      <c r="B9" s="9" t="s">
        <v>38</v>
      </c>
      <c r="C9" t="s">
        <v>41</v>
      </c>
      <c r="I9" s="10"/>
      <c r="K9" t="s">
        <v>47</v>
      </c>
      <c r="L9" s="2">
        <v>5481.723</v>
      </c>
      <c r="M9" s="3" t="s">
        <v>46</v>
      </c>
    </row>
    <row r="10" spans="2:13" x14ac:dyDescent="0.2">
      <c r="B10" s="9" t="s">
        <v>39</v>
      </c>
      <c r="C10" t="s">
        <v>42</v>
      </c>
      <c r="I10" s="10"/>
      <c r="K10" t="s">
        <v>48</v>
      </c>
      <c r="L10" s="2">
        <v>4403.634</v>
      </c>
      <c r="M10" s="3" t="s">
        <v>46</v>
      </c>
    </row>
    <row r="11" spans="2:13" x14ac:dyDescent="0.2">
      <c r="B11" s="9" t="s">
        <v>69</v>
      </c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BA27"/>
  <sheetViews>
    <sheetView zoomScale="175" zoomScaleNormal="175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AQ6" sqref="AQ6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42" max="42" width="9.42578125" customWidth="1"/>
  </cols>
  <sheetData>
    <row r="1" spans="1:53" x14ac:dyDescent="0.2">
      <c r="A1" s="4" t="s">
        <v>7</v>
      </c>
    </row>
    <row r="2" spans="1:53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53</v>
      </c>
      <c r="T2" s="3" t="s">
        <v>46</v>
      </c>
      <c r="U2" s="3" t="s">
        <v>54</v>
      </c>
      <c r="V2" s="3" t="s">
        <v>55</v>
      </c>
      <c r="W2" s="3" t="s">
        <v>62</v>
      </c>
      <c r="X2" s="3" t="s">
        <v>63</v>
      </c>
      <c r="Y2" s="3" t="s">
        <v>64</v>
      </c>
      <c r="Z2" s="3" t="s">
        <v>65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ref="AT2" si="1">+AS2+1</f>
        <v>2028</v>
      </c>
      <c r="AU2">
        <f t="shared" ref="AU2" si="2">+AT2+1</f>
        <v>2029</v>
      </c>
      <c r="AV2">
        <f t="shared" ref="AV2" si="3">+AU2+1</f>
        <v>2030</v>
      </c>
      <c r="AW2">
        <f t="shared" ref="AW2" si="4">+AV2+1</f>
        <v>2031</v>
      </c>
      <c r="AX2">
        <f t="shared" ref="AX2" si="5">+AW2+1</f>
        <v>2032</v>
      </c>
      <c r="AY2">
        <f t="shared" ref="AY2" si="6">+AX2+1</f>
        <v>2033</v>
      </c>
      <c r="AZ2">
        <f t="shared" ref="AZ2" si="7">+AY2+1</f>
        <v>2034</v>
      </c>
      <c r="BA2">
        <f t="shared" ref="BA2" si="8">+AZ2+1</f>
        <v>2035</v>
      </c>
    </row>
    <row r="3" spans="1:53" x14ac:dyDescent="0.2">
      <c r="B3" t="s">
        <v>99</v>
      </c>
      <c r="R3" s="3"/>
      <c r="S3" s="3"/>
      <c r="T3" s="3"/>
      <c r="U3" s="3"/>
      <c r="V3" s="3"/>
      <c r="W3" s="5">
        <f>+W6/3.2</f>
        <v>117.1875</v>
      </c>
      <c r="X3" s="5">
        <f t="shared" ref="X3:Z3" si="9">+X6/3.2</f>
        <v>93.75</v>
      </c>
      <c r="Y3" s="5">
        <f t="shared" si="9"/>
        <v>101.5625</v>
      </c>
      <c r="Z3" s="5">
        <f t="shared" si="9"/>
        <v>109.375</v>
      </c>
      <c r="AP3" s="2">
        <f>+AP6/3.2</f>
        <v>256.51781249999999</v>
      </c>
      <c r="AQ3" s="2">
        <f>+AQ6/3.2</f>
        <v>421.875</v>
      </c>
      <c r="AR3">
        <v>800</v>
      </c>
      <c r="AS3">
        <v>800</v>
      </c>
      <c r="AT3">
        <v>800</v>
      </c>
      <c r="AU3">
        <v>800</v>
      </c>
      <c r="AV3">
        <v>800</v>
      </c>
      <c r="AW3">
        <v>800</v>
      </c>
      <c r="AX3">
        <v>800</v>
      </c>
      <c r="AY3">
        <v>800</v>
      </c>
      <c r="AZ3">
        <v>800</v>
      </c>
      <c r="BA3">
        <v>800</v>
      </c>
    </row>
    <row r="4" spans="1:53" x14ac:dyDescent="0.2">
      <c r="B4" t="s">
        <v>98</v>
      </c>
      <c r="R4" s="3"/>
      <c r="S4" s="3"/>
      <c r="T4" s="3"/>
      <c r="U4" s="3"/>
      <c r="V4" s="3">
        <v>600</v>
      </c>
      <c r="W4" s="2">
        <f>+V4+W3</f>
        <v>717.1875</v>
      </c>
      <c r="X4" s="2">
        <f t="shared" ref="X4:Z4" si="10">+W4+X3</f>
        <v>810.9375</v>
      </c>
      <c r="Y4" s="2">
        <f t="shared" si="10"/>
        <v>912.5</v>
      </c>
      <c r="Z4" s="2">
        <f t="shared" si="10"/>
        <v>1021.875</v>
      </c>
      <c r="AP4" s="2">
        <v>600</v>
      </c>
      <c r="AQ4" s="2">
        <f>+AP4+AQ3</f>
        <v>1021.875</v>
      </c>
      <c r="AR4" s="2">
        <f>+AQ4+AR3</f>
        <v>1821.875</v>
      </c>
      <c r="AS4" s="2">
        <f t="shared" ref="AS4:AX4" si="11">+AR4+AS3</f>
        <v>2621.875</v>
      </c>
      <c r="AT4" s="2">
        <f t="shared" si="11"/>
        <v>3421.875</v>
      </c>
      <c r="AU4" s="2">
        <f t="shared" si="11"/>
        <v>4221.875</v>
      </c>
      <c r="AV4" s="2">
        <f t="shared" si="11"/>
        <v>5021.875</v>
      </c>
      <c r="AW4" s="2">
        <f t="shared" si="11"/>
        <v>5821.875</v>
      </c>
      <c r="AX4" s="2">
        <f t="shared" si="11"/>
        <v>6621.875</v>
      </c>
      <c r="AY4" s="2">
        <f t="shared" ref="AY4" si="12">+AX4+AY3</f>
        <v>7421.875</v>
      </c>
      <c r="AZ4" s="2">
        <f t="shared" ref="AZ4" si="13">+AY4+AZ3</f>
        <v>8221.875</v>
      </c>
      <c r="BA4" s="2">
        <f t="shared" ref="BA4" si="14">+AZ4+BA3</f>
        <v>9021.875</v>
      </c>
    </row>
    <row r="5" spans="1:53" x14ac:dyDescent="0.2">
      <c r="R5" s="3"/>
      <c r="S5" s="3"/>
      <c r="T5" s="3"/>
      <c r="U5" s="3"/>
      <c r="V5" s="3"/>
      <c r="W5" s="3"/>
      <c r="X5" s="3"/>
      <c r="Y5" s="3"/>
      <c r="Z5" s="3"/>
    </row>
    <row r="6" spans="1:53" s="2" customFormat="1" x14ac:dyDescent="0.2">
      <c r="B6" s="2" t="s">
        <v>56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0</v>
      </c>
      <c r="P6" s="5">
        <v>0</v>
      </c>
      <c r="Q6" s="5">
        <v>69.099999999999994</v>
      </c>
      <c r="R6" s="5">
        <v>131.19999999999999</v>
      </c>
      <c r="S6" s="5">
        <v>133.93600000000001</v>
      </c>
      <c r="T6" s="5">
        <v>121.721</v>
      </c>
      <c r="U6" s="5">
        <v>181</v>
      </c>
      <c r="V6" s="5">
        <v>384.2</v>
      </c>
      <c r="W6" s="2">
        <v>375</v>
      </c>
      <c r="X6" s="2">
        <f>+W6*0.8</f>
        <v>300</v>
      </c>
      <c r="Y6" s="2">
        <f>+X6+25</f>
        <v>325</v>
      </c>
      <c r="Z6" s="2">
        <f>+Y6+25</f>
        <v>350</v>
      </c>
      <c r="AO6" s="2">
        <f>SUM(O6:R6)</f>
        <v>200.29999999999998</v>
      </c>
      <c r="AP6" s="2">
        <f>SUM(S6:V6)</f>
        <v>820.85699999999997</v>
      </c>
      <c r="AQ6" s="2">
        <f>SUM(W6:Z6)</f>
        <v>1350</v>
      </c>
      <c r="AR6" s="2">
        <f>+AR3*3.2</f>
        <v>2560</v>
      </c>
      <c r="AS6" s="2">
        <f t="shared" ref="AS6:AX6" si="15">+AS3*3.2</f>
        <v>2560</v>
      </c>
      <c r="AT6" s="2">
        <f t="shared" si="15"/>
        <v>2560</v>
      </c>
      <c r="AU6" s="2">
        <f t="shared" si="15"/>
        <v>2560</v>
      </c>
      <c r="AV6" s="2">
        <f t="shared" si="15"/>
        <v>2560</v>
      </c>
      <c r="AW6" s="2">
        <f t="shared" si="15"/>
        <v>2560</v>
      </c>
      <c r="AX6" s="2">
        <f t="shared" si="15"/>
        <v>2560</v>
      </c>
      <c r="AY6" s="2">
        <f t="shared" ref="AY6:BA6" si="16">+AY3*3.2</f>
        <v>2560</v>
      </c>
      <c r="AZ6" s="2">
        <f t="shared" si="16"/>
        <v>2560</v>
      </c>
      <c r="BA6" s="2">
        <f t="shared" si="16"/>
        <v>2560</v>
      </c>
    </row>
    <row r="7" spans="1:53" s="2" customFormat="1" x14ac:dyDescent="0.2">
      <c r="B7" s="2" t="s">
        <v>57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231.495</v>
      </c>
      <c r="P7" s="5">
        <v>238.988</v>
      </c>
      <c r="Q7" s="5">
        <f>309.322-Q6</f>
        <v>240.22200000000001</v>
      </c>
      <c r="R7" s="5">
        <f>+R11-R6</f>
        <v>233.87100000000004</v>
      </c>
      <c r="S7" s="5">
        <v>225.548</v>
      </c>
      <c r="T7" s="5">
        <v>238.827</v>
      </c>
      <c r="U7" s="5">
        <v>248.8</v>
      </c>
      <c r="V7" s="5">
        <v>254</v>
      </c>
      <c r="W7" s="2">
        <v>237</v>
      </c>
      <c r="X7" s="2">
        <f>+T7</f>
        <v>238.827</v>
      </c>
      <c r="Y7" s="2">
        <f>+U7</f>
        <v>248.8</v>
      </c>
      <c r="Z7" s="2">
        <f>+V7</f>
        <v>254</v>
      </c>
      <c r="AO7" s="2">
        <f t="shared" ref="AO7" si="17">SUM(O7:R7)</f>
        <v>944.57600000000002</v>
      </c>
      <c r="AP7" s="2">
        <f t="shared" ref="AP7" si="18">SUM(S7:V7)</f>
        <v>967.17499999999995</v>
      </c>
      <c r="AQ7" s="2">
        <f t="shared" ref="AQ7" si="19">SUM(W7:Z7)</f>
        <v>978.62699999999995</v>
      </c>
      <c r="AR7" s="2">
        <f>+AQ7*0.9</f>
        <v>880.76429999999993</v>
      </c>
      <c r="AS7" s="2">
        <f t="shared" ref="AS7:BA7" si="20">+AR7*0.9</f>
        <v>792.68786999999998</v>
      </c>
      <c r="AT7" s="2">
        <f t="shared" si="20"/>
        <v>713.419083</v>
      </c>
      <c r="AU7" s="2">
        <f t="shared" si="20"/>
        <v>642.0771747</v>
      </c>
      <c r="AV7" s="2">
        <f t="shared" si="20"/>
        <v>577.86945722999997</v>
      </c>
      <c r="AW7" s="2">
        <f t="shared" si="20"/>
        <v>520.08251150699994</v>
      </c>
      <c r="AX7" s="2">
        <f t="shared" si="20"/>
        <v>468.07426035629993</v>
      </c>
      <c r="AY7" s="2">
        <f t="shared" si="20"/>
        <v>421.26683432066994</v>
      </c>
      <c r="AZ7" s="2">
        <f t="shared" si="20"/>
        <v>379.14015088860293</v>
      </c>
      <c r="BA7" s="2">
        <f t="shared" si="20"/>
        <v>341.22613579974262</v>
      </c>
    </row>
    <row r="8" spans="1:53" s="2" customFormat="1" x14ac:dyDescent="0.2">
      <c r="B8" s="17" t="s">
        <v>43</v>
      </c>
      <c r="C8" s="5"/>
      <c r="D8" s="5"/>
      <c r="E8" s="5"/>
      <c r="F8" s="5"/>
      <c r="G8" s="5"/>
      <c r="H8" s="5"/>
      <c r="I8" s="5">
        <v>115.598</v>
      </c>
      <c r="J8" s="5"/>
      <c r="K8" s="5"/>
      <c r="L8" s="5"/>
      <c r="M8" s="5">
        <v>122.262</v>
      </c>
      <c r="N8" s="5"/>
      <c r="O8" s="5"/>
      <c r="P8" s="5"/>
      <c r="Q8" s="5"/>
    </row>
    <row r="9" spans="1:53" s="2" customFormat="1" x14ac:dyDescent="0.2">
      <c r="B9" s="2" t="s">
        <v>44</v>
      </c>
      <c r="C9" s="5"/>
      <c r="D9" s="5"/>
      <c r="E9" s="5"/>
      <c r="F9" s="5"/>
      <c r="G9" s="5"/>
      <c r="H9" s="5"/>
      <c r="I9" s="5">
        <v>26.655000000000001</v>
      </c>
      <c r="J9" s="5"/>
      <c r="K9" s="5"/>
      <c r="L9" s="5"/>
      <c r="M9" s="5">
        <v>54.893000000000001</v>
      </c>
      <c r="N9" s="5"/>
      <c r="O9" s="5"/>
      <c r="P9" s="5"/>
      <c r="Q9" s="5"/>
    </row>
    <row r="10" spans="1:53" s="2" customFormat="1" x14ac:dyDescent="0.2">
      <c r="B10" s="2" t="s">
        <v>45</v>
      </c>
      <c r="C10" s="5"/>
      <c r="D10" s="5"/>
      <c r="E10" s="5"/>
      <c r="F10" s="5"/>
      <c r="G10" s="5"/>
      <c r="H10" s="5"/>
      <c r="I10" s="5">
        <v>24.658000000000001</v>
      </c>
      <c r="J10" s="5"/>
      <c r="K10" s="5"/>
      <c r="L10" s="5"/>
      <c r="M10" s="5">
        <v>30.619</v>
      </c>
      <c r="N10" s="5"/>
      <c r="O10" s="5"/>
      <c r="P10" s="5"/>
      <c r="Q10" s="5"/>
    </row>
    <row r="11" spans="1:53" s="2" customFormat="1" x14ac:dyDescent="0.2">
      <c r="B11" s="2" t="s">
        <v>8</v>
      </c>
      <c r="C11" s="5"/>
      <c r="D11" s="5"/>
      <c r="E11" s="5"/>
      <c r="F11" s="5"/>
      <c r="G11" s="5"/>
      <c r="H11" s="5"/>
      <c r="I11" s="5">
        <f>+I10+I9+I8</f>
        <v>166.911</v>
      </c>
      <c r="J11" s="5"/>
      <c r="K11" s="5"/>
      <c r="L11" s="5"/>
      <c r="M11" s="5">
        <f>+M10+M9+M8</f>
        <v>207.774</v>
      </c>
      <c r="N11" s="2">
        <v>235.93299999999999</v>
      </c>
      <c r="O11" s="2">
        <v>231.495</v>
      </c>
      <c r="P11" s="2">
        <f>SUM(P6:P7)</f>
        <v>238.988</v>
      </c>
      <c r="Q11" s="5">
        <f>+Q7+Q6</f>
        <v>309.322</v>
      </c>
      <c r="R11" s="2">
        <v>365.07100000000003</v>
      </c>
      <c r="S11" s="2">
        <v>359.48399999999998</v>
      </c>
      <c r="T11" s="2">
        <f>SUM(T6:T7)</f>
        <v>360.548</v>
      </c>
      <c r="U11" s="2">
        <f>SUM(U6:U7)</f>
        <v>429.8</v>
      </c>
      <c r="V11" s="2">
        <f>SUM(V6:V7)</f>
        <v>638.20000000000005</v>
      </c>
      <c r="W11" s="2">
        <f>+W7+W6</f>
        <v>612</v>
      </c>
      <c r="X11" s="2">
        <f>+X7+X6</f>
        <v>538.827</v>
      </c>
      <c r="Y11" s="2">
        <f>+Y7+Y6</f>
        <v>573.79999999999995</v>
      </c>
      <c r="Z11" s="2">
        <f>+Z7+Z6</f>
        <v>604</v>
      </c>
      <c r="AO11" s="2">
        <f t="shared" ref="AO11:AP11" si="21">+AO7+AO6</f>
        <v>1144.876</v>
      </c>
      <c r="AP11" s="2">
        <f t="shared" si="21"/>
        <v>1788.0319999999999</v>
      </c>
      <c r="AQ11" s="2">
        <f>+AQ7+AQ6</f>
        <v>2328.627</v>
      </c>
      <c r="AR11" s="2">
        <f t="shared" ref="AR11:BA11" si="22">+AR7+AR6</f>
        <v>3440.7642999999998</v>
      </c>
      <c r="AS11" s="2">
        <f t="shared" si="22"/>
        <v>3352.6878699999997</v>
      </c>
      <c r="AT11" s="2">
        <f t="shared" si="22"/>
        <v>3273.4190829999998</v>
      </c>
      <c r="AU11" s="2">
        <f t="shared" si="22"/>
        <v>3202.0771746999999</v>
      </c>
      <c r="AV11" s="2">
        <f t="shared" si="22"/>
        <v>3137.8694572300001</v>
      </c>
      <c r="AW11" s="2">
        <f t="shared" si="22"/>
        <v>3080.0825115070002</v>
      </c>
      <c r="AX11" s="2">
        <f t="shared" si="22"/>
        <v>3028.0742603562999</v>
      </c>
      <c r="AY11" s="2">
        <f t="shared" si="22"/>
        <v>2981.2668343206701</v>
      </c>
      <c r="AZ11" s="2">
        <f t="shared" si="22"/>
        <v>2939.1401508886029</v>
      </c>
      <c r="BA11" s="2">
        <f t="shared" si="22"/>
        <v>2901.2261357997427</v>
      </c>
    </row>
    <row r="12" spans="1:53" s="2" customFormat="1" x14ac:dyDescent="0.2">
      <c r="B12" s="2" t="s">
        <v>9</v>
      </c>
      <c r="C12" s="5"/>
      <c r="D12" s="5"/>
      <c r="E12" s="5"/>
      <c r="F12" s="5"/>
      <c r="G12" s="5"/>
      <c r="H12" s="5"/>
      <c r="I12" s="5">
        <v>22.495000000000001</v>
      </c>
      <c r="J12" s="5"/>
      <c r="K12" s="5"/>
      <c r="L12" s="5"/>
      <c r="M12" s="5">
        <v>22.495000000000001</v>
      </c>
      <c r="N12" s="2">
        <v>22.494</v>
      </c>
      <c r="O12" s="2">
        <v>22.004999999999999</v>
      </c>
      <c r="P12" s="2">
        <v>22.25</v>
      </c>
      <c r="Q12" s="5">
        <v>22.495000000000001</v>
      </c>
      <c r="R12" s="2">
        <v>31.71</v>
      </c>
      <c r="S12" s="2">
        <v>53.98</v>
      </c>
      <c r="T12" s="2">
        <v>2.383</v>
      </c>
      <c r="U12" s="2">
        <v>37.401000000000003</v>
      </c>
      <c r="V12" s="2">
        <v>20.254999999999999</v>
      </c>
    </row>
    <row r="13" spans="1:53" s="6" customFormat="1" x14ac:dyDescent="0.2">
      <c r="B13" s="6" t="s">
        <v>10</v>
      </c>
      <c r="C13" s="7"/>
      <c r="D13" s="7"/>
      <c r="E13" s="7"/>
      <c r="F13" s="7"/>
      <c r="G13" s="7"/>
      <c r="H13" s="7"/>
      <c r="I13" s="7">
        <f>+I11+I12</f>
        <v>189.40600000000001</v>
      </c>
      <c r="J13" s="7"/>
      <c r="K13" s="7"/>
      <c r="L13" s="7"/>
      <c r="M13" s="7">
        <f t="shared" ref="M13:Z13" si="23">+M11+M12</f>
        <v>230.26900000000001</v>
      </c>
      <c r="N13" s="6">
        <f t="shared" si="23"/>
        <v>258.42700000000002</v>
      </c>
      <c r="O13" s="6">
        <f t="shared" si="23"/>
        <v>253.5</v>
      </c>
      <c r="P13" s="6">
        <f t="shared" si="23"/>
        <v>261.238</v>
      </c>
      <c r="Q13" s="7">
        <f t="shared" si="23"/>
        <v>331.81700000000001</v>
      </c>
      <c r="R13" s="6">
        <f t="shared" si="23"/>
        <v>396.78100000000001</v>
      </c>
      <c r="S13" s="6">
        <f t="shared" si="23"/>
        <v>413.464</v>
      </c>
      <c r="T13" s="6">
        <f t="shared" si="23"/>
        <v>362.93099999999998</v>
      </c>
      <c r="U13" s="6">
        <f t="shared" si="23"/>
        <v>467.20100000000002</v>
      </c>
      <c r="V13" s="6">
        <f t="shared" si="23"/>
        <v>658.45500000000004</v>
      </c>
      <c r="W13" s="6">
        <v>711</v>
      </c>
      <c r="X13" s="6">
        <f t="shared" si="23"/>
        <v>538.827</v>
      </c>
      <c r="Y13" s="6">
        <f t="shared" si="23"/>
        <v>573.79999999999995</v>
      </c>
      <c r="Z13" s="6">
        <f t="shared" si="23"/>
        <v>604</v>
      </c>
      <c r="AO13" s="6">
        <f t="shared" ref="AO13:AQ13" si="24">+AO11+AO12</f>
        <v>1144.876</v>
      </c>
      <c r="AP13" s="6">
        <f t="shared" si="24"/>
        <v>1788.0319999999999</v>
      </c>
      <c r="AQ13" s="6">
        <f t="shared" si="24"/>
        <v>2328.627</v>
      </c>
      <c r="AR13" s="6">
        <f t="shared" ref="AR13:BA13" si="25">+AR11+AR12</f>
        <v>3440.7642999999998</v>
      </c>
      <c r="AS13" s="6">
        <f t="shared" si="25"/>
        <v>3352.6878699999997</v>
      </c>
      <c r="AT13" s="6">
        <f t="shared" si="25"/>
        <v>3273.4190829999998</v>
      </c>
      <c r="AU13" s="6">
        <f t="shared" si="25"/>
        <v>3202.0771746999999</v>
      </c>
      <c r="AV13" s="6">
        <f t="shared" si="25"/>
        <v>3137.8694572300001</v>
      </c>
      <c r="AW13" s="6">
        <f t="shared" si="25"/>
        <v>3080.0825115070002</v>
      </c>
      <c r="AX13" s="6">
        <f t="shared" si="25"/>
        <v>3028.0742603562999</v>
      </c>
      <c r="AY13" s="6">
        <f t="shared" si="25"/>
        <v>2981.2668343206701</v>
      </c>
      <c r="AZ13" s="6">
        <f t="shared" si="25"/>
        <v>2939.1401508886029</v>
      </c>
      <c r="BA13" s="6">
        <f t="shared" si="25"/>
        <v>2901.2261357997427</v>
      </c>
    </row>
    <row r="14" spans="1:53" s="2" customFormat="1" x14ac:dyDescent="0.2">
      <c r="B14" s="2" t="s">
        <v>24</v>
      </c>
      <c r="C14" s="5"/>
      <c r="D14" s="5"/>
      <c r="E14" s="5"/>
      <c r="F14" s="5"/>
      <c r="G14" s="5"/>
      <c r="H14" s="5"/>
      <c r="I14" s="5">
        <v>23.443999999999999</v>
      </c>
      <c r="J14" s="5"/>
      <c r="K14" s="5"/>
      <c r="L14" s="5"/>
      <c r="M14" s="5">
        <v>39.951999999999998</v>
      </c>
      <c r="N14" s="2">
        <v>30.798999999999999</v>
      </c>
      <c r="O14" s="2">
        <v>35.017000000000003</v>
      </c>
      <c r="P14" s="2">
        <v>34.124000000000002</v>
      </c>
      <c r="Q14" s="5">
        <v>37.026000000000003</v>
      </c>
      <c r="R14" s="2">
        <v>44.176000000000002</v>
      </c>
      <c r="S14" s="2">
        <v>50.558999999999997</v>
      </c>
      <c r="T14" s="2">
        <v>44.545000000000002</v>
      </c>
      <c r="U14" s="2">
        <v>91.691000000000003</v>
      </c>
      <c r="V14" s="2">
        <v>132.304</v>
      </c>
      <c r="AO14" s="2">
        <f t="shared" ref="AO14:AO17" si="26">SUM(O14:R14)</f>
        <v>150.34300000000002</v>
      </c>
      <c r="AP14" s="2">
        <f t="shared" ref="AP14:AP17" si="27">SUM(S14:V14)</f>
        <v>319.09900000000005</v>
      </c>
    </row>
    <row r="15" spans="1:53" s="2" customFormat="1" x14ac:dyDescent="0.2">
      <c r="B15" s="2" t="s">
        <v>25</v>
      </c>
      <c r="C15" s="5"/>
      <c r="D15" s="5"/>
      <c r="E15" s="5"/>
      <c r="F15" s="5"/>
      <c r="G15" s="5"/>
      <c r="H15" s="5"/>
      <c r="I15" s="5">
        <f>+I13-I14</f>
        <v>165.96200000000002</v>
      </c>
      <c r="J15" s="5"/>
      <c r="K15" s="5"/>
      <c r="L15" s="5"/>
      <c r="M15" s="5">
        <f t="shared" ref="M15:T15" si="28">+M13-M14</f>
        <v>190.31700000000001</v>
      </c>
      <c r="N15" s="2">
        <f t="shared" si="28"/>
        <v>227.62800000000001</v>
      </c>
      <c r="O15" s="2">
        <f t="shared" si="28"/>
        <v>218.483</v>
      </c>
      <c r="P15" s="2">
        <f t="shared" si="28"/>
        <v>227.114</v>
      </c>
      <c r="Q15" s="5">
        <f t="shared" si="28"/>
        <v>294.791</v>
      </c>
      <c r="R15" s="2">
        <f t="shared" si="28"/>
        <v>352.60500000000002</v>
      </c>
      <c r="S15" s="2">
        <f t="shared" si="28"/>
        <v>362.90499999999997</v>
      </c>
      <c r="T15" s="2">
        <f t="shared" si="28"/>
        <v>318.38599999999997</v>
      </c>
      <c r="U15" s="2">
        <f>+U13-U14</f>
        <v>375.51</v>
      </c>
      <c r="V15" s="2">
        <f>+V13-V14</f>
        <v>526.15100000000007</v>
      </c>
      <c r="AO15" s="2">
        <f>+AO13-AO14</f>
        <v>994.5329999999999</v>
      </c>
      <c r="AP15" s="2">
        <f>+AP13-AP14</f>
        <v>1468.933</v>
      </c>
    </row>
    <row r="16" spans="1:53" s="2" customFormat="1" x14ac:dyDescent="0.2">
      <c r="B16" s="2" t="s">
        <v>26</v>
      </c>
      <c r="C16" s="5"/>
      <c r="D16" s="5"/>
      <c r="E16" s="5"/>
      <c r="F16" s="5"/>
      <c r="G16" s="5"/>
      <c r="H16" s="5"/>
      <c r="I16" s="5">
        <v>139.11500000000001</v>
      </c>
      <c r="J16" s="5"/>
      <c r="K16" s="5"/>
      <c r="L16" s="5"/>
      <c r="M16" s="5">
        <v>216.70699999999999</v>
      </c>
      <c r="N16" s="2">
        <v>213.804</v>
      </c>
      <c r="O16" s="2">
        <v>245.679</v>
      </c>
      <c r="P16" s="2">
        <v>241.89</v>
      </c>
      <c r="Q16" s="5">
        <v>194.30099999999999</v>
      </c>
      <c r="R16" s="2">
        <v>195.517</v>
      </c>
      <c r="S16" s="2">
        <v>200.39599999999999</v>
      </c>
      <c r="T16" s="2">
        <v>179.69</v>
      </c>
      <c r="U16" s="2">
        <v>222.483</v>
      </c>
      <c r="V16" s="2">
        <v>199.953</v>
      </c>
      <c r="AO16" s="2">
        <f t="shared" si="26"/>
        <v>877.38699999999994</v>
      </c>
      <c r="AP16" s="2">
        <f t="shared" si="27"/>
        <v>802.52199999999993</v>
      </c>
    </row>
    <row r="17" spans="2:43" s="2" customFormat="1" x14ac:dyDescent="0.2">
      <c r="B17" s="2" t="s">
        <v>27</v>
      </c>
      <c r="C17" s="5"/>
      <c r="D17" s="5"/>
      <c r="E17" s="5"/>
      <c r="F17" s="5"/>
      <c r="G17" s="5"/>
      <c r="H17" s="5"/>
      <c r="I17" s="5">
        <v>61.127000000000002</v>
      </c>
      <c r="J17" s="5"/>
      <c r="K17" s="5"/>
      <c r="L17" s="5"/>
      <c r="M17" s="5">
        <v>104.78700000000001</v>
      </c>
      <c r="N17" s="2">
        <v>120.47799999999999</v>
      </c>
      <c r="O17" s="2">
        <v>110.714</v>
      </c>
      <c r="P17" s="2">
        <v>118.56399999999999</v>
      </c>
      <c r="Q17" s="5">
        <v>120.893</v>
      </c>
      <c r="R17" s="2">
        <v>131.69999999999999</v>
      </c>
      <c r="S17" s="2">
        <v>127.003</v>
      </c>
      <c r="T17" s="2">
        <v>138.79599999999999</v>
      </c>
      <c r="U17" s="2">
        <v>128.80000000000001</v>
      </c>
      <c r="V17" s="2">
        <v>163.87299999999999</v>
      </c>
      <c r="AO17" s="2">
        <f t="shared" si="26"/>
        <v>481.87099999999998</v>
      </c>
      <c r="AP17" s="2">
        <f t="shared" si="27"/>
        <v>558.47199999999998</v>
      </c>
    </row>
    <row r="18" spans="2:43" s="2" customFormat="1" x14ac:dyDescent="0.2">
      <c r="B18" s="2" t="s">
        <v>22</v>
      </c>
      <c r="C18" s="5"/>
      <c r="D18" s="5"/>
      <c r="E18" s="5"/>
      <c r="F18" s="5"/>
      <c r="G18" s="5"/>
      <c r="H18" s="5"/>
      <c r="I18" s="5">
        <f>+I16+I17</f>
        <v>200.24200000000002</v>
      </c>
      <c r="J18" s="5"/>
      <c r="K18" s="5"/>
      <c r="L18" s="5"/>
      <c r="M18" s="5">
        <f>+M16+M17</f>
        <v>321.49400000000003</v>
      </c>
      <c r="N18" s="2">
        <f>+N16+N17</f>
        <v>334.28199999999998</v>
      </c>
      <c r="O18" s="2">
        <f>+O16+O17</f>
        <v>356.39300000000003</v>
      </c>
      <c r="P18" s="2">
        <f>+P16+P17</f>
        <v>360.45399999999995</v>
      </c>
      <c r="Q18" s="2">
        <f t="shared" ref="Q18" si="29">+Q16+Q17</f>
        <v>315.19399999999996</v>
      </c>
      <c r="R18" s="2">
        <f>+R16+R17</f>
        <v>327.21699999999998</v>
      </c>
      <c r="S18" s="2">
        <f>+S16+S17</f>
        <v>327.399</v>
      </c>
      <c r="T18" s="2">
        <f>+T16+T17</f>
        <v>318.48599999999999</v>
      </c>
      <c r="U18" s="2">
        <f t="shared" ref="U18" si="30">+U16+U17</f>
        <v>351.28300000000002</v>
      </c>
      <c r="V18" s="2">
        <f>+V17+V16</f>
        <v>363.82600000000002</v>
      </c>
      <c r="AO18" s="2">
        <f>+AO16+AO17</f>
        <v>1359.2579999999998</v>
      </c>
      <c r="AP18" s="2">
        <f>+AP16+AP17</f>
        <v>1360.9939999999999</v>
      </c>
    </row>
    <row r="19" spans="2:43" s="2" customFormat="1" x14ac:dyDescent="0.2">
      <c r="B19" s="2" t="s">
        <v>23</v>
      </c>
      <c r="C19" s="5"/>
      <c r="D19" s="5"/>
      <c r="E19" s="5"/>
      <c r="F19" s="5"/>
      <c r="G19" s="5"/>
      <c r="H19" s="5"/>
      <c r="I19" s="5">
        <f>+I15-I18</f>
        <v>-34.28</v>
      </c>
      <c r="J19" s="5"/>
      <c r="K19" s="5"/>
      <c r="L19" s="5"/>
      <c r="M19" s="5">
        <f>+M15-M18</f>
        <v>-131.17700000000002</v>
      </c>
      <c r="N19" s="2">
        <f>+N15-N18</f>
        <v>-106.65399999999997</v>
      </c>
      <c r="O19" s="2">
        <f>+O15-O18</f>
        <v>-137.91000000000003</v>
      </c>
      <c r="P19" s="2">
        <f>+P15-P18</f>
        <v>-133.33999999999995</v>
      </c>
      <c r="Q19" s="2">
        <f t="shared" ref="Q19" si="31">+Q15-Q18</f>
        <v>-20.402999999999963</v>
      </c>
      <c r="R19" s="2">
        <f>+R15-R18</f>
        <v>25.388000000000034</v>
      </c>
      <c r="S19" s="2">
        <f>+S15-S18</f>
        <v>35.505999999999972</v>
      </c>
      <c r="T19" s="2">
        <f>+T15-T18</f>
        <v>-0.10000000000002274</v>
      </c>
      <c r="U19" s="2">
        <f t="shared" ref="U19" si="32">+U15-U18</f>
        <v>24.226999999999975</v>
      </c>
      <c r="V19" s="2">
        <f>+V15-V18</f>
        <v>162.32500000000005</v>
      </c>
      <c r="AO19" s="2">
        <f>+AO15-AO18</f>
        <v>-364.72499999999991</v>
      </c>
      <c r="AP19" s="2">
        <f>+AP15-AP18</f>
        <v>107.93900000000008</v>
      </c>
    </row>
    <row r="20" spans="2:43" s="2" customFormat="1" x14ac:dyDescent="0.2">
      <c r="B20" s="2" t="s">
        <v>28</v>
      </c>
      <c r="C20" s="5"/>
      <c r="D20" s="5"/>
      <c r="E20" s="5"/>
      <c r="F20" s="5"/>
      <c r="G20" s="5"/>
      <c r="H20" s="5"/>
      <c r="I20" s="5">
        <v>-20.649000000000001</v>
      </c>
      <c r="J20" s="5"/>
      <c r="K20" s="5"/>
      <c r="L20" s="5"/>
      <c r="M20" s="5">
        <v>-6.3220000000000001</v>
      </c>
      <c r="N20" s="2">
        <v>5.5270000000000001</v>
      </c>
      <c r="O20" s="2">
        <v>12.707000000000001</v>
      </c>
      <c r="P20" s="2">
        <v>16.934000000000001</v>
      </c>
      <c r="Q20" s="5">
        <v>-12.332000000000001</v>
      </c>
      <c r="R20" s="2">
        <v>15.746</v>
      </c>
      <c r="S20" s="2">
        <v>6.5430000000000001</v>
      </c>
      <c r="T20" s="2">
        <v>14.278</v>
      </c>
      <c r="U20" s="2">
        <v>11.81</v>
      </c>
      <c r="V20" s="2">
        <v>10.061999999999999</v>
      </c>
      <c r="AO20" s="2">
        <f t="shared" ref="AO20" si="33">SUM(O20:R20)</f>
        <v>33.055</v>
      </c>
      <c r="AP20" s="2">
        <f t="shared" ref="AP20" si="34">SUM(S20:V20)</f>
        <v>42.692999999999998</v>
      </c>
    </row>
    <row r="21" spans="2:43" s="2" customFormat="1" x14ac:dyDescent="0.2">
      <c r="B21" s="2" t="s">
        <v>29</v>
      </c>
      <c r="C21" s="5"/>
      <c r="D21" s="5"/>
      <c r="E21" s="5"/>
      <c r="F21" s="5"/>
      <c r="G21" s="5"/>
      <c r="H21" s="5"/>
      <c r="I21" s="5">
        <f>+I19+I20</f>
        <v>-54.929000000000002</v>
      </c>
      <c r="J21" s="5"/>
      <c r="K21" s="5"/>
      <c r="L21" s="5"/>
      <c r="M21" s="5">
        <f t="shared" ref="M21:U21" si="35">+M19+M20</f>
        <v>-137.49900000000002</v>
      </c>
      <c r="N21" s="2">
        <f t="shared" si="35"/>
        <v>-101.12699999999997</v>
      </c>
      <c r="O21" s="2">
        <f t="shared" si="35"/>
        <v>-125.20300000000003</v>
      </c>
      <c r="P21" s="2">
        <f t="shared" si="35"/>
        <v>-116.40599999999995</v>
      </c>
      <c r="Q21" s="2">
        <f t="shared" si="35"/>
        <v>-32.734999999999964</v>
      </c>
      <c r="R21" s="2">
        <f t="shared" si="35"/>
        <v>41.134000000000036</v>
      </c>
      <c r="S21" s="2">
        <f t="shared" si="35"/>
        <v>42.048999999999971</v>
      </c>
      <c r="T21" s="2">
        <f t="shared" si="35"/>
        <v>14.177999999999978</v>
      </c>
      <c r="U21" s="2">
        <f t="shared" si="35"/>
        <v>36.036999999999978</v>
      </c>
      <c r="V21" s="2">
        <f>+V19+V20</f>
        <v>172.38700000000006</v>
      </c>
      <c r="AO21" s="2">
        <f>+AO19+AO20</f>
        <v>-331.6699999999999</v>
      </c>
      <c r="AP21" s="2">
        <f>+AP19+AP20</f>
        <v>150.63200000000006</v>
      </c>
    </row>
    <row r="22" spans="2:43" s="2" customFormat="1" x14ac:dyDescent="0.2">
      <c r="B22" s="2" t="s">
        <v>30</v>
      </c>
      <c r="C22" s="5"/>
      <c r="D22" s="5"/>
      <c r="E22" s="5"/>
      <c r="F22" s="5"/>
      <c r="G22" s="5"/>
      <c r="H22" s="5"/>
      <c r="I22" s="5">
        <v>0</v>
      </c>
      <c r="J22" s="5"/>
      <c r="K22" s="5"/>
      <c r="L22" s="5"/>
      <c r="M22" s="5">
        <v>0</v>
      </c>
      <c r="N22" s="2">
        <v>7.9379999999999997</v>
      </c>
      <c r="O22" s="2">
        <v>4.0449999999999999</v>
      </c>
      <c r="P22" s="2">
        <v>9.3550000000000004</v>
      </c>
      <c r="Q22" s="5">
        <v>7.7629999999999999</v>
      </c>
      <c r="R22" s="2">
        <v>-5.2839999999999998</v>
      </c>
      <c r="S22" s="2">
        <v>5.3289999999999997</v>
      </c>
      <c r="T22" s="2">
        <v>7.117</v>
      </c>
      <c r="U22" s="2">
        <v>0.39500000000000002</v>
      </c>
      <c r="V22" s="2">
        <v>12.694000000000001</v>
      </c>
      <c r="AO22" s="2">
        <f t="shared" ref="AO22" si="36">SUM(O22:R22)</f>
        <v>15.879000000000001</v>
      </c>
      <c r="AP22" s="2">
        <f t="shared" ref="AP22" si="37">SUM(S22:V22)</f>
        <v>25.535</v>
      </c>
    </row>
    <row r="23" spans="2:43" s="2" customFormat="1" x14ac:dyDescent="0.2">
      <c r="B23" s="2" t="s">
        <v>31</v>
      </c>
      <c r="C23" s="5"/>
      <c r="D23" s="5"/>
      <c r="E23" s="5"/>
      <c r="F23" s="5"/>
      <c r="G23" s="5"/>
      <c r="H23" s="5"/>
      <c r="I23" s="5">
        <f>+I21-I22</f>
        <v>-54.929000000000002</v>
      </c>
      <c r="J23" s="5"/>
      <c r="K23" s="5"/>
      <c r="L23" s="5"/>
      <c r="M23" s="5">
        <f t="shared" ref="M23:U23" si="38">+M21-M22</f>
        <v>-137.49900000000002</v>
      </c>
      <c r="N23" s="2">
        <f t="shared" si="38"/>
        <v>-109.06499999999997</v>
      </c>
      <c r="O23" s="2">
        <f t="shared" si="38"/>
        <v>-129.24800000000002</v>
      </c>
      <c r="P23" s="2">
        <f t="shared" si="38"/>
        <v>-125.76099999999995</v>
      </c>
      <c r="Q23" s="2">
        <f t="shared" si="38"/>
        <v>-40.497999999999962</v>
      </c>
      <c r="R23" s="2">
        <f t="shared" si="38"/>
        <v>46.418000000000035</v>
      </c>
      <c r="S23" s="2">
        <f t="shared" si="38"/>
        <v>36.71999999999997</v>
      </c>
      <c r="T23" s="2">
        <f t="shared" si="38"/>
        <v>7.0609999999999777</v>
      </c>
      <c r="U23" s="2">
        <f t="shared" si="38"/>
        <v>35.641999999999975</v>
      </c>
      <c r="V23" s="2">
        <f>+V21-V22</f>
        <v>159.69300000000007</v>
      </c>
      <c r="AO23" s="2">
        <f>+AO21-AO22</f>
        <v>-347.54899999999992</v>
      </c>
      <c r="AP23" s="2">
        <f>+AP21-AP22</f>
        <v>125.09700000000007</v>
      </c>
    </row>
    <row r="24" spans="2:43" x14ac:dyDescent="0.2">
      <c r="B24" s="2" t="s">
        <v>32</v>
      </c>
      <c r="I24" s="8">
        <f>+I23/I25</f>
        <v>-0.68764396594892341</v>
      </c>
      <c r="M24" s="8">
        <f t="shared" ref="M24:V24" si="39">+M23/M25</f>
        <v>-1.5691217419089791</v>
      </c>
      <c r="N24" s="1">
        <f t="shared" si="39"/>
        <v>-1.2416607846262435</v>
      </c>
      <c r="O24" s="1">
        <f t="shared" si="39"/>
        <v>-1.4656294649944437</v>
      </c>
      <c r="P24" s="1">
        <f t="shared" si="39"/>
        <v>-1.4171371263085535</v>
      </c>
      <c r="Q24" s="1">
        <f t="shared" si="39"/>
        <v>-0.45560193049758646</v>
      </c>
      <c r="R24" s="1">
        <f t="shared" si="39"/>
        <v>0.43958937060817888</v>
      </c>
      <c r="S24" s="1">
        <f t="shared" si="39"/>
        <v>0.37048247472607271</v>
      </c>
      <c r="T24" s="1">
        <f t="shared" si="39"/>
        <v>7.1219640119422029E-2</v>
      </c>
      <c r="U24" s="1">
        <f t="shared" si="39"/>
        <v>0.35483035998725687</v>
      </c>
      <c r="V24" s="1">
        <f t="shared" si="39"/>
        <v>1.4721776646938443</v>
      </c>
    </row>
    <row r="25" spans="2:43" s="2" customFormat="1" x14ac:dyDescent="0.2">
      <c r="B25" s="2" t="s">
        <v>1</v>
      </c>
      <c r="C25" s="5"/>
      <c r="D25" s="5"/>
      <c r="E25" s="5"/>
      <c r="F25" s="5"/>
      <c r="G25" s="5"/>
      <c r="H25" s="5"/>
      <c r="I25" s="5">
        <v>79.88</v>
      </c>
      <c r="J25" s="5"/>
      <c r="K25" s="5"/>
      <c r="L25" s="5"/>
      <c r="M25" s="5">
        <v>87.628</v>
      </c>
      <c r="N25" s="2">
        <v>87.837999999999994</v>
      </c>
      <c r="O25" s="2">
        <v>88.186000000000007</v>
      </c>
      <c r="P25" s="2">
        <v>88.742999999999995</v>
      </c>
      <c r="Q25" s="5">
        <v>88.888999999999996</v>
      </c>
      <c r="R25" s="2">
        <v>105.59399999999999</v>
      </c>
      <c r="S25" s="2">
        <v>99.114000000000004</v>
      </c>
      <c r="T25" s="2">
        <v>99.144000000000005</v>
      </c>
      <c r="U25" s="2">
        <v>100.44799999999999</v>
      </c>
      <c r="V25" s="2">
        <v>108.474</v>
      </c>
      <c r="AO25" s="2">
        <f>R25</f>
        <v>105.59399999999999</v>
      </c>
      <c r="AP25" s="2">
        <f>+V25</f>
        <v>108.474</v>
      </c>
    </row>
    <row r="27" spans="2:43" x14ac:dyDescent="0.2">
      <c r="AP27" s="22">
        <f>+AP13/AO13-1</f>
        <v>0.56176913482333446</v>
      </c>
      <c r="AQ27" s="22">
        <f>+AQ13/AP13-1</f>
        <v>0.30234078584723312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G48"/>
  <sheetViews>
    <sheetView zoomScale="85" zoomScaleNormal="8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4" t="s">
        <v>7</v>
      </c>
    </row>
    <row r="2" spans="1:3" x14ac:dyDescent="0.2">
      <c r="B2" t="s">
        <v>33</v>
      </c>
      <c r="C2" t="s">
        <v>72</v>
      </c>
    </row>
    <row r="3" spans="1:3" x14ac:dyDescent="0.2">
      <c r="B3" t="s">
        <v>66</v>
      </c>
      <c r="C3" t="s">
        <v>70</v>
      </c>
    </row>
    <row r="4" spans="1:3" x14ac:dyDescent="0.2">
      <c r="B4" t="s">
        <v>40</v>
      </c>
      <c r="C4" t="s">
        <v>86</v>
      </c>
    </row>
    <row r="5" spans="1:3" x14ac:dyDescent="0.2">
      <c r="B5" t="s">
        <v>68</v>
      </c>
      <c r="C5" t="s">
        <v>73</v>
      </c>
    </row>
    <row r="6" spans="1:3" x14ac:dyDescent="0.2">
      <c r="B6" t="s">
        <v>71</v>
      </c>
      <c r="C6" t="s">
        <v>85</v>
      </c>
    </row>
    <row r="7" spans="1:3" x14ac:dyDescent="0.2">
      <c r="C7" t="s">
        <v>84</v>
      </c>
    </row>
    <row r="8" spans="1:3" x14ac:dyDescent="0.2">
      <c r="B8" t="s">
        <v>0</v>
      </c>
      <c r="C8" t="s">
        <v>78</v>
      </c>
    </row>
    <row r="9" spans="1:3" x14ac:dyDescent="0.2">
      <c r="B9" t="s">
        <v>67</v>
      </c>
    </row>
    <row r="10" spans="1:3" x14ac:dyDescent="0.2">
      <c r="C10" s="19" t="s">
        <v>74</v>
      </c>
    </row>
    <row r="12" spans="1:3" x14ac:dyDescent="0.2">
      <c r="C12" s="19" t="s">
        <v>102</v>
      </c>
    </row>
    <row r="13" spans="1:3" x14ac:dyDescent="0.2">
      <c r="C13" t="s">
        <v>87</v>
      </c>
    </row>
    <row r="15" spans="1:3" x14ac:dyDescent="0.2">
      <c r="C15" s="19" t="s">
        <v>101</v>
      </c>
    </row>
    <row r="16" spans="1:3" x14ac:dyDescent="0.2">
      <c r="C16" t="s">
        <v>89</v>
      </c>
    </row>
    <row r="17" spans="3:7" x14ac:dyDescent="0.2">
      <c r="C17" s="21" t="s">
        <v>109</v>
      </c>
      <c r="D17" s="21"/>
    </row>
    <row r="18" spans="3:7" x14ac:dyDescent="0.2">
      <c r="C18" s="21"/>
      <c r="D18" s="21" t="s">
        <v>105</v>
      </c>
      <c r="G18" t="s">
        <v>110</v>
      </c>
    </row>
    <row r="19" spans="3:7" x14ac:dyDescent="0.2">
      <c r="C19" s="21"/>
      <c r="D19" s="21" t="s">
        <v>106</v>
      </c>
    </row>
    <row r="20" spans="3:7" x14ac:dyDescent="0.2">
      <c r="C20" s="21"/>
      <c r="D20" s="21" t="s">
        <v>107</v>
      </c>
    </row>
    <row r="21" spans="3:7" x14ac:dyDescent="0.2">
      <c r="C21" s="21"/>
      <c r="D21" s="21" t="s">
        <v>108</v>
      </c>
    </row>
    <row r="22" spans="3:7" x14ac:dyDescent="0.2">
      <c r="C22" t="s">
        <v>90</v>
      </c>
    </row>
    <row r="23" spans="3:7" x14ac:dyDescent="0.2">
      <c r="C23" t="s">
        <v>103</v>
      </c>
    </row>
    <row r="26" spans="3:7" x14ac:dyDescent="0.2">
      <c r="C26" s="19" t="s">
        <v>100</v>
      </c>
    </row>
    <row r="27" spans="3:7" x14ac:dyDescent="0.2">
      <c r="C27" t="s">
        <v>88</v>
      </c>
    </row>
    <row r="28" spans="3:7" x14ac:dyDescent="0.2">
      <c r="C28" t="s">
        <v>104</v>
      </c>
    </row>
    <row r="30" spans="3:7" x14ac:dyDescent="0.2">
      <c r="C30" t="s">
        <v>91</v>
      </c>
    </row>
    <row r="31" spans="3:7" x14ac:dyDescent="0.2">
      <c r="C31" t="s">
        <v>92</v>
      </c>
    </row>
    <row r="32" spans="3:7" x14ac:dyDescent="0.2">
      <c r="C32" t="s">
        <v>93</v>
      </c>
    </row>
    <row r="33" spans="3:5" x14ac:dyDescent="0.2">
      <c r="C33" t="s">
        <v>94</v>
      </c>
    </row>
    <row r="35" spans="3:5" x14ac:dyDescent="0.2">
      <c r="C35" t="s">
        <v>95</v>
      </c>
    </row>
    <row r="36" spans="3:5" x14ac:dyDescent="0.2">
      <c r="C36" t="s">
        <v>96</v>
      </c>
    </row>
    <row r="37" spans="3:5" x14ac:dyDescent="0.2">
      <c r="C37" t="s">
        <v>97</v>
      </c>
    </row>
    <row r="41" spans="3:5" x14ac:dyDescent="0.2">
      <c r="C41" s="19" t="s">
        <v>75</v>
      </c>
    </row>
    <row r="42" spans="3:5" x14ac:dyDescent="0.2">
      <c r="C42" t="s">
        <v>76</v>
      </c>
    </row>
    <row r="43" spans="3:5" x14ac:dyDescent="0.2">
      <c r="C43" t="s">
        <v>77</v>
      </c>
    </row>
    <row r="44" spans="3:5" x14ac:dyDescent="0.2">
      <c r="C44" t="s">
        <v>79</v>
      </c>
    </row>
    <row r="45" spans="3:5" x14ac:dyDescent="0.2">
      <c r="D45" t="s">
        <v>82</v>
      </c>
    </row>
    <row r="46" spans="3:5" x14ac:dyDescent="0.2">
      <c r="E46" t="s">
        <v>80</v>
      </c>
    </row>
    <row r="47" spans="3:5" x14ac:dyDescent="0.2">
      <c r="E47" t="s">
        <v>81</v>
      </c>
    </row>
    <row r="48" spans="3:5" x14ac:dyDescent="0.2">
      <c r="E48" t="s">
        <v>83</v>
      </c>
    </row>
  </sheetData>
  <hyperlinks>
    <hyperlink ref="A1" location="Main!A1" display="Main" xr:uid="{1C56457E-1F94-450D-8D8D-8A3035D380A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Elevidys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2023-02-04T19:19:41Z</dcterms:created>
  <dcterms:modified xsi:type="dcterms:W3CDTF">2025-05-07T00:24:19Z</dcterms:modified>
</cp:coreProperties>
</file>