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937B6ACD-FAC7-4641-AC51-EF3A6B916197}" xr6:coauthVersionLast="47" xr6:coauthVersionMax="47" xr10:uidLastSave="{00000000-0000-0000-0000-000000000000}"/>
  <bookViews>
    <workbookView xWindow="-45120" yWindow="4590" windowWidth="21735" windowHeight="15195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H14" i="1"/>
  <c r="AG14" i="1"/>
  <c r="AF14" i="1"/>
  <c r="AE14" i="1"/>
  <c r="AD14" i="1"/>
  <c r="AS340" i="1"/>
  <c r="AS339" i="1"/>
  <c r="AS338" i="1"/>
  <c r="AS336" i="1"/>
  <c r="AS335" i="1"/>
  <c r="AS331" i="1"/>
  <c r="AS330" i="1"/>
  <c r="AS328" i="1"/>
  <c r="AS327" i="1"/>
  <c r="AS325" i="1"/>
  <c r="AS324" i="1"/>
  <c r="AS320" i="1"/>
  <c r="AS319" i="1"/>
  <c r="AS317" i="1"/>
  <c r="AS313" i="1"/>
  <c r="AS312" i="1"/>
  <c r="AS291" i="1"/>
  <c r="AS310" i="1"/>
  <c r="AS307" i="1"/>
  <c r="AS306" i="1"/>
  <c r="AS304" i="1"/>
  <c r="AS302" i="1"/>
  <c r="AS300" i="1"/>
  <c r="AS299" i="1"/>
  <c r="AS297" i="1"/>
  <c r="AS296" i="1"/>
  <c r="AS295" i="1"/>
  <c r="AS286" i="1"/>
  <c r="AS292" i="1"/>
  <c r="AS285" i="1"/>
  <c r="AS281" i="1"/>
  <c r="AS280" i="1"/>
  <c r="AS278" i="1"/>
  <c r="AS271" i="1"/>
  <c r="AS264" i="1"/>
  <c r="AS258" i="1"/>
  <c r="AS256" i="1"/>
  <c r="AS254" i="1"/>
  <c r="AS253" i="1"/>
  <c r="AS251" i="1"/>
  <c r="AS242" i="1"/>
  <c r="AS236" i="1"/>
  <c r="AS235" i="1"/>
  <c r="AS229" i="1"/>
  <c r="AS227" i="1"/>
  <c r="AS219" i="1"/>
  <c r="AS215" i="1"/>
  <c r="AS212" i="1"/>
  <c r="AS190" i="1"/>
  <c r="AS180" i="1"/>
  <c r="AS166" i="1"/>
  <c r="AS142" i="1"/>
  <c r="AS138" i="1"/>
  <c r="AS117" i="1"/>
  <c r="AS100" i="1"/>
  <c r="AS96" i="1"/>
  <c r="AS88" i="1"/>
  <c r="AS65" i="1"/>
  <c r="AS68" i="1"/>
  <c r="AS32" i="1"/>
  <c r="AS52" i="1"/>
  <c r="AS505" i="1"/>
  <c r="AS504" i="1"/>
  <c r="AS120" i="1"/>
  <c r="AS520" i="1"/>
  <c r="AS337" i="1"/>
  <c r="AS613" i="1"/>
  <c r="AS453" i="1"/>
  <c r="AS608" i="1"/>
  <c r="AS369" i="1"/>
  <c r="AS333" i="1"/>
  <c r="AS401" i="1"/>
  <c r="AS263" i="1"/>
  <c r="AS611" i="1"/>
  <c r="AS609" i="1"/>
  <c r="AS607" i="1"/>
  <c r="AS366" i="1"/>
  <c r="AS612" i="1"/>
  <c r="AS987" i="1"/>
  <c r="AS438" i="1"/>
  <c r="AS195" i="1"/>
  <c r="AS610" i="1"/>
  <c r="AS364" i="1"/>
  <c r="AS602" i="1"/>
  <c r="AS237" i="1"/>
  <c r="AS245" i="1"/>
  <c r="AS204" i="1"/>
  <c r="AS202" i="1"/>
  <c r="AS581" i="1"/>
  <c r="AS583" i="1"/>
  <c r="AS379" i="1"/>
  <c r="AS441" i="1"/>
  <c r="AS402" i="1"/>
  <c r="AS586" i="1"/>
  <c r="AS439" i="1"/>
  <c r="AS587" i="1"/>
  <c r="AS386" i="1"/>
  <c r="AS591" i="1"/>
  <c r="AS588" i="1"/>
  <c r="AS456" i="1"/>
  <c r="AS1145" i="1"/>
  <c r="AS589" i="1"/>
  <c r="AS590" i="1"/>
  <c r="AS592" i="1"/>
  <c r="AS593" i="1"/>
  <c r="AS595" i="1"/>
  <c r="AS596" i="1"/>
  <c r="AS597" i="1"/>
  <c r="AS601" i="1"/>
  <c r="AS598" i="1"/>
  <c r="AS599" i="1"/>
  <c r="AS600" i="1"/>
  <c r="AS603" i="1"/>
  <c r="AS604" i="1"/>
  <c r="AS605" i="1"/>
  <c r="AS606" i="1"/>
  <c r="AS527" i="1"/>
  <c r="AS477" i="1"/>
  <c r="AS454" i="1"/>
  <c r="AS257" i="1"/>
  <c r="AS287" i="1"/>
  <c r="AJ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S171" i="1"/>
  <c r="AS555" i="1"/>
  <c r="AS240" i="1"/>
  <c r="AS200" i="1"/>
  <c r="AS323" i="1"/>
  <c r="AS413" i="1"/>
  <c r="AS314" i="1"/>
  <c r="AS357" i="1"/>
  <c r="AS529" i="1"/>
  <c r="AS143" i="1"/>
  <c r="AS259" i="1"/>
  <c r="AS417" i="1"/>
  <c r="AS131" i="1"/>
  <c r="AS139" i="1"/>
  <c r="AS114" i="1"/>
  <c r="AS161" i="1"/>
  <c r="AS109" i="1"/>
  <c r="AS169" i="1"/>
  <c r="AS111" i="1"/>
  <c r="AS128" i="1"/>
  <c r="AS250" i="1"/>
  <c r="AS221" i="1"/>
  <c r="AS298" i="1"/>
  <c r="AS551" i="1"/>
  <c r="AS261" i="1"/>
  <c r="AS309" i="1"/>
  <c r="AS579" i="1"/>
  <c r="AS214" i="1"/>
  <c r="AS217" i="1"/>
  <c r="AS358" i="1"/>
  <c r="AS205" i="1"/>
  <c r="AS274" i="1"/>
  <c r="AS544" i="1"/>
  <c r="AS459" i="1"/>
  <c r="AS187" i="1"/>
  <c r="AS322" i="1"/>
  <c r="AS378" i="1"/>
  <c r="AS196" i="1"/>
  <c r="AS525" i="1"/>
  <c r="AS524" i="1"/>
  <c r="AS577" i="1"/>
  <c r="O826" i="1"/>
  <c r="O902" i="1"/>
  <c r="O951" i="1"/>
  <c r="O851" i="1"/>
  <c r="O506" i="1"/>
  <c r="O710" i="1"/>
  <c r="O896" i="1"/>
  <c r="O816" i="1"/>
  <c r="AS213" i="1"/>
  <c r="AS451" i="1"/>
  <c r="AS226" i="1"/>
  <c r="AS192" i="1"/>
  <c r="AS247" i="1"/>
  <c r="AS266" i="1"/>
  <c r="AS576" i="1"/>
  <c r="AS232" i="1"/>
  <c r="AS316" i="1"/>
  <c r="AS355" i="1"/>
  <c r="AS288" i="1"/>
  <c r="AS201" i="1"/>
  <c r="AS6" i="1"/>
  <c r="AS207" i="1"/>
  <c r="AS113" i="1"/>
  <c r="AS542" i="1"/>
  <c r="AS243" i="1"/>
  <c r="AS381" i="1"/>
  <c r="AS260" i="1"/>
  <c r="AS267" i="1"/>
  <c r="AS289" i="1"/>
  <c r="AS225" i="1"/>
  <c r="AS268" i="1"/>
  <c r="AS239" i="1"/>
  <c r="AS163" i="1"/>
  <c r="AS431" i="1"/>
  <c r="AS230" i="1"/>
  <c r="AS301" i="1"/>
  <c r="AS276" i="1"/>
  <c r="AS211" i="1"/>
  <c r="AS293" i="1"/>
  <c r="AS343" i="1"/>
  <c r="AS574" i="1"/>
  <c r="AS209" i="1"/>
  <c r="AS356" i="1"/>
  <c r="AS279" i="1"/>
  <c r="AS222" i="1"/>
  <c r="AS450" i="1"/>
  <c r="AS231" i="1"/>
  <c r="AS168" i="1"/>
  <c r="AS216" i="1"/>
  <c r="AS189" i="1"/>
  <c r="AS575" i="1"/>
  <c r="AS582" i="1"/>
  <c r="AS132" i="1"/>
  <c r="AS170" i="1"/>
  <c r="AS308" i="1"/>
  <c r="AS560" i="1"/>
  <c r="AS353" i="1"/>
  <c r="AS464" i="1"/>
  <c r="AS522" i="1"/>
  <c r="AS184" i="1"/>
  <c r="AY503" i="1" s="1"/>
  <c r="AS57" i="1"/>
  <c r="AY18" i="1" s="1"/>
  <c r="AS519" i="1"/>
  <c r="AS81" i="1"/>
  <c r="AS515" i="1"/>
  <c r="AS50" i="1"/>
  <c r="AS95" i="1"/>
  <c r="AS521" i="1"/>
  <c r="AS377" i="1"/>
  <c r="AS514" i="1"/>
  <c r="AS573" i="1"/>
  <c r="AS365" i="1"/>
  <c r="AS517" i="1"/>
  <c r="AS360" i="1"/>
  <c r="AS516" i="1"/>
  <c r="AS125" i="1"/>
  <c r="AS197" i="1"/>
  <c r="AS148" i="1"/>
  <c r="AS185" i="1"/>
  <c r="AS523" i="1"/>
  <c r="AS115" i="1"/>
  <c r="AS29" i="1"/>
  <c r="AS61" i="1"/>
  <c r="AS303" i="1"/>
  <c r="AS344" i="1"/>
  <c r="AY22" i="1" s="1"/>
  <c r="AS513" i="1"/>
  <c r="AS512" i="1"/>
  <c r="AS511" i="1"/>
  <c r="AS510" i="1"/>
  <c r="AS56" i="1"/>
  <c r="AS30" i="1"/>
  <c r="AS35" i="1"/>
  <c r="AS503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S461" i="1"/>
  <c r="AS290" i="1"/>
  <c r="AS191" i="1"/>
  <c r="AS547" i="1"/>
  <c r="AS329" i="1"/>
  <c r="AS157" i="1"/>
  <c r="AS585" i="1"/>
  <c r="AS275" i="1"/>
  <c r="AS315" i="1"/>
  <c r="AS178" i="1"/>
  <c r="AS181" i="1"/>
  <c r="AS182" i="1"/>
  <c r="AS188" i="1"/>
  <c r="AS179" i="1"/>
  <c r="AS126" i="1"/>
  <c r="AS426" i="1"/>
  <c r="AS578" i="1"/>
  <c r="AS158" i="1"/>
  <c r="AS466" i="1"/>
  <c r="AS584" i="1"/>
  <c r="AS255" i="1"/>
  <c r="AS160" i="1"/>
  <c r="AS151" i="1"/>
  <c r="AS334" i="1"/>
  <c r="AS305" i="1"/>
  <c r="AS269" i="1"/>
  <c r="AS165" i="1"/>
  <c r="AS284" i="1"/>
  <c r="AS262" i="1"/>
  <c r="AS311" i="1"/>
  <c r="AS282" i="1"/>
  <c r="AS193" i="1"/>
  <c r="AS277" i="1"/>
  <c r="AS224" i="1"/>
  <c r="AS218" i="1"/>
  <c r="AS332" i="1"/>
  <c r="AS234" i="1"/>
  <c r="AS249" i="1"/>
  <c r="AS380" i="1"/>
  <c r="AS283" i="1"/>
  <c r="AS294" i="1"/>
  <c r="AS538" i="1"/>
  <c r="AS176" i="1"/>
  <c r="AS210" i="1"/>
  <c r="AS199" i="1"/>
  <c r="AS150" i="1"/>
  <c r="AS548" i="1"/>
  <c r="AS177" i="1"/>
  <c r="AS411" i="1"/>
  <c r="AS273" i="1"/>
  <c r="AS415" i="1"/>
  <c r="AS154" i="1"/>
  <c r="AS594" i="1"/>
  <c r="AS147" i="1"/>
  <c r="AS321" i="1"/>
  <c r="AS541" i="1"/>
  <c r="AS531" i="1"/>
  <c r="AS145" i="1"/>
  <c r="AS248" i="1"/>
  <c r="AS155" i="1"/>
  <c r="AS159" i="1"/>
  <c r="AS106" i="1"/>
  <c r="AS241" i="1"/>
  <c r="AS149" i="1"/>
  <c r="AS228" i="1"/>
  <c r="AS174" i="1"/>
  <c r="AS272" i="1"/>
  <c r="AS326" i="1"/>
  <c r="AS526" i="1"/>
  <c r="AS244" i="1"/>
  <c r="AO129" i="1"/>
  <c r="AS129" i="1" s="1"/>
  <c r="AS580" i="1"/>
  <c r="AS370" i="1"/>
  <c r="AS470" i="1"/>
  <c r="AS153" i="1"/>
  <c r="AS186" i="1"/>
  <c r="AS238" i="1"/>
  <c r="AS198" i="1"/>
  <c r="AS175" i="1"/>
  <c r="AS146" i="1"/>
  <c r="AS141" i="1"/>
  <c r="AS223" i="1"/>
  <c r="AS167" i="1"/>
  <c r="AS110" i="1"/>
  <c r="AS156" i="1"/>
  <c r="AS144" i="1"/>
  <c r="AS133" i="1"/>
  <c r="AS183" i="1"/>
  <c r="AS130" i="1"/>
  <c r="AS21" i="1"/>
  <c r="AS140" i="1"/>
  <c r="AS123" i="1"/>
  <c r="AS246" i="1"/>
  <c r="AS252" i="1"/>
  <c r="AS539" i="1"/>
  <c r="AS270" i="1"/>
  <c r="AS152" i="1"/>
  <c r="AS203" i="1"/>
  <c r="AS265" i="1"/>
  <c r="AS172" i="1"/>
  <c r="AS71" i="1"/>
  <c r="AS121" i="1"/>
  <c r="AS194" i="1"/>
  <c r="AS349" i="1"/>
  <c r="AS118" i="1"/>
  <c r="AS98" i="1"/>
  <c r="AS90" i="1"/>
  <c r="AS108" i="1"/>
  <c r="AS518" i="1"/>
  <c r="AS62" i="1"/>
  <c r="AS164" i="1"/>
  <c r="AS112" i="1"/>
  <c r="AS94" i="1"/>
  <c r="AS173" i="1"/>
  <c r="AS122" i="1"/>
  <c r="AS19" i="1"/>
  <c r="AS119" i="1"/>
  <c r="AS318" i="1"/>
  <c r="AS220" i="1"/>
  <c r="AS136" i="1"/>
  <c r="AS127" i="1"/>
  <c r="AS124" i="1"/>
  <c r="AS233" i="1"/>
  <c r="AS206" i="1"/>
  <c r="AS208" i="1"/>
  <c r="AS89" i="1"/>
  <c r="AS92" i="1"/>
  <c r="AS80" i="1"/>
  <c r="AS105" i="1"/>
  <c r="AS134" i="1"/>
  <c r="AS97" i="1"/>
  <c r="AS162" i="1"/>
  <c r="AS70" i="1"/>
  <c r="AS101" i="1"/>
  <c r="AS116" i="1"/>
  <c r="AS77" i="1"/>
  <c r="AS91" i="1"/>
  <c r="AS137" i="1"/>
  <c r="AS99" i="1"/>
  <c r="AS135" i="1"/>
  <c r="AS73" i="1"/>
  <c r="AS74" i="1"/>
  <c r="AS20" i="1"/>
  <c r="AS76" i="1"/>
  <c r="AS84" i="1"/>
  <c r="AS79" i="1"/>
  <c r="AS85" i="1"/>
  <c r="AS7" i="1"/>
  <c r="AS86" i="1"/>
  <c r="AS69" i="1"/>
  <c r="AS104" i="1"/>
  <c r="AS87" i="1"/>
  <c r="AS83" i="1"/>
  <c r="AS82" i="1"/>
  <c r="AS103" i="1"/>
  <c r="AS93" i="1"/>
  <c r="AS64" i="1"/>
  <c r="AS78" i="1"/>
  <c r="AS44" i="1"/>
  <c r="AS43" i="1"/>
  <c r="AS502" i="1"/>
  <c r="AS33" i="1"/>
  <c r="AS107" i="1"/>
  <c r="AS67" i="1"/>
  <c r="AS51" i="1"/>
  <c r="AS60" i="1"/>
  <c r="AS66" i="1"/>
  <c r="AS55" i="1"/>
  <c r="AS102" i="1"/>
  <c r="AS47" i="1"/>
  <c r="AS72" i="1"/>
  <c r="AS39" i="1"/>
  <c r="AS46" i="1"/>
  <c r="AS59" i="1"/>
  <c r="AS42" i="1"/>
  <c r="AS54" i="1"/>
  <c r="AS58" i="1"/>
  <c r="AS26" i="1"/>
  <c r="AS31" i="1"/>
  <c r="AS45" i="1"/>
  <c r="AS3" i="1"/>
  <c r="AS10" i="1"/>
  <c r="AS16" i="1"/>
  <c r="AS15" i="1"/>
  <c r="AS18" i="1"/>
  <c r="AS12" i="1"/>
  <c r="AY6" i="1" s="1"/>
  <c r="AS22" i="1"/>
  <c r="AS23" i="1"/>
  <c r="AS17" i="1"/>
  <c r="AY12" i="1" s="1"/>
  <c r="AS63" i="1"/>
  <c r="AY15" i="1" s="1"/>
  <c r="AS27" i="1"/>
  <c r="AS25" i="1"/>
  <c r="AS24" i="1"/>
  <c r="AS49" i="1"/>
  <c r="AS40" i="1"/>
  <c r="AS48" i="1"/>
  <c r="AS53" i="1"/>
  <c r="AS37" i="1"/>
  <c r="AS36" i="1"/>
  <c r="AS34" i="1"/>
  <c r="AS75" i="1"/>
  <c r="AS41" i="1"/>
  <c r="A10" i="1"/>
  <c r="AY16" i="1" l="1"/>
  <c r="AY344" i="1"/>
  <c r="AY10" i="1"/>
  <c r="AY4" i="1"/>
  <c r="AY5" i="1"/>
  <c r="AY3" i="1"/>
  <c r="AV3" i="1"/>
  <c r="AZ344" i="1" l="1"/>
  <c r="AZ4" i="1"/>
  <c r="AZ503" i="1"/>
  <c r="AZ18" i="1"/>
  <c r="AZ15" i="1"/>
  <c r="AZ12" i="1"/>
  <c r="AZ22" i="1"/>
  <c r="AZ6" i="1"/>
  <c r="AZ10" i="1"/>
  <c r="AZ5" i="1"/>
  <c r="AZ16" i="1"/>
  <c r="AZ3" i="1"/>
  <c r="A618" i="1" l="1"/>
  <c r="A620" i="1" l="1"/>
  <c r="A622" i="1" s="1"/>
  <c r="A623" i="1" s="1"/>
  <c r="A624" i="1" s="1"/>
  <c r="A628" i="1" s="1"/>
  <c r="A629" i="1" s="1"/>
  <c r="A641" i="1" s="1"/>
  <c r="A657" i="1" s="1"/>
  <c r="A658" i="1" s="1"/>
  <c r="A659" i="1" s="1"/>
  <c r="A660" i="1" s="1"/>
  <c r="A669" i="1" l="1"/>
  <c r="A670" i="1" s="1"/>
  <c r="A671" i="1" s="1"/>
  <c r="A6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tc={51D53592-7EE9-ED4F-89BF-D1020A63BC4A}</author>
    <author>tc={999F9F0B-A1D6-3244-82D9-C0A2E4188722}</author>
    <author>tc={9DBC7533-7AAF-442D-9090-E88EA8FB7282}</author>
  </authors>
  <commentList>
    <comment ref="AK12" authorId="0" shapeId="0" xr:uid="{51D53592-7EE9-ED4F-89BF-D1020A63BC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X.com 87.54M
</t>
      </text>
    </comment>
    <comment ref="AL12" authorId="1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E495" authorId="2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<sst xmlns="http://schemas.openxmlformats.org/spreadsheetml/2006/main" count="4241" uniqueCount="1481">
  <si>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</si>
  <si>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</si>
  <si>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</si>
  <si>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</si>
  <si>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</si>
  <si>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</si>
  <si>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</si>
  <si>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</si>
  <si>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</si>
  <si>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</si>
  <si>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</si>
  <si>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</si>
  <si>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</si>
  <si>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</si>
  <si>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</si>
  <si>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</si>
  <si>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</si>
  <si>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</si>
  <si>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</si>
  <si>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</si>
  <si>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</si>
  <si>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</si>
  <si>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</si>
  <si>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</si>
  <si>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</si>
  <si>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</si>
  <si>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</si>
  <si>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</si>
  <si>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</si>
  <si>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</si>
  <si>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</si>
  <si>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</si>
  <si>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</si>
  <si>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</si>
  <si>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</si>
  <si>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</si>
  <si>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</si>
  <si>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</si>
  <si>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</si>
  <si>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</si>
  <si>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</si>
  <si>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</si>
  <si>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</si>
  <si>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</si>
  <si>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</si>
  <si>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</si>
  <si>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</si>
  <si>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</si>
  <si>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</si>
  <si>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</si>
  <si>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</si>
  <si>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</si>
  <si>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</si>
  <si>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</si>
  <si>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</si>
  <si>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</si>
  <si>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</si>
  <si>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</si>
  <si>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</si>
  <si>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</si>
  <si>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</si>
  <si>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</si>
  <si>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</si>
  <si>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</si>
  <si>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</si>
  <si>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</si>
  <si>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</si>
  <si>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</si>
  <si>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</si>
  <si>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</si>
  <si>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</si>
  <si>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</si>
  <si>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</si>
  <si>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</si>
  <si>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</si>
  <si>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</si>
  <si>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</si>
  <si>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</si>
  <si>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</si>
  <si>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</si>
  <si>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</si>
  <si>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</si>
  <si>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</si>
  <si>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</si>
  <si>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</si>
  <si>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</si>
  <si>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</si>
  <si>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</si>
  <si>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</si>
  <si>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</si>
  <si>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</si>
  <si>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</si>
  <si>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</si>
  <si>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</si>
  <si>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</si>
  <si>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</si>
  <si>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</si>
  <si>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</si>
  <si>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</si>
  <si>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</si>
  <si>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</si>
  <si>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</si>
  <si>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</si>
  <si>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</si>
  <si>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</si>
  <si>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</si>
  <si>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</si>
  <si>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</si>
  <si>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</si>
  <si>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</si>
  <si>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</si>
  <si>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</si>
  <si>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</si>
  <si>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</si>
  <si>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</si>
  <si>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</si>
  <si>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</si>
  <si>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</si>
  <si>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</si>
  <si>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</si>
  <si>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</si>
  <si>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</si>
  <si>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</si>
  <si>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</si>
  <si>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</si>
  <si>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</si>
  <si>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</si>
  <si>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</si>
  <si>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</si>
  <si>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</si>
  <si>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</si>
  <si>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</si>
  <si>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</si>
  <si>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</si>
  <si>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</si>
  <si>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</si>
  <si>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</si>
  <si>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</si>
  <si>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</si>
  <si>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</si>
  <si>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</si>
  <si>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</si>
  <si>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</si>
  <si>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</si>
  <si>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</si>
  <si>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</si>
  <si>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</si>
  <si>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</si>
  <si>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</si>
  <si>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</si>
  <si>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</si>
  <si>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</si>
  <si>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</si>
  <si>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</si>
  <si>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</si>
  <si>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</si>
  <si>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</si>
  <si>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</si>
  <si>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</si>
  <si>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</si>
  <si>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</si>
  <si>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</si>
  <si>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</si>
  <si>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</si>
  <si>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</si>
  <si>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</si>
  <si>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</si>
  <si>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</si>
  <si>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</si>
  <si>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</si>
  <si>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</si>
  <si>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</si>
  <si>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</si>
  <si>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</si>
  <si>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</si>
  <si>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</si>
  <si>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</si>
  <si>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</si>
  <si>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</si>
  <si>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</si>
  <si>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</si>
  <si>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</si>
  <si>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</si>
  <si>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</si>
  <si>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</si>
  <si>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</si>
  <si>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</si>
  <si>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</si>
  <si>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</si>
  <si>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</si>
  <si>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</si>
  <si>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</si>
  <si>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</si>
  <si>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</si>
  <si>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</si>
  <si>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</si>
  <si>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</si>
  <si>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</si>
  <si>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</si>
  <si>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</si>
  <si>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</si>
  <si>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</si>
  <si>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</si>
  <si>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</si>
  <si>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</si>
  <si>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</si>
  <si>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</si>
  <si>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</si>
  <si>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</si>
  <si>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</si>
  <si>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</si>
  <si>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</si>
  <si>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</si>
  <si>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</si>
  <si>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</si>
  <si>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</si>
  <si>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</si>
  <si>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</si>
  <si>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</si>
  <si>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</si>
  <si>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</si>
  <si>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</si>
  <si>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</si>
  <si>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</si>
  <si>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</si>
  <si>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</si>
  <si>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</si>
  <si>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</si>
  <si>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</si>
  <si>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</si>
  <si>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</si>
  <si>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</si>
  <si>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</si>
  <si>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</si>
  <si>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</si>
  <si>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</si>
  <si>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</si>
  <si>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</si>
  <si>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</si>
  <si>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</si>
  <si>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</si>
  <si>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</si>
  <si>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</si>
  <si>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</si>
  <si>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</si>
  <si>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</si>
  <si>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</si>
  <si>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</si>
  <si>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</si>
  <si>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</si>
  <si>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</si>
  <si>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</si>
  <si>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</si>
  <si>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</si>
  <si>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</si>
  <si>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</si>
  <si>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</si>
  <si>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</si>
  <si>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</si>
  <si>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</si>
  <si>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</si>
  <si>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</si>
  <si>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</si>
  <si>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</si>
  <si>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</si>
  <si>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</si>
  <si>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</si>
  <si>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</si>
  <si>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</si>
  <si>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</si>
  <si>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</si>
  <si>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</si>
  <si>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</si>
  <si>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</si>
  <si>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</si>
  <si>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</si>
  <si>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</si>
  <si>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</si>
  <si>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</si>
  <si>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</si>
  <si>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</si>
  <si>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</si>
  <si>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</si>
  <si>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</si>
  <si>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</si>
  <si>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</si>
  <si>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</si>
  <si>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</si>
  <si>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</si>
  <si>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</si>
  <si>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</si>
  <si>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</si>
  <si>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</si>
  <si>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</si>
  <si>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</si>
  <si>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</si>
  <si>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</si>
  <si>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</si>
  <si>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</si>
  <si>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</si>
  <si>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</si>
  <si>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</si>
  <si>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</si>
  <si>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</si>
  <si>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</si>
  <si>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</si>
  <si>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</si>
  <si>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</si>
  <si>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</si>
  <si>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</si>
  <si>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</si>
  <si>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</si>
  <si>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</si>
  <si>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</si>
  <si>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</si>
  <si>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</si>
  <si>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</si>
  <si>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</si>
  <si>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</si>
  <si>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</si>
  <si>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</si>
  <si>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</si>
  <si>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</si>
  <si>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</si>
  <si>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</si>
  <si>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</si>
  <si>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</si>
  <si>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</si>
  <si>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</si>
  <si>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</si>
  <si>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</si>
  <si>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</si>
  <si>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</si>
  <si>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</si>
  <si>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</si>
  <si>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</si>
  <si>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</si>
  <si>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</si>
  <si>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</si>
  <si>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</si>
  <si>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</si>
  <si>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</si>
  <si>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</si>
  <si>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</si>
  <si>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</si>
  <si>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</si>
  <si>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</si>
  <si>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</si>
  <si>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</si>
  <si>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</si>
  <si>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</si>
  <si>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</si>
  <si>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</si>
  <si>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</si>
  <si>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</si>
  <si>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</si>
  <si>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</si>
  <si>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</si>
  <si>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</si>
  <si>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</si>
  <si>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</si>
  <si>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</si>
  <si>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</si>
  <si>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</si>
  <si>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</si>
  <si>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</si>
  <si>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</si>
  <si>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</si>
  <si>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</si>
  <si>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</si>
  <si>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</si>
  <si>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</si>
  <si>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</si>
  <si>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</si>
  <si>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</si>
  <si>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</si>
  <si>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</si>
  <si>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</si>
  <si>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</si>
  <si>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</si>
  <si>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</si>
  <si>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</si>
  <si>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</si>
  <si>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</si>
  <si>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</si>
  <si>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</si>
  <si>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</si>
  <si>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</si>
  <si>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</si>
  <si>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</si>
  <si>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</si>
  <si>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</si>
  <si>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</si>
  <si>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</si>
  <si>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</si>
  <si>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</si>
  <si>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</si>
  <si>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</si>
  <si>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</si>
  <si>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</si>
  <si>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</si>
  <si>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</si>
  <si>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</si>
  <si>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</si>
  <si>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</si>
  <si>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</si>
  <si>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</si>
  <si>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</si>
  <si>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</si>
  <si>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</si>
  <si>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</si>
  <si>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</si>
  <si>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</si>
  <si>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</si>
  <si>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</si>
  <si>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</si>
  <si>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</si>
  <si>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</si>
  <si>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</si>
  <si>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</si>
  <si>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</si>
  <si>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</si>
  <si>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</si>
  <si>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</si>
  <si>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</si>
  <si>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</si>
  <si>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</si>
  <si>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</si>
  <si>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</si>
  <si>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</si>
  <si>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</si>
  <si>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</si>
  <si>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</si>
  <si>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</si>
  <si>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</si>
  <si>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</si>
  <si>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</si>
  <si>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</si>
  <si>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</si>
  <si>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</si>
  <si>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</si>
  <si>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</si>
  <si>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</si>
  <si>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</si>
  <si>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</si>
  <si>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</si>
  <si>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</si>
  <si>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</si>
  <si>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</si>
  <si>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</si>
  <si>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</si>
  <si>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</si>
  <si>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</si>
  <si>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</si>
  <si>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</si>
  <si>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</si>
  <si>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</si>
  <si>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</si>
  <si>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</si>
  <si>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</si>
  <si>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</si>
  <si>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</si>
  <si>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</si>
  <si>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</si>
  <si>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</si>
  <si>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</si>
  <si>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</si>
  <si>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</si>
  <si>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</si>
  <si>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</si>
  <si>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</si>
  <si>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</si>
  <si>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</si>
  <si>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</si>
  <si>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</si>
  <si>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</si>
  <si>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</si>
  <si>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</si>
  <si>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</si>
  <si>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</si>
  <si>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</si>
  <si>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</si>
  <si>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</si>
  <si>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</si>
  <si>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</si>
  <si>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</si>
  <si>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</si>
  <si>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</si>
  <si>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</si>
  <si>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</si>
  <si>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</si>
  <si>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</si>
  <si>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</si>
  <si>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</si>
  <si>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</si>
  <si>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</si>
  <si>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</si>
  <si>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</si>
  <si>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</si>
  <si>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</si>
  <si>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</si>
  <si>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</si>
  <si>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</si>
  <si>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</si>
  <si>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</si>
  <si>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</si>
  <si>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</si>
  <si>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</si>
  <si>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</si>
  <si>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</si>
  <si>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</si>
  <si>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</si>
  <si>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</si>
  <si>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</si>
  <si>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</si>
  <si>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</si>
  <si>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</si>
  <si>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</si>
  <si>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</si>
  <si>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</si>
  <si>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</si>
  <si>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</si>
  <si>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</si>
  <si>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</si>
  <si>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</si>
  <si>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</si>
  <si>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</si>
  <si>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</si>
  <si>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</si>
  <si>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</si>
  <si>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</si>
  <si>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</si>
  <si>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</si>
  <si>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</si>
  <si>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</si>
  <si>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</si>
  <si>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</si>
  <si>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</si>
  <si>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</si>
  <si>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</si>
  <si>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</si>
  <si>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</si>
  <si>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</si>
  <si>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</si>
  <si>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</si>
  <si>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</si>
  <si>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</si>
  <si>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</si>
  <si>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</si>
  <si>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</si>
  <si>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</si>
  <si>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</si>
  <si>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</si>
  <si>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</si>
  <si>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</si>
  <si>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</si>
  <si>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</si>
  <si>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</si>
  <si>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</si>
  <si>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</si>
  <si>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</si>
  <si>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</si>
  <si>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</si>
  <si>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</si>
  <si>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</si>
  <si>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</si>
  <si>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</si>
  <si>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</si>
  <si>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</si>
  <si>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</si>
  <si>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</si>
  <si>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</si>
  <si>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</si>
  <si>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</si>
  <si>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</si>
  <si>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</si>
  <si>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</si>
  <si>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</si>
  <si>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</si>
  <si>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</si>
  <si>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</si>
  <si>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</si>
  <si>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</si>
  <si>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</si>
  <si>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</si>
  <si>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</si>
  <si>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</si>
  <si>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</si>
  <si>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</si>
  <si>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</si>
  <si>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</si>
  <si>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</si>
  <si>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</si>
  <si>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</si>
  <si>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</si>
  <si>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</si>
  <si>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</si>
  <si>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</si>
  <si>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</si>
  <si>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</si>
  <si>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</si>
  <si>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</si>
  <si>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</si>
  <si>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</si>
  <si>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</si>
  <si>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</si>
  <si>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</si>
  <si>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</si>
  <si>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</si>
  <si>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</si>
  <si>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</si>
  <si>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</si>
  <si>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</si>
  <si>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</si>
  <si>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</si>
  <si>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</si>
  <si>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</si>
  <si>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</si>
  <si>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</si>
  <si>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</si>
  <si>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</si>
  <si>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</si>
  <si>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</si>
  <si>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</si>
  <si>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</si>
  <si>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</si>
  <si>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</si>
  <si>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</si>
  <si>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</si>
  <si>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</si>
  <si>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</si>
  <si>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</si>
  <si>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</si>
  <si>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</si>
  <si>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</si>
  <si>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</si>
  <si>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</si>
  <si>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</si>
  <si>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</si>
  <si>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</si>
  <si>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</si>
  <si>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</si>
  <si>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</si>
  <si>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</si>
  <si>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</si>
  <si>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</si>
  <si>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</si>
  <si>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</si>
  <si>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</si>
  <si>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</si>
  <si>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</si>
  <si>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</si>
  <si>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</si>
  <si>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</si>
  <si>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</si>
  <si>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</si>
  <si>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</si>
  <si>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</si>
  <si>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</si>
  <si>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</si>
  <si>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</si>
  <si>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</si>
  <si>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</si>
  <si>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</si>
  <si>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</si>
  <si>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</si>
  <si>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</si>
  <si>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</si>
  <si>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</si>
  <si>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</si>
  <si>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</si>
  <si>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</si>
  <si>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</si>
  <si>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</si>
  <si>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</si>
  <si>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</si>
  <si>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</si>
  <si>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</si>
  <si>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</si>
  <si>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</si>
  <si>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</si>
  <si>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</si>
  <si>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</si>
  <si>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</si>
  <si>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</si>
  <si>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</si>
  <si>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</si>
  <si>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</si>
  <si>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</si>
  <si>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</si>
  <si>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</si>
  <si>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</si>
  <si>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</si>
  <si>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</si>
  <si>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</si>
  <si>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</si>
  <si>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</si>
  <si>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</si>
  <si>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</si>
  <si>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</si>
  <si>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</si>
  <si>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</si>
  <si>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</si>
  <si>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</si>
  <si>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</si>
  <si>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</si>
  <si>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</si>
  <si>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</si>
  <si>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</si>
  <si>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</si>
  <si>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</si>
  <si>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</si>
  <si>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</si>
  <si>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</si>
  <si>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</si>
  <si>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</si>
  <si>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</si>
  <si>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</si>
  <si>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</si>
  <si>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</si>
  <si>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</si>
  <si>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</si>
  <si>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</si>
  <si>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</si>
  <si>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</si>
  <si>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</si>
  <si>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</si>
  <si>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</si>
  <si>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</si>
  <si>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</si>
  <si>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</si>
  <si>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</si>
  <si>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</si>
  <si>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</si>
  <si>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</si>
  <si>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</si>
  <si>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</si>
  <si>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</si>
  <si>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</si>
  <si>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</si>
  <si>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</si>
  <si>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</si>
  <si>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</si>
  <si>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</si>
  <si>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</si>
  <si>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</si>
  <si>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</si>
  <si>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</si>
  <si>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</si>
  <si>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</si>
  <si>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</si>
  <si>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</si>
  <si>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</si>
  <si>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</si>
  <si>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</si>
  <si>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</si>
  <si>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</si>
  <si>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</si>
  <si>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</si>
  <si>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</si>
  <si>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</si>
  <si>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</si>
  <si>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</si>
  <si>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</si>
  <si>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</si>
  <si>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</si>
  <si>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</si>
  <si>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</si>
  <si>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</si>
  <si>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</si>
  <si>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</si>
  <si>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</si>
  <si>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</si>
  <si>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</si>
  <si>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</si>
  <si>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</si>
  <si>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</si>
  <si>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</si>
  <si>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</si>
  <si>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</si>
  <si>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</si>
  <si>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</si>
  <si>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</si>
  <si>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</si>
  <si>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</si>
  <si>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</si>
  <si>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</si>
  <si>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</si>
  <si>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</si>
  <si>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</si>
  <si>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</si>
  <si>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</si>
  <si>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</si>
  <si>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</si>
  <si>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</si>
  <si>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</si>
  <si>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</si>
  <si>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</si>
  <si>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</si>
  <si>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</si>
  <si>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</si>
  <si>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</si>
  <si>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</si>
  <si>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</si>
  <si>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</si>
  <si>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</si>
  <si>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</si>
  <si>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</si>
  <si>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</si>
  <si>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</si>
  <si>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</si>
  <si>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</si>
  <si>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</si>
  <si>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</si>
  <si>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</si>
  <si>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</si>
  <si>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</si>
  <si>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</si>
  <si>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</si>
  <si>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</si>
  <si>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</si>
  <si>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</si>
  <si>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</si>
  <si>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</si>
  <si>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</si>
  <si>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</si>
  <si>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</si>
  <si>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</si>
  <si>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</si>
  <si>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</si>
  <si>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</si>
  <si>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</si>
  <si>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</si>
  <si>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</si>
  <si>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</si>
  <si>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</si>
  <si>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</si>
  <si>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</si>
  <si>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</si>
  <si>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</si>
  <si>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</si>
  <si>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</si>
  <si>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</si>
  <si>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</si>
  <si>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</si>
  <si>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</si>
  <si>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</si>
  <si>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</si>
  <si>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</si>
  <si>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</si>
  <si>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</si>
  <si>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</si>
  <si>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</si>
  <si>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</si>
  <si>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</si>
  <si>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</si>
  <si>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</si>
  <si>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</si>
  <si>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</si>
  <si>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</si>
  <si>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</si>
  <si>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</si>
  <si>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</si>
  <si>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</si>
  <si>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</si>
  <si>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</si>
  <si>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</si>
  <si>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</si>
  <si>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</si>
  <si>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</si>
  <si>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</si>
  <si>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</si>
  <si>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</si>
  <si>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</si>
  <si>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</si>
  <si>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</si>
  <si>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</si>
  <si>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</si>
  <si>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</si>
  <si>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</si>
  <si>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</si>
  <si>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</si>
  <si>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</si>
  <si>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</si>
  <si>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</si>
  <si>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</si>
  <si>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</si>
  <si>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</si>
  <si>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</si>
  <si>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</si>
  <si>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</si>
  <si>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</si>
  <si>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</si>
  <si>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</si>
  <si>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</si>
  <si>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</si>
  <si>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</si>
  <si>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</si>
  <si>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</si>
  <si>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</si>
  <si>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</si>
  <si>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</si>
  <si>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</si>
  <si>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</si>
  <si>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</si>
  <si>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</si>
  <si>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</si>
  <si>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</si>
  <si>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</si>
  <si>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</si>
  <si>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</si>
  <si>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</si>
  <si>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</si>
  <si>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</si>
  <si>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</si>
  <si>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</si>
  <si>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</si>
  <si>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</si>
  <si>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</si>
  <si>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</si>
  <si>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</si>
  <si>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</si>
  <si>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</si>
  <si>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</si>
  <si>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</si>
  <si>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</si>
  <si>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</si>
  <si>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</si>
  <si>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</si>
  <si>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</si>
  <si>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</si>
  <si>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</si>
  <si>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</si>
  <si>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</si>
  <si>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</si>
  <si>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</si>
  <si>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</si>
  <si>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</si>
  <si>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</si>
  <si>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</si>
  <si>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</si>
  <si>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</si>
  <si>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</si>
  <si>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</si>
  <si>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</si>
  <si>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</si>
  <si>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</si>
  <si>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</si>
  <si>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</si>
  <si>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</si>
  <si>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</si>
  <si>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</si>
  <si>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</si>
  <si>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</si>
  <si>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</si>
  <si>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</si>
  <si>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</si>
  <si>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</si>
  <si>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</si>
  <si>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</si>
  <si>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</si>
  <si>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</si>
  <si>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</si>
  <si>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</si>
  <si>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</si>
  <si>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</si>
  <si>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</si>
  <si>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</si>
  <si>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</si>
  <si>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</si>
  <si>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</si>
  <si>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</si>
  <si>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</si>
  <si>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</si>
  <si>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</si>
  <si>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</si>
  <si>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</si>
  <si>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</si>
  <si>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</si>
  <si>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</si>
  <si>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</si>
  <si>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</si>
  <si>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</si>
  <si>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</si>
  <si>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</si>
  <si>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</si>
  <si>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</si>
  <si>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</si>
  <si>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</si>
  <si>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</si>
  <si>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</si>
  <si>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</si>
  <si>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</si>
  <si>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</si>
  <si>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</si>
  <si>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</si>
  <si>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</si>
  <si>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</si>
  <si>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</si>
  <si>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</si>
  <si>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</si>
  <si>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</si>
  <si>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</si>
  <si>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</si>
  <si>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</si>
  <si>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</si>
  <si>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</si>
  <si>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</si>
  <si>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</si>
  <si>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</si>
  <si>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</si>
  <si>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</si>
  <si>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</si>
  <si>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</si>
  <si>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</si>
  <si>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</si>
  <si>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</si>
  <si>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</si>
  <si>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</si>
  <si>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</si>
  <si>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</si>
  <si>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</si>
  <si>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</si>
  <si>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</si>
  <si>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</si>
  <si>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</si>
  <si>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</si>
  <si>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</si>
  <si>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</si>
  <si>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</si>
  <si>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</si>
  <si>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</si>
  <si>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</si>
  <si>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</si>
  <si>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</si>
  <si>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</si>
  <si>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</si>
  <si>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</si>
  <si>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</si>
  <si>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</si>
  <si>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</si>
  <si>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</si>
  <si>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</si>
  <si>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</si>
  <si>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</si>
  <si>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</si>
  <si>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</si>
  <si>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</si>
  <si>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</si>
  <si>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</si>
  <si>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</si>
  <si>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</si>
  <si>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</si>
  <si>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</si>
  <si>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</si>
  <si>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</si>
  <si>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</si>
  <si>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</si>
  <si>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</si>
  <si>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</si>
  <si>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</si>
  <si>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</si>
  <si>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</si>
  <si>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</si>
  <si>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</si>
  <si>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</si>
  <si>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</si>
  <si>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</si>
  <si>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</si>
  <si>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</si>
  <si>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</si>
  <si>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</si>
  <si>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</si>
  <si>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</si>
  <si>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</si>
  <si>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</si>
  <si>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</si>
  <si>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</si>
  <si>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</si>
  <si>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</si>
  <si>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</si>
  <si>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</si>
  <si>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</si>
  <si>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</si>
  <si>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</si>
  <si>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</si>
  <si>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</si>
  <si>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</si>
  <si>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</si>
  <si>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</si>
  <si>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</si>
  <si>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</si>
  <si>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</si>
  <si>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</si>
  <si>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</si>
  <si>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</si>
  <si>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</si>
  <si>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</si>
  <si>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</si>
  <si>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</si>
  <si>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</si>
  <si>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</si>
  <si>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</si>
  <si>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</si>
  <si>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</si>
  <si>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</si>
  <si>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</si>
  <si>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</si>
  <si>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</si>
  <si>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</si>
  <si>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</si>
  <si>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</si>
  <si>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</si>
  <si>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</si>
  <si>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</si>
  <si>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</si>
  <si>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</si>
  <si>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</si>
  <si>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</si>
  <si>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</si>
  <si>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</si>
  <si>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</si>
  <si>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</si>
  <si>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</si>
  <si>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</si>
  <si>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</si>
  <si>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</si>
  <si>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</si>
  <si>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</si>
  <si>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</si>
  <si>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</si>
  <si>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</si>
  <si>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</si>
  <si>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</si>
  <si>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</si>
  <si>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</si>
  <si>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</si>
  <si>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</si>
  <si>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</si>
  <si>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</si>
  <si>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</si>
  <si>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</si>
  <si>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</si>
  <si>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</si>
  <si>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</si>
  <si>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</si>
  <si>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</si>
  <si>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</si>
  <si>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</si>
  <si>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</si>
  <si>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</si>
  <si>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</si>
  <si>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</si>
  <si>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</si>
  <si>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</si>
  <si>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</si>
  <si>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</si>
  <si>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</si>
  <si>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</si>
  <si>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</si>
  <si>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</si>
  <si>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</si>
  <si>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</si>
  <si>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</si>
  <si>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</si>
  <si>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</si>
  <si>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</si>
  <si>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</si>
  <si>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</si>
  <si>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</si>
  <si>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</si>
  <si>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</si>
  <si>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</si>
  <si>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</si>
  <si>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</si>
  <si>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</si>
  <si>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</si>
  <si>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</si>
  <si>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</si>
  <si>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</si>
  <si>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</si>
  <si>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</si>
  <si>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</si>
  <si>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</si>
  <si>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</si>
  <si>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</si>
  <si>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</si>
  <si>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</si>
  <si>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</si>
  <si>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</si>
  <si>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</si>
  <si>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</si>
  <si>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</si>
  <si>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</si>
  <si>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</si>
  <si>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</si>
  <si>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</si>
  <si>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</si>
  <si>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</si>
  <si>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</si>
  <si>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</si>
  <si>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</si>
  <si>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</si>
  <si>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</si>
  <si>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</si>
  <si>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</si>
  <si>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</si>
  <si>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</si>
  <si>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</si>
  <si>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</si>
  <si>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</si>
  <si>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</si>
  <si>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</si>
  <si>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</si>
  <si>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</si>
  <si>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</si>
  <si>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</si>
  <si>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</si>
  <si>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</si>
  <si>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</si>
  <si>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</si>
  <si>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</si>
  <si>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</si>
  <si>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</si>
  <si>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</si>
  <si>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</si>
  <si>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</si>
  <si>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</si>
  <si>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</si>
  <si>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</si>
  <si>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</si>
  <si>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</si>
  <si>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</si>
  <si>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</si>
  <si>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</si>
  <si>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</si>
  <si>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</si>
  <si>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</si>
  <si>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</si>
  <si>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</si>
  <si>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</si>
  <si>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</si>
  <si>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</si>
  <si>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</si>
  <si>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</si>
  <si>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</si>
  <si>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</si>
  <si>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</si>
  <si>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</si>
  <si>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</si>
  <si>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</si>
  <si>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</si>
  <si>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</si>
  <si>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</si>
  <si>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</si>
  <si>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</si>
  <si>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</si>
  <si>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</si>
  <si>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</si>
  <si>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</si>
  <si>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</si>
  <si>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</si>
  <si>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</si>
  <si>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</si>
  <si>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</si>
  <si>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</si>
  <si>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</si>
  <si>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</si>
  <si>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</si>
  <si>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</si>
  <si>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</si>
  <si>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</si>
  <si>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</si>
  <si>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</si>
  <si>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</si>
  <si>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</si>
  <si>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</si>
  <si>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</si>
  <si>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</si>
  <si>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</si>
  <si>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</si>
  <si>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</si>
  <si>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</si>
  <si>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</si>
  <si>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</si>
  <si>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</si>
  <si>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</si>
  <si>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</si>
  <si>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</si>
  <si>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</si>
  <si>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</si>
  <si>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</si>
  <si>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</si>
  <si>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</si>
  <si>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</si>
  <si>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</si>
  <si>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</si>
  <si>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</si>
  <si>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</si>
  <si>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</si>
  <si>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</si>
  <si>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</si>
  <si>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3:09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</si>
  <si>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</si>
  <si>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</si>
  <si>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</si>
  <si>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</si>
  <si>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</si>
  <si>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</si>
  <si>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</si>
  <si>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</si>
  <si>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</si>
  <si>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</si>
  <si>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</si>
  <si>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</si>
  <si>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</si>
  <si>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</si>
  <si>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</si>
  <si>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</si>
  <si>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</si>
  <si>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</si>
  <si>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</si>
  <si>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</si>
  <si>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</si>
  <si>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</si>
  <si>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</si>
  <si>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</si>
  <si>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</si>
  <si>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</si>
  <si>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</si>
  <si>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</si>
  <si>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</si>
  <si>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</si>
  <si>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</si>
  <si>
    <t>Sem</t>
  </si>
  <si>
    <t>SW</t>
  </si>
  <si>
    <t>x.com</t>
  </si>
  <si>
    <t>Combined X+Twitter</t>
  </si>
  <si>
    <t>msnbc.com</t>
  </si>
  <si>
    <t>Marketing</t>
  </si>
  <si>
    <t>Reading</t>
  </si>
  <si>
    <t>Food</t>
  </si>
  <si>
    <t>Invites</t>
  </si>
  <si>
    <t>brainly.in</t>
  </si>
  <si>
    <t>rakuten.co.jp</t>
  </si>
  <si>
    <t>chatgpt.com</t>
  </si>
  <si>
    <t>fmovies24.to</t>
  </si>
  <si>
    <t>studentaid.gov</t>
  </si>
  <si>
    <t>aniwave.to</t>
  </si>
  <si>
    <t>hiainme.to</t>
  </si>
  <si>
    <t>login.gov</t>
  </si>
  <si>
    <t>pemsrv.com</t>
  </si>
  <si>
    <t>site.com</t>
  </si>
  <si>
    <t>asuracomic.net</t>
  </si>
  <si>
    <t>oraclecloud.com</t>
  </si>
  <si>
    <t>blurbreimbursetrombone.com</t>
  </si>
  <si>
    <t>adsmoloco.com</t>
  </si>
  <si>
    <t>qvc.com</t>
  </si>
  <si>
    <t>navyfederal.org</t>
  </si>
  <si>
    <t>paycomonline.net</t>
  </si>
  <si>
    <t>faphouse.com</t>
  </si>
  <si>
    <t>fextralife.com</t>
  </si>
  <si>
    <t>statefarm.com</t>
  </si>
  <si>
    <t>appfolio.com</t>
  </si>
  <si>
    <t>carvana.com</t>
  </si>
  <si>
    <t>holahupa.com</t>
  </si>
  <si>
    <t>squarespace.com</t>
  </si>
  <si>
    <t>adblockplus.org</t>
  </si>
  <si>
    <t>clips4sale.com</t>
  </si>
  <si>
    <t>rockauto.com</t>
  </si>
  <si>
    <t>michaels.com</t>
  </si>
  <si>
    <t>lululemon.com</t>
  </si>
  <si>
    <t>kaliscan.com</t>
  </si>
  <si>
    <t>espncricinfo.com</t>
  </si>
  <si>
    <t>bedbathandbeyond.com</t>
  </si>
  <si>
    <t>uhaul.com</t>
  </si>
  <si>
    <t>foxsports.com</t>
  </si>
  <si>
    <t>shop.lululemon.com</t>
  </si>
  <si>
    <t>pornzog.com</t>
  </si>
  <si>
    <t>calculator.net</t>
  </si>
  <si>
    <t>swagbucks.com</t>
  </si>
  <si>
    <t>magsrv.com</t>
  </si>
  <si>
    <t>Audiobooks</t>
  </si>
  <si>
    <t>publix.com</t>
  </si>
  <si>
    <t>phreesia.net</t>
  </si>
  <si>
    <t>paylocity.com</t>
  </si>
  <si>
    <t>lipstickalley.com</t>
  </si>
  <si>
    <t>0123movie.net</t>
  </si>
  <si>
    <t>tomsguide.com</t>
  </si>
  <si>
    <t>seatgeek.com</t>
  </si>
  <si>
    <t>oreillyauto.com</t>
  </si>
  <si>
    <t>stripe.com</t>
  </si>
  <si>
    <t>chumbacasino.com</t>
  </si>
  <si>
    <t>baseball-reference.com</t>
  </si>
  <si>
    <t>mapquest.com</t>
  </si>
  <si>
    <t>gtp.fyi</t>
  </si>
  <si>
    <t>siriusxm.com</t>
  </si>
  <si>
    <t>livenation.com</t>
  </si>
  <si>
    <t>athlonsports.com</t>
  </si>
  <si>
    <t>stockx.com</t>
  </si>
  <si>
    <t>answers.microsoft.com</t>
  </si>
  <si>
    <t>eatingwell.com</t>
  </si>
  <si>
    <t>flightaware.com</t>
  </si>
  <si>
    <t>adjust.com</t>
  </si>
  <si>
    <t>onehome.com</t>
  </si>
  <si>
    <t>xbox.com</t>
  </si>
  <si>
    <t>nps.gov</t>
  </si>
  <si>
    <t>streameast.app</t>
  </si>
  <si>
    <t>pokerogue.net</t>
  </si>
  <si>
    <t>mediago.io</t>
  </si>
  <si>
    <t>nj.com</t>
  </si>
  <si>
    <t>axios.com</t>
  </si>
  <si>
    <t>rawstory.com</t>
  </si>
  <si>
    <t>zerohedge.com</t>
  </si>
  <si>
    <t>mnaspm.com</t>
  </si>
  <si>
    <t>newsbreak.com</t>
  </si>
  <si>
    <t>pinimg.com</t>
  </si>
  <si>
    <t>microsoft365.com</t>
  </si>
  <si>
    <t>fortune.com</t>
  </si>
  <si>
    <t>cnet.com</t>
  </si>
  <si>
    <t>moneycontrol.com</t>
  </si>
  <si>
    <t>economictimes.com</t>
  </si>
  <si>
    <t>poste.it</t>
  </si>
  <si>
    <t>hdfcbank.com</t>
  </si>
  <si>
    <t>zerodha.com</t>
  </si>
  <si>
    <t>rakuten-sec.com</t>
  </si>
  <si>
    <t>tinkoff.ru</t>
  </si>
  <si>
    <t>sbisec.co.jp</t>
  </si>
  <si>
    <t>caixa.gov.br</t>
  </si>
  <si>
    <t>exness.com</t>
  </si>
  <si>
    <t>trustpilot.com</t>
  </si>
  <si>
    <t>alipay.com</t>
  </si>
  <si>
    <t>klarna.com</t>
  </si>
  <si>
    <t>groww.in</t>
  </si>
  <si>
    <t>sberbank.ru</t>
  </si>
  <si>
    <t>icicibank.com</t>
  </si>
  <si>
    <t>mufg.jp</t>
  </si>
  <si>
    <t>td.com</t>
  </si>
  <si>
    <t>bancoestado.cl</t>
  </si>
  <si>
    <t>kontur.ru</t>
  </si>
  <si>
    <t>credit-agricole.fr</t>
  </si>
  <si>
    <t>moneyforward.com</t>
  </si>
  <si>
    <t>royalbank.com</t>
  </si>
  <si>
    <t>angelone.in</t>
  </si>
  <si>
    <t>cash.app</t>
  </si>
  <si>
    <t>healthsafe-id.com</t>
  </si>
  <si>
    <t>uhc.com</t>
  </si>
  <si>
    <t>UNH</t>
  </si>
  <si>
    <t>affirm.com</t>
  </si>
  <si>
    <t>sofi.com</t>
  </si>
  <si>
    <t>cox.com</t>
  </si>
  <si>
    <t>ally.com</t>
  </si>
  <si>
    <t>mysynchrony.com</t>
  </si>
  <si>
    <t>ml.com</t>
  </si>
  <si>
    <t>firstdata.com</t>
  </si>
  <si>
    <t>geico.com</t>
  </si>
  <si>
    <t>venmo.com</t>
  </si>
  <si>
    <t>allstate.com</t>
  </si>
  <si>
    <t>barclaycardus.com</t>
  </si>
  <si>
    <t>tdbank.com</t>
  </si>
  <si>
    <t>paychex.com</t>
  </si>
  <si>
    <t>creditonebank.com</t>
  </si>
  <si>
    <t>aetna.com</t>
  </si>
  <si>
    <t>cigna.com</t>
  </si>
  <si>
    <t>regions.com</t>
  </si>
  <si>
    <t>online-banking-services.com</t>
  </si>
  <si>
    <t>clover.com</t>
  </si>
  <si>
    <t>paymentus.com</t>
  </si>
  <si>
    <t>huntington.com</t>
  </si>
  <si>
    <t>afterpay.com</t>
  </si>
  <si>
    <t>ibanking-services.com</t>
  </si>
  <si>
    <t>mtb.com</t>
  </si>
  <si>
    <t>53.com</t>
  </si>
  <si>
    <t>progressivedirect.com</t>
  </si>
  <si>
    <t>zacks.com</t>
  </si>
  <si>
    <t>morningstar.com</t>
  </si>
  <si>
    <t>investorplace.com</t>
  </si>
  <si>
    <t>cody.md</t>
  </si>
  <si>
    <t>OpenAI</t>
  </si>
  <si>
    <t>SOME</t>
  </si>
  <si>
    <t>Recruiting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</si>
</sst>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3" fontId="8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20" fontId="8" fillId="0" borderId="0" xfId="0" applyNumberFormat="1" applyFont="1"/>
    <xf numFmtId="3" fontId="8" fillId="0" borderId="0" xfId="0" applyNumberFormat="1" applyFont="1"/>
    <xf numFmtId="3" fontId="2" fillId="2" borderId="0" xfId="0" applyNumberFormat="1" applyFont="1" applyFill="1"/>
    <xf numFmtId="20" fontId="2" fillId="0" borderId="0" xfId="0" quotePrefix="1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7059457140124"/>
          <c:y val="0.10296386936551374"/>
          <c:w val="0.80044376971234277"/>
          <c:h val="0.8370904794731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Main!$AX$3:$AX$344</c:f>
              <c:strCache>
                <c:ptCount val="342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7">
                  <c:v>MSFT</c:v>
                </c:pt>
                <c:pt idx="9">
                  <c:v>Reddit</c:v>
                </c:pt>
                <c:pt idx="12">
                  <c:v>Discord</c:v>
                </c:pt>
                <c:pt idx="13">
                  <c:v>AMZN</c:v>
                </c:pt>
                <c:pt idx="15">
                  <c:v>OAI</c:v>
                </c:pt>
                <c:pt idx="19">
                  <c:v>BIDU</c:v>
                </c:pt>
                <c:pt idx="74">
                  <c:v>ComScore</c:v>
                </c:pt>
                <c:pt idx="217">
                  <c:v>Originally YourDoctor.com. &gt;$100m revenue in 2019</c:v>
                </c:pt>
                <c:pt idx="341">
                  <c:v>News</c:v>
                </c:pt>
              </c:strCache>
            </c:strRef>
          </c:cat>
          <c:val>
            <c:numRef>
              <c:f>Main!$AY$3:$AY$344</c:f>
              <c:numCache>
                <c:formatCode>#,##0</c:formatCode>
                <c:ptCount val="342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7">
                  <c:v>54671.418333333342</c:v>
                </c:pt>
                <c:pt idx="9">
                  <c:v>13669.250000000002</c:v>
                </c:pt>
                <c:pt idx="12">
                  <c:v>7260.6333333333332</c:v>
                </c:pt>
                <c:pt idx="13">
                  <c:v>28236.23333333333</c:v>
                </c:pt>
                <c:pt idx="15">
                  <c:v>5602.9</c:v>
                </c:pt>
                <c:pt idx="19">
                  <c:v>24384.75</c:v>
                </c:pt>
                <c:pt idx="24" formatCode="General">
                  <c:v>2800</c:v>
                </c:pt>
                <c:pt idx="60" formatCode="General">
                  <c:v>1600</c:v>
                </c:pt>
                <c:pt idx="341">
                  <c:v>12277.512833333332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132801</xdr:colOff>
      <xdr:row>11</xdr:row>
      <xdr:rowOff>149891</xdr:rowOff>
    </xdr:from>
    <xdr:to>
      <xdr:col>62</xdr:col>
      <xdr:colOff>369627</xdr:colOff>
      <xdr:row>63</xdr:row>
      <xdr:rowOff>37911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  <person displayName="Causing Nirvana" id="{7E81EC9F-7C5F-364D-8DAA-50BC36F4E6EA}" userId="ef5e74bcb9d0052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2" dT="2024-01-12T01:54:35.31" personId="{7E81EC9F-7C5F-364D-8DAA-50BC36F4E6EA}" id="{51D53592-7EE9-ED4F-89BF-D1020A63BC4A}">
    <text xml:space="preserve">X.com 87.54M
</text>
  </threadedComment>
  <threadedComment ref="AL12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E495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BD1524"/>
  <sheetViews>
    <sheetView tabSelected="1" zoomScale="175" zoomScaleNormal="175" workbookViewId="0">
      <pane xSplit="8" ySplit="2" topLeftCell="I3" activePane="bottomRight" state="frozen"/>
      <selection pane="topRight" activeCell="E1" sqref="E1"/>
      <selection pane="bottomLeft" activeCell="A3" sqref="A3"/>
      <selection pane="bottomRight" activeCell="I18" sqref="I15:I18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10.140625" style="2" customWidth="1"/>
    <col min="5" max="5" width="23.42578125" customWidth="1"/>
    <col min="6" max="6" width="12.140625" customWidth="1"/>
    <col min="7" max="7" width="4.140625" customWidth="1"/>
    <col min="8" max="8" width="10.140625" style="2" bestFit="1" customWidth="1"/>
    <col min="9" max="9" width="10.85546875" style="2" customWidth="1"/>
    <col min="10" max="10" width="10.85546875" style="15" customWidth="1"/>
    <col min="11" max="11" width="10.85546875" style="16" customWidth="1"/>
    <col min="12" max="12" width="11.28515625" style="2" customWidth="1"/>
    <col min="13" max="13" width="12.28515625" style="1" bestFit="1" customWidth="1"/>
    <col min="14" max="14" width="4.85546875" style="1" bestFit="1" customWidth="1"/>
    <col min="15" max="15" width="5.42578125" style="1" customWidth="1"/>
    <col min="16" max="30" width="10" style="1" customWidth="1"/>
    <col min="31" max="33" width="10.7109375" style="1" customWidth="1"/>
    <col min="34" max="36" width="10" style="1" customWidth="1"/>
    <col min="37" max="37" width="10.140625" style="2" customWidth="1"/>
    <col min="38" max="38" width="10.7109375" style="1" customWidth="1"/>
    <col min="39" max="39" width="9.28515625" style="1" bestFit="1" customWidth="1"/>
    <col min="40" max="40" width="10.42578125" style="1" customWidth="1"/>
    <col min="41" max="41" width="10.140625" style="1" customWidth="1"/>
    <col min="42" max="42" width="9.42578125" style="1" customWidth="1"/>
    <col min="43" max="43" width="9.42578125" customWidth="1"/>
    <col min="44" max="44" width="9.140625" bestFit="1" customWidth="1"/>
    <col min="45" max="45" width="13" customWidth="1"/>
    <col min="48" max="48" width="9.28515625" bestFit="1" customWidth="1"/>
    <col min="51" max="51" width="9.28515625" bestFit="1" customWidth="1"/>
    <col min="53" max="53" width="22.140625" customWidth="1"/>
    <col min="54" max="54" width="14.28515625" customWidth="1"/>
    <col min="55" max="55" width="8.140625" customWidth="1"/>
    <col min="56" max="56" width="9.42578125" bestFit="1" customWidth="1"/>
  </cols>
  <sheetData>
    <row r="1" spans="1:53" x14ac:dyDescent="0.2">
      <c r="I1" s="2" t="s">
        <v>741</v>
      </c>
      <c r="J1" s="15" t="s">
        <v>740</v>
      </c>
      <c r="K1" s="15" t="s">
        <v>739</v>
      </c>
      <c r="L1" s="2" t="s">
        <v>735</v>
      </c>
      <c r="P1" s="1" t="s">
        <v>1334</v>
      </c>
      <c r="Q1" s="1" t="s">
        <v>1334</v>
      </c>
      <c r="R1" s="1" t="s">
        <v>1334</v>
      </c>
      <c r="S1" s="1" t="s">
        <v>1334</v>
      </c>
      <c r="T1" s="1" t="s">
        <v>1334</v>
      </c>
      <c r="U1" s="1" t="s">
        <v>1334</v>
      </c>
      <c r="V1" s="1" t="s">
        <v>1334</v>
      </c>
      <c r="W1" s="1" t="s">
        <v>1334</v>
      </c>
      <c r="X1" s="1" t="s">
        <v>1334</v>
      </c>
      <c r="Y1" s="1" t="s">
        <v>1334</v>
      </c>
      <c r="Z1" s="1" t="s">
        <v>1334</v>
      </c>
      <c r="AA1" s="1" t="s">
        <v>1334</v>
      </c>
      <c r="AB1" s="1" t="s">
        <v>1334</v>
      </c>
      <c r="AD1" s="1" t="s">
        <v>1335</v>
      </c>
      <c r="AE1" s="1" t="s">
        <v>1335</v>
      </c>
      <c r="AF1" s="1" t="s">
        <v>1335</v>
      </c>
      <c r="AG1" s="1" t="s">
        <v>1335</v>
      </c>
      <c r="AH1" s="1" t="s">
        <v>1335</v>
      </c>
      <c r="AI1" s="1" t="s">
        <v>1335</v>
      </c>
      <c r="AJ1" s="1" t="s">
        <v>1335</v>
      </c>
      <c r="AK1" s="1" t="s">
        <v>1335</v>
      </c>
      <c r="AL1" s="2" t="s">
        <v>1335</v>
      </c>
      <c r="AM1" s="2" t="s">
        <v>1335</v>
      </c>
      <c r="AN1" s="1" t="s">
        <v>1335</v>
      </c>
      <c r="AO1" s="1" t="s">
        <v>1335</v>
      </c>
      <c r="AP1" s="79" t="s">
        <v>745</v>
      </c>
      <c r="AQ1" s="79"/>
    </row>
    <row r="2" spans="1:53" x14ac:dyDescent="0.2">
      <c r="A2" s="2" t="s">
        <v>770</v>
      </c>
      <c r="B2" s="2" t="s">
        <v>769</v>
      </c>
      <c r="C2" s="2" t="s">
        <v>768</v>
      </c>
      <c r="D2" s="2" t="s">
        <v>769</v>
      </c>
      <c r="H2" s="2" t="s">
        <v>742</v>
      </c>
      <c r="I2" s="2" t="s">
        <v>722</v>
      </c>
      <c r="J2" s="15" t="s">
        <v>734</v>
      </c>
      <c r="K2" s="15" t="s">
        <v>738</v>
      </c>
      <c r="L2" s="2" t="s">
        <v>743</v>
      </c>
      <c r="M2" s="1" t="s">
        <v>10</v>
      </c>
      <c r="N2" s="1" t="s">
        <v>15</v>
      </c>
      <c r="P2" s="24">
        <v>45292</v>
      </c>
      <c r="Q2" s="24">
        <v>45261</v>
      </c>
      <c r="R2" s="24">
        <v>45231</v>
      </c>
      <c r="S2" s="24">
        <v>45200</v>
      </c>
      <c r="T2" s="24">
        <v>45170</v>
      </c>
      <c r="U2" s="24">
        <v>45139</v>
      </c>
      <c r="V2" s="24">
        <v>45108</v>
      </c>
      <c r="W2" s="24">
        <v>45078</v>
      </c>
      <c r="X2" s="24">
        <v>45047</v>
      </c>
      <c r="Y2" s="24">
        <v>45017</v>
      </c>
      <c r="Z2" s="24">
        <v>44986</v>
      </c>
      <c r="AA2" s="24">
        <v>44958</v>
      </c>
      <c r="AB2" s="24">
        <v>44927</v>
      </c>
      <c r="AC2" s="24"/>
      <c r="AD2" s="24">
        <v>45688</v>
      </c>
      <c r="AE2" s="24">
        <v>45657</v>
      </c>
      <c r="AF2" s="24">
        <v>45626</v>
      </c>
      <c r="AG2" s="24">
        <v>45596</v>
      </c>
      <c r="AH2" s="24">
        <v>45565</v>
      </c>
      <c r="AI2" s="24">
        <v>45535</v>
      </c>
      <c r="AJ2" s="24">
        <v>45497</v>
      </c>
      <c r="AK2" s="24">
        <v>45302</v>
      </c>
      <c r="AL2" s="24">
        <v>45215</v>
      </c>
      <c r="AM2" s="24">
        <v>45154</v>
      </c>
      <c r="AN2" s="24">
        <v>45127</v>
      </c>
      <c r="AO2" s="24">
        <v>45121</v>
      </c>
      <c r="AP2" s="24">
        <v>45089</v>
      </c>
      <c r="AQ2" s="18">
        <v>45088</v>
      </c>
      <c r="AR2" t="s">
        <v>746</v>
      </c>
      <c r="AS2" t="s">
        <v>766</v>
      </c>
      <c r="AT2" s="1" t="s">
        <v>771</v>
      </c>
      <c r="AV2" s="8"/>
    </row>
    <row r="3" spans="1:53" s="3" customFormat="1" x14ac:dyDescent="0.2">
      <c r="A3" s="4">
        <v>1</v>
      </c>
      <c r="B3" s="4">
        <v>1</v>
      </c>
      <c r="C3" s="4">
        <v>1</v>
      </c>
      <c r="D3" s="4">
        <v>1</v>
      </c>
      <c r="E3" s="3" t="s">
        <v>19</v>
      </c>
      <c r="F3" s="3" t="s">
        <v>0</v>
      </c>
      <c r="H3" s="4">
        <v>1000000</v>
      </c>
      <c r="I3" s="4">
        <v>71600</v>
      </c>
      <c r="J3" s="4">
        <v>2818</v>
      </c>
      <c r="K3" s="4">
        <v>1257</v>
      </c>
      <c r="L3" s="4"/>
      <c r="M3" s="9" t="s">
        <v>14</v>
      </c>
      <c r="N3" s="9" t="s">
        <v>16</v>
      </c>
      <c r="O3" s="9"/>
      <c r="P3" s="4">
        <v>176199</v>
      </c>
      <c r="Q3" s="4">
        <v>168674.279117</v>
      </c>
      <c r="R3" s="4">
        <v>177837.868701</v>
      </c>
      <c r="S3" s="4">
        <v>180268.31469900001</v>
      </c>
      <c r="T3" s="4">
        <v>165532.97277699999</v>
      </c>
      <c r="U3" s="4">
        <v>154482.65969999999</v>
      </c>
      <c r="V3" s="4">
        <v>172214.16023199999</v>
      </c>
      <c r="W3" s="4">
        <v>165369.52912399999</v>
      </c>
      <c r="X3" s="4">
        <v>179591.11481500001</v>
      </c>
      <c r="Y3" s="4">
        <v>190506</v>
      </c>
      <c r="Z3" s="4">
        <v>185839</v>
      </c>
      <c r="AA3" s="4">
        <v>172979</v>
      </c>
      <c r="AB3" s="4">
        <v>179672</v>
      </c>
      <c r="AC3" s="4"/>
      <c r="AD3" s="4">
        <v>84510</v>
      </c>
      <c r="AE3" s="4">
        <v>83260</v>
      </c>
      <c r="AF3" s="4">
        <v>82190</v>
      </c>
      <c r="AG3" s="4">
        <v>84940</v>
      </c>
      <c r="AH3" s="4">
        <v>81950</v>
      </c>
      <c r="AI3" s="4">
        <v>83510</v>
      </c>
      <c r="AJ3" s="4">
        <v>75930</v>
      </c>
      <c r="AK3" s="4">
        <v>75840</v>
      </c>
      <c r="AL3" s="4">
        <v>78690</v>
      </c>
      <c r="AM3" s="4">
        <v>77280</v>
      </c>
      <c r="AN3" s="4">
        <v>77620</v>
      </c>
      <c r="AO3" s="4">
        <v>77990</v>
      </c>
      <c r="AP3" s="4" t="s">
        <v>773</v>
      </c>
      <c r="AQ3" s="4" t="s">
        <v>773</v>
      </c>
      <c r="AR3" s="23">
        <v>0.44027777777777777</v>
      </c>
      <c r="AS3" s="66">
        <f>(10+(34/60))*AO3</f>
        <v>824094.33333333337</v>
      </c>
      <c r="AT3" s="3">
        <v>1998</v>
      </c>
      <c r="AV3" s="47">
        <f>SUM(AS3:AS606)</f>
        <v>2490565.4556050017</v>
      </c>
      <c r="AW3" s="78"/>
      <c r="AX3" s="3" t="s">
        <v>1232</v>
      </c>
      <c r="AY3" s="47">
        <f>AS3+AS10</f>
        <v>1450678</v>
      </c>
      <c r="AZ3" s="78">
        <f>AY3/AV3</f>
        <v>0.58246933311279103</v>
      </c>
    </row>
    <row r="4" spans="1:53" s="5" customFormat="1" x14ac:dyDescent="0.2">
      <c r="A4" s="6" t="s">
        <v>773</v>
      </c>
      <c r="B4" s="6" t="s">
        <v>773</v>
      </c>
      <c r="C4" s="6" t="s">
        <v>773</v>
      </c>
      <c r="D4" s="6" t="s">
        <v>773</v>
      </c>
      <c r="E4" s="5" t="s">
        <v>1206</v>
      </c>
      <c r="F4" s="5" t="s">
        <v>0</v>
      </c>
      <c r="H4" s="6">
        <v>1000000</v>
      </c>
      <c r="I4" s="6">
        <v>4761</v>
      </c>
      <c r="J4" s="59">
        <v>170</v>
      </c>
      <c r="K4" s="59">
        <v>85.46</v>
      </c>
      <c r="L4" s="6"/>
      <c r="M4" s="7"/>
      <c r="N4" s="7"/>
      <c r="O4" s="7"/>
      <c r="P4" s="6">
        <v>3929.6</v>
      </c>
      <c r="Q4" s="6">
        <v>3402.7</v>
      </c>
      <c r="R4" s="6">
        <v>4078.2</v>
      </c>
      <c r="S4" s="6">
        <v>3967.8</v>
      </c>
      <c r="T4" s="6">
        <v>3567.3</v>
      </c>
      <c r="U4" s="6">
        <v>2815.1</v>
      </c>
      <c r="V4" s="6">
        <v>3049.1</v>
      </c>
      <c r="W4" s="6">
        <v>3011.6</v>
      </c>
      <c r="X4" s="6">
        <v>3639.2</v>
      </c>
      <c r="Y4" s="6">
        <v>3485.4</v>
      </c>
      <c r="Z4" s="6">
        <v>3570.7</v>
      </c>
      <c r="AA4" s="6">
        <v>3304.8</v>
      </c>
      <c r="AB4" s="6">
        <v>2795.9</v>
      </c>
      <c r="AC4" s="7"/>
      <c r="AD4" s="7"/>
      <c r="AE4" s="7"/>
      <c r="AF4" s="7"/>
      <c r="AG4" s="7"/>
      <c r="AH4" s="7"/>
      <c r="AI4" s="7"/>
      <c r="AJ4" s="6">
        <v>5001</v>
      </c>
      <c r="AK4" s="6">
        <v>4274</v>
      </c>
      <c r="AL4" s="6">
        <v>5631</v>
      </c>
      <c r="AM4" s="6">
        <v>4761</v>
      </c>
      <c r="AN4" s="50" t="s">
        <v>773</v>
      </c>
      <c r="AO4" s="50" t="s">
        <v>773</v>
      </c>
      <c r="AP4" s="50" t="s">
        <v>773</v>
      </c>
      <c r="AQ4" s="50" t="s">
        <v>773</v>
      </c>
      <c r="AR4" s="56" t="s">
        <v>773</v>
      </c>
      <c r="AS4" s="61" t="s">
        <v>773</v>
      </c>
      <c r="AT4" s="7" t="s">
        <v>773</v>
      </c>
      <c r="AX4" t="s">
        <v>1233</v>
      </c>
      <c r="AY4" s="8">
        <f>AS16+AS22+AS164+AS40+AS244</f>
        <v>275773.0033333333</v>
      </c>
      <c r="AZ4" s="62">
        <f>AY4/AV3</f>
        <v>0.11072706509789089</v>
      </c>
    </row>
    <row r="5" spans="1:53" s="5" customFormat="1" x14ac:dyDescent="0.2">
      <c r="A5" s="6" t="s">
        <v>773</v>
      </c>
      <c r="B5" s="6" t="s">
        <v>773</v>
      </c>
      <c r="C5" s="6" t="s">
        <v>773</v>
      </c>
      <c r="D5" s="6" t="s">
        <v>773</v>
      </c>
      <c r="E5" s="5" t="s">
        <v>1207</v>
      </c>
      <c r="F5" s="5" t="s">
        <v>0</v>
      </c>
      <c r="H5" s="6">
        <v>1000000</v>
      </c>
      <c r="I5" s="6">
        <v>2089</v>
      </c>
      <c r="J5" s="59">
        <v>74.63</v>
      </c>
      <c r="K5" s="59">
        <v>44.13</v>
      </c>
      <c r="L5" s="6"/>
      <c r="M5" s="7"/>
      <c r="N5" s="7"/>
      <c r="O5" s="7"/>
      <c r="P5" s="6">
        <v>1544.8</v>
      </c>
      <c r="Q5" s="6">
        <v>1423.3</v>
      </c>
      <c r="R5" s="6">
        <v>1557.7</v>
      </c>
      <c r="S5" s="6">
        <v>1605.5</v>
      </c>
      <c r="T5" s="6">
        <v>1435.4</v>
      </c>
      <c r="U5" s="6">
        <v>1251.8</v>
      </c>
      <c r="V5" s="6">
        <v>1511.1</v>
      </c>
      <c r="W5" s="6">
        <v>1425.7</v>
      </c>
      <c r="X5" s="6">
        <v>1745.8</v>
      </c>
      <c r="Y5" s="6">
        <v>1707.7</v>
      </c>
      <c r="Z5" s="6">
        <v>1662.4</v>
      </c>
      <c r="AA5" s="6">
        <v>1554.4</v>
      </c>
      <c r="AB5" s="6">
        <v>1430.7</v>
      </c>
      <c r="AC5" s="7"/>
      <c r="AD5" s="7"/>
      <c r="AE5" s="7"/>
      <c r="AF5" s="7"/>
      <c r="AG5" s="7"/>
      <c r="AH5" s="7"/>
      <c r="AI5" s="7"/>
      <c r="AJ5" s="6">
        <v>2178</v>
      </c>
      <c r="AK5" s="6">
        <v>2040</v>
      </c>
      <c r="AL5" s="6">
        <v>2397</v>
      </c>
      <c r="AM5" s="6">
        <v>2089</v>
      </c>
      <c r="AN5" s="50" t="s">
        <v>773</v>
      </c>
      <c r="AO5" s="50" t="s">
        <v>773</v>
      </c>
      <c r="AP5" s="50" t="s">
        <v>773</v>
      </c>
      <c r="AQ5" s="50" t="s">
        <v>773</v>
      </c>
      <c r="AR5" s="56" t="s">
        <v>773</v>
      </c>
      <c r="AS5" s="61" t="s">
        <v>773</v>
      </c>
      <c r="AT5" s="6" t="s">
        <v>773</v>
      </c>
      <c r="AX5" t="s">
        <v>1234</v>
      </c>
      <c r="AY5" s="8">
        <f>AS35+AS30+AS56+AS61+AS81+AS82</f>
        <v>77311.713333333348</v>
      </c>
      <c r="AZ5" s="49">
        <f>AY5/AV3</f>
        <v>3.1041831548471788E-2</v>
      </c>
    </row>
    <row r="6" spans="1:53" s="5" customFormat="1" x14ac:dyDescent="0.2">
      <c r="A6" s="6" t="s">
        <v>773</v>
      </c>
      <c r="B6" s="6" t="s">
        <v>773</v>
      </c>
      <c r="C6" s="6" t="s">
        <v>773</v>
      </c>
      <c r="D6" s="6" t="s">
        <v>773</v>
      </c>
      <c r="E6" s="5" t="s">
        <v>1204</v>
      </c>
      <c r="F6" s="5" t="s">
        <v>0</v>
      </c>
      <c r="H6" s="6">
        <v>1000000</v>
      </c>
      <c r="I6" s="6">
        <v>3806</v>
      </c>
      <c r="J6" s="17">
        <v>135.9</v>
      </c>
      <c r="K6" s="17">
        <v>102.6</v>
      </c>
      <c r="L6" s="6"/>
      <c r="M6" s="7"/>
      <c r="N6" s="7"/>
      <c r="O6" s="7"/>
      <c r="P6" s="6">
        <v>4239.8</v>
      </c>
      <c r="Q6" s="6">
        <v>4147.7</v>
      </c>
      <c r="R6" s="6">
        <v>4325.3</v>
      </c>
      <c r="S6" s="6">
        <v>4230.5</v>
      </c>
      <c r="T6" s="6">
        <v>3898.1</v>
      </c>
      <c r="U6" s="6">
        <v>3829.1</v>
      </c>
      <c r="V6" s="6">
        <v>4391.6000000000004</v>
      </c>
      <c r="W6" s="6">
        <v>3852.4</v>
      </c>
      <c r="X6" s="6">
        <v>4209.2</v>
      </c>
      <c r="Y6" s="6">
        <v>4180.1000000000004</v>
      </c>
      <c r="Z6" s="6">
        <v>3994.3</v>
      </c>
      <c r="AA6" s="6">
        <v>3673.3</v>
      </c>
      <c r="AB6" s="6">
        <v>3700.1</v>
      </c>
      <c r="AC6" s="7"/>
      <c r="AD6" s="7"/>
      <c r="AE6" s="7"/>
      <c r="AF6" s="7"/>
      <c r="AG6" s="7"/>
      <c r="AH6" s="7"/>
      <c r="AI6" s="7"/>
      <c r="AJ6" s="6">
        <v>3669</v>
      </c>
      <c r="AK6" s="6">
        <v>3706</v>
      </c>
      <c r="AL6" s="6">
        <v>3904</v>
      </c>
      <c r="AM6" s="6">
        <v>3806</v>
      </c>
      <c r="AN6" s="50" t="s">
        <v>773</v>
      </c>
      <c r="AO6" s="50" t="s">
        <v>773</v>
      </c>
      <c r="AP6" s="50" t="s">
        <v>773</v>
      </c>
      <c r="AQ6" s="50" t="s">
        <v>773</v>
      </c>
      <c r="AR6" s="53">
        <v>9.5833333333333326E-2</v>
      </c>
      <c r="AS6" s="54">
        <f>(2+(18/60))*AM6</f>
        <v>8753.7999999999993</v>
      </c>
      <c r="AT6" s="6" t="s">
        <v>773</v>
      </c>
      <c r="AX6" t="s">
        <v>1247</v>
      </c>
      <c r="AY6" s="8">
        <f>AS12</f>
        <v>64767.600000000006</v>
      </c>
      <c r="AZ6" s="62">
        <f>AY6/AV3</f>
        <v>2.6005178805576436E-2</v>
      </c>
    </row>
    <row r="7" spans="1:53" s="5" customFormat="1" x14ac:dyDescent="0.2">
      <c r="A7" s="6">
        <v>93</v>
      </c>
      <c r="B7" s="6">
        <v>99</v>
      </c>
      <c r="C7" s="6">
        <v>128</v>
      </c>
      <c r="D7" s="6">
        <v>121</v>
      </c>
      <c r="E7" s="5" t="s">
        <v>84</v>
      </c>
      <c r="F7" s="5" t="s">
        <v>0</v>
      </c>
      <c r="G7" s="5" t="s">
        <v>1237</v>
      </c>
      <c r="H7" s="6">
        <v>1000000</v>
      </c>
      <c r="I7" s="6">
        <v>364.7</v>
      </c>
      <c r="J7" s="17">
        <v>13.02</v>
      </c>
      <c r="K7" s="17">
        <v>6.7720000000000002</v>
      </c>
      <c r="L7" s="6"/>
      <c r="M7" s="7"/>
      <c r="N7" s="7"/>
      <c r="O7" s="7"/>
      <c r="P7" s="6">
        <v>471.5</v>
      </c>
      <c r="Q7" s="6">
        <v>482.7</v>
      </c>
      <c r="R7" s="6">
        <v>460.5</v>
      </c>
      <c r="S7" s="6">
        <v>508.3</v>
      </c>
      <c r="T7" s="6">
        <v>470.1</v>
      </c>
      <c r="U7" s="6">
        <v>422.6</v>
      </c>
      <c r="V7" s="6">
        <v>455.2</v>
      </c>
      <c r="W7" s="6">
        <v>455.5</v>
      </c>
      <c r="X7" s="6">
        <v>504.2</v>
      </c>
      <c r="Y7" s="6">
        <v>546.4</v>
      </c>
      <c r="Z7" s="6">
        <v>504.9</v>
      </c>
      <c r="AA7" s="6">
        <v>501</v>
      </c>
      <c r="AB7" s="6">
        <v>553.79999999999995</v>
      </c>
      <c r="AC7" s="7"/>
      <c r="AD7" s="7"/>
      <c r="AE7" s="7"/>
      <c r="AF7" s="7"/>
      <c r="AG7" s="7"/>
      <c r="AH7" s="7"/>
      <c r="AI7" s="7"/>
      <c r="AJ7" s="6">
        <v>317.7</v>
      </c>
      <c r="AK7" s="6">
        <v>352.7</v>
      </c>
      <c r="AL7" s="6">
        <v>352.3</v>
      </c>
      <c r="AM7" s="6">
        <v>364.7</v>
      </c>
      <c r="AN7" s="6" t="s">
        <v>773</v>
      </c>
      <c r="AO7" s="6">
        <v>366.3</v>
      </c>
      <c r="AP7" s="6" t="s">
        <v>773</v>
      </c>
      <c r="AQ7" s="6" t="s">
        <v>773</v>
      </c>
      <c r="AR7" s="53">
        <v>0.23680555555555557</v>
      </c>
      <c r="AS7" s="54">
        <f>(5+(41/60))*AO7</f>
        <v>2081.8050000000003</v>
      </c>
      <c r="AT7" s="6" t="s">
        <v>773</v>
      </c>
      <c r="BA7" s="5" t="s">
        <v>479</v>
      </c>
    </row>
    <row r="8" spans="1:53" s="5" customFormat="1" x14ac:dyDescent="0.2">
      <c r="A8" s="6">
        <v>111468</v>
      </c>
      <c r="B8" s="6">
        <v>494</v>
      </c>
      <c r="C8" s="6">
        <v>446524</v>
      </c>
      <c r="D8" s="6">
        <v>446524</v>
      </c>
      <c r="E8" s="5" t="s">
        <v>345</v>
      </c>
      <c r="F8" s="5" t="s">
        <v>0</v>
      </c>
      <c r="H8" s="6"/>
      <c r="I8" s="6"/>
      <c r="J8" s="17"/>
      <c r="K8" s="17"/>
      <c r="L8" s="6"/>
      <c r="M8" s="7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7"/>
      <c r="AE8" s="7"/>
      <c r="AF8" s="7"/>
      <c r="AG8" s="7"/>
      <c r="AH8" s="7"/>
      <c r="AI8" s="7"/>
      <c r="AJ8" s="6">
        <v>24.87</v>
      </c>
      <c r="AK8" s="6" t="s">
        <v>773</v>
      </c>
      <c r="AL8" s="6" t="s">
        <v>773</v>
      </c>
      <c r="AM8" s="6" t="s">
        <v>773</v>
      </c>
      <c r="AN8" s="6" t="s">
        <v>773</v>
      </c>
      <c r="AO8" s="6" t="s">
        <v>773</v>
      </c>
      <c r="AP8" s="6" t="s">
        <v>773</v>
      </c>
      <c r="AQ8" s="6" t="s">
        <v>773</v>
      </c>
      <c r="AR8" s="53"/>
      <c r="AS8" s="54"/>
      <c r="AT8" s="6" t="s">
        <v>773</v>
      </c>
    </row>
    <row r="9" spans="1:53" s="5" customFormat="1" x14ac:dyDescent="0.2">
      <c r="A9" s="6">
        <v>927</v>
      </c>
      <c r="B9" s="6">
        <v>955</v>
      </c>
      <c r="C9" s="6">
        <v>815</v>
      </c>
      <c r="D9" s="6">
        <v>1069</v>
      </c>
      <c r="E9" s="5" t="s">
        <v>1180</v>
      </c>
      <c r="F9" s="5" t="s">
        <v>0</v>
      </c>
      <c r="H9" s="6"/>
      <c r="I9" s="17">
        <v>31.03</v>
      </c>
      <c r="J9" s="17"/>
      <c r="K9" s="69"/>
      <c r="L9" s="17"/>
      <c r="M9" s="7"/>
      <c r="N9" s="7"/>
      <c r="O9" s="7"/>
      <c r="P9" s="6">
        <v>12.3</v>
      </c>
      <c r="Q9" s="6">
        <v>15.1</v>
      </c>
      <c r="R9" s="6">
        <v>12.8</v>
      </c>
      <c r="S9" s="6">
        <v>11.5</v>
      </c>
      <c r="T9" s="6">
        <v>11.6</v>
      </c>
      <c r="U9" s="6">
        <v>12.7</v>
      </c>
      <c r="V9" s="6">
        <v>10.7</v>
      </c>
      <c r="W9" s="6">
        <v>10.8</v>
      </c>
      <c r="X9" s="6">
        <v>12.1</v>
      </c>
      <c r="Y9" s="6">
        <v>13.3</v>
      </c>
      <c r="Z9" s="6">
        <v>13.5</v>
      </c>
      <c r="AA9" s="6">
        <v>11.5</v>
      </c>
      <c r="AB9" s="6">
        <v>7.6</v>
      </c>
      <c r="AC9" s="7"/>
      <c r="AD9" s="7"/>
      <c r="AE9" s="7"/>
      <c r="AF9" s="7"/>
      <c r="AG9" s="7"/>
      <c r="AH9" s="7"/>
      <c r="AI9" s="7"/>
      <c r="AJ9" s="50">
        <v>30.13</v>
      </c>
      <c r="AK9" s="6" t="s">
        <v>773</v>
      </c>
      <c r="AL9" s="7" t="s">
        <v>773</v>
      </c>
      <c r="AM9" s="50" t="s">
        <v>773</v>
      </c>
      <c r="AN9" s="50">
        <v>31.03</v>
      </c>
      <c r="AO9" s="50" t="s">
        <v>773</v>
      </c>
      <c r="AP9" s="50" t="s">
        <v>773</v>
      </c>
      <c r="AQ9" s="6" t="s">
        <v>773</v>
      </c>
      <c r="AR9" s="75">
        <v>0.33124999999999999</v>
      </c>
    </row>
    <row r="10" spans="1:53" s="3" customFormat="1" x14ac:dyDescent="0.2">
      <c r="A10" s="4">
        <f>A3+1</f>
        <v>2</v>
      </c>
      <c r="B10" s="4">
        <v>2</v>
      </c>
      <c r="C10" s="4">
        <v>2</v>
      </c>
      <c r="D10" s="4">
        <v>2</v>
      </c>
      <c r="E10" s="3" t="s">
        <v>20</v>
      </c>
      <c r="F10" s="3" t="s">
        <v>0</v>
      </c>
      <c r="H10" s="4">
        <v>1000000</v>
      </c>
      <c r="I10" s="4">
        <v>30210</v>
      </c>
      <c r="J10" s="58">
        <v>1079</v>
      </c>
      <c r="K10" s="58">
        <v>423.1</v>
      </c>
      <c r="L10" s="4"/>
      <c r="M10" s="9" t="s">
        <v>13</v>
      </c>
      <c r="N10" s="9" t="s">
        <v>16</v>
      </c>
      <c r="O10" s="9"/>
      <c r="P10" s="4">
        <v>114876</v>
      </c>
      <c r="Q10" s="4">
        <v>112090</v>
      </c>
      <c r="R10" s="4">
        <v>117336</v>
      </c>
      <c r="S10" s="4">
        <v>112896</v>
      </c>
      <c r="T10" s="4">
        <v>109798</v>
      </c>
      <c r="U10" s="4">
        <v>103226</v>
      </c>
      <c r="V10" s="4">
        <v>112065</v>
      </c>
      <c r="W10" s="4">
        <v>110504</v>
      </c>
      <c r="X10" s="4">
        <v>115724</v>
      </c>
      <c r="Y10" s="4">
        <v>117414</v>
      </c>
      <c r="Z10" s="4">
        <v>117029</v>
      </c>
      <c r="AA10" s="4">
        <v>108121</v>
      </c>
      <c r="AB10" s="4">
        <v>113441</v>
      </c>
      <c r="AC10" s="9"/>
      <c r="AD10" s="4">
        <v>30020</v>
      </c>
      <c r="AE10" s="4">
        <v>30290</v>
      </c>
      <c r="AF10" s="4">
        <v>28530</v>
      </c>
      <c r="AG10" s="4">
        <v>29100</v>
      </c>
      <c r="AH10" s="4">
        <v>28000</v>
      </c>
      <c r="AI10" s="4">
        <v>29500</v>
      </c>
      <c r="AJ10" s="4">
        <v>27310</v>
      </c>
      <c r="AK10" s="4">
        <v>30890</v>
      </c>
      <c r="AL10" s="4">
        <v>29630</v>
      </c>
      <c r="AM10" s="4">
        <v>30780</v>
      </c>
      <c r="AN10" s="4">
        <v>30760</v>
      </c>
      <c r="AO10" s="4">
        <v>30740</v>
      </c>
      <c r="AP10" s="4" t="s">
        <v>773</v>
      </c>
      <c r="AQ10" s="4" t="s">
        <v>773</v>
      </c>
      <c r="AR10" s="23">
        <v>0.84930555555555554</v>
      </c>
      <c r="AS10" s="66">
        <f>(20+(23/60))*AO10</f>
        <v>626583.66666666663</v>
      </c>
      <c r="AT10" s="3">
        <v>2005</v>
      </c>
      <c r="AX10" s="3" t="s">
        <v>7</v>
      </c>
      <c r="AY10" s="47">
        <f>AS27+AS24+AS40+AS50+AS37+AS34+AS64</f>
        <v>54671.418333333342</v>
      </c>
      <c r="AZ10" s="78">
        <f>AY10/AV3</f>
        <v>2.1951407946454754E-2</v>
      </c>
    </row>
    <row r="11" spans="1:53" s="5" customFormat="1" x14ac:dyDescent="0.2">
      <c r="A11" s="6">
        <v>113</v>
      </c>
      <c r="B11" s="6">
        <v>123</v>
      </c>
      <c r="C11" s="6">
        <v>84</v>
      </c>
      <c r="D11" s="6">
        <v>84</v>
      </c>
      <c r="E11" s="5" t="s">
        <v>196</v>
      </c>
      <c r="F11" s="5" t="s">
        <v>0</v>
      </c>
      <c r="H11" s="6"/>
      <c r="I11" s="6"/>
      <c r="J11" s="59"/>
      <c r="K11" s="59"/>
      <c r="L11" s="6"/>
      <c r="M11" s="7"/>
      <c r="N11" s="7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7"/>
      <c r="AE11" s="7"/>
      <c r="AF11" s="7"/>
      <c r="AG11" s="7"/>
      <c r="AH11" s="7"/>
      <c r="AI11" s="7"/>
      <c r="AJ11" s="6">
        <v>244.8</v>
      </c>
      <c r="AK11" s="6" t="s">
        <v>773</v>
      </c>
      <c r="AL11" s="6" t="s">
        <v>773</v>
      </c>
      <c r="AM11" s="6" t="s">
        <v>773</v>
      </c>
      <c r="AN11" s="6" t="s">
        <v>773</v>
      </c>
      <c r="AO11" s="6" t="s">
        <v>773</v>
      </c>
      <c r="AP11" s="6" t="s">
        <v>773</v>
      </c>
      <c r="AQ11" s="6" t="s">
        <v>773</v>
      </c>
      <c r="AR11" s="53"/>
      <c r="AS11" s="74"/>
      <c r="AY11" s="54"/>
      <c r="AZ11" s="62"/>
    </row>
    <row r="12" spans="1:53" x14ac:dyDescent="0.2">
      <c r="A12" s="2">
        <v>161</v>
      </c>
      <c r="B12" s="2">
        <v>7</v>
      </c>
      <c r="C12" s="2">
        <v>115</v>
      </c>
      <c r="D12" s="2">
        <v>5</v>
      </c>
      <c r="E12" t="s">
        <v>24</v>
      </c>
      <c r="F12" t="s">
        <v>4</v>
      </c>
      <c r="H12" s="2">
        <v>20000</v>
      </c>
      <c r="I12" s="2">
        <v>5910</v>
      </c>
      <c r="J12" s="57">
        <v>211</v>
      </c>
      <c r="K12" s="57">
        <v>113.1</v>
      </c>
      <c r="M12" s="1" t="s">
        <v>12</v>
      </c>
      <c r="N12" s="1" t="s">
        <v>16</v>
      </c>
      <c r="P12" s="2">
        <v>8501</v>
      </c>
      <c r="Q12" s="2">
        <v>9142</v>
      </c>
      <c r="R12" s="2">
        <v>8528</v>
      </c>
      <c r="S12" s="2">
        <v>8441</v>
      </c>
      <c r="T12" s="2">
        <v>8209</v>
      </c>
      <c r="U12" s="2">
        <v>8315</v>
      </c>
      <c r="V12" s="2">
        <v>9570</v>
      </c>
      <c r="W12" s="2">
        <v>9981</v>
      </c>
      <c r="X12" s="2">
        <v>10429</v>
      </c>
      <c r="Y12" s="2">
        <v>10822</v>
      </c>
      <c r="Z12" s="2">
        <v>9815</v>
      </c>
      <c r="AA12" s="2">
        <v>9439</v>
      </c>
      <c r="AB12" s="2">
        <v>10206</v>
      </c>
      <c r="AD12" s="2">
        <v>318.89999999999998</v>
      </c>
      <c r="AE12" s="2">
        <v>438.9</v>
      </c>
      <c r="AF12" s="2">
        <v>586.5</v>
      </c>
      <c r="AG12" s="2">
        <v>655.7</v>
      </c>
      <c r="AH12" s="2">
        <v>706.1</v>
      </c>
      <c r="AI12" s="2">
        <v>873</v>
      </c>
      <c r="AJ12" s="2">
        <v>952.5</v>
      </c>
      <c r="AK12" s="2">
        <v>5762</v>
      </c>
      <c r="AL12" s="2">
        <v>5494</v>
      </c>
      <c r="AM12" s="2">
        <v>5898</v>
      </c>
      <c r="AN12" s="2">
        <v>5927</v>
      </c>
      <c r="AO12" s="2">
        <v>5997</v>
      </c>
      <c r="AP12" s="2" t="s">
        <v>773</v>
      </c>
      <c r="AQ12" s="2" t="s">
        <v>773</v>
      </c>
      <c r="AR12" s="19">
        <v>0.45</v>
      </c>
      <c r="AS12" s="60">
        <f>(10+(48/60))*AO12</f>
        <v>64767.600000000006</v>
      </c>
      <c r="AT12">
        <v>2006</v>
      </c>
      <c r="AV12" s="8"/>
      <c r="AW12" s="49"/>
      <c r="AX12" t="s">
        <v>1235</v>
      </c>
      <c r="AY12" s="8">
        <f>AS17</f>
        <v>13669.250000000002</v>
      </c>
      <c r="AZ12" s="49">
        <f>AY12/$AV$3</f>
        <v>5.488412267678989E-3</v>
      </c>
    </row>
    <row r="13" spans="1:53" x14ac:dyDescent="0.2">
      <c r="A13" s="2">
        <v>8</v>
      </c>
      <c r="B13" s="2">
        <v>8</v>
      </c>
      <c r="C13" s="2">
        <v>5</v>
      </c>
      <c r="D13" s="2">
        <v>5</v>
      </c>
      <c r="E13" t="s">
        <v>1336</v>
      </c>
      <c r="F13" t="s">
        <v>4</v>
      </c>
      <c r="H13" s="2">
        <v>20000</v>
      </c>
      <c r="J13" s="57"/>
      <c r="K13" s="57"/>
      <c r="N13" s="1" t="s">
        <v>16</v>
      </c>
      <c r="P13" s="2">
        <v>1010</v>
      </c>
      <c r="Q13" s="2">
        <v>1171</v>
      </c>
      <c r="R13" s="2">
        <v>1135</v>
      </c>
      <c r="S13" s="2">
        <v>1028</v>
      </c>
      <c r="T13" s="2">
        <v>751</v>
      </c>
      <c r="U13" s="2">
        <v>247</v>
      </c>
      <c r="V13" s="2">
        <v>23.39</v>
      </c>
      <c r="W13" s="2">
        <v>0.3</v>
      </c>
      <c r="X13" s="2">
        <v>0.4</v>
      </c>
      <c r="Y13" s="2">
        <v>1.1000000000000001</v>
      </c>
      <c r="Z13" s="2">
        <v>0.4</v>
      </c>
      <c r="AA13" s="2">
        <v>0.4</v>
      </c>
      <c r="AB13" s="2">
        <v>0.4</v>
      </c>
      <c r="AD13" s="2">
        <v>4716</v>
      </c>
      <c r="AE13" s="2">
        <v>4577</v>
      </c>
      <c r="AF13" s="2">
        <v>4471</v>
      </c>
      <c r="AG13" s="2">
        <v>4575</v>
      </c>
      <c r="AH13" s="2">
        <v>4279</v>
      </c>
      <c r="AI13" s="2">
        <v>4802</v>
      </c>
      <c r="AJ13" s="2">
        <v>12800</v>
      </c>
      <c r="AK13" s="6" t="s">
        <v>773</v>
      </c>
      <c r="AL13" s="6" t="s">
        <v>773</v>
      </c>
      <c r="AM13" s="6" t="s">
        <v>773</v>
      </c>
      <c r="AN13" s="6" t="s">
        <v>773</v>
      </c>
      <c r="AO13" s="6" t="s">
        <v>773</v>
      </c>
      <c r="AP13" s="6" t="s">
        <v>773</v>
      </c>
      <c r="AQ13" s="6" t="s">
        <v>773</v>
      </c>
      <c r="AR13" s="19"/>
      <c r="AS13" s="60"/>
      <c r="AV13" s="8"/>
      <c r="AW13" s="49"/>
      <c r="AY13" s="8"/>
      <c r="AZ13" s="49"/>
    </row>
    <row r="14" spans="1:53" x14ac:dyDescent="0.2">
      <c r="A14" s="2" t="s">
        <v>773</v>
      </c>
      <c r="B14" s="2" t="s">
        <v>773</v>
      </c>
      <c r="C14" s="2" t="s">
        <v>773</v>
      </c>
      <c r="D14" s="2" t="s">
        <v>773</v>
      </c>
      <c r="E14" t="s">
        <v>1337</v>
      </c>
      <c r="F14" t="s">
        <v>4</v>
      </c>
      <c r="H14" s="2">
        <v>20000</v>
      </c>
      <c r="J14" s="57"/>
      <c r="K14" s="57"/>
      <c r="N14" s="1" t="s">
        <v>16</v>
      </c>
      <c r="P14" s="2">
        <f t="shared" ref="P14:AB14" si="0">SUM(P12:P13)</f>
        <v>9511</v>
      </c>
      <c r="Q14" s="2">
        <f t="shared" si="0"/>
        <v>10313</v>
      </c>
      <c r="R14" s="2">
        <f t="shared" si="0"/>
        <v>9663</v>
      </c>
      <c r="S14" s="2">
        <f t="shared" si="0"/>
        <v>9469</v>
      </c>
      <c r="T14" s="2">
        <f t="shared" si="0"/>
        <v>8960</v>
      </c>
      <c r="U14" s="2">
        <f t="shared" si="0"/>
        <v>8562</v>
      </c>
      <c r="V14" s="2">
        <f t="shared" si="0"/>
        <v>9593.39</v>
      </c>
      <c r="W14" s="2">
        <f t="shared" si="0"/>
        <v>9981.2999999999993</v>
      </c>
      <c r="X14" s="2">
        <f t="shared" si="0"/>
        <v>10429.4</v>
      </c>
      <c r="Y14" s="2">
        <f t="shared" si="0"/>
        <v>10823.1</v>
      </c>
      <c r="Z14" s="2">
        <f t="shared" si="0"/>
        <v>9815.4</v>
      </c>
      <c r="AA14" s="2">
        <f t="shared" si="0"/>
        <v>9439.4</v>
      </c>
      <c r="AB14" s="2">
        <f t="shared" si="0"/>
        <v>10206.4</v>
      </c>
      <c r="AD14" s="2">
        <f t="shared" ref="AD14:AI14" si="1">AD13+AD12</f>
        <v>5034.8999999999996</v>
      </c>
      <c r="AE14" s="2">
        <f t="shared" si="1"/>
        <v>5015.8999999999996</v>
      </c>
      <c r="AF14" s="2">
        <f t="shared" si="1"/>
        <v>5057.5</v>
      </c>
      <c r="AG14" s="2">
        <f t="shared" si="1"/>
        <v>5230.7</v>
      </c>
      <c r="AH14" s="2">
        <f t="shared" si="1"/>
        <v>4985.1000000000004</v>
      </c>
      <c r="AI14" s="2">
        <f t="shared" si="1"/>
        <v>5675</v>
      </c>
      <c r="AJ14" s="2">
        <f>AJ13+AJ12</f>
        <v>13752.5</v>
      </c>
      <c r="AK14" s="6" t="s">
        <v>773</v>
      </c>
      <c r="AL14" s="6" t="s">
        <v>773</v>
      </c>
      <c r="AM14" s="6" t="s">
        <v>773</v>
      </c>
      <c r="AN14" s="6" t="s">
        <v>773</v>
      </c>
      <c r="AO14" s="6" t="s">
        <v>773</v>
      </c>
      <c r="AP14" s="6" t="s">
        <v>773</v>
      </c>
      <c r="AQ14" s="6" t="s">
        <v>773</v>
      </c>
      <c r="AR14" s="19"/>
      <c r="AS14" s="60"/>
      <c r="AV14" s="8"/>
      <c r="AW14" s="49"/>
      <c r="AY14" s="8"/>
      <c r="AZ14" s="49"/>
    </row>
    <row r="15" spans="1:53" x14ac:dyDescent="0.2">
      <c r="A15" s="2">
        <v>4</v>
      </c>
      <c r="B15" s="2">
        <v>4</v>
      </c>
      <c r="C15" s="2">
        <v>6</v>
      </c>
      <c r="D15" s="2">
        <v>12</v>
      </c>
      <c r="E15" t="s">
        <v>22</v>
      </c>
      <c r="F15" t="s">
        <v>2</v>
      </c>
      <c r="H15" s="2">
        <v>1000000</v>
      </c>
      <c r="I15" s="2">
        <v>2096</v>
      </c>
      <c r="J15" s="57">
        <v>74.86</v>
      </c>
      <c r="K15" s="57">
        <v>50.16</v>
      </c>
      <c r="N15" s="1" t="s">
        <v>16</v>
      </c>
      <c r="P15" s="2">
        <v>4429.8999999999996</v>
      </c>
      <c r="Q15" s="2">
        <v>4765.8</v>
      </c>
      <c r="R15" s="2">
        <v>4679.8</v>
      </c>
      <c r="S15" s="2">
        <v>4168.1000000000004</v>
      </c>
      <c r="T15" s="2">
        <v>3842.9</v>
      </c>
      <c r="U15" s="2">
        <v>3801.4</v>
      </c>
      <c r="V15" s="2">
        <v>4234.6000000000004</v>
      </c>
      <c r="W15" s="2">
        <v>3911.1</v>
      </c>
      <c r="X15" s="2">
        <v>4317.8999999999996</v>
      </c>
      <c r="Y15" s="2">
        <v>4338.8</v>
      </c>
      <c r="Z15" s="2">
        <v>4590.2</v>
      </c>
      <c r="AA15" s="2">
        <v>4032.7</v>
      </c>
      <c r="AB15" s="2">
        <v>4393.6000000000004</v>
      </c>
      <c r="AD15" s="2">
        <v>2733</v>
      </c>
      <c r="AE15" s="2">
        <v>3105</v>
      </c>
      <c r="AF15" s="2">
        <v>2818</v>
      </c>
      <c r="AG15" s="2">
        <v>2706</v>
      </c>
      <c r="AH15" s="2">
        <v>2553</v>
      </c>
      <c r="AI15" s="2">
        <v>2702</v>
      </c>
      <c r="AJ15" s="2">
        <v>2646</v>
      </c>
      <c r="AK15" s="2">
        <v>2381</v>
      </c>
      <c r="AL15" s="2">
        <v>2195</v>
      </c>
      <c r="AM15" s="2">
        <v>2223</v>
      </c>
      <c r="AN15" s="2">
        <v>2340</v>
      </c>
      <c r="AO15" s="2">
        <v>2318</v>
      </c>
      <c r="AP15" s="2" t="s">
        <v>773</v>
      </c>
      <c r="AQ15" s="2" t="s">
        <v>773</v>
      </c>
      <c r="AR15" s="19">
        <v>0.3125</v>
      </c>
      <c r="AS15" s="60">
        <f>(7+(35/60))*AO15</f>
        <v>17578.166666666664</v>
      </c>
      <c r="AT15">
        <v>1994</v>
      </c>
      <c r="AX15" t="s">
        <v>1236</v>
      </c>
      <c r="AY15" s="8">
        <f>AS63</f>
        <v>7260.6333333333332</v>
      </c>
      <c r="AZ15" s="49">
        <f>AY15/$AV$3</f>
        <v>2.9152549743245351E-3</v>
      </c>
    </row>
    <row r="16" spans="1:53" x14ac:dyDescent="0.2">
      <c r="A16" s="2">
        <v>3</v>
      </c>
      <c r="B16" s="2">
        <v>5</v>
      </c>
      <c r="C16" s="2">
        <v>3</v>
      </c>
      <c r="D16" s="2">
        <v>3</v>
      </c>
      <c r="E16" t="s">
        <v>21</v>
      </c>
      <c r="F16" t="s">
        <v>1</v>
      </c>
      <c r="H16" s="2">
        <v>500000</v>
      </c>
      <c r="I16" s="2">
        <v>15740</v>
      </c>
      <c r="J16" s="57">
        <v>562.1</v>
      </c>
      <c r="K16" s="57">
        <v>277.60000000000002</v>
      </c>
      <c r="M16" s="1" t="s">
        <v>11</v>
      </c>
      <c r="N16" s="1" t="s">
        <v>16</v>
      </c>
      <c r="P16" s="2">
        <v>18400</v>
      </c>
      <c r="Q16" s="2">
        <v>17956</v>
      </c>
      <c r="R16" s="2">
        <v>18697</v>
      </c>
      <c r="S16" s="2">
        <v>18860</v>
      </c>
      <c r="T16" s="2">
        <v>16779</v>
      </c>
      <c r="U16" s="2">
        <v>15659</v>
      </c>
      <c r="V16" s="2">
        <v>17114</v>
      </c>
      <c r="W16" s="2">
        <v>16577</v>
      </c>
      <c r="X16" s="2">
        <v>18691</v>
      </c>
      <c r="Y16" s="2">
        <v>19235</v>
      </c>
      <c r="Z16" s="2">
        <v>19734</v>
      </c>
      <c r="AA16" s="2">
        <v>18514</v>
      </c>
      <c r="AB16" s="2">
        <v>18499</v>
      </c>
      <c r="AD16" s="2">
        <v>12300</v>
      </c>
      <c r="AE16" s="2">
        <v>12330</v>
      </c>
      <c r="AF16" s="2">
        <v>12040</v>
      </c>
      <c r="AG16" s="2">
        <v>12450</v>
      </c>
      <c r="AH16" s="2">
        <v>12260</v>
      </c>
      <c r="AI16" s="2">
        <v>12880</v>
      </c>
      <c r="AJ16" s="2">
        <v>11620</v>
      </c>
      <c r="AK16" s="2">
        <v>15170</v>
      </c>
      <c r="AL16" s="2">
        <v>15130</v>
      </c>
      <c r="AM16" s="2">
        <v>15710</v>
      </c>
      <c r="AN16" s="2">
        <v>15730</v>
      </c>
      <c r="AO16" s="2">
        <v>15760</v>
      </c>
      <c r="AP16" s="2" t="s">
        <v>773</v>
      </c>
      <c r="AQ16" s="2" t="s">
        <v>773</v>
      </c>
      <c r="AR16" s="19">
        <v>0.44305555555555554</v>
      </c>
      <c r="AS16" s="60">
        <f>(10+(38/60))*AO16</f>
        <v>167581.33333333331</v>
      </c>
      <c r="AT16">
        <v>2004</v>
      </c>
      <c r="AV16" s="8"/>
      <c r="AW16" s="49"/>
      <c r="AX16" t="s">
        <v>2</v>
      </c>
      <c r="AY16" s="8">
        <f>AS15+AS67+AS66</f>
        <v>28236.23333333333</v>
      </c>
      <c r="AZ16" s="49">
        <f t="shared" ref="AZ16:AZ344" si="2">AY16/$AV$3</f>
        <v>1.1337278154961905E-2</v>
      </c>
    </row>
    <row r="17" spans="1:54" x14ac:dyDescent="0.2">
      <c r="A17" s="2">
        <v>5</v>
      </c>
      <c r="B17" s="2">
        <v>6</v>
      </c>
      <c r="C17" s="2">
        <v>7</v>
      </c>
      <c r="D17" s="2">
        <v>17</v>
      </c>
      <c r="E17" t="s">
        <v>27</v>
      </c>
      <c r="F17" t="s">
        <v>6</v>
      </c>
      <c r="H17" s="2">
        <v>15000</v>
      </c>
      <c r="I17" s="2">
        <v>1555</v>
      </c>
      <c r="J17" s="57">
        <v>55.53</v>
      </c>
      <c r="K17" s="57">
        <v>29.72</v>
      </c>
      <c r="N17" s="1" t="s">
        <v>16</v>
      </c>
      <c r="P17" s="27">
        <v>7049.4679999999998</v>
      </c>
      <c r="Q17" s="27">
        <v>7231</v>
      </c>
      <c r="R17" s="27">
        <v>7091</v>
      </c>
      <c r="S17" s="27">
        <v>7236</v>
      </c>
      <c r="T17" s="27">
        <v>6833</v>
      </c>
      <c r="U17" s="27">
        <v>6218</v>
      </c>
      <c r="V17" s="27">
        <v>6443</v>
      </c>
      <c r="W17" s="27">
        <v>5976</v>
      </c>
      <c r="X17" s="27">
        <v>6607</v>
      </c>
      <c r="Y17" s="27">
        <v>7058</v>
      </c>
      <c r="Z17" s="27">
        <v>6876</v>
      </c>
      <c r="AA17" s="27">
        <v>6420</v>
      </c>
      <c r="AB17" s="27">
        <v>7010</v>
      </c>
      <c r="AD17" s="2">
        <v>3838</v>
      </c>
      <c r="AE17" s="2">
        <v>3807</v>
      </c>
      <c r="AF17" s="2">
        <v>3533</v>
      </c>
      <c r="AG17" s="2">
        <v>3549</v>
      </c>
      <c r="AH17" s="2">
        <v>3428</v>
      </c>
      <c r="AI17" s="2">
        <v>3584</v>
      </c>
      <c r="AJ17" s="2">
        <v>3223</v>
      </c>
      <c r="AK17" s="2">
        <v>1963</v>
      </c>
      <c r="AL17" s="2">
        <v>1699</v>
      </c>
      <c r="AM17" s="2">
        <v>1686</v>
      </c>
      <c r="AN17" s="2">
        <v>1636</v>
      </c>
      <c r="AO17" s="2">
        <v>1605</v>
      </c>
      <c r="AP17" s="2" t="s">
        <v>773</v>
      </c>
      <c r="AQ17" s="2" t="s">
        <v>773</v>
      </c>
      <c r="AR17" s="19">
        <v>0.35486111111111113</v>
      </c>
      <c r="AS17" s="60">
        <f>(8+(31/60))*AO17</f>
        <v>13669.250000000002</v>
      </c>
      <c r="AT17">
        <v>2005</v>
      </c>
    </row>
    <row r="18" spans="1:54" x14ac:dyDescent="0.2">
      <c r="A18" s="2">
        <v>6</v>
      </c>
      <c r="B18" s="2">
        <v>7</v>
      </c>
      <c r="C18" s="2">
        <v>12</v>
      </c>
      <c r="D18" s="2">
        <v>8</v>
      </c>
      <c r="E18" s="3" t="s">
        <v>23</v>
      </c>
      <c r="F18" s="3" t="s">
        <v>723</v>
      </c>
      <c r="G18" s="3"/>
      <c r="H18" s="4">
        <v>4400</v>
      </c>
      <c r="I18" s="4">
        <v>2989</v>
      </c>
      <c r="J18" s="58">
        <v>106.7</v>
      </c>
      <c r="K18" s="57">
        <v>56.75</v>
      </c>
      <c r="N18" s="1" t="s">
        <v>16</v>
      </c>
      <c r="P18" s="2">
        <v>4189.2</v>
      </c>
      <c r="Q18" s="2">
        <v>4023.1</v>
      </c>
      <c r="R18" s="2">
        <v>4150.1000000000004</v>
      </c>
      <c r="S18" s="2">
        <v>4298.3999999999996</v>
      </c>
      <c r="T18" s="2">
        <v>4262.2</v>
      </c>
      <c r="U18" s="2">
        <v>3773.5</v>
      </c>
      <c r="V18" s="2">
        <v>4191.5</v>
      </c>
      <c r="W18" s="2">
        <v>4533.3</v>
      </c>
      <c r="X18" s="2">
        <v>5092.7</v>
      </c>
      <c r="Y18" s="2">
        <v>5225.8</v>
      </c>
      <c r="Z18" s="2">
        <v>5512.9</v>
      </c>
      <c r="AA18" s="2">
        <v>5102.6000000000004</v>
      </c>
      <c r="AB18" s="2">
        <v>5550.2</v>
      </c>
      <c r="AD18" s="2">
        <v>3375</v>
      </c>
      <c r="AE18" s="2">
        <v>3436</v>
      </c>
      <c r="AF18" s="2">
        <v>3391</v>
      </c>
      <c r="AG18" s="2">
        <v>3522</v>
      </c>
      <c r="AH18" s="2">
        <v>3437</v>
      </c>
      <c r="AI18" s="2">
        <v>3588</v>
      </c>
      <c r="AJ18" s="2">
        <v>3237</v>
      </c>
      <c r="AK18" s="2">
        <v>3174</v>
      </c>
      <c r="AL18" s="2">
        <v>3413</v>
      </c>
      <c r="AM18" s="2">
        <v>3476</v>
      </c>
      <c r="AN18" s="2">
        <v>3346</v>
      </c>
      <c r="AO18" s="2">
        <v>3203</v>
      </c>
      <c r="AP18" s="2" t="s">
        <v>773</v>
      </c>
      <c r="AQ18" s="2" t="s">
        <v>773</v>
      </c>
      <c r="AR18" s="19">
        <v>0.39166666666666666</v>
      </c>
      <c r="AS18" s="8">
        <f>(8+(49/60))*AO18</f>
        <v>28239.783333333333</v>
      </c>
      <c r="AT18">
        <v>1995</v>
      </c>
      <c r="AV18" s="8"/>
      <c r="AW18" s="49"/>
      <c r="AX18" t="s">
        <v>1238</v>
      </c>
      <c r="AY18" s="8">
        <f>AS57</f>
        <v>5602.9</v>
      </c>
      <c r="AZ18" s="49">
        <f>AY18/$AV$3</f>
        <v>2.2496497682446808E-3</v>
      </c>
    </row>
    <row r="19" spans="1:54" s="5" customFormat="1" x14ac:dyDescent="0.2">
      <c r="A19" s="6">
        <v>131</v>
      </c>
      <c r="B19" s="6">
        <v>131</v>
      </c>
      <c r="C19" s="6">
        <v>264</v>
      </c>
      <c r="D19" s="6">
        <v>191</v>
      </c>
      <c r="E19" s="5" t="s">
        <v>117</v>
      </c>
      <c r="F19" s="5" t="s">
        <v>3</v>
      </c>
      <c r="G19" s="5" t="s">
        <v>1237</v>
      </c>
      <c r="H19" s="6">
        <v>5000</v>
      </c>
      <c r="I19" s="6">
        <v>247.1</v>
      </c>
      <c r="J19" s="17">
        <v>8.8260000000000005</v>
      </c>
      <c r="K19" s="17">
        <v>6.173</v>
      </c>
      <c r="L19" s="6"/>
      <c r="M19" s="7"/>
      <c r="N19" s="7"/>
      <c r="O19" s="7"/>
      <c r="P19" s="54">
        <v>231.66085699999999</v>
      </c>
      <c r="Q19" s="54">
        <v>237.376271</v>
      </c>
      <c r="R19" s="54">
        <v>198.447181</v>
      </c>
      <c r="S19" s="54">
        <v>307.26507700000002</v>
      </c>
      <c r="T19" s="54">
        <v>271.55150400000002</v>
      </c>
      <c r="U19" s="54">
        <v>207.07722899999999</v>
      </c>
      <c r="V19" s="54">
        <v>163.83543599999999</v>
      </c>
      <c r="W19" s="54">
        <v>221.15690799999999</v>
      </c>
      <c r="X19" s="54">
        <v>231.88516899999999</v>
      </c>
      <c r="Y19" s="54">
        <v>233.777952</v>
      </c>
      <c r="Z19" s="54">
        <v>241.191666</v>
      </c>
      <c r="AA19" s="54">
        <v>215.81000299999999</v>
      </c>
      <c r="AB19" s="54">
        <v>228.492806</v>
      </c>
      <c r="AC19" s="7"/>
      <c r="AD19" s="6">
        <v>186.6</v>
      </c>
      <c r="AE19" s="6">
        <v>186.2</v>
      </c>
      <c r="AF19" s="6">
        <v>185.9</v>
      </c>
      <c r="AG19" s="6">
        <v>196.4</v>
      </c>
      <c r="AH19" s="6">
        <v>190.3</v>
      </c>
      <c r="AI19" s="6">
        <v>206</v>
      </c>
      <c r="AJ19" s="6">
        <v>187.9</v>
      </c>
      <c r="AK19" s="6">
        <v>222.3</v>
      </c>
      <c r="AL19" s="6">
        <v>229.6</v>
      </c>
      <c r="AM19" s="6">
        <v>247.1</v>
      </c>
      <c r="AN19" s="50" t="s">
        <v>773</v>
      </c>
      <c r="AO19" s="6">
        <v>235.2</v>
      </c>
      <c r="AP19" s="6" t="s">
        <v>773</v>
      </c>
      <c r="AQ19" s="6" t="s">
        <v>773</v>
      </c>
      <c r="AR19" s="53">
        <v>0.14444444444444446</v>
      </c>
      <c r="AS19" s="54">
        <f>(3+(28/60))*AO19</f>
        <v>815.36</v>
      </c>
    </row>
    <row r="20" spans="1:54" s="68" customFormat="1" x14ac:dyDescent="0.2">
      <c r="A20" s="67">
        <v>73</v>
      </c>
      <c r="B20" s="67">
        <v>94</v>
      </c>
      <c r="C20" s="67">
        <v>232</v>
      </c>
      <c r="D20" s="67">
        <v>232</v>
      </c>
      <c r="E20" s="68" t="s">
        <v>89</v>
      </c>
      <c r="F20" s="68" t="s">
        <v>3</v>
      </c>
      <c r="G20" s="68" t="s">
        <v>1271</v>
      </c>
      <c r="H20" s="67">
        <v>5000</v>
      </c>
      <c r="I20" s="67">
        <v>199.7</v>
      </c>
      <c r="J20" s="69">
        <v>7.1340000000000003</v>
      </c>
      <c r="K20" s="69">
        <v>3.895</v>
      </c>
      <c r="L20" s="67"/>
      <c r="M20" s="70" t="s">
        <v>1479</v>
      </c>
      <c r="N20" s="70" t="s">
        <v>16</v>
      </c>
      <c r="O20" s="70"/>
      <c r="P20" s="71">
        <v>239.6</v>
      </c>
      <c r="Q20" s="71">
        <v>300.48</v>
      </c>
      <c r="R20" s="71">
        <v>250.77</v>
      </c>
      <c r="S20" s="71">
        <v>231.7</v>
      </c>
      <c r="T20" s="71">
        <v>203.4</v>
      </c>
      <c r="U20" s="71">
        <v>202.7</v>
      </c>
      <c r="V20" s="71">
        <v>234.7</v>
      </c>
      <c r="W20" s="71">
        <v>241</v>
      </c>
      <c r="X20" s="71">
        <v>288.39999999999998</v>
      </c>
      <c r="Y20" s="71">
        <v>277.5</v>
      </c>
      <c r="Z20" s="71">
        <v>311.95</v>
      </c>
      <c r="AA20" s="71">
        <v>261.8</v>
      </c>
      <c r="AB20" s="71">
        <v>281.44</v>
      </c>
      <c r="AC20" s="70"/>
      <c r="AD20" s="6">
        <v>186.6</v>
      </c>
      <c r="AE20" s="6">
        <v>186.2</v>
      </c>
      <c r="AF20" s="6">
        <v>185.9</v>
      </c>
      <c r="AG20" s="6">
        <v>196.4</v>
      </c>
      <c r="AH20" s="6">
        <v>190.3</v>
      </c>
      <c r="AI20" s="6">
        <v>206</v>
      </c>
      <c r="AJ20" s="6">
        <v>208.4</v>
      </c>
      <c r="AK20" s="67">
        <v>211.6</v>
      </c>
      <c r="AL20" s="67">
        <v>199.7</v>
      </c>
      <c r="AM20" s="67">
        <v>243.4</v>
      </c>
      <c r="AN20" s="67" t="s">
        <v>773</v>
      </c>
      <c r="AO20" s="67">
        <v>205.9</v>
      </c>
      <c r="AP20" s="67" t="s">
        <v>773</v>
      </c>
      <c r="AQ20" s="67" t="s">
        <v>773</v>
      </c>
      <c r="AR20" s="72">
        <v>0.18402777777777779</v>
      </c>
      <c r="AS20" s="73">
        <f>(4+(25/60))*AO20</f>
        <v>909.39166666666677</v>
      </c>
      <c r="BA20"/>
    </row>
    <row r="21" spans="1:54" s="5" customFormat="1" x14ac:dyDescent="0.2">
      <c r="A21" s="6">
        <v>208</v>
      </c>
      <c r="B21" s="6">
        <v>212</v>
      </c>
      <c r="C21" s="6">
        <v>832</v>
      </c>
      <c r="D21" s="6">
        <v>636</v>
      </c>
      <c r="E21" s="5" t="s">
        <v>154</v>
      </c>
      <c r="F21" s="5" t="s">
        <v>3</v>
      </c>
      <c r="H21" s="6">
        <v>5000</v>
      </c>
      <c r="I21" s="6">
        <v>85.49</v>
      </c>
      <c r="J21" s="17">
        <v>3.0529999999999999</v>
      </c>
      <c r="K21" s="17">
        <v>1.9610000000000001</v>
      </c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>
        <v>86.97</v>
      </c>
      <c r="AE21" s="6">
        <v>101.2</v>
      </c>
      <c r="AF21" s="6">
        <v>103.8</v>
      </c>
      <c r="AG21" s="6">
        <v>109.8</v>
      </c>
      <c r="AH21" s="6">
        <v>108.6</v>
      </c>
      <c r="AI21" s="6">
        <v>105</v>
      </c>
      <c r="AJ21" s="6">
        <v>69.89</v>
      </c>
      <c r="AK21" s="6">
        <v>91.47</v>
      </c>
      <c r="AL21" s="6">
        <v>93.98</v>
      </c>
      <c r="AM21" s="6">
        <v>85.49</v>
      </c>
      <c r="AN21" s="50" t="s">
        <v>773</v>
      </c>
      <c r="AO21" s="6">
        <v>71.12</v>
      </c>
      <c r="AP21" s="50" t="s">
        <v>773</v>
      </c>
      <c r="AQ21" s="50" t="s">
        <v>773</v>
      </c>
      <c r="AR21" s="53">
        <v>9.6527777777777768E-2</v>
      </c>
      <c r="AS21" s="54">
        <f>(2+(19/60))*AO21</f>
        <v>164.76133333333334</v>
      </c>
    </row>
    <row r="22" spans="1:54" x14ac:dyDescent="0.2">
      <c r="A22" s="2">
        <v>7</v>
      </c>
      <c r="B22" s="2">
        <v>8</v>
      </c>
      <c r="C22" s="2">
        <v>4</v>
      </c>
      <c r="D22" s="2">
        <v>4</v>
      </c>
      <c r="E22" t="s">
        <v>25</v>
      </c>
      <c r="F22" t="s">
        <v>1</v>
      </c>
      <c r="H22" s="2">
        <v>500000</v>
      </c>
      <c r="I22" s="2">
        <v>5884</v>
      </c>
      <c r="J22" s="57">
        <v>210.1</v>
      </c>
      <c r="K22" s="57">
        <v>121.4</v>
      </c>
      <c r="N22" s="1" t="s">
        <v>16</v>
      </c>
      <c r="P22" s="2">
        <v>7544.2920000000004</v>
      </c>
      <c r="Q22" s="2">
        <v>7628.1379999999999</v>
      </c>
      <c r="R22" s="2">
        <v>7765.3239999999996</v>
      </c>
      <c r="S22" s="2">
        <v>7434.6930000000002</v>
      </c>
      <c r="T22" s="2">
        <v>6891.8789999999999</v>
      </c>
      <c r="U22" s="2">
        <v>6634.1019999999999</v>
      </c>
      <c r="V22" s="2">
        <v>7193.6540000000005</v>
      </c>
      <c r="W22" s="2">
        <v>6917.21</v>
      </c>
      <c r="X22" s="2">
        <v>7786.6570000000002</v>
      </c>
      <c r="Y22" s="2">
        <v>7673.55</v>
      </c>
      <c r="Z22" s="2">
        <v>7548.3580000000002</v>
      </c>
      <c r="AA22" s="2">
        <v>6782.576</v>
      </c>
      <c r="AB22" s="2">
        <v>6995.3159999999998</v>
      </c>
      <c r="AD22" s="2">
        <v>6267</v>
      </c>
      <c r="AE22" s="2">
        <v>6095</v>
      </c>
      <c r="AF22" s="2">
        <v>5883</v>
      </c>
      <c r="AG22" s="2">
        <v>6036</v>
      </c>
      <c r="AH22" s="2">
        <v>5729</v>
      </c>
      <c r="AI22" s="2">
        <v>5856</v>
      </c>
      <c r="AJ22" s="2">
        <v>5406</v>
      </c>
      <c r="AK22" s="2">
        <v>6331</v>
      </c>
      <c r="AL22" s="2">
        <v>5980</v>
      </c>
      <c r="AM22" s="2">
        <v>6093</v>
      </c>
      <c r="AN22" s="2">
        <v>6153</v>
      </c>
      <c r="AO22" s="2">
        <v>6141</v>
      </c>
      <c r="AP22" s="2" t="s">
        <v>773</v>
      </c>
      <c r="AQ22" s="2" t="s">
        <v>773</v>
      </c>
      <c r="AR22" s="19">
        <v>0.34583333333333338</v>
      </c>
      <c r="AS22" s="60">
        <f>(8+(18/60))*AO22</f>
        <v>50970.3</v>
      </c>
      <c r="AT22">
        <v>2010</v>
      </c>
      <c r="AX22" t="s">
        <v>564</v>
      </c>
      <c r="AY22" s="8">
        <f>AS344</f>
        <v>24384.75</v>
      </c>
      <c r="AZ22" s="49">
        <f t="shared" si="2"/>
        <v>9.7908488793668428E-3</v>
      </c>
    </row>
    <row r="23" spans="1:54" x14ac:dyDescent="0.2">
      <c r="A23" s="2">
        <v>10</v>
      </c>
      <c r="B23" s="2">
        <v>9</v>
      </c>
      <c r="C23" s="2">
        <v>8</v>
      </c>
      <c r="D23" s="2">
        <v>7</v>
      </c>
      <c r="E23" t="s">
        <v>26</v>
      </c>
      <c r="F23" s="5" t="s">
        <v>5</v>
      </c>
      <c r="G23" s="5"/>
      <c r="H23" s="6">
        <v>0</v>
      </c>
      <c r="I23" s="6">
        <v>4214</v>
      </c>
      <c r="J23" s="59">
        <v>150.5</v>
      </c>
      <c r="K23" s="59">
        <v>110.2</v>
      </c>
      <c r="L23" s="6">
        <v>320.39999999999998</v>
      </c>
      <c r="M23" s="7" t="s">
        <v>11</v>
      </c>
      <c r="N23" s="7" t="s">
        <v>11</v>
      </c>
      <c r="O23" s="7"/>
      <c r="P23" s="2">
        <v>8438.8410000000003</v>
      </c>
      <c r="Q23" s="2">
        <v>9029.41</v>
      </c>
      <c r="R23" s="2">
        <v>8424.1200000000008</v>
      </c>
      <c r="S23" s="2">
        <v>8516.0400000000009</v>
      </c>
      <c r="T23" s="2">
        <v>8427.4079999999994</v>
      </c>
      <c r="U23" s="2">
        <v>7952.1090000000004</v>
      </c>
      <c r="V23" s="2">
        <v>8774.4770000000008</v>
      </c>
      <c r="W23" s="2">
        <v>8476.2950000000001</v>
      </c>
      <c r="X23" s="2">
        <v>9625.5239999999994</v>
      </c>
      <c r="Y23" s="2">
        <v>9472.3459999999995</v>
      </c>
      <c r="Z23" s="2">
        <v>9750.4869999999992</v>
      </c>
      <c r="AA23" s="2">
        <v>9250.7739999999994</v>
      </c>
      <c r="AB23" s="2">
        <v>9994.43</v>
      </c>
      <c r="AC23" s="7"/>
      <c r="AD23" s="6">
        <v>4138</v>
      </c>
      <c r="AE23" s="6">
        <v>3987</v>
      </c>
      <c r="AF23" s="6">
        <v>3961</v>
      </c>
      <c r="AG23" s="6">
        <v>4009</v>
      </c>
      <c r="AH23" s="6">
        <v>3829</v>
      </c>
      <c r="AI23" s="6">
        <v>3954</v>
      </c>
      <c r="AJ23" s="6">
        <v>3551</v>
      </c>
      <c r="AK23" s="6">
        <v>3960</v>
      </c>
      <c r="AL23" s="6">
        <v>4056</v>
      </c>
      <c r="AM23" s="6">
        <v>4000</v>
      </c>
      <c r="AN23" s="6">
        <v>3988</v>
      </c>
      <c r="AO23" s="6">
        <v>4022</v>
      </c>
      <c r="AP23" s="2" t="s">
        <v>773</v>
      </c>
      <c r="AQ23" s="2" t="s">
        <v>773</v>
      </c>
      <c r="AR23" s="19">
        <v>0.16111111111111112</v>
      </c>
      <c r="AS23" s="8">
        <f>(3+(52/60))*AO23</f>
        <v>15551.733333333334</v>
      </c>
      <c r="AT23">
        <v>2001</v>
      </c>
      <c r="AV23" s="8"/>
      <c r="AW23" s="49"/>
    </row>
    <row r="24" spans="1:54" x14ac:dyDescent="0.2">
      <c r="A24" s="2">
        <v>9</v>
      </c>
      <c r="B24" s="2">
        <v>10</v>
      </c>
      <c r="C24" s="2">
        <v>18</v>
      </c>
      <c r="D24" s="2">
        <v>20</v>
      </c>
      <c r="E24" t="s">
        <v>34</v>
      </c>
      <c r="F24" t="s">
        <v>7</v>
      </c>
      <c r="G24" t="s">
        <v>1480</v>
      </c>
      <c r="H24" s="2">
        <v>2000000</v>
      </c>
      <c r="I24" s="2">
        <v>1514</v>
      </c>
      <c r="J24" s="57">
        <v>54.08</v>
      </c>
      <c r="K24" s="57">
        <v>31.73</v>
      </c>
      <c r="M24" s="1" t="s">
        <v>736</v>
      </c>
      <c r="N24" s="1" t="s">
        <v>16</v>
      </c>
      <c r="P24" s="2">
        <v>1697</v>
      </c>
      <c r="Q24" s="2">
        <v>1585</v>
      </c>
      <c r="R24" s="2">
        <v>1704</v>
      </c>
      <c r="S24" s="2">
        <v>1703</v>
      </c>
      <c r="T24" s="2">
        <v>1683</v>
      </c>
      <c r="U24" s="2">
        <v>1584</v>
      </c>
      <c r="V24" s="2">
        <v>1684</v>
      </c>
      <c r="W24" s="2">
        <v>1667</v>
      </c>
      <c r="X24" s="2">
        <v>1820</v>
      </c>
      <c r="Y24" s="2">
        <v>1744</v>
      </c>
      <c r="Z24" s="2">
        <v>1902</v>
      </c>
      <c r="AA24" s="2">
        <v>1708</v>
      </c>
      <c r="AB24" s="2">
        <v>1718</v>
      </c>
      <c r="AD24" s="2">
        <v>1777</v>
      </c>
      <c r="AE24" s="2">
        <v>1525</v>
      </c>
      <c r="AF24" s="2">
        <v>1622</v>
      </c>
      <c r="AG24" s="2">
        <v>1762</v>
      </c>
      <c r="AH24" s="2">
        <v>1714</v>
      </c>
      <c r="AI24" s="2">
        <v>1733</v>
      </c>
      <c r="AJ24" s="2">
        <v>1584</v>
      </c>
      <c r="AK24" s="2">
        <v>1459</v>
      </c>
      <c r="AL24" s="2">
        <v>1645</v>
      </c>
      <c r="AM24" s="2">
        <v>1598</v>
      </c>
      <c r="AN24" s="2" t="s">
        <v>773</v>
      </c>
      <c r="AO24" s="2">
        <v>1570</v>
      </c>
      <c r="AP24" s="2" t="s">
        <v>773</v>
      </c>
      <c r="AQ24" s="2" t="s">
        <v>773</v>
      </c>
      <c r="AR24" s="19">
        <v>0.3125</v>
      </c>
      <c r="AS24" s="60">
        <f>(7.5)*AO24</f>
        <v>11775</v>
      </c>
      <c r="AT24">
        <v>2002</v>
      </c>
      <c r="BA24" t="s">
        <v>403</v>
      </c>
      <c r="BB24" t="s">
        <v>0</v>
      </c>
    </row>
    <row r="25" spans="1:54" x14ac:dyDescent="0.2">
      <c r="A25" s="2">
        <v>11</v>
      </c>
      <c r="B25" s="2">
        <v>11</v>
      </c>
      <c r="C25" s="2">
        <v>44</v>
      </c>
      <c r="D25" s="2">
        <v>41</v>
      </c>
      <c r="E25" t="s">
        <v>32</v>
      </c>
      <c r="F25" t="s">
        <v>528</v>
      </c>
      <c r="H25" s="2">
        <v>24440</v>
      </c>
      <c r="I25" s="2">
        <v>629.79999999999995</v>
      </c>
      <c r="J25" s="15">
        <v>22.49</v>
      </c>
      <c r="K25" s="15">
        <v>15.26</v>
      </c>
      <c r="M25" s="1" t="s">
        <v>737</v>
      </c>
      <c r="N25" s="1" t="s">
        <v>16</v>
      </c>
      <c r="P25" s="8">
        <v>820.86205700000005</v>
      </c>
      <c r="Q25" s="8">
        <v>852.66623900000002</v>
      </c>
      <c r="R25" s="8">
        <v>838.62709800000005</v>
      </c>
      <c r="S25" s="8">
        <v>802.94889999999998</v>
      </c>
      <c r="T25" s="8">
        <v>769.41269499999999</v>
      </c>
      <c r="U25" s="8">
        <v>781.59234200000003</v>
      </c>
      <c r="V25" s="8">
        <v>811.13830199999995</v>
      </c>
      <c r="W25" s="8">
        <v>798.64763300000004</v>
      </c>
      <c r="X25" s="8">
        <v>884.20290999999997</v>
      </c>
      <c r="Y25" s="8">
        <v>943.28645200000005</v>
      </c>
      <c r="Z25" s="8">
        <v>1016.70463</v>
      </c>
      <c r="AA25" s="8">
        <v>876.173495</v>
      </c>
      <c r="AB25" s="8">
        <v>959.87802299999998</v>
      </c>
      <c r="AD25" s="2">
        <v>639.1</v>
      </c>
      <c r="AE25" s="2">
        <v>650.5</v>
      </c>
      <c r="AF25" s="2">
        <v>609.1</v>
      </c>
      <c r="AG25" s="2">
        <v>604.5</v>
      </c>
      <c r="AH25" s="2">
        <v>594.70000000000005</v>
      </c>
      <c r="AI25" s="2">
        <v>630.1</v>
      </c>
      <c r="AJ25" s="2">
        <v>572.20000000000005</v>
      </c>
      <c r="AK25" s="2">
        <v>676.6</v>
      </c>
      <c r="AL25" s="2">
        <v>611.5</v>
      </c>
      <c r="AM25" s="2">
        <v>661.6</v>
      </c>
      <c r="AN25" s="2" t="s">
        <v>773</v>
      </c>
      <c r="AO25" s="2">
        <v>657.6</v>
      </c>
      <c r="AP25" s="2" t="s">
        <v>773</v>
      </c>
      <c r="AQ25" s="2" t="s">
        <v>773</v>
      </c>
      <c r="AR25" s="19">
        <v>0.28680555555555554</v>
      </c>
      <c r="AS25" s="8">
        <f>(6+(53/60))*AO25</f>
        <v>4526.4799999999996</v>
      </c>
      <c r="AT25">
        <v>2007</v>
      </c>
      <c r="AX25" s="5"/>
      <c r="AY25" s="5"/>
      <c r="AZ25" s="5"/>
      <c r="BA25" t="s">
        <v>345</v>
      </c>
      <c r="BB25" t="s">
        <v>0</v>
      </c>
    </row>
    <row r="26" spans="1:54" x14ac:dyDescent="0.2">
      <c r="A26" s="2">
        <v>12</v>
      </c>
      <c r="B26" s="2">
        <v>12</v>
      </c>
      <c r="C26" s="2">
        <v>54</v>
      </c>
      <c r="D26" s="2">
        <v>53</v>
      </c>
      <c r="E26" t="s">
        <v>47</v>
      </c>
      <c r="F26" t="s">
        <v>530</v>
      </c>
      <c r="H26" s="8">
        <v>10740</v>
      </c>
      <c r="I26" s="2">
        <v>291.8</v>
      </c>
      <c r="J26" s="15">
        <v>10.42</v>
      </c>
      <c r="K26" s="15">
        <v>7.625</v>
      </c>
      <c r="P26" s="8">
        <v>306.76134100000002</v>
      </c>
      <c r="Q26" s="8">
        <v>293.31308300000001</v>
      </c>
      <c r="R26" s="8">
        <v>299.15607899999998</v>
      </c>
      <c r="S26" s="8">
        <v>315.33464400000003</v>
      </c>
      <c r="T26" s="8">
        <v>309.341092</v>
      </c>
      <c r="U26" s="8">
        <v>327.20585399999999</v>
      </c>
      <c r="V26" s="8">
        <v>360.69683500000002</v>
      </c>
      <c r="W26" s="8">
        <v>356.384929</v>
      </c>
      <c r="X26" s="8">
        <v>404.886506</v>
      </c>
      <c r="Y26" s="8">
        <v>368.35873900000001</v>
      </c>
      <c r="Z26" s="8">
        <v>392.94392399999998</v>
      </c>
      <c r="AA26" s="8">
        <v>321.156429</v>
      </c>
      <c r="AB26" s="8">
        <v>340.02511500000003</v>
      </c>
      <c r="AD26" s="2">
        <v>344.6</v>
      </c>
      <c r="AE26" s="2">
        <v>303.8</v>
      </c>
      <c r="AF26" s="2">
        <v>302.7</v>
      </c>
      <c r="AG26" s="2">
        <v>319.2</v>
      </c>
      <c r="AH26" s="2">
        <v>332.9</v>
      </c>
      <c r="AI26" s="2">
        <v>365.8</v>
      </c>
      <c r="AJ26" s="2">
        <v>336.1</v>
      </c>
      <c r="AK26" s="2">
        <v>260.89999999999998</v>
      </c>
      <c r="AL26" s="2">
        <v>283.7</v>
      </c>
      <c r="AM26" s="2">
        <v>316.10000000000002</v>
      </c>
      <c r="AN26" s="2" t="s">
        <v>773</v>
      </c>
      <c r="AO26" s="2">
        <v>312.60000000000002</v>
      </c>
      <c r="AP26" s="2" t="s">
        <v>773</v>
      </c>
      <c r="AQ26" s="2" t="s">
        <v>773</v>
      </c>
      <c r="AR26" s="19">
        <v>0.25763888888888892</v>
      </c>
      <c r="AS26" s="8">
        <f>(6+(11/60))*AO26</f>
        <v>1932.9100000000003</v>
      </c>
    </row>
    <row r="27" spans="1:54" x14ac:dyDescent="0.2">
      <c r="A27" s="2">
        <v>13</v>
      </c>
      <c r="B27" s="2">
        <v>19</v>
      </c>
      <c r="C27" s="2">
        <v>26</v>
      </c>
      <c r="D27" s="2">
        <v>26</v>
      </c>
      <c r="E27" t="s">
        <v>31</v>
      </c>
      <c r="F27" t="s">
        <v>7</v>
      </c>
      <c r="H27" s="2">
        <v>2000000</v>
      </c>
      <c r="I27" s="2">
        <v>1338</v>
      </c>
      <c r="J27" s="57">
        <v>47.78</v>
      </c>
      <c r="K27" s="57">
        <v>22.4</v>
      </c>
      <c r="M27" s="1" t="s">
        <v>18</v>
      </c>
      <c r="N27" s="1" t="s">
        <v>11</v>
      </c>
      <c r="P27" s="2">
        <v>1406</v>
      </c>
      <c r="Q27" s="2">
        <v>1204</v>
      </c>
      <c r="R27" s="2">
        <v>1442</v>
      </c>
      <c r="S27" s="2">
        <v>1419</v>
      </c>
      <c r="T27" s="2">
        <v>1339</v>
      </c>
      <c r="U27" s="2">
        <v>1086</v>
      </c>
      <c r="V27" s="2">
        <v>1091</v>
      </c>
      <c r="W27" s="2">
        <v>1198</v>
      </c>
      <c r="X27" s="2">
        <v>1341</v>
      </c>
      <c r="Y27" s="2">
        <v>1373</v>
      </c>
      <c r="Z27" s="2">
        <v>1541</v>
      </c>
      <c r="AA27" s="2">
        <v>1501</v>
      </c>
      <c r="AB27" s="2">
        <v>1453</v>
      </c>
      <c r="AD27" s="2">
        <v>1501</v>
      </c>
      <c r="AE27" s="2">
        <v>1351</v>
      </c>
      <c r="AF27" s="2">
        <v>1543</v>
      </c>
      <c r="AG27" s="2">
        <v>1683</v>
      </c>
      <c r="AH27" s="2">
        <v>1591</v>
      </c>
      <c r="AI27" s="2">
        <v>1455</v>
      </c>
      <c r="AJ27" s="2">
        <v>1268</v>
      </c>
      <c r="AK27" s="2">
        <v>1104</v>
      </c>
      <c r="AL27" s="2">
        <v>1484</v>
      </c>
      <c r="AM27" s="2">
        <v>1195</v>
      </c>
      <c r="AN27" s="2">
        <v>1174</v>
      </c>
      <c r="AO27" s="2">
        <v>1201</v>
      </c>
      <c r="AP27" s="2" t="s">
        <v>773</v>
      </c>
      <c r="AQ27" s="2" t="s">
        <v>773</v>
      </c>
      <c r="AR27" s="19">
        <v>0.41875000000000001</v>
      </c>
      <c r="AS27" s="60">
        <f>(10+(3/60))*AO27</f>
        <v>12070.050000000001</v>
      </c>
      <c r="AT27">
        <v>2010</v>
      </c>
      <c r="AY27" s="1">
        <v>2800</v>
      </c>
      <c r="BA27" s="10"/>
    </row>
    <row r="28" spans="1:54" s="5" customFormat="1" x14ac:dyDescent="0.2">
      <c r="A28" s="6" t="s">
        <v>773</v>
      </c>
      <c r="B28" s="2" t="s">
        <v>773</v>
      </c>
      <c r="C28" s="6" t="s">
        <v>773</v>
      </c>
      <c r="D28" s="6"/>
      <c r="E28" s="5" t="s">
        <v>1209</v>
      </c>
      <c r="F28" s="5" t="s">
        <v>7</v>
      </c>
      <c r="H28" s="6">
        <v>2000000</v>
      </c>
      <c r="I28" s="6">
        <v>982.8</v>
      </c>
      <c r="J28" s="59">
        <v>35.1</v>
      </c>
      <c r="K28" s="59">
        <v>14.85</v>
      </c>
      <c r="L28" s="6"/>
      <c r="M28" s="7"/>
      <c r="N28" s="7"/>
      <c r="O28" s="7"/>
      <c r="P28" s="6">
        <v>808</v>
      </c>
      <c r="Q28" s="6">
        <v>734</v>
      </c>
      <c r="R28" s="6">
        <v>824</v>
      </c>
      <c r="S28" s="6">
        <v>811</v>
      </c>
      <c r="T28" s="6">
        <v>795</v>
      </c>
      <c r="U28" s="6">
        <v>673</v>
      </c>
      <c r="V28" s="6">
        <v>687</v>
      </c>
      <c r="W28" s="6">
        <v>702</v>
      </c>
      <c r="X28" s="6">
        <v>785</v>
      </c>
      <c r="Y28" s="6">
        <v>832</v>
      </c>
      <c r="Z28" s="6">
        <v>904</v>
      </c>
      <c r="AA28" s="6">
        <v>930</v>
      </c>
      <c r="AB28" s="6">
        <v>915</v>
      </c>
      <c r="AC28" s="7"/>
      <c r="AD28" s="6">
        <v>1273</v>
      </c>
      <c r="AE28" s="6">
        <v>1131</v>
      </c>
      <c r="AF28" s="6">
        <v>1283</v>
      </c>
      <c r="AG28" s="6">
        <v>1411</v>
      </c>
      <c r="AH28" s="6">
        <v>1330</v>
      </c>
      <c r="AI28" s="6">
        <v>1220</v>
      </c>
      <c r="AJ28" s="6">
        <v>1066</v>
      </c>
      <c r="AK28" s="6">
        <v>917.5</v>
      </c>
      <c r="AL28" s="6">
        <v>1214</v>
      </c>
      <c r="AM28" s="6">
        <v>982.8</v>
      </c>
      <c r="AN28" s="6">
        <v>982.8</v>
      </c>
      <c r="AO28" s="50" t="s">
        <v>773</v>
      </c>
      <c r="AP28" s="50" t="s">
        <v>773</v>
      </c>
      <c r="AQ28" s="50" t="s">
        <v>773</v>
      </c>
      <c r="AR28" s="53">
        <v>0.50138888888888888</v>
      </c>
      <c r="AS28" s="61" t="s">
        <v>773</v>
      </c>
      <c r="AT28" s="7" t="s">
        <v>773</v>
      </c>
      <c r="AX28"/>
      <c r="AY28"/>
      <c r="AZ28"/>
      <c r="BA28"/>
      <c r="BB28"/>
    </row>
    <row r="29" spans="1:54" x14ac:dyDescent="0.2">
      <c r="A29" s="2">
        <v>15</v>
      </c>
      <c r="B29" s="2">
        <v>14</v>
      </c>
      <c r="C29" s="2">
        <v>79</v>
      </c>
      <c r="D29" s="2">
        <v>78</v>
      </c>
      <c r="E29" t="s">
        <v>43</v>
      </c>
      <c r="F29" t="s">
        <v>518</v>
      </c>
      <c r="H29" s="2">
        <v>412860</v>
      </c>
      <c r="I29" s="2">
        <v>343.9</v>
      </c>
      <c r="J29" s="15">
        <v>12.28</v>
      </c>
      <c r="K29" s="15">
        <v>9.984</v>
      </c>
      <c r="M29" s="1" t="s">
        <v>11</v>
      </c>
      <c r="N29" s="1" t="s">
        <v>11</v>
      </c>
      <c r="P29" s="8">
        <v>546.22373300000004</v>
      </c>
      <c r="Q29" s="8">
        <v>600.07913699999995</v>
      </c>
      <c r="R29" s="8">
        <v>618.52430700000002</v>
      </c>
      <c r="S29" s="8">
        <v>448.84325999999999</v>
      </c>
      <c r="T29" s="8">
        <v>415.35441800000001</v>
      </c>
      <c r="U29" s="8">
        <v>413.31044500000002</v>
      </c>
      <c r="V29" s="8">
        <v>450.57413100000002</v>
      </c>
      <c r="W29" s="8">
        <v>424.556985</v>
      </c>
      <c r="X29" s="8">
        <v>461.651321</v>
      </c>
      <c r="Y29" s="8">
        <v>588.00146400000006</v>
      </c>
      <c r="Z29" s="8">
        <v>649.26202799999999</v>
      </c>
      <c r="AA29" s="8">
        <v>543.48338000000001</v>
      </c>
      <c r="AB29" s="8">
        <v>486.54037</v>
      </c>
      <c r="AD29" s="2">
        <v>451.4</v>
      </c>
      <c r="AE29" s="2">
        <v>561.5</v>
      </c>
      <c r="AF29" s="2">
        <v>530.79999999999995</v>
      </c>
      <c r="AG29" s="2">
        <v>432.1</v>
      </c>
      <c r="AH29" s="2">
        <v>416.6</v>
      </c>
      <c r="AI29" s="2">
        <v>447.4</v>
      </c>
      <c r="AJ29" s="2">
        <v>434.8</v>
      </c>
      <c r="AK29" s="2">
        <v>427.1</v>
      </c>
      <c r="AL29" s="2">
        <v>358.2</v>
      </c>
      <c r="AM29" s="2">
        <v>373.7</v>
      </c>
      <c r="AN29" s="2" t="s">
        <v>773</v>
      </c>
      <c r="AO29" s="2">
        <v>387</v>
      </c>
      <c r="AP29" s="2" t="s">
        <v>773</v>
      </c>
      <c r="AQ29" s="2" t="s">
        <v>773</v>
      </c>
      <c r="AR29" s="19">
        <v>0.19166666666666665</v>
      </c>
      <c r="AS29" s="8">
        <f>(4+(36/60))*AO29</f>
        <v>1780.1999999999998</v>
      </c>
    </row>
    <row r="30" spans="1:54" x14ac:dyDescent="0.2">
      <c r="A30" s="2">
        <v>22</v>
      </c>
      <c r="B30" s="2">
        <v>15</v>
      </c>
      <c r="C30" s="2">
        <v>16</v>
      </c>
      <c r="D30" s="2">
        <v>13</v>
      </c>
      <c r="E30" t="s">
        <v>28</v>
      </c>
      <c r="F30" t="s">
        <v>6</v>
      </c>
      <c r="H30" s="2">
        <v>1000</v>
      </c>
      <c r="I30" s="2">
        <v>2206</v>
      </c>
      <c r="J30" s="57">
        <v>78.819999999999993</v>
      </c>
      <c r="K30" s="57">
        <v>60.58</v>
      </c>
      <c r="N30" s="1" t="s">
        <v>16</v>
      </c>
      <c r="P30" s="2">
        <v>12529</v>
      </c>
      <c r="Q30" s="2">
        <v>12333</v>
      </c>
      <c r="R30" s="2">
        <v>12084</v>
      </c>
      <c r="S30" s="2">
        <v>13858</v>
      </c>
      <c r="T30" s="2">
        <v>12573</v>
      </c>
      <c r="U30" s="2">
        <v>11383</v>
      </c>
      <c r="V30" s="2">
        <v>11967</v>
      </c>
      <c r="W30" s="2">
        <v>12347</v>
      </c>
      <c r="X30" s="2">
        <v>11620</v>
      </c>
      <c r="Y30" s="2">
        <v>13248</v>
      </c>
      <c r="Z30" s="2">
        <v>12062</v>
      </c>
      <c r="AA30" s="2">
        <v>10868</v>
      </c>
      <c r="AB30" s="2">
        <v>12210</v>
      </c>
      <c r="AD30" s="2">
        <v>1774</v>
      </c>
      <c r="AE30" s="2">
        <v>1841</v>
      </c>
      <c r="AF30" s="2">
        <v>1729</v>
      </c>
      <c r="AG30" s="2">
        <v>1760</v>
      </c>
      <c r="AH30" s="2">
        <v>1708</v>
      </c>
      <c r="AI30" s="2">
        <v>1833</v>
      </c>
      <c r="AJ30" s="2">
        <v>1682</v>
      </c>
      <c r="AK30" s="2">
        <v>2142</v>
      </c>
      <c r="AL30" s="2">
        <v>2027</v>
      </c>
      <c r="AM30" s="2">
        <v>2206</v>
      </c>
      <c r="AN30" s="2" t="s">
        <v>773</v>
      </c>
      <c r="AO30" s="2">
        <v>2392</v>
      </c>
      <c r="AP30" s="2" t="s">
        <v>773</v>
      </c>
      <c r="AQ30" s="2" t="s">
        <v>773</v>
      </c>
      <c r="AR30" s="19">
        <v>0.35486111111111113</v>
      </c>
      <c r="AS30" s="60">
        <f>(8+(31/60))*AO30</f>
        <v>20371.866666666669</v>
      </c>
      <c r="AT30">
        <v>2007</v>
      </c>
    </row>
    <row r="31" spans="1:54" x14ac:dyDescent="0.2">
      <c r="A31" s="2">
        <v>14</v>
      </c>
      <c r="B31" s="2">
        <v>16</v>
      </c>
      <c r="C31" s="2">
        <v>14</v>
      </c>
      <c r="D31" s="2">
        <v>15</v>
      </c>
      <c r="E31" t="s">
        <v>46</v>
      </c>
      <c r="F31" t="s">
        <v>6</v>
      </c>
      <c r="H31" s="2">
        <v>180000</v>
      </c>
      <c r="I31" s="2">
        <v>1898</v>
      </c>
      <c r="J31" s="15">
        <v>67.81</v>
      </c>
      <c r="K31" s="15">
        <v>52.79</v>
      </c>
      <c r="N31" s="1" t="s">
        <v>16</v>
      </c>
      <c r="P31" s="27">
        <v>3730</v>
      </c>
      <c r="Q31" s="27">
        <v>3627</v>
      </c>
      <c r="R31" s="27">
        <v>3790</v>
      </c>
      <c r="S31" s="27">
        <v>3778</v>
      </c>
      <c r="T31" s="27">
        <v>3514</v>
      </c>
      <c r="U31" s="27">
        <v>3173</v>
      </c>
      <c r="V31" s="27">
        <v>3533</v>
      </c>
      <c r="W31" s="27">
        <v>3450</v>
      </c>
      <c r="X31" s="27">
        <v>3616</v>
      </c>
      <c r="Y31" s="27">
        <v>3881</v>
      </c>
      <c r="Z31" s="27">
        <v>2573</v>
      </c>
      <c r="AA31" s="27">
        <v>2998</v>
      </c>
      <c r="AB31" s="27">
        <v>2909</v>
      </c>
      <c r="AD31" s="2">
        <v>2456</v>
      </c>
      <c r="AE31" s="2">
        <v>2394</v>
      </c>
      <c r="AF31" s="2">
        <v>2254</v>
      </c>
      <c r="AG31" s="2">
        <v>2235</v>
      </c>
      <c r="AH31" s="2">
        <v>2120</v>
      </c>
      <c r="AI31" s="2">
        <v>2268</v>
      </c>
      <c r="AJ31" s="2">
        <v>2111</v>
      </c>
      <c r="AK31" s="2">
        <v>2145</v>
      </c>
      <c r="AL31" s="2">
        <v>2021</v>
      </c>
      <c r="AM31" s="2">
        <v>2070</v>
      </c>
      <c r="AN31" s="2" t="s">
        <v>773</v>
      </c>
      <c r="AO31" s="2">
        <v>2042</v>
      </c>
      <c r="AP31" s="2" t="s">
        <v>773</v>
      </c>
      <c r="AQ31" s="2" t="s">
        <v>773</v>
      </c>
      <c r="AR31" s="19">
        <v>0.15625</v>
      </c>
      <c r="AS31" s="8">
        <f>(3+(45/60))*AO31</f>
        <v>7657.5</v>
      </c>
      <c r="AT31">
        <v>2016</v>
      </c>
    </row>
    <row r="32" spans="1:54" s="3" customFormat="1" x14ac:dyDescent="0.2">
      <c r="A32" s="4">
        <v>17</v>
      </c>
      <c r="B32" s="4">
        <v>41</v>
      </c>
      <c r="C32" s="4">
        <v>13</v>
      </c>
      <c r="D32" s="4">
        <v>19</v>
      </c>
      <c r="E32" s="3" t="s">
        <v>1345</v>
      </c>
      <c r="F32" s="3" t="s">
        <v>1478</v>
      </c>
      <c r="H32" s="4">
        <v>100000</v>
      </c>
      <c r="I32" s="4"/>
      <c r="J32" s="58"/>
      <c r="K32" s="58"/>
      <c r="L32" s="4"/>
      <c r="M32" s="9"/>
      <c r="N32" s="9"/>
      <c r="O32" s="9"/>
      <c r="P32" s="4" t="s">
        <v>773</v>
      </c>
      <c r="Q32" s="4" t="s">
        <v>773</v>
      </c>
      <c r="R32" s="4" t="s">
        <v>773</v>
      </c>
      <c r="S32" s="4" t="s">
        <v>773</v>
      </c>
      <c r="T32" s="4" t="s">
        <v>773</v>
      </c>
      <c r="U32" s="4" t="s">
        <v>773</v>
      </c>
      <c r="V32" s="4" t="s">
        <v>773</v>
      </c>
      <c r="W32" s="4" t="s">
        <v>773</v>
      </c>
      <c r="X32" s="4" t="s">
        <v>773</v>
      </c>
      <c r="Y32" s="4" t="s">
        <v>773</v>
      </c>
      <c r="Z32" s="4" t="s">
        <v>773</v>
      </c>
      <c r="AA32" s="4" t="s">
        <v>773</v>
      </c>
      <c r="AB32" s="4" t="s">
        <v>773</v>
      </c>
      <c r="AC32" s="9"/>
      <c r="AD32" s="4">
        <v>3849</v>
      </c>
      <c r="AE32" s="4">
        <v>3690</v>
      </c>
      <c r="AF32" s="4">
        <v>3791</v>
      </c>
      <c r="AG32" s="4">
        <v>3660</v>
      </c>
      <c r="AH32" s="4">
        <v>3124</v>
      </c>
      <c r="AI32" s="4">
        <v>2631</v>
      </c>
      <c r="AJ32" s="4">
        <v>2179</v>
      </c>
      <c r="AK32" s="4" t="s">
        <v>773</v>
      </c>
      <c r="AL32" s="4" t="s">
        <v>773</v>
      </c>
      <c r="AM32" s="4" t="s">
        <v>773</v>
      </c>
      <c r="AN32" s="4" t="s">
        <v>773</v>
      </c>
      <c r="AO32" s="4" t="s">
        <v>773</v>
      </c>
      <c r="AP32" s="4" t="s">
        <v>773</v>
      </c>
      <c r="AQ32" s="4" t="s">
        <v>773</v>
      </c>
      <c r="AR32" s="23">
        <v>0.25277777777777777</v>
      </c>
      <c r="AS32" s="66">
        <f>(6+(4/60))*AJ32</f>
        <v>13219.266666666666</v>
      </c>
    </row>
    <row r="33" spans="1:56" x14ac:dyDescent="0.2">
      <c r="A33" s="2">
        <v>26</v>
      </c>
      <c r="B33" s="2">
        <v>17</v>
      </c>
      <c r="C33" s="2">
        <v>104</v>
      </c>
      <c r="D33" s="2">
        <v>62</v>
      </c>
      <c r="E33" t="s">
        <v>68</v>
      </c>
      <c r="F33" t="s">
        <v>6</v>
      </c>
      <c r="H33" s="2">
        <v>1000</v>
      </c>
      <c r="I33" s="2">
        <v>191.8</v>
      </c>
      <c r="J33" s="15">
        <v>6.851</v>
      </c>
      <c r="K33" s="15">
        <v>4.2670000000000003</v>
      </c>
      <c r="P33" s="8">
        <v>233.68920299999999</v>
      </c>
      <c r="Q33" s="8">
        <v>245.74024700000001</v>
      </c>
      <c r="R33" s="8">
        <v>232.18044399999999</v>
      </c>
      <c r="S33" s="8">
        <v>228.916336</v>
      </c>
      <c r="T33" s="8">
        <v>243.09141</v>
      </c>
      <c r="U33" s="8">
        <v>243.953969</v>
      </c>
      <c r="V33" s="8">
        <v>254.13208599999999</v>
      </c>
      <c r="W33" s="8">
        <v>262.829926</v>
      </c>
      <c r="X33" s="8">
        <v>296.74005699999998</v>
      </c>
      <c r="Y33" s="8">
        <v>302.69884000000002</v>
      </c>
      <c r="Z33" s="8">
        <v>294.714832</v>
      </c>
      <c r="AA33" s="8">
        <v>278.78840400000001</v>
      </c>
      <c r="AB33" s="8">
        <v>310.45043900000002</v>
      </c>
      <c r="AD33" s="2">
        <v>142.69999999999999</v>
      </c>
      <c r="AE33" s="2">
        <v>140.6</v>
      </c>
      <c r="AF33" s="2">
        <v>140.1</v>
      </c>
      <c r="AG33" s="2">
        <v>144.9</v>
      </c>
      <c r="AH33" s="2">
        <v>149.6</v>
      </c>
      <c r="AI33" s="2">
        <v>165.8</v>
      </c>
      <c r="AJ33" s="2">
        <v>157.30000000000001</v>
      </c>
      <c r="AK33" s="2">
        <v>159.6</v>
      </c>
      <c r="AL33" s="2">
        <v>172.6</v>
      </c>
      <c r="AM33" s="2">
        <v>191.8</v>
      </c>
      <c r="AN33" s="2" t="s">
        <v>773</v>
      </c>
      <c r="AO33" s="2">
        <v>193.8</v>
      </c>
      <c r="AP33" s="2" t="s">
        <v>773</v>
      </c>
      <c r="AQ33" s="2" t="s">
        <v>773</v>
      </c>
      <c r="AR33" s="19">
        <v>0.32777777777777778</v>
      </c>
      <c r="AS33" s="8">
        <f>(7+(52/60))*AO33</f>
        <v>1524.5600000000002</v>
      </c>
    </row>
    <row r="34" spans="1:56" x14ac:dyDescent="0.2">
      <c r="A34" s="2">
        <v>19</v>
      </c>
      <c r="B34" s="2">
        <v>18</v>
      </c>
      <c r="C34" s="2">
        <v>23</v>
      </c>
      <c r="D34" s="2">
        <v>31</v>
      </c>
      <c r="E34" t="s">
        <v>41</v>
      </c>
      <c r="F34" t="s">
        <v>7</v>
      </c>
      <c r="H34" s="2">
        <v>2000000</v>
      </c>
      <c r="I34" s="2">
        <v>1155</v>
      </c>
      <c r="J34" s="15">
        <v>41.27</v>
      </c>
      <c r="K34" s="15">
        <v>22.19</v>
      </c>
      <c r="N34" s="1" t="s">
        <v>16</v>
      </c>
      <c r="P34" s="8">
        <v>3821.2559190000002</v>
      </c>
      <c r="Q34" s="8">
        <v>3287.9840909999998</v>
      </c>
      <c r="R34" s="8">
        <v>3759.4352279999998</v>
      </c>
      <c r="S34" s="8">
        <v>4124.85538</v>
      </c>
      <c r="T34" s="8">
        <v>4007.1293179999998</v>
      </c>
      <c r="U34" s="8">
        <v>3468.1581339999998</v>
      </c>
      <c r="V34" s="8">
        <v>2123.9030560000001</v>
      </c>
      <c r="W34" s="8">
        <v>2004.940092</v>
      </c>
      <c r="X34" s="8">
        <v>3141.7748000000001</v>
      </c>
      <c r="Y34" s="8">
        <v>3222.2638929999998</v>
      </c>
      <c r="Z34" s="8">
        <v>3076.963389</v>
      </c>
      <c r="AA34" s="8">
        <v>2867.9487669999999</v>
      </c>
      <c r="AB34" s="8">
        <v>2842.979225</v>
      </c>
      <c r="AD34" s="2">
        <v>1838</v>
      </c>
      <c r="AE34" s="2">
        <v>1815</v>
      </c>
      <c r="AF34" s="2">
        <v>1774</v>
      </c>
      <c r="AG34" s="2">
        <v>1808</v>
      </c>
      <c r="AH34" s="2">
        <v>1755</v>
      </c>
      <c r="AI34" s="2">
        <v>1781</v>
      </c>
      <c r="AJ34" s="2">
        <v>1549</v>
      </c>
      <c r="AK34" s="2">
        <v>1190</v>
      </c>
      <c r="AL34" s="2">
        <v>1143</v>
      </c>
      <c r="AM34" s="2">
        <v>1094</v>
      </c>
      <c r="AN34" s="2" t="s">
        <v>773</v>
      </c>
      <c r="AO34" s="2">
        <v>1095</v>
      </c>
      <c r="AP34" s="2" t="s">
        <v>773</v>
      </c>
      <c r="AQ34" s="2" t="s">
        <v>773</v>
      </c>
      <c r="AR34" s="19">
        <v>0.27777777777777779</v>
      </c>
      <c r="AS34" s="60">
        <f>(6+(40/60))*AO34</f>
        <v>7300</v>
      </c>
      <c r="AT34">
        <v>2009</v>
      </c>
    </row>
    <row r="35" spans="1:56" x14ac:dyDescent="0.2">
      <c r="A35" s="2">
        <v>20</v>
      </c>
      <c r="B35" s="2">
        <v>20</v>
      </c>
      <c r="C35" s="2">
        <v>19</v>
      </c>
      <c r="D35" s="2">
        <v>11</v>
      </c>
      <c r="E35" t="s">
        <v>30</v>
      </c>
      <c r="F35" t="s">
        <v>6</v>
      </c>
      <c r="H35" s="2">
        <v>1000</v>
      </c>
      <c r="I35" s="2">
        <v>2623</v>
      </c>
      <c r="J35" s="57">
        <v>93.7</v>
      </c>
      <c r="K35" s="57">
        <v>68.84</v>
      </c>
      <c r="N35" s="1" t="s">
        <v>16</v>
      </c>
      <c r="P35" s="2">
        <v>8807</v>
      </c>
      <c r="Q35" s="2">
        <v>7717</v>
      </c>
      <c r="R35" s="2">
        <v>8596</v>
      </c>
      <c r="S35" s="2">
        <v>9236</v>
      </c>
      <c r="T35" s="2">
        <v>9053</v>
      </c>
      <c r="U35" s="2">
        <v>8528</v>
      </c>
      <c r="V35" s="2">
        <v>9067</v>
      </c>
      <c r="W35" s="2">
        <v>9473</v>
      </c>
      <c r="X35" s="2">
        <v>8971</v>
      </c>
      <c r="Y35" s="2">
        <v>10391</v>
      </c>
      <c r="Z35" s="2">
        <v>9848</v>
      </c>
      <c r="AA35" s="2">
        <v>9468</v>
      </c>
      <c r="AB35" s="2">
        <v>10512</v>
      </c>
      <c r="AD35" s="2">
        <v>1335</v>
      </c>
      <c r="AE35" s="2">
        <v>1360</v>
      </c>
      <c r="AF35" s="2">
        <v>1262</v>
      </c>
      <c r="AG35" s="2">
        <v>1317</v>
      </c>
      <c r="AH35" s="2">
        <v>1307</v>
      </c>
      <c r="AI35" s="2">
        <v>1365</v>
      </c>
      <c r="AJ35" s="2">
        <v>1208</v>
      </c>
      <c r="AK35" s="2">
        <v>2536</v>
      </c>
      <c r="AL35" s="2">
        <v>2388</v>
      </c>
      <c r="AM35" s="2">
        <v>2623</v>
      </c>
      <c r="AN35" s="2" t="s">
        <v>773</v>
      </c>
      <c r="AO35" s="2">
        <v>2697</v>
      </c>
      <c r="AP35" s="2" t="s">
        <v>773</v>
      </c>
      <c r="AQ35" s="2" t="s">
        <v>773</v>
      </c>
      <c r="AR35" s="19">
        <v>0.36180555555555555</v>
      </c>
      <c r="AS35" s="60">
        <f>(8+(41/60))*AO35</f>
        <v>23418.95</v>
      </c>
      <c r="AT35">
        <v>2007</v>
      </c>
    </row>
    <row r="36" spans="1:56" x14ac:dyDescent="0.2">
      <c r="A36" s="2">
        <v>28</v>
      </c>
      <c r="B36" s="2">
        <v>21</v>
      </c>
      <c r="C36" s="2">
        <v>45</v>
      </c>
      <c r="D36" s="2">
        <v>41</v>
      </c>
      <c r="E36" t="s">
        <v>40</v>
      </c>
      <c r="F36" t="s">
        <v>6</v>
      </c>
      <c r="H36" s="2">
        <v>500</v>
      </c>
      <c r="I36" s="2">
        <v>744.4</v>
      </c>
      <c r="J36" s="15">
        <v>26.58</v>
      </c>
      <c r="K36" s="15">
        <v>11.74</v>
      </c>
      <c r="M36" s="1" t="s">
        <v>11</v>
      </c>
      <c r="P36" s="8">
        <v>4604.0363379999999</v>
      </c>
      <c r="Q36" s="8">
        <v>4599.4899839999998</v>
      </c>
      <c r="R36" s="8">
        <v>4668.3992340000004</v>
      </c>
      <c r="S36" s="8">
        <v>4729.5514489999996</v>
      </c>
      <c r="T36" s="8">
        <v>4249.4898110000004</v>
      </c>
      <c r="U36" s="8">
        <v>3841.338424</v>
      </c>
      <c r="V36" s="8">
        <v>4391.1291549999996</v>
      </c>
      <c r="W36" s="8">
        <v>4152.5609249999998</v>
      </c>
      <c r="X36" s="8">
        <v>4780.5267750000003</v>
      </c>
      <c r="Y36" s="8">
        <v>4874.2457709999999</v>
      </c>
      <c r="Z36" s="8">
        <v>4673.1216999999997</v>
      </c>
      <c r="AA36" s="8">
        <v>4096.3345509999999</v>
      </c>
      <c r="AB36" s="8">
        <v>4525.5285919999997</v>
      </c>
      <c r="AD36" s="2">
        <v>779.1</v>
      </c>
      <c r="AE36" s="2">
        <v>785.9</v>
      </c>
      <c r="AF36" s="2">
        <v>767.6</v>
      </c>
      <c r="AG36" s="2">
        <v>781.3</v>
      </c>
      <c r="AH36" s="2">
        <v>770.4</v>
      </c>
      <c r="AI36" s="2">
        <v>807.7</v>
      </c>
      <c r="AJ36" s="2">
        <v>749.4</v>
      </c>
      <c r="AK36" s="2">
        <v>723.6</v>
      </c>
      <c r="AL36" s="2">
        <v>737.1</v>
      </c>
      <c r="AM36" s="2">
        <v>758.9</v>
      </c>
      <c r="AN36" s="2" t="s">
        <v>773</v>
      </c>
      <c r="AO36" s="2">
        <v>746.8</v>
      </c>
      <c r="AP36" s="2" t="s">
        <v>773</v>
      </c>
      <c r="AQ36" s="2" t="s">
        <v>773</v>
      </c>
      <c r="AR36" s="19">
        <v>0.36180555555555555</v>
      </c>
      <c r="AS36" s="8">
        <f>(8+(41/60))*AO36</f>
        <v>6484.7133333333331</v>
      </c>
      <c r="AX36" s="5"/>
      <c r="AY36" s="5"/>
      <c r="AZ36" s="5"/>
      <c r="BA36" s="11"/>
    </row>
    <row r="37" spans="1:56" x14ac:dyDescent="0.2">
      <c r="A37" s="2">
        <v>24</v>
      </c>
      <c r="B37" s="2">
        <v>22</v>
      </c>
      <c r="C37" s="2">
        <v>21</v>
      </c>
      <c r="D37" s="2">
        <v>17</v>
      </c>
      <c r="E37" t="s">
        <v>39</v>
      </c>
      <c r="F37" t="s">
        <v>7</v>
      </c>
      <c r="H37" s="2">
        <v>2000000</v>
      </c>
      <c r="I37" s="2">
        <v>1863</v>
      </c>
      <c r="J37" s="15">
        <v>66.55</v>
      </c>
      <c r="K37" s="15">
        <v>35.92</v>
      </c>
      <c r="P37" s="8">
        <v>1864.963176</v>
      </c>
      <c r="Q37" s="8">
        <v>1717.608068</v>
      </c>
      <c r="R37" s="8">
        <v>1889.8825119999999</v>
      </c>
      <c r="S37" s="8">
        <v>1846.681135</v>
      </c>
      <c r="T37" s="8">
        <v>1815.0162789999999</v>
      </c>
      <c r="U37" s="8">
        <v>1689.1683949999999</v>
      </c>
      <c r="V37" s="8">
        <v>1869.9168199999999</v>
      </c>
      <c r="W37" s="8">
        <v>1897.889457</v>
      </c>
      <c r="X37" s="8">
        <v>2029.1436080000001</v>
      </c>
      <c r="Y37" s="8">
        <v>2031.7123099999999</v>
      </c>
      <c r="Z37" s="8">
        <v>2128.4706649999998</v>
      </c>
      <c r="AA37" s="8">
        <v>1985.7654110000001</v>
      </c>
      <c r="AB37" s="8">
        <v>2066.01784</v>
      </c>
      <c r="AD37" s="2">
        <v>1612</v>
      </c>
      <c r="AE37" s="2">
        <v>1584</v>
      </c>
      <c r="AF37" s="2">
        <v>1583</v>
      </c>
      <c r="AG37" s="2">
        <v>1670</v>
      </c>
      <c r="AH37" s="2">
        <v>1624</v>
      </c>
      <c r="AI37" s="2">
        <v>1661</v>
      </c>
      <c r="AJ37" s="2">
        <v>1522</v>
      </c>
      <c r="AK37" s="2">
        <v>1707</v>
      </c>
      <c r="AL37" s="2">
        <v>1828</v>
      </c>
      <c r="AM37" s="2">
        <v>1852</v>
      </c>
      <c r="AN37" s="2" t="s">
        <v>773</v>
      </c>
      <c r="AO37" s="2">
        <v>1846</v>
      </c>
      <c r="AP37" s="2" t="s">
        <v>773</v>
      </c>
      <c r="AQ37" s="2" t="s">
        <v>773</v>
      </c>
      <c r="AR37" s="19">
        <v>0.33611111111111108</v>
      </c>
      <c r="AS37" s="60">
        <f>(8+(4/60))*AO37</f>
        <v>14891.066666666666</v>
      </c>
      <c r="AT37">
        <v>2005</v>
      </c>
      <c r="BA37" s="11"/>
      <c r="BD37" s="2"/>
    </row>
    <row r="38" spans="1:56" s="5" customFormat="1" x14ac:dyDescent="0.2">
      <c r="A38" s="2" t="s">
        <v>773</v>
      </c>
      <c r="B38" s="2" t="s">
        <v>773</v>
      </c>
      <c r="C38" s="2" t="s">
        <v>773</v>
      </c>
      <c r="D38" s="2"/>
      <c r="E38" s="5" t="s">
        <v>1208</v>
      </c>
      <c r="F38" s="5" t="s">
        <v>7</v>
      </c>
      <c r="H38" s="6">
        <v>2000000</v>
      </c>
      <c r="I38" s="6">
        <v>1505</v>
      </c>
      <c r="J38" s="17">
        <v>53.77</v>
      </c>
      <c r="K38" s="17">
        <v>26</v>
      </c>
      <c r="L38" s="6"/>
      <c r="M38" s="7"/>
      <c r="N38" s="7"/>
      <c r="O38" s="7"/>
      <c r="P38" s="8">
        <v>826.30406300000004</v>
      </c>
      <c r="Q38" s="8">
        <v>724.39842599999997</v>
      </c>
      <c r="R38" s="8">
        <v>820.59456499999999</v>
      </c>
      <c r="S38" s="8">
        <v>809.85747300000003</v>
      </c>
      <c r="T38" s="8">
        <v>860.72620500000005</v>
      </c>
      <c r="U38" s="8">
        <v>848.14286400000003</v>
      </c>
      <c r="V38" s="8">
        <v>950.06540500000006</v>
      </c>
      <c r="W38" s="8">
        <v>925.198714</v>
      </c>
      <c r="X38" s="8">
        <v>981.83465000000001</v>
      </c>
      <c r="Y38" s="8">
        <v>999.40998100000002</v>
      </c>
      <c r="Z38" s="8">
        <v>1061.4133429999999</v>
      </c>
      <c r="AA38" s="8">
        <v>1103.3240040000001</v>
      </c>
      <c r="AB38" s="8">
        <v>1179.8600160000001</v>
      </c>
      <c r="AC38" s="7"/>
      <c r="AD38" s="6">
        <v>1175</v>
      </c>
      <c r="AE38" s="6">
        <v>1167</v>
      </c>
      <c r="AF38" s="6">
        <v>1159</v>
      </c>
      <c r="AG38" s="6">
        <v>1220</v>
      </c>
      <c r="AH38" s="6">
        <v>1203</v>
      </c>
      <c r="AI38" s="6">
        <v>1245</v>
      </c>
      <c r="AJ38" s="6">
        <v>1151</v>
      </c>
      <c r="AK38" s="6">
        <v>1321</v>
      </c>
      <c r="AL38" s="6">
        <v>1424</v>
      </c>
      <c r="AM38" s="6">
        <v>1505</v>
      </c>
      <c r="AN38" s="6" t="s">
        <v>773</v>
      </c>
      <c r="AO38" s="6" t="s">
        <v>773</v>
      </c>
      <c r="AP38" s="50" t="s">
        <v>773</v>
      </c>
      <c r="AQ38" s="50" t="s">
        <v>773</v>
      </c>
      <c r="AR38" s="53">
        <v>0.36388888888888887</v>
      </c>
      <c r="AS38" s="6" t="s">
        <v>773</v>
      </c>
      <c r="AT38" s="7" t="s">
        <v>773</v>
      </c>
      <c r="AX38"/>
      <c r="AY38"/>
      <c r="AZ38"/>
      <c r="BA38" s="55"/>
    </row>
    <row r="39" spans="1:56" x14ac:dyDescent="0.2">
      <c r="A39" s="2">
        <v>30</v>
      </c>
      <c r="B39" s="2">
        <v>23</v>
      </c>
      <c r="C39" s="2">
        <v>41</v>
      </c>
      <c r="D39" s="2">
        <v>42</v>
      </c>
      <c r="E39" t="s">
        <v>54</v>
      </c>
      <c r="F39" t="s">
        <v>6</v>
      </c>
      <c r="H39" s="2">
        <v>200</v>
      </c>
      <c r="I39" s="2">
        <v>680.1</v>
      </c>
      <c r="J39" s="15">
        <v>24.29</v>
      </c>
      <c r="K39" s="15">
        <v>16</v>
      </c>
      <c r="P39" s="8">
        <v>3056.1976690000001</v>
      </c>
      <c r="Q39" s="8">
        <v>3099.0492989999998</v>
      </c>
      <c r="R39" s="8">
        <v>3056.9615050000002</v>
      </c>
      <c r="S39" s="8">
        <v>3079.4244010000002</v>
      </c>
      <c r="T39" s="8">
        <v>3065.9273710000002</v>
      </c>
      <c r="U39" s="8">
        <v>2782.7382739999998</v>
      </c>
      <c r="V39" s="8">
        <v>3246.3534049999998</v>
      </c>
      <c r="W39" s="8">
        <v>2979.9182329999999</v>
      </c>
      <c r="X39" s="8">
        <v>3285.237768</v>
      </c>
      <c r="Y39" s="8">
        <v>3485.8653610000001</v>
      </c>
      <c r="Z39" s="8">
        <v>3204.7947020000001</v>
      </c>
      <c r="AA39" s="8">
        <v>3223.9567659999998</v>
      </c>
      <c r="AB39" s="8">
        <v>3446.3758240000002</v>
      </c>
      <c r="AD39" s="2">
        <v>909</v>
      </c>
      <c r="AE39" s="2">
        <v>871.1</v>
      </c>
      <c r="AF39" s="2">
        <v>807.7</v>
      </c>
      <c r="AG39" s="2">
        <v>824.5</v>
      </c>
      <c r="AH39" s="2">
        <v>823</v>
      </c>
      <c r="AI39" s="2">
        <v>899.6</v>
      </c>
      <c r="AJ39" s="2">
        <v>836.6</v>
      </c>
      <c r="AK39" s="2">
        <v>706.2</v>
      </c>
      <c r="AL39" s="2">
        <v>634.20000000000005</v>
      </c>
      <c r="AM39" s="2">
        <v>725</v>
      </c>
      <c r="AN39" s="2" t="s">
        <v>773</v>
      </c>
      <c r="AO39" s="2">
        <v>706.2</v>
      </c>
      <c r="AP39" s="2" t="s">
        <v>773</v>
      </c>
      <c r="AQ39" s="2" t="s">
        <v>773</v>
      </c>
      <c r="AR39" s="19">
        <v>0.21666666666666667</v>
      </c>
      <c r="AS39" s="8">
        <f>(5+(12/60))*AO39</f>
        <v>3672.2400000000002</v>
      </c>
    </row>
    <row r="40" spans="1:56" x14ac:dyDescent="0.2">
      <c r="A40" s="2">
        <v>16</v>
      </c>
      <c r="B40" s="2">
        <v>24</v>
      </c>
      <c r="C40" s="2">
        <v>30</v>
      </c>
      <c r="D40" s="2">
        <v>36</v>
      </c>
      <c r="E40" t="s">
        <v>36</v>
      </c>
      <c r="F40" t="s">
        <v>7</v>
      </c>
      <c r="H40" s="2">
        <v>2000000</v>
      </c>
      <c r="I40" s="2">
        <v>1071</v>
      </c>
      <c r="J40" s="57">
        <v>38.270000000000003</v>
      </c>
      <c r="K40" s="57">
        <v>26.3</v>
      </c>
      <c r="P40" s="8">
        <v>1689.9765159999999</v>
      </c>
      <c r="Q40" s="8">
        <v>1477.3823689999999</v>
      </c>
      <c r="R40" s="8">
        <v>1708.7419359999999</v>
      </c>
      <c r="S40" s="8">
        <v>1721.521362</v>
      </c>
      <c r="T40" s="8">
        <v>1656.1159560000001</v>
      </c>
      <c r="U40" s="8">
        <v>1425.6828700000001</v>
      </c>
      <c r="V40" s="8">
        <v>1416.573388</v>
      </c>
      <c r="W40" s="8">
        <v>1502.377782</v>
      </c>
      <c r="X40" s="8">
        <v>1666.19604</v>
      </c>
      <c r="Y40" s="8">
        <v>1660.424446</v>
      </c>
      <c r="Z40" s="8">
        <v>1798.4774279999999</v>
      </c>
      <c r="AA40" s="8">
        <v>1613.011968</v>
      </c>
      <c r="AB40" s="8">
        <v>1594.410809</v>
      </c>
      <c r="AD40" s="2">
        <v>1764</v>
      </c>
      <c r="AE40" s="2">
        <v>1538</v>
      </c>
      <c r="AF40" s="2">
        <v>1780</v>
      </c>
      <c r="AG40" s="2">
        <v>1908</v>
      </c>
      <c r="AH40" s="2">
        <v>1775</v>
      </c>
      <c r="AI40" s="2">
        <v>1559</v>
      </c>
      <c r="AJ40" s="2">
        <v>1118</v>
      </c>
      <c r="AK40" s="2">
        <v>922.4</v>
      </c>
      <c r="AL40" s="2">
        <v>1207</v>
      </c>
      <c r="AM40" s="2">
        <v>918</v>
      </c>
      <c r="AN40" s="2" t="s">
        <v>773</v>
      </c>
      <c r="AO40" s="2">
        <v>912.3</v>
      </c>
      <c r="AP40" s="2" t="s">
        <v>773</v>
      </c>
      <c r="AQ40" s="2" t="s">
        <v>773</v>
      </c>
      <c r="AR40" s="19">
        <v>9.2361111111111116E-2</v>
      </c>
      <c r="AS40" s="60">
        <f>(2+(13/60))*AO40</f>
        <v>2022.2650000000001</v>
      </c>
    </row>
    <row r="41" spans="1:56" x14ac:dyDescent="0.2">
      <c r="A41" s="2">
        <v>27</v>
      </c>
      <c r="B41" s="2">
        <v>25</v>
      </c>
      <c r="C41" s="2">
        <v>25</v>
      </c>
      <c r="D41" s="2">
        <v>21</v>
      </c>
      <c r="E41" t="s">
        <v>44</v>
      </c>
      <c r="F41" t="s">
        <v>519</v>
      </c>
      <c r="H41" s="2">
        <v>152910</v>
      </c>
      <c r="I41" s="2">
        <v>1291</v>
      </c>
      <c r="J41" s="15">
        <v>46.11</v>
      </c>
      <c r="K41" s="15">
        <v>24.61</v>
      </c>
      <c r="P41" s="8">
        <v>1435.6338330000001</v>
      </c>
      <c r="Q41" s="8">
        <v>1545.101314</v>
      </c>
      <c r="R41" s="8">
        <v>1460.321179</v>
      </c>
      <c r="S41" s="8">
        <v>1413.0307330000001</v>
      </c>
      <c r="T41" s="8">
        <v>1375.825542</v>
      </c>
      <c r="U41" s="8">
        <v>1281.951184</v>
      </c>
      <c r="V41" s="8">
        <v>1522.9679389999999</v>
      </c>
      <c r="W41" s="8">
        <v>1528.8113189999999</v>
      </c>
      <c r="X41" s="8">
        <v>1508.7252080000001</v>
      </c>
      <c r="Y41" s="8">
        <v>1499.9739079999999</v>
      </c>
      <c r="Z41" s="8">
        <v>1599.604767</v>
      </c>
      <c r="AA41" s="8">
        <v>1515.5638019999999</v>
      </c>
      <c r="AB41" s="8">
        <v>1697.100586</v>
      </c>
      <c r="AD41" s="2">
        <v>2104</v>
      </c>
      <c r="AE41" s="2">
        <v>2045</v>
      </c>
      <c r="AF41" s="2">
        <v>1926</v>
      </c>
      <c r="AG41" s="2">
        <v>1817</v>
      </c>
      <c r="AH41" s="2">
        <v>1736</v>
      </c>
      <c r="AI41" s="2">
        <v>1813</v>
      </c>
      <c r="AJ41" s="2">
        <v>1619</v>
      </c>
      <c r="AK41" s="2">
        <v>1652</v>
      </c>
      <c r="AL41" s="2">
        <v>1316</v>
      </c>
      <c r="AM41" s="2">
        <v>1375</v>
      </c>
      <c r="AN41" s="2" t="s">
        <v>773</v>
      </c>
      <c r="AO41" s="2">
        <v>1390</v>
      </c>
      <c r="AP41" s="2" t="s">
        <v>773</v>
      </c>
      <c r="AQ41" s="2" t="s">
        <v>773</v>
      </c>
      <c r="AR41" s="19">
        <v>0.2298611111111111</v>
      </c>
      <c r="AS41" s="8">
        <f>(5+(31/60))*AO41</f>
        <v>7668.166666666667</v>
      </c>
      <c r="AT41">
        <v>1997</v>
      </c>
    </row>
    <row r="42" spans="1:56" x14ac:dyDescent="0.2">
      <c r="A42" s="2">
        <v>26</v>
      </c>
      <c r="B42" s="2">
        <v>26</v>
      </c>
      <c r="C42" s="2">
        <v>35</v>
      </c>
      <c r="E42" t="s">
        <v>50</v>
      </c>
      <c r="F42" t="s">
        <v>531</v>
      </c>
      <c r="H42" s="2">
        <v>14720</v>
      </c>
      <c r="I42" s="2">
        <v>916.8</v>
      </c>
      <c r="J42" s="15">
        <v>32.74</v>
      </c>
      <c r="K42" s="15">
        <v>24.51</v>
      </c>
      <c r="P42" s="8">
        <v>907.66303500000004</v>
      </c>
      <c r="Q42" s="8">
        <v>935.21033399999999</v>
      </c>
      <c r="R42" s="8">
        <v>938.94520699999998</v>
      </c>
      <c r="S42" s="8">
        <v>908.69497000000001</v>
      </c>
      <c r="T42" s="8">
        <v>807.720327</v>
      </c>
      <c r="U42" s="8">
        <v>742.11727299999995</v>
      </c>
      <c r="V42" s="8">
        <v>821.76327700000002</v>
      </c>
      <c r="W42" s="8">
        <v>726.57657200000006</v>
      </c>
      <c r="X42" s="8">
        <v>744.189255</v>
      </c>
      <c r="Y42" s="8">
        <v>764.07541600000002</v>
      </c>
      <c r="Z42" s="8">
        <v>793.42004099999997</v>
      </c>
      <c r="AA42" s="8">
        <v>730.26431000000002</v>
      </c>
      <c r="AB42" s="8">
        <v>759.75205900000003</v>
      </c>
      <c r="AJ42" s="2">
        <v>827.4</v>
      </c>
      <c r="AK42" s="2">
        <v>1057</v>
      </c>
      <c r="AL42" s="2">
        <v>1003</v>
      </c>
      <c r="AM42" s="2">
        <v>958.1</v>
      </c>
      <c r="AN42" s="2" t="s">
        <v>773</v>
      </c>
      <c r="AO42" s="2">
        <v>945.3</v>
      </c>
      <c r="AP42" s="2" t="s">
        <v>773</v>
      </c>
      <c r="AQ42" s="2" t="s">
        <v>773</v>
      </c>
      <c r="AR42" s="19">
        <v>0.25</v>
      </c>
      <c r="AS42" s="8">
        <f>6*AO42</f>
        <v>5671.7999999999993</v>
      </c>
    </row>
    <row r="43" spans="1:56" x14ac:dyDescent="0.2">
      <c r="A43" s="2">
        <v>27</v>
      </c>
      <c r="B43" s="2">
        <v>31</v>
      </c>
      <c r="C43" s="2">
        <v>112</v>
      </c>
      <c r="E43" t="s">
        <v>70</v>
      </c>
      <c r="F43" t="s">
        <v>527</v>
      </c>
      <c r="H43" s="2">
        <v>392730</v>
      </c>
      <c r="I43" s="2">
        <v>180.7</v>
      </c>
      <c r="J43" s="15">
        <v>6.4560000000000004</v>
      </c>
      <c r="K43" s="15">
        <v>5.0140000000000002</v>
      </c>
      <c r="P43" s="8">
        <v>171.62819200000001</v>
      </c>
      <c r="Q43" s="8">
        <v>171.68662399999999</v>
      </c>
      <c r="R43" s="8">
        <v>172.519699</v>
      </c>
      <c r="S43" s="8">
        <v>169.64112499999999</v>
      </c>
      <c r="T43" s="8">
        <v>173.54876300000001</v>
      </c>
      <c r="U43" s="8">
        <v>161.13384600000001</v>
      </c>
      <c r="V43" s="8">
        <v>175.19556</v>
      </c>
      <c r="W43" s="8">
        <v>173.894057</v>
      </c>
      <c r="X43" s="8">
        <v>194.23142999999999</v>
      </c>
      <c r="Y43" s="8">
        <v>189.42804699999999</v>
      </c>
      <c r="Z43" s="8">
        <v>209.11055300000001</v>
      </c>
      <c r="AA43" s="8">
        <v>186.626665</v>
      </c>
      <c r="AB43" s="8">
        <v>194.02378899999999</v>
      </c>
      <c r="AJ43" s="2">
        <v>176.4</v>
      </c>
      <c r="AK43" s="2">
        <v>181.6</v>
      </c>
      <c r="AL43" s="2">
        <v>174.8</v>
      </c>
      <c r="AM43" s="2">
        <v>180.7</v>
      </c>
      <c r="AN43" s="2" t="s">
        <v>773</v>
      </c>
      <c r="AO43" s="2">
        <v>181.3</v>
      </c>
      <c r="AP43" s="2" t="s">
        <v>773</v>
      </c>
      <c r="AQ43" s="2" t="s">
        <v>773</v>
      </c>
      <c r="AR43" s="19">
        <v>0.28125</v>
      </c>
      <c r="AS43" s="8">
        <f>(6+(45/60))*AO43</f>
        <v>1223.7750000000001</v>
      </c>
    </row>
    <row r="44" spans="1:56" x14ac:dyDescent="0.2">
      <c r="A44" s="2">
        <v>28</v>
      </c>
      <c r="B44" s="2">
        <v>41</v>
      </c>
      <c r="C44" s="2">
        <v>64</v>
      </c>
      <c r="E44" t="s">
        <v>71</v>
      </c>
      <c r="F44" t="s">
        <v>526</v>
      </c>
      <c r="H44" s="2">
        <v>70570</v>
      </c>
      <c r="I44" s="2">
        <v>425.9</v>
      </c>
      <c r="J44" s="15">
        <v>15.21</v>
      </c>
      <c r="K44" s="15">
        <v>12.93</v>
      </c>
      <c r="P44" s="8">
        <v>797.19667300000003</v>
      </c>
      <c r="Q44" s="8">
        <v>765.03963699999997</v>
      </c>
      <c r="R44" s="8">
        <v>820.00609899999995</v>
      </c>
      <c r="S44" s="8">
        <v>760.62854900000002</v>
      </c>
      <c r="T44" s="8">
        <v>764.65344200000004</v>
      </c>
      <c r="U44" s="8">
        <v>749.89831900000001</v>
      </c>
      <c r="V44" s="8">
        <v>813.94333600000004</v>
      </c>
      <c r="W44" s="8">
        <v>746.94205199999999</v>
      </c>
      <c r="X44" s="8">
        <v>799.83765800000003</v>
      </c>
      <c r="Y44" s="8">
        <v>841.82767100000001</v>
      </c>
      <c r="Z44" s="8">
        <v>874.69532200000003</v>
      </c>
      <c r="AA44" s="8">
        <v>767.29872</v>
      </c>
      <c r="AB44" s="8">
        <v>851.97962399999994</v>
      </c>
      <c r="AJ44" s="2">
        <v>470</v>
      </c>
      <c r="AK44" s="2">
        <v>442</v>
      </c>
      <c r="AL44" s="2">
        <v>408.3</v>
      </c>
      <c r="AM44" s="2">
        <v>425.9</v>
      </c>
      <c r="AN44" s="2" t="s">
        <v>773</v>
      </c>
      <c r="AO44" s="2">
        <v>415</v>
      </c>
      <c r="AP44" s="2" t="s">
        <v>773</v>
      </c>
      <c r="AQ44" s="2" t="s">
        <v>773</v>
      </c>
      <c r="AR44" s="19">
        <v>0.15138888888888888</v>
      </c>
      <c r="AS44" s="8">
        <f>(3+(38/60))*AO44</f>
        <v>1507.8333333333333</v>
      </c>
    </row>
    <row r="45" spans="1:56" x14ac:dyDescent="0.2">
      <c r="A45" s="2">
        <v>29</v>
      </c>
      <c r="B45" s="2">
        <v>42</v>
      </c>
      <c r="C45" s="2">
        <v>25</v>
      </c>
      <c r="E45" t="s">
        <v>45</v>
      </c>
      <c r="F45" t="s">
        <v>678</v>
      </c>
      <c r="H45" s="2">
        <v>1000</v>
      </c>
      <c r="I45" s="2">
        <v>1037</v>
      </c>
      <c r="J45" s="15">
        <v>37.07</v>
      </c>
      <c r="K45" s="15">
        <v>29.69</v>
      </c>
      <c r="P45" s="8">
        <v>3269.4591959999998</v>
      </c>
      <c r="Q45" s="8">
        <v>3120.604092</v>
      </c>
      <c r="R45" s="8">
        <v>3243.758808</v>
      </c>
      <c r="S45" s="8">
        <v>3307.0426160000002</v>
      </c>
      <c r="T45" s="8">
        <v>3185.2146670000002</v>
      </c>
      <c r="U45" s="8">
        <v>3386.1552390000002</v>
      </c>
      <c r="V45" s="8">
        <v>3755.55978</v>
      </c>
      <c r="W45" s="8">
        <v>3517.5108319999999</v>
      </c>
      <c r="X45" s="8">
        <v>3393.4118199999998</v>
      </c>
      <c r="Y45" s="8">
        <v>3669.0537429999999</v>
      </c>
      <c r="Z45" s="8">
        <v>3952.4160109999998</v>
      </c>
      <c r="AA45" s="8">
        <v>3396.6693749999999</v>
      </c>
      <c r="AB45" s="8">
        <v>3641.8194480000002</v>
      </c>
      <c r="AJ45" s="2">
        <v>913.7</v>
      </c>
      <c r="AK45" s="2">
        <v>878.2</v>
      </c>
      <c r="AL45" s="2">
        <v>954.4</v>
      </c>
      <c r="AM45" s="2">
        <v>1123</v>
      </c>
      <c r="AN45" s="2" t="s">
        <v>773</v>
      </c>
      <c r="AO45" s="2">
        <v>1197</v>
      </c>
      <c r="AP45" s="2" t="s">
        <v>773</v>
      </c>
      <c r="AQ45" s="2" t="s">
        <v>773</v>
      </c>
      <c r="AR45" s="19">
        <v>4.027777777777778E-2</v>
      </c>
      <c r="AS45" s="8">
        <f>(58/60)*AO45</f>
        <v>1157.0999999999999</v>
      </c>
      <c r="AT45">
        <v>1982</v>
      </c>
    </row>
    <row r="46" spans="1:56" x14ac:dyDescent="0.2">
      <c r="A46" s="2">
        <v>30</v>
      </c>
      <c r="B46" s="2">
        <v>29</v>
      </c>
      <c r="C46" s="2">
        <v>61</v>
      </c>
      <c r="E46" t="s">
        <v>53</v>
      </c>
      <c r="F46" t="s">
        <v>522</v>
      </c>
      <c r="H46" s="2">
        <v>11850</v>
      </c>
      <c r="I46" s="2">
        <v>430.7</v>
      </c>
      <c r="J46" s="15">
        <v>15.38</v>
      </c>
      <c r="K46" s="15">
        <v>11.52</v>
      </c>
      <c r="P46" s="8">
        <v>576.02069700000004</v>
      </c>
      <c r="Q46" s="8">
        <v>651.41664100000003</v>
      </c>
      <c r="R46" s="8">
        <v>614.21939999999995</v>
      </c>
      <c r="S46" s="8">
        <v>530.58000000000004</v>
      </c>
      <c r="T46" s="8">
        <v>500.773166</v>
      </c>
      <c r="U46" s="8">
        <v>485.36229600000001</v>
      </c>
      <c r="V46" s="8">
        <v>508.725728</v>
      </c>
      <c r="W46" s="8">
        <v>517.14075200000002</v>
      </c>
      <c r="X46" s="8">
        <v>590.24976500000002</v>
      </c>
      <c r="Y46" s="8">
        <v>596.66801199999998</v>
      </c>
      <c r="Z46" s="8">
        <v>633.64868200000001</v>
      </c>
      <c r="AA46" s="8">
        <v>581.45076900000004</v>
      </c>
      <c r="AB46" s="8">
        <v>647.21537000000001</v>
      </c>
      <c r="AJ46" s="2">
        <v>370.1</v>
      </c>
      <c r="AK46" s="2">
        <v>451</v>
      </c>
      <c r="AL46" s="2">
        <v>431.1</v>
      </c>
      <c r="AM46" s="2">
        <v>422</v>
      </c>
      <c r="AN46" s="2" t="s">
        <v>773</v>
      </c>
      <c r="AO46" s="2">
        <v>417.9</v>
      </c>
      <c r="AP46" s="2" t="s">
        <v>773</v>
      </c>
      <c r="AQ46" s="2" t="s">
        <v>773</v>
      </c>
      <c r="AR46" s="19">
        <v>0.24027777777777778</v>
      </c>
      <c r="AS46" s="8">
        <f>(5+(46/60))*AO46</f>
        <v>2409.89</v>
      </c>
    </row>
    <row r="47" spans="1:56" x14ac:dyDescent="0.2">
      <c r="A47" s="2">
        <v>31</v>
      </c>
      <c r="B47" s="2">
        <v>25</v>
      </c>
      <c r="C47" s="2">
        <v>55</v>
      </c>
      <c r="E47" t="s">
        <v>56</v>
      </c>
      <c r="F47" t="s">
        <v>532</v>
      </c>
      <c r="H47" s="2">
        <v>65000</v>
      </c>
      <c r="I47" s="2">
        <v>545.5</v>
      </c>
      <c r="J47" s="15">
        <v>19.48</v>
      </c>
      <c r="K47" s="15">
        <v>14.08</v>
      </c>
      <c r="P47" s="8">
        <v>743.942138</v>
      </c>
      <c r="Q47" s="8">
        <v>670.41076199999998</v>
      </c>
      <c r="R47" s="8">
        <v>720.47181799999998</v>
      </c>
      <c r="S47" s="8">
        <v>776.75492099999997</v>
      </c>
      <c r="T47" s="8">
        <v>774.34571400000004</v>
      </c>
      <c r="U47" s="8">
        <v>752.17668000000003</v>
      </c>
      <c r="V47" s="8">
        <v>836.13044200000002</v>
      </c>
      <c r="W47" s="8">
        <v>868.07506899999998</v>
      </c>
      <c r="X47" s="8">
        <v>963.322676</v>
      </c>
      <c r="Y47" s="8">
        <v>906.84393599999999</v>
      </c>
      <c r="Z47" s="8">
        <v>939.100595</v>
      </c>
      <c r="AA47" s="8">
        <v>827.53197899999998</v>
      </c>
      <c r="AB47" s="8">
        <v>864.37088600000004</v>
      </c>
      <c r="AJ47" s="2">
        <v>401.3</v>
      </c>
      <c r="AK47" s="2">
        <v>474.9</v>
      </c>
      <c r="AL47" s="2">
        <v>553.5</v>
      </c>
      <c r="AM47" s="2">
        <v>570.5</v>
      </c>
      <c r="AN47" s="2" t="s">
        <v>773</v>
      </c>
      <c r="AO47" s="2">
        <v>570.1</v>
      </c>
      <c r="AP47" s="2" t="s">
        <v>773</v>
      </c>
      <c r="AQ47" s="2" t="s">
        <v>773</v>
      </c>
      <c r="AR47" s="19">
        <v>0.2722222222222222</v>
      </c>
      <c r="AS47" s="8">
        <f>(6+(32/60))*AO47</f>
        <v>3724.6533333333332</v>
      </c>
    </row>
    <row r="48" spans="1:56" x14ac:dyDescent="0.2">
      <c r="A48" s="2">
        <v>32</v>
      </c>
      <c r="B48" s="2">
        <v>35</v>
      </c>
      <c r="C48" s="2">
        <v>89</v>
      </c>
      <c r="E48" t="s">
        <v>37</v>
      </c>
      <c r="F48" t="s">
        <v>533</v>
      </c>
      <c r="H48" s="2">
        <v>31000</v>
      </c>
      <c r="I48" s="2">
        <v>522.70000000000005</v>
      </c>
      <c r="J48" s="57">
        <v>18.66</v>
      </c>
      <c r="K48" s="57">
        <v>12.08</v>
      </c>
      <c r="P48" s="27">
        <v>1206</v>
      </c>
      <c r="Q48" s="27">
        <v>1091</v>
      </c>
      <c r="R48" s="27">
        <v>1167</v>
      </c>
      <c r="S48" s="27">
        <v>1366</v>
      </c>
      <c r="T48" s="27">
        <v>1099</v>
      </c>
      <c r="U48" s="27">
        <v>1108</v>
      </c>
      <c r="V48" s="27">
        <v>1131</v>
      </c>
      <c r="W48" s="27">
        <v>1227</v>
      </c>
      <c r="X48" s="27">
        <v>1323</v>
      </c>
      <c r="Y48" s="27">
        <v>1350</v>
      </c>
      <c r="Z48" s="27">
        <v>1368</v>
      </c>
      <c r="AA48" s="27">
        <v>1275</v>
      </c>
      <c r="AB48" s="27">
        <v>1426</v>
      </c>
      <c r="AJ48" s="2">
        <v>636.1</v>
      </c>
      <c r="AK48" s="2">
        <v>465.2</v>
      </c>
      <c r="AL48" s="2">
        <v>577.20000000000005</v>
      </c>
      <c r="AM48" s="2">
        <v>530.4</v>
      </c>
      <c r="AN48" s="2" t="s">
        <v>773</v>
      </c>
      <c r="AO48" s="2">
        <v>569.79999999999995</v>
      </c>
      <c r="AP48" s="2" t="s">
        <v>773</v>
      </c>
      <c r="AQ48" s="2" t="s">
        <v>773</v>
      </c>
      <c r="AR48" s="19">
        <v>0.1277777777777778</v>
      </c>
      <c r="AS48" s="60">
        <f>(3+(4/60))*AO48</f>
        <v>1747.3866666666665</v>
      </c>
      <c r="BA48" s="10"/>
    </row>
    <row r="49" spans="1:56" x14ac:dyDescent="0.2">
      <c r="A49" s="2">
        <v>33</v>
      </c>
      <c r="B49" s="2">
        <v>27</v>
      </c>
      <c r="C49" s="2">
        <v>58</v>
      </c>
      <c r="E49" t="s">
        <v>35</v>
      </c>
      <c r="F49" t="s">
        <v>8</v>
      </c>
      <c r="H49" s="2">
        <v>5900</v>
      </c>
      <c r="I49" s="2">
        <v>529.6</v>
      </c>
      <c r="J49" s="57">
        <v>18.91</v>
      </c>
      <c r="K49" s="57">
        <v>12.75</v>
      </c>
      <c r="N49" s="1" t="s">
        <v>16</v>
      </c>
      <c r="P49" s="27">
        <v>1020.403</v>
      </c>
      <c r="Q49" s="27">
        <v>1010.0940000000001</v>
      </c>
      <c r="R49" s="27">
        <v>1045.2529999999999</v>
      </c>
      <c r="S49" s="27">
        <v>1014.602</v>
      </c>
      <c r="T49" s="27">
        <v>928.21600000000001</v>
      </c>
      <c r="U49" s="27">
        <v>911.64200000000005</v>
      </c>
      <c r="V49" s="27">
        <v>961.68299999999999</v>
      </c>
      <c r="W49" s="27">
        <v>1011.274</v>
      </c>
      <c r="X49" s="27">
        <v>1118.7380000000001</v>
      </c>
      <c r="Y49" s="27">
        <v>1154.326</v>
      </c>
      <c r="Z49" s="27">
        <v>1194.9169999999999</v>
      </c>
      <c r="AA49" s="27">
        <v>1066.9749999999999</v>
      </c>
      <c r="AB49" s="27">
        <v>1159.4290000000001</v>
      </c>
      <c r="AJ49" s="2">
        <v>514.1</v>
      </c>
      <c r="AK49" s="2">
        <v>558.9</v>
      </c>
      <c r="AL49" s="2">
        <v>556</v>
      </c>
      <c r="AM49" s="2">
        <v>546.5</v>
      </c>
      <c r="AN49" s="2" t="s">
        <v>773</v>
      </c>
      <c r="AO49" s="2">
        <v>548.9</v>
      </c>
      <c r="AP49" s="2" t="s">
        <v>773</v>
      </c>
      <c r="AQ49" s="2" t="s">
        <v>773</v>
      </c>
      <c r="AR49" s="19">
        <v>0.13819444444444443</v>
      </c>
      <c r="AS49" s="60">
        <f>(3+(19/60))*AO49</f>
        <v>1820.5183333333332</v>
      </c>
    </row>
    <row r="50" spans="1:56" x14ac:dyDescent="0.2">
      <c r="A50" s="2">
        <v>34</v>
      </c>
      <c r="B50" s="2">
        <v>32</v>
      </c>
      <c r="C50" s="2">
        <v>52</v>
      </c>
      <c r="E50" t="s">
        <v>51</v>
      </c>
      <c r="F50" t="s">
        <v>7</v>
      </c>
      <c r="H50" s="2">
        <v>2000000</v>
      </c>
      <c r="I50" s="2">
        <v>620.4</v>
      </c>
      <c r="J50" s="57">
        <v>22.15</v>
      </c>
      <c r="K50" s="57">
        <v>14.1</v>
      </c>
      <c r="P50" s="8">
        <v>727.08121100000005</v>
      </c>
      <c r="Q50" s="8">
        <v>720.02343299999995</v>
      </c>
      <c r="R50" s="8">
        <v>735.02549899999997</v>
      </c>
      <c r="S50" s="8">
        <v>730.36559999999997</v>
      </c>
      <c r="T50" s="8">
        <v>695.42197499999997</v>
      </c>
      <c r="U50" s="8">
        <v>664.27989600000001</v>
      </c>
      <c r="V50" s="8">
        <v>687.80133699999999</v>
      </c>
      <c r="W50" s="8">
        <v>746.80705799999998</v>
      </c>
      <c r="X50" s="8">
        <v>816.30280800000003</v>
      </c>
      <c r="Y50" s="8">
        <v>823.24812499999996</v>
      </c>
      <c r="Z50" s="8">
        <v>842.52199599999994</v>
      </c>
      <c r="AA50" s="8">
        <v>768.35725500000001</v>
      </c>
      <c r="AB50" s="8">
        <v>862.92574400000001</v>
      </c>
      <c r="AJ50" s="2">
        <v>590.5</v>
      </c>
      <c r="AK50" s="2">
        <v>612.20000000000005</v>
      </c>
      <c r="AL50" s="2">
        <v>597.29999999999995</v>
      </c>
      <c r="AM50" s="2">
        <v>620.4</v>
      </c>
      <c r="AN50" s="2" t="s">
        <v>773</v>
      </c>
      <c r="AO50" s="2" t="s">
        <v>773</v>
      </c>
      <c r="AP50" s="2" t="s">
        <v>773</v>
      </c>
      <c r="AQ50" s="2" t="s">
        <v>773</v>
      </c>
      <c r="AR50" s="19">
        <v>0.22777777777777777</v>
      </c>
      <c r="AS50" s="60">
        <f>(5+(28/60))*AM50</f>
        <v>3391.52</v>
      </c>
      <c r="BA50" s="10"/>
    </row>
    <row r="51" spans="1:56" x14ac:dyDescent="0.2">
      <c r="A51" s="2">
        <v>35</v>
      </c>
      <c r="B51" s="2">
        <v>40</v>
      </c>
      <c r="C51" s="2">
        <v>126</v>
      </c>
      <c r="E51" t="s">
        <v>64</v>
      </c>
      <c r="F51" t="s">
        <v>3</v>
      </c>
      <c r="H51" s="2">
        <v>5500</v>
      </c>
      <c r="I51" s="2">
        <v>232.6</v>
      </c>
      <c r="J51" s="15">
        <v>7.92</v>
      </c>
      <c r="K51" s="15">
        <v>3.5169999999999999</v>
      </c>
      <c r="P51" s="8">
        <v>195.18588700000001</v>
      </c>
      <c r="Q51" s="8">
        <v>182.41283999999999</v>
      </c>
      <c r="R51" s="8">
        <v>206.10219599999999</v>
      </c>
      <c r="S51" s="8">
        <v>180.58576299999999</v>
      </c>
      <c r="T51" s="8">
        <v>170.52558999999999</v>
      </c>
      <c r="U51" s="8">
        <v>179.75833600000001</v>
      </c>
      <c r="V51" s="8">
        <v>184.71806599999999</v>
      </c>
      <c r="W51" s="8">
        <v>190.11642399999999</v>
      </c>
      <c r="X51" s="8">
        <v>221.27622</v>
      </c>
      <c r="Y51" s="8">
        <v>221.221689</v>
      </c>
      <c r="Z51" s="8">
        <v>228.852994</v>
      </c>
      <c r="AA51" s="8">
        <v>213.153471</v>
      </c>
      <c r="AB51" s="8">
        <v>202.249405</v>
      </c>
      <c r="AJ51" s="2">
        <v>261.2</v>
      </c>
      <c r="AK51" s="2">
        <v>258.8</v>
      </c>
      <c r="AL51" s="2">
        <v>292.5</v>
      </c>
      <c r="AM51" s="2">
        <v>270.8</v>
      </c>
      <c r="AN51" s="2" t="s">
        <v>773</v>
      </c>
      <c r="AO51" s="2">
        <v>243.5</v>
      </c>
      <c r="AP51" s="2" t="s">
        <v>773</v>
      </c>
      <c r="AQ51" s="2" t="s">
        <v>773</v>
      </c>
      <c r="AR51" s="19">
        <v>0.4770833333333333</v>
      </c>
      <c r="AS51" s="8">
        <f>(11+(27/60))*AO51</f>
        <v>2788.0749999999998</v>
      </c>
      <c r="BC51" s="2"/>
    </row>
    <row r="52" spans="1:56" x14ac:dyDescent="0.2">
      <c r="A52" s="2">
        <v>27</v>
      </c>
      <c r="B52" s="2">
        <v>36</v>
      </c>
      <c r="C52" s="2">
        <v>25</v>
      </c>
      <c r="D52" s="2">
        <v>50</v>
      </c>
      <c r="E52" t="s">
        <v>62</v>
      </c>
      <c r="F52" t="s">
        <v>1234</v>
      </c>
      <c r="K52" s="15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J52" s="2">
        <v>444.2</v>
      </c>
      <c r="AK52" s="2" t="s">
        <v>773</v>
      </c>
      <c r="AL52" s="2" t="s">
        <v>773</v>
      </c>
      <c r="AM52" s="2" t="s">
        <v>773</v>
      </c>
      <c r="AN52" s="2" t="s">
        <v>773</v>
      </c>
      <c r="AO52" s="2" t="s">
        <v>773</v>
      </c>
      <c r="AP52" s="2" t="s">
        <v>773</v>
      </c>
      <c r="AQ52" s="2" t="s">
        <v>773</v>
      </c>
      <c r="AR52" s="19">
        <v>0.3923611111111111</v>
      </c>
      <c r="AS52" s="8">
        <f>(9+(25/60))*AJ52</f>
        <v>4182.8833333333332</v>
      </c>
      <c r="BC52" s="2"/>
    </row>
    <row r="53" spans="1:56" x14ac:dyDescent="0.2">
      <c r="A53" s="2">
        <v>37</v>
      </c>
      <c r="B53" s="2">
        <v>25</v>
      </c>
      <c r="C53" s="2">
        <v>85</v>
      </c>
      <c r="E53" t="s">
        <v>38</v>
      </c>
      <c r="F53" t="s">
        <v>9</v>
      </c>
      <c r="G53" t="s">
        <v>1269</v>
      </c>
      <c r="H53" s="2">
        <v>168000</v>
      </c>
      <c r="I53" s="2">
        <v>519.5</v>
      </c>
      <c r="J53" s="15">
        <v>18.55</v>
      </c>
      <c r="K53" s="15">
        <v>9.7469999999999999</v>
      </c>
      <c r="P53" s="8">
        <v>916.00769600000001</v>
      </c>
      <c r="Q53" s="8">
        <v>957.09039099999995</v>
      </c>
      <c r="R53" s="8">
        <v>963.52757099999997</v>
      </c>
      <c r="S53" s="8">
        <v>920.06248900000003</v>
      </c>
      <c r="T53" s="8">
        <v>827.78295300000002</v>
      </c>
      <c r="U53" s="8">
        <v>568.551106</v>
      </c>
      <c r="V53" s="8">
        <v>556.76201100000003</v>
      </c>
      <c r="W53" s="8">
        <v>586.06389200000001</v>
      </c>
      <c r="X53" s="8">
        <v>865.19020799999998</v>
      </c>
      <c r="Y53" s="8">
        <v>936.00502900000004</v>
      </c>
      <c r="Z53" s="8">
        <v>930.851586</v>
      </c>
      <c r="AA53" s="8">
        <v>715.80827099999999</v>
      </c>
      <c r="AB53" s="8">
        <v>943.979782</v>
      </c>
      <c r="AJ53" s="2">
        <v>331.9</v>
      </c>
      <c r="AK53" s="2">
        <v>525.9</v>
      </c>
      <c r="AL53" s="2">
        <v>519.5</v>
      </c>
      <c r="AM53" s="2">
        <v>335.1</v>
      </c>
      <c r="AN53" s="2" t="s">
        <v>773</v>
      </c>
      <c r="AO53" s="2">
        <v>325.5</v>
      </c>
      <c r="AP53" s="2" t="s">
        <v>773</v>
      </c>
      <c r="AQ53" s="2" t="s">
        <v>773</v>
      </c>
      <c r="AR53" s="19">
        <v>0.37361111111111112</v>
      </c>
      <c r="AS53" s="8">
        <f>(8+(58/60))*AO53</f>
        <v>2918.65</v>
      </c>
      <c r="BA53" s="11"/>
      <c r="BB53" s="11"/>
      <c r="BC53" s="11"/>
      <c r="BD53" s="12"/>
    </row>
    <row r="54" spans="1:56" x14ac:dyDescent="0.2">
      <c r="A54" s="2">
        <v>38</v>
      </c>
      <c r="B54" s="2">
        <v>45</v>
      </c>
      <c r="C54" s="2">
        <v>51</v>
      </c>
      <c r="E54" t="s">
        <v>49</v>
      </c>
      <c r="F54" t="s">
        <v>6</v>
      </c>
      <c r="H54" s="2">
        <v>2000</v>
      </c>
      <c r="I54" s="2">
        <v>675.9</v>
      </c>
      <c r="J54" s="15">
        <v>24.14</v>
      </c>
      <c r="K54" s="15">
        <v>19.010000000000002</v>
      </c>
      <c r="P54" s="8">
        <v>1592.45577</v>
      </c>
      <c r="Q54" s="8">
        <v>1699.725723</v>
      </c>
      <c r="R54" s="8">
        <v>1609.33959</v>
      </c>
      <c r="S54" s="8">
        <v>1659.7602449999999</v>
      </c>
      <c r="T54" s="8">
        <v>1465.289884</v>
      </c>
      <c r="U54" s="8">
        <v>1296.696506</v>
      </c>
      <c r="V54" s="8">
        <v>1468.504308</v>
      </c>
      <c r="W54" s="8">
        <v>1392.2677880000001</v>
      </c>
      <c r="X54" s="8">
        <v>1689.6079110000001</v>
      </c>
      <c r="Y54" s="8">
        <v>1712.2720810000001</v>
      </c>
      <c r="Z54" s="8">
        <v>1738.4798719999999</v>
      </c>
      <c r="AA54" s="8">
        <v>1589.808759</v>
      </c>
      <c r="AB54" s="8">
        <v>1682.7836850000001</v>
      </c>
      <c r="AJ54" s="2">
        <v>813.5</v>
      </c>
      <c r="AK54" s="2">
        <v>729.9</v>
      </c>
      <c r="AL54" s="2">
        <v>669.1</v>
      </c>
      <c r="AM54" s="2">
        <v>652.6</v>
      </c>
      <c r="AN54" s="2" t="s">
        <v>773</v>
      </c>
      <c r="AO54" s="2">
        <v>643</v>
      </c>
      <c r="AP54" s="2" t="s">
        <v>773</v>
      </c>
      <c r="AQ54" s="2" t="s">
        <v>773</v>
      </c>
      <c r="AR54" s="19">
        <v>0.12916666666666668</v>
      </c>
      <c r="AS54" s="8">
        <f>(3+(6/60))*AO54</f>
        <v>1993.3</v>
      </c>
    </row>
    <row r="55" spans="1:56" x14ac:dyDescent="0.2">
      <c r="A55" s="2">
        <v>39</v>
      </c>
      <c r="B55" s="2">
        <v>47</v>
      </c>
      <c r="C55" s="2">
        <v>174</v>
      </c>
      <c r="E55" t="s">
        <v>59</v>
      </c>
      <c r="F55" t="s">
        <v>540</v>
      </c>
      <c r="G55" t="s">
        <v>1323</v>
      </c>
      <c r="H55" s="2">
        <v>0</v>
      </c>
      <c r="I55" s="2">
        <v>719.1</v>
      </c>
      <c r="J55" s="15">
        <v>7.86</v>
      </c>
      <c r="K55" s="15">
        <v>5.1890000000000001</v>
      </c>
      <c r="P55" s="8">
        <v>360.40290199999998</v>
      </c>
      <c r="Q55" s="8">
        <v>486.08710100000002</v>
      </c>
      <c r="R55" s="8">
        <v>378.92294299999998</v>
      </c>
      <c r="S55" s="8">
        <v>338.971271</v>
      </c>
      <c r="T55" s="8">
        <v>323.66874200000001</v>
      </c>
      <c r="U55" s="8">
        <v>318.24909700000001</v>
      </c>
      <c r="V55" s="8">
        <v>328.24787300000003</v>
      </c>
      <c r="W55" s="8">
        <v>309.88622600000002</v>
      </c>
      <c r="X55" s="8">
        <v>348.91004099999998</v>
      </c>
      <c r="Y55" s="8">
        <v>358.52709700000003</v>
      </c>
      <c r="Z55" s="8">
        <v>386.66364700000003</v>
      </c>
      <c r="AA55" s="8">
        <v>334.848995</v>
      </c>
      <c r="AB55" s="8">
        <v>399.43630000000002</v>
      </c>
      <c r="AJ55" s="2">
        <v>295.89999999999998</v>
      </c>
      <c r="AK55" s="2">
        <v>286.7</v>
      </c>
      <c r="AL55" s="2">
        <v>240.7</v>
      </c>
      <c r="AM55" s="2">
        <v>245.3</v>
      </c>
      <c r="AN55" s="2" t="s">
        <v>773</v>
      </c>
      <c r="AO55" s="2">
        <v>238.7</v>
      </c>
      <c r="AP55" s="2" t="s">
        <v>773</v>
      </c>
      <c r="AQ55" s="2" t="s">
        <v>773</v>
      </c>
      <c r="AR55" s="19">
        <v>0.1125</v>
      </c>
      <c r="AS55" s="8">
        <f>(2+(42/60))*AO55</f>
        <v>644.49</v>
      </c>
    </row>
    <row r="56" spans="1:56" x14ac:dyDescent="0.2">
      <c r="A56" s="2">
        <v>40</v>
      </c>
      <c r="B56" s="2">
        <v>13</v>
      </c>
      <c r="C56" s="2">
        <v>14</v>
      </c>
      <c r="E56" t="s">
        <v>33</v>
      </c>
      <c r="F56" t="s">
        <v>6</v>
      </c>
      <c r="H56" s="2">
        <v>1000</v>
      </c>
      <c r="I56" s="2">
        <v>2083</v>
      </c>
      <c r="J56" s="57">
        <v>74.41</v>
      </c>
      <c r="K56" s="57">
        <v>54.03</v>
      </c>
      <c r="N56" s="1" t="s">
        <v>16</v>
      </c>
      <c r="P56" s="2">
        <v>4121</v>
      </c>
      <c r="Q56" s="2">
        <v>3606</v>
      </c>
      <c r="R56" s="2">
        <v>4044</v>
      </c>
      <c r="S56" s="2">
        <v>4330</v>
      </c>
      <c r="T56" s="2">
        <v>4276</v>
      </c>
      <c r="U56" s="2">
        <v>3622</v>
      </c>
      <c r="V56" s="2">
        <v>4186</v>
      </c>
      <c r="W56" s="2">
        <v>3870</v>
      </c>
      <c r="X56" s="2">
        <v>4341</v>
      </c>
      <c r="Y56" s="2">
        <v>4627</v>
      </c>
      <c r="Z56" s="2">
        <v>4211</v>
      </c>
      <c r="AA56" s="2">
        <v>4212</v>
      </c>
      <c r="AB56" s="2">
        <v>4566</v>
      </c>
      <c r="AJ56" s="2">
        <v>657.4</v>
      </c>
      <c r="AK56" s="2">
        <v>2120</v>
      </c>
      <c r="AL56" s="2">
        <v>1980</v>
      </c>
      <c r="AM56" s="2">
        <v>2083</v>
      </c>
      <c r="AN56" s="2" t="s">
        <v>773</v>
      </c>
      <c r="AO56" s="2">
        <v>2157</v>
      </c>
      <c r="AP56" s="2" t="s">
        <v>773</v>
      </c>
      <c r="AQ56" s="2" t="s">
        <v>773</v>
      </c>
      <c r="AR56" s="19">
        <v>0.3</v>
      </c>
      <c r="AS56" s="60">
        <f>(7+(12/60))*AO56</f>
        <v>15530.4</v>
      </c>
      <c r="AT56">
        <v>1997</v>
      </c>
    </row>
    <row r="57" spans="1:56" s="3" customFormat="1" x14ac:dyDescent="0.2">
      <c r="A57" s="4">
        <v>168</v>
      </c>
      <c r="B57" s="4">
        <v>85</v>
      </c>
      <c r="C57" s="4">
        <v>22</v>
      </c>
      <c r="D57" s="4"/>
      <c r="E57" s="3" t="s">
        <v>65</v>
      </c>
      <c r="F57" s="3" t="s">
        <v>6</v>
      </c>
      <c r="H57" s="4">
        <v>29000</v>
      </c>
      <c r="I57" s="4">
        <v>1504</v>
      </c>
      <c r="J57" s="16">
        <v>59.85</v>
      </c>
      <c r="K57" s="16">
        <v>35.47</v>
      </c>
      <c r="L57" s="4"/>
      <c r="M57" s="9"/>
      <c r="N57" s="9"/>
      <c r="O57" s="9"/>
      <c r="P57" s="47">
        <v>2349</v>
      </c>
      <c r="Q57" s="4">
        <v>2149</v>
      </c>
      <c r="R57" s="4">
        <v>2361</v>
      </c>
      <c r="S57" s="4">
        <v>2514</v>
      </c>
      <c r="T57" s="4">
        <v>1998</v>
      </c>
      <c r="U57" s="4">
        <v>1954</v>
      </c>
      <c r="V57" s="4">
        <v>2172</v>
      </c>
      <c r="W57" s="4">
        <v>2666</v>
      </c>
      <c r="X57" s="4">
        <v>3198</v>
      </c>
      <c r="Y57" s="4">
        <v>3005</v>
      </c>
      <c r="Z57" s="4">
        <v>2610</v>
      </c>
      <c r="AA57" s="4">
        <v>1786</v>
      </c>
      <c r="AB57" s="4">
        <v>1080</v>
      </c>
      <c r="AC57" s="9"/>
      <c r="AD57" s="9"/>
      <c r="AE57" s="9"/>
      <c r="AF57" s="9"/>
      <c r="AG57" s="9"/>
      <c r="AH57" s="9"/>
      <c r="AI57" s="9"/>
      <c r="AJ57" s="4">
        <v>384.6</v>
      </c>
      <c r="AK57" s="4">
        <v>1338</v>
      </c>
      <c r="AL57" s="4">
        <v>1516</v>
      </c>
      <c r="AM57" s="4">
        <v>1303</v>
      </c>
      <c r="AN57" s="4">
        <v>1406</v>
      </c>
      <c r="AO57" s="4">
        <v>1448</v>
      </c>
      <c r="AP57" s="4" t="s">
        <v>773</v>
      </c>
      <c r="AQ57" s="4" t="s">
        <v>773</v>
      </c>
      <c r="AR57" s="23">
        <v>0.17916666666666667</v>
      </c>
      <c r="AS57" s="47">
        <f>(4+(18/60))*AM57</f>
        <v>5602.9</v>
      </c>
      <c r="AT57" s="3">
        <v>2015</v>
      </c>
      <c r="AX57"/>
      <c r="AY57"/>
      <c r="AZ57"/>
    </row>
    <row r="58" spans="1:56" x14ac:dyDescent="0.2">
      <c r="A58" s="2">
        <v>42</v>
      </c>
      <c r="B58" s="2">
        <v>43</v>
      </c>
      <c r="C58" s="2">
        <v>147</v>
      </c>
      <c r="E58" t="s">
        <v>48</v>
      </c>
      <c r="F58" t="s">
        <v>520</v>
      </c>
      <c r="H58" s="2">
        <v>15820</v>
      </c>
      <c r="I58" s="2">
        <v>287.7</v>
      </c>
      <c r="J58" s="15">
        <v>10.27</v>
      </c>
      <c r="K58" s="15">
        <v>5.9850000000000003</v>
      </c>
      <c r="P58" s="27">
        <v>772.803</v>
      </c>
      <c r="Q58" s="27">
        <v>774.49</v>
      </c>
      <c r="R58" s="27">
        <v>765.82799999999997</v>
      </c>
      <c r="S58" s="27">
        <v>835.25</v>
      </c>
      <c r="T58" s="27">
        <v>690.36</v>
      </c>
      <c r="U58" s="27">
        <v>690.90099999999995</v>
      </c>
      <c r="V58" s="27">
        <v>753.80200000000002</v>
      </c>
      <c r="W58" s="27">
        <v>753.24800000000005</v>
      </c>
      <c r="X58" s="27">
        <v>887.91899999999998</v>
      </c>
      <c r="Y58" s="27">
        <v>1008.769</v>
      </c>
      <c r="Z58" s="27">
        <v>1026.9590000000001</v>
      </c>
      <c r="AA58" s="27">
        <v>936.45600000000002</v>
      </c>
      <c r="AB58" s="27">
        <v>1075.652</v>
      </c>
      <c r="AJ58" s="2">
        <v>332.6</v>
      </c>
      <c r="AK58" s="2">
        <v>246.6</v>
      </c>
      <c r="AL58" s="2">
        <v>274.8</v>
      </c>
      <c r="AM58" s="2">
        <v>257.8</v>
      </c>
      <c r="AN58" s="2" t="s">
        <v>773</v>
      </c>
      <c r="AO58" s="2">
        <v>268.8</v>
      </c>
      <c r="AP58" s="2" t="s">
        <v>773</v>
      </c>
      <c r="AQ58" s="2" t="s">
        <v>773</v>
      </c>
      <c r="AR58" s="19">
        <v>0.2673611111111111</v>
      </c>
      <c r="AS58" s="60">
        <f>(6+(25/60))*AO58</f>
        <v>1724.8000000000002</v>
      </c>
    </row>
    <row r="59" spans="1:56" x14ac:dyDescent="0.2">
      <c r="A59" s="2">
        <v>43</v>
      </c>
      <c r="B59" s="2">
        <v>37</v>
      </c>
      <c r="C59" s="2">
        <v>44</v>
      </c>
      <c r="E59" t="s">
        <v>52</v>
      </c>
      <c r="F59" t="s">
        <v>521</v>
      </c>
      <c r="H59" s="2">
        <v>24420</v>
      </c>
      <c r="I59" s="2">
        <v>716.2</v>
      </c>
      <c r="J59" s="15">
        <v>25.57</v>
      </c>
      <c r="K59" s="15">
        <v>9.7479999999999993</v>
      </c>
      <c r="P59" s="8">
        <v>432.30477400000001</v>
      </c>
      <c r="Q59" s="8">
        <v>453.17909400000002</v>
      </c>
      <c r="R59" s="8">
        <v>399.76040799999998</v>
      </c>
      <c r="S59" s="8">
        <v>469.298565</v>
      </c>
      <c r="T59" s="8">
        <v>480.974806</v>
      </c>
      <c r="U59" s="8">
        <v>522.93825500000003</v>
      </c>
      <c r="V59" s="8">
        <v>552.21293400000002</v>
      </c>
      <c r="W59" s="8">
        <v>498.928045</v>
      </c>
      <c r="X59" s="8">
        <v>466.76536800000002</v>
      </c>
      <c r="Y59" s="8">
        <v>565.30447900000001</v>
      </c>
      <c r="Z59" s="8">
        <v>480.35779000000002</v>
      </c>
      <c r="AA59" s="8">
        <v>474.88726400000002</v>
      </c>
      <c r="AB59" s="8">
        <v>492.14461599999998</v>
      </c>
      <c r="AJ59" s="2">
        <v>706.4</v>
      </c>
      <c r="AK59" s="2">
        <v>742.7</v>
      </c>
      <c r="AL59" s="2">
        <v>639.70000000000005</v>
      </c>
      <c r="AM59" s="2">
        <v>809.5</v>
      </c>
      <c r="AN59" s="2" t="s">
        <v>773</v>
      </c>
      <c r="AO59" s="2">
        <v>801.5</v>
      </c>
      <c r="AP59" s="2" t="s">
        <v>773</v>
      </c>
      <c r="AQ59" s="2" t="s">
        <v>773</v>
      </c>
      <c r="AR59" s="19">
        <v>0.56944444444444442</v>
      </c>
      <c r="AS59" s="8">
        <f>(13+(40/60))*AO59</f>
        <v>10953.833333333332</v>
      </c>
    </row>
    <row r="60" spans="1:56" x14ac:dyDescent="0.2">
      <c r="A60" s="2">
        <v>44</v>
      </c>
      <c r="B60" s="2">
        <v>44</v>
      </c>
      <c r="C60" s="2">
        <v>156</v>
      </c>
      <c r="E60" t="s">
        <v>63</v>
      </c>
      <c r="F60" t="s">
        <v>524</v>
      </c>
      <c r="H60" s="2">
        <v>290540</v>
      </c>
      <c r="I60" s="2">
        <v>181.2</v>
      </c>
      <c r="J60" s="15">
        <v>7.25</v>
      </c>
      <c r="K60" s="15">
        <v>5.6109999999999998</v>
      </c>
      <c r="P60" s="8">
        <v>275.34672499999999</v>
      </c>
      <c r="Q60" s="8">
        <v>262.27178800000002</v>
      </c>
      <c r="R60" s="8">
        <v>291.258397</v>
      </c>
      <c r="S60" s="8">
        <v>246.64854399999999</v>
      </c>
      <c r="T60" s="8">
        <v>247.093321</v>
      </c>
      <c r="U60" s="8">
        <v>264.89945499999999</v>
      </c>
      <c r="V60" s="8">
        <v>286.78350499999999</v>
      </c>
      <c r="W60" s="8">
        <v>293.65545100000003</v>
      </c>
      <c r="X60" s="8">
        <v>333.76142099999998</v>
      </c>
      <c r="Y60" s="8">
        <v>299.882002</v>
      </c>
      <c r="Z60" s="8">
        <v>296.39478300000002</v>
      </c>
      <c r="AA60" s="8">
        <v>223.92214200000001</v>
      </c>
      <c r="AB60" s="8">
        <v>248.097385</v>
      </c>
      <c r="AJ60" s="2">
        <v>194</v>
      </c>
      <c r="AK60" s="2">
        <v>161.19999999999999</v>
      </c>
      <c r="AL60" s="2">
        <v>171.8</v>
      </c>
      <c r="AM60" s="2">
        <v>194.5</v>
      </c>
      <c r="AN60" s="2" t="s">
        <v>773</v>
      </c>
      <c r="AO60" s="2">
        <v>208.2</v>
      </c>
      <c r="AP60" s="2" t="s">
        <v>773</v>
      </c>
      <c r="AQ60" s="2" t="s">
        <v>773</v>
      </c>
      <c r="AR60" s="19">
        <v>0.20347222222222219</v>
      </c>
      <c r="AS60" s="8">
        <f>(4+(53/60))*AO60</f>
        <v>1016.7099999999998</v>
      </c>
      <c r="BC60" s="2"/>
    </row>
    <row r="61" spans="1:56" x14ac:dyDescent="0.2">
      <c r="A61" s="2">
        <v>45</v>
      </c>
      <c r="B61" s="2">
        <v>30</v>
      </c>
      <c r="C61" s="2">
        <v>24</v>
      </c>
      <c r="E61" t="s">
        <v>58</v>
      </c>
      <c r="F61" t="s">
        <v>6</v>
      </c>
      <c r="H61" s="2" t="s">
        <v>6</v>
      </c>
      <c r="I61" s="2">
        <v>1405</v>
      </c>
      <c r="J61" s="15">
        <v>50.21</v>
      </c>
      <c r="K61" s="15">
        <v>39.44</v>
      </c>
      <c r="P61" s="8">
        <v>2679.828368</v>
      </c>
      <c r="Q61" s="8">
        <v>2381.0986480000001</v>
      </c>
      <c r="R61" s="8">
        <v>2621.7744560000001</v>
      </c>
      <c r="S61" s="8">
        <v>2767.5447610000001</v>
      </c>
      <c r="T61" s="8">
        <v>2812.636927</v>
      </c>
      <c r="U61" s="8">
        <v>2705.6786229999998</v>
      </c>
      <c r="V61" s="8">
        <v>2653.7896949999999</v>
      </c>
      <c r="W61" s="8">
        <v>2693.2647609999999</v>
      </c>
      <c r="X61" s="8">
        <v>2687.0294749999998</v>
      </c>
      <c r="Y61" s="8">
        <v>2964.8757740000001</v>
      </c>
      <c r="Z61" s="8">
        <v>2882.2098719999999</v>
      </c>
      <c r="AA61" s="8">
        <v>2599.618892</v>
      </c>
      <c r="AB61" s="8">
        <v>2854.4972550000002</v>
      </c>
      <c r="AJ61" s="2">
        <v>897.8</v>
      </c>
      <c r="AK61" s="2">
        <v>1280</v>
      </c>
      <c r="AL61" s="2">
        <v>1341</v>
      </c>
      <c r="AM61" s="2">
        <v>1405</v>
      </c>
      <c r="AN61" s="2" t="s">
        <v>773</v>
      </c>
      <c r="AO61" s="2" t="s">
        <v>773</v>
      </c>
      <c r="AP61" s="2" t="s">
        <v>773</v>
      </c>
      <c r="AQ61" s="2" t="s">
        <v>773</v>
      </c>
      <c r="AR61" s="19">
        <v>0.31597222222222221</v>
      </c>
      <c r="AS61" s="60">
        <f>(7+(35/60))*AM61</f>
        <v>10654.583333333332</v>
      </c>
    </row>
    <row r="62" spans="1:56" x14ac:dyDescent="0.2">
      <c r="A62" s="2">
        <v>46</v>
      </c>
      <c r="B62" s="2">
        <v>75</v>
      </c>
      <c r="C62" s="2">
        <v>89</v>
      </c>
      <c r="E62" t="s">
        <v>123</v>
      </c>
      <c r="F62" t="s">
        <v>689</v>
      </c>
      <c r="H62" s="2">
        <v>84130</v>
      </c>
      <c r="I62" s="2">
        <v>244.9</v>
      </c>
      <c r="J62" s="15">
        <v>8.7490000000000006</v>
      </c>
      <c r="K62" s="15">
        <v>7.01</v>
      </c>
      <c r="P62" s="8">
        <v>380.517675</v>
      </c>
      <c r="Q62" s="8">
        <v>420.99044900000001</v>
      </c>
      <c r="R62" s="8">
        <v>404.519723</v>
      </c>
      <c r="S62" s="8">
        <v>362.95341300000001</v>
      </c>
      <c r="T62" s="8">
        <v>341.467534</v>
      </c>
      <c r="U62" s="8">
        <v>296.19216499999999</v>
      </c>
      <c r="V62" s="8">
        <v>265.29326800000001</v>
      </c>
      <c r="W62" s="8">
        <v>256.31611700000002</v>
      </c>
      <c r="X62" s="8">
        <v>269.64378499999998</v>
      </c>
      <c r="Y62" s="8">
        <v>161.789739</v>
      </c>
      <c r="Z62" s="8">
        <v>116.822216</v>
      </c>
      <c r="AA62" s="8">
        <v>104.52454</v>
      </c>
      <c r="AB62" s="8">
        <v>99.960665000000006</v>
      </c>
      <c r="AJ62" s="2">
        <v>589.79999999999995</v>
      </c>
      <c r="AK62" s="2">
        <v>442.8</v>
      </c>
      <c r="AL62" s="2">
        <v>302.60000000000002</v>
      </c>
      <c r="AM62" s="2">
        <v>244.9</v>
      </c>
      <c r="AN62" s="14" t="s">
        <v>773</v>
      </c>
      <c r="AO62" s="2">
        <v>212.1</v>
      </c>
      <c r="AP62" s="2" t="s">
        <v>773</v>
      </c>
      <c r="AQ62" s="2" t="s">
        <v>773</v>
      </c>
      <c r="AR62" s="19">
        <v>0.20555555555555557</v>
      </c>
      <c r="AS62" s="8">
        <f>(4+(56/60))*AO62</f>
        <v>1046.3600000000001</v>
      </c>
    </row>
    <row r="63" spans="1:56" x14ac:dyDescent="0.2">
      <c r="A63" s="2">
        <v>47</v>
      </c>
      <c r="B63" s="2">
        <v>14</v>
      </c>
      <c r="C63" s="2">
        <v>32</v>
      </c>
      <c r="E63" t="s">
        <v>29</v>
      </c>
      <c r="F63" t="s">
        <v>6</v>
      </c>
      <c r="H63" s="2">
        <v>8000</v>
      </c>
      <c r="I63" s="2">
        <v>1025</v>
      </c>
      <c r="J63" s="57">
        <v>36.630000000000003</v>
      </c>
      <c r="K63" s="57">
        <v>21.86</v>
      </c>
      <c r="M63" s="1" t="s">
        <v>17</v>
      </c>
      <c r="N63" s="1" t="s">
        <v>11</v>
      </c>
      <c r="P63" s="27">
        <v>698.68499999999995</v>
      </c>
      <c r="Q63" s="27">
        <v>770.99800000000005</v>
      </c>
      <c r="R63" s="27">
        <v>699.09799999999996</v>
      </c>
      <c r="S63" s="27">
        <v>706.00800000000004</v>
      </c>
      <c r="T63" s="27">
        <v>676.98</v>
      </c>
      <c r="U63" s="27">
        <v>658.24400000000003</v>
      </c>
      <c r="V63" s="27">
        <v>763.58199999999999</v>
      </c>
      <c r="W63" s="27">
        <v>752.375</v>
      </c>
      <c r="X63" s="27">
        <v>763.38400000000001</v>
      </c>
      <c r="Y63" s="27">
        <v>824.27</v>
      </c>
      <c r="Z63" s="27">
        <v>760.05799999999999</v>
      </c>
      <c r="AA63" s="27">
        <v>706.56500000000005</v>
      </c>
      <c r="AB63" s="27">
        <v>718.58100000000002</v>
      </c>
      <c r="AJ63" s="2">
        <v>548.6</v>
      </c>
      <c r="AK63" s="2">
        <v>1032</v>
      </c>
      <c r="AL63" s="2">
        <v>948.2</v>
      </c>
      <c r="AM63" s="2">
        <v>1052</v>
      </c>
      <c r="AN63" s="2">
        <v>1072</v>
      </c>
      <c r="AO63" s="2">
        <v>1073</v>
      </c>
      <c r="AP63" s="2" t="s">
        <v>773</v>
      </c>
      <c r="AQ63" s="2" t="s">
        <v>773</v>
      </c>
      <c r="AR63" s="19">
        <v>0.28194444444444444</v>
      </c>
      <c r="AS63" s="60">
        <f>(6+(46/60))*AO63</f>
        <v>7260.6333333333332</v>
      </c>
      <c r="AT63">
        <v>2015</v>
      </c>
      <c r="AY63" s="1">
        <v>1600</v>
      </c>
    </row>
    <row r="64" spans="1:56" x14ac:dyDescent="0.2">
      <c r="A64" s="2">
        <v>48</v>
      </c>
      <c r="B64" s="2">
        <v>60</v>
      </c>
      <c r="C64" s="2">
        <v>43</v>
      </c>
      <c r="E64" t="s">
        <v>73</v>
      </c>
      <c r="F64" t="s">
        <v>7</v>
      </c>
      <c r="H64" s="2">
        <v>2000000</v>
      </c>
      <c r="I64" s="2">
        <v>739.4</v>
      </c>
      <c r="J64" s="15">
        <v>26.41</v>
      </c>
      <c r="K64" s="15">
        <v>19.96</v>
      </c>
      <c r="P64" s="8">
        <v>1714.7534479999999</v>
      </c>
      <c r="Q64" s="8">
        <v>1666.4195850000001</v>
      </c>
      <c r="R64" s="8">
        <v>1768.5094529999999</v>
      </c>
      <c r="S64" s="8">
        <v>1725.5144439999999</v>
      </c>
      <c r="T64" s="8">
        <v>1599.4893219999999</v>
      </c>
      <c r="U64" s="8">
        <v>1311.8647840000001</v>
      </c>
      <c r="V64" s="8">
        <v>1356.482205</v>
      </c>
      <c r="W64" s="8">
        <v>1390.2091499999999</v>
      </c>
      <c r="X64" s="8">
        <v>1540.4905670000001</v>
      </c>
      <c r="Y64" s="8">
        <v>1489.6557560000001</v>
      </c>
      <c r="Z64" s="8">
        <v>1599.4215799999999</v>
      </c>
      <c r="AA64" s="8">
        <v>1352.3435569999999</v>
      </c>
      <c r="AB64" s="8">
        <v>1272.9684970000001</v>
      </c>
      <c r="AJ64" s="2">
        <v>1027</v>
      </c>
      <c r="AK64" s="2">
        <v>880.2</v>
      </c>
      <c r="AL64" s="2">
        <v>965.4</v>
      </c>
      <c r="AM64" s="2">
        <v>739.4</v>
      </c>
      <c r="AN64" s="2">
        <v>721.3</v>
      </c>
      <c r="AO64" s="2">
        <v>729.4</v>
      </c>
      <c r="AP64" s="2" t="s">
        <v>773</v>
      </c>
      <c r="AQ64" s="2" t="s">
        <v>773</v>
      </c>
      <c r="AR64" s="19">
        <v>0.18402777777777779</v>
      </c>
      <c r="AS64" s="60">
        <f>(4+(25/60))*AO64</f>
        <v>3221.5166666666669</v>
      </c>
      <c r="BA64" t="s">
        <v>283</v>
      </c>
    </row>
    <row r="65" spans="1:55" s="5" customFormat="1" x14ac:dyDescent="0.2">
      <c r="A65" s="6">
        <v>469</v>
      </c>
      <c r="B65" s="6">
        <v>486</v>
      </c>
      <c r="C65" s="6">
        <v>537</v>
      </c>
      <c r="D65" s="6"/>
      <c r="E65" s="5" t="s">
        <v>1400</v>
      </c>
      <c r="F65" s="5" t="s">
        <v>7</v>
      </c>
      <c r="H65" s="6">
        <v>2000000</v>
      </c>
      <c r="I65" s="6"/>
      <c r="J65" s="17"/>
      <c r="K65" s="17"/>
      <c r="L65" s="6"/>
      <c r="M65" s="7"/>
      <c r="N65" s="7"/>
      <c r="O65" s="7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7"/>
      <c r="AD65" s="7"/>
      <c r="AE65" s="7"/>
      <c r="AF65" s="7"/>
      <c r="AG65" s="7"/>
      <c r="AH65" s="7"/>
      <c r="AI65" s="7"/>
      <c r="AJ65" s="6">
        <v>105.7</v>
      </c>
      <c r="AK65" s="6" t="s">
        <v>773</v>
      </c>
      <c r="AL65" s="6" t="s">
        <v>773</v>
      </c>
      <c r="AM65" s="6" t="s">
        <v>773</v>
      </c>
      <c r="AN65" s="6" t="s">
        <v>773</v>
      </c>
      <c r="AO65" s="6" t="s">
        <v>773</v>
      </c>
      <c r="AP65" s="6" t="s">
        <v>773</v>
      </c>
      <c r="AQ65" s="6" t="s">
        <v>773</v>
      </c>
      <c r="AR65" s="53">
        <v>8.4027777777777785E-2</v>
      </c>
      <c r="AS65" s="60">
        <f>(2+(1/60))*AJ65</f>
        <v>213.16166666666666</v>
      </c>
    </row>
    <row r="66" spans="1:55" x14ac:dyDescent="0.2">
      <c r="A66" s="2">
        <v>49</v>
      </c>
      <c r="B66" s="2">
        <v>65</v>
      </c>
      <c r="C66" s="2">
        <v>34</v>
      </c>
      <c r="E66" t="s">
        <v>60</v>
      </c>
      <c r="F66" t="s">
        <v>2</v>
      </c>
      <c r="H66" s="2">
        <v>1000000</v>
      </c>
      <c r="I66" s="2">
        <v>1071</v>
      </c>
      <c r="J66" s="15">
        <v>35</v>
      </c>
      <c r="K66" s="15">
        <v>12.88</v>
      </c>
      <c r="P66" s="47">
        <v>1519.856</v>
      </c>
      <c r="Q66" s="4">
        <v>1733.0429999999999</v>
      </c>
      <c r="R66" s="4">
        <v>1514.9010000000001</v>
      </c>
      <c r="S66" s="4">
        <v>1510.088</v>
      </c>
      <c r="T66" s="4">
        <v>1529.415</v>
      </c>
      <c r="U66" s="4">
        <v>1512.759</v>
      </c>
      <c r="V66" s="4">
        <v>1694.201</v>
      </c>
      <c r="W66" s="4">
        <v>1693.4939999999999</v>
      </c>
      <c r="X66" s="4">
        <v>1728.6949999999999</v>
      </c>
      <c r="Y66" s="4">
        <v>1777.5239999999999</v>
      </c>
      <c r="Z66" s="4">
        <v>1801.384</v>
      </c>
      <c r="AA66" s="4">
        <v>1745.702</v>
      </c>
      <c r="AB66" s="4">
        <v>1746.2339999999999</v>
      </c>
      <c r="AJ66" s="2">
        <v>1121</v>
      </c>
      <c r="AK66" s="2">
        <v>1017</v>
      </c>
      <c r="AL66" s="2">
        <v>918.4</v>
      </c>
      <c r="AM66" s="2">
        <v>1025</v>
      </c>
      <c r="AN66" s="2" t="s">
        <v>773</v>
      </c>
      <c r="AO66" s="2">
        <v>1002</v>
      </c>
      <c r="AP66" s="2" t="s">
        <v>773</v>
      </c>
      <c r="AQ66" s="2" t="s">
        <v>773</v>
      </c>
      <c r="AR66" s="19">
        <v>0.37847222222222227</v>
      </c>
      <c r="AS66" s="60">
        <f>(9+(5/60))*AO66</f>
        <v>9101.5</v>
      </c>
      <c r="BC66" s="2"/>
    </row>
    <row r="67" spans="1:55" x14ac:dyDescent="0.2">
      <c r="A67" s="2">
        <v>50</v>
      </c>
      <c r="B67" s="2">
        <v>48</v>
      </c>
      <c r="C67" s="2">
        <v>63</v>
      </c>
      <c r="E67" t="s">
        <v>66</v>
      </c>
      <c r="F67" t="s">
        <v>2</v>
      </c>
      <c r="H67" s="2">
        <v>1000000</v>
      </c>
      <c r="I67" s="2">
        <v>499.9</v>
      </c>
      <c r="J67" s="15">
        <v>16.05</v>
      </c>
      <c r="K67" s="15">
        <v>12.63</v>
      </c>
      <c r="P67" s="8">
        <v>1154.861926</v>
      </c>
      <c r="Q67" s="8">
        <v>1309.480053</v>
      </c>
      <c r="R67" s="8">
        <v>1159.9563700000001</v>
      </c>
      <c r="S67" s="8">
        <v>1177.392527</v>
      </c>
      <c r="T67" s="8">
        <v>1092.27826</v>
      </c>
      <c r="U67" s="8">
        <v>1045.396405</v>
      </c>
      <c r="V67" s="8">
        <v>1232.499188</v>
      </c>
      <c r="W67" s="8">
        <v>1149.291328</v>
      </c>
      <c r="X67" s="8">
        <v>1286.5264560000001</v>
      </c>
      <c r="Y67" s="8">
        <v>1314.746594</v>
      </c>
      <c r="Z67" s="8">
        <v>1352.0982879999999</v>
      </c>
      <c r="AA67" s="8">
        <v>1231.070815</v>
      </c>
      <c r="AB67" s="8">
        <v>1401.6297</v>
      </c>
      <c r="AJ67" s="2">
        <v>440.8</v>
      </c>
      <c r="AK67" s="2">
        <v>503.6</v>
      </c>
      <c r="AL67" s="2">
        <v>439.2</v>
      </c>
      <c r="AM67" s="2">
        <v>473.1</v>
      </c>
      <c r="AN67" s="2" t="s">
        <v>773</v>
      </c>
      <c r="AO67" s="2">
        <v>476.5</v>
      </c>
      <c r="AP67" s="2" t="s">
        <v>773</v>
      </c>
      <c r="AQ67" s="2" t="s">
        <v>773</v>
      </c>
      <c r="AR67" s="19">
        <v>0.1361111111111111</v>
      </c>
      <c r="AS67" s="60">
        <f>(3+(16/60))*AO67</f>
        <v>1556.5666666666666</v>
      </c>
      <c r="AX67" s="3"/>
      <c r="AY67" s="3"/>
      <c r="AZ67" s="3"/>
    </row>
    <row r="68" spans="1:55" x14ac:dyDescent="0.2">
      <c r="A68" s="2">
        <v>51</v>
      </c>
      <c r="B68" s="2">
        <v>50</v>
      </c>
      <c r="C68" s="2">
        <v>41</v>
      </c>
      <c r="E68" t="s">
        <v>61</v>
      </c>
      <c r="F68" t="s">
        <v>7</v>
      </c>
      <c r="H68" s="2">
        <v>2000000</v>
      </c>
      <c r="K68" s="15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J68" s="2">
        <v>707.3</v>
      </c>
      <c r="AK68" s="2" t="s">
        <v>773</v>
      </c>
      <c r="AL68" s="2" t="s">
        <v>773</v>
      </c>
      <c r="AM68" s="2" t="s">
        <v>773</v>
      </c>
      <c r="AN68" s="2" t="s">
        <v>773</v>
      </c>
      <c r="AO68" s="2" t="s">
        <v>773</v>
      </c>
      <c r="AP68" s="2" t="s">
        <v>773</v>
      </c>
      <c r="AQ68" s="2" t="s">
        <v>773</v>
      </c>
      <c r="AR68" s="19">
        <v>0.36805555555555558</v>
      </c>
      <c r="AS68" s="8">
        <f>(8+(50/60))*AJ68</f>
        <v>6247.8166666666666</v>
      </c>
      <c r="AX68" s="3"/>
      <c r="AY68" s="3"/>
      <c r="AZ68" s="3"/>
    </row>
    <row r="69" spans="1:55" x14ac:dyDescent="0.2">
      <c r="A69" s="2">
        <v>52</v>
      </c>
      <c r="B69" s="2">
        <v>52</v>
      </c>
      <c r="C69" s="2">
        <v>184</v>
      </c>
      <c r="E69" t="s">
        <v>82</v>
      </c>
      <c r="F69" t="s">
        <v>551</v>
      </c>
      <c r="G69" t="s">
        <v>1280</v>
      </c>
      <c r="H69" s="2">
        <v>73170</v>
      </c>
      <c r="I69" s="2">
        <v>146.69999999999999</v>
      </c>
      <c r="J69" s="15">
        <v>5.2389999999999999</v>
      </c>
      <c r="K69" s="15">
        <v>4.327</v>
      </c>
      <c r="P69" s="8">
        <v>201.247094</v>
      </c>
      <c r="Q69" s="8">
        <v>234.092454</v>
      </c>
      <c r="R69" s="8">
        <v>234.58243100000001</v>
      </c>
      <c r="S69" s="8">
        <v>156.60469399999999</v>
      </c>
      <c r="T69" s="8">
        <v>138.94261800000001</v>
      </c>
      <c r="U69" s="8">
        <v>146.75013999999999</v>
      </c>
      <c r="V69" s="8">
        <v>149.351078</v>
      </c>
      <c r="W69" s="8">
        <v>150.495442</v>
      </c>
      <c r="X69" s="8">
        <v>179.60797700000001</v>
      </c>
      <c r="Y69" s="8">
        <v>161.25776500000001</v>
      </c>
      <c r="Z69" s="8">
        <v>192.524573</v>
      </c>
      <c r="AA69" s="8">
        <v>153.51055199999999</v>
      </c>
      <c r="AB69" s="8">
        <v>169.016085</v>
      </c>
      <c r="AJ69" s="2">
        <v>156.30000000000001</v>
      </c>
      <c r="AK69" s="2">
        <v>194.8</v>
      </c>
      <c r="AL69" s="2">
        <v>149.5</v>
      </c>
      <c r="AM69" s="2">
        <v>146.69999999999999</v>
      </c>
      <c r="AN69" s="2" t="s">
        <v>773</v>
      </c>
      <c r="AO69" s="2">
        <v>147.69999999999999</v>
      </c>
      <c r="AP69" s="2" t="s">
        <v>773</v>
      </c>
      <c r="AQ69" s="2" t="s">
        <v>773</v>
      </c>
      <c r="AR69" s="19">
        <v>0.16111111111111112</v>
      </c>
      <c r="AS69" s="8">
        <f>(3+(52/60))*AO69</f>
        <v>571.10666666666668</v>
      </c>
      <c r="BA69" t="s">
        <v>485</v>
      </c>
    </row>
    <row r="70" spans="1:55" x14ac:dyDescent="0.2">
      <c r="A70" s="2">
        <v>53</v>
      </c>
      <c r="B70" s="2">
        <v>54</v>
      </c>
      <c r="C70" s="2">
        <v>208</v>
      </c>
      <c r="E70" t="s">
        <v>100</v>
      </c>
      <c r="F70" t="s">
        <v>537</v>
      </c>
      <c r="G70" t="s">
        <v>1263</v>
      </c>
      <c r="H70" s="2">
        <v>32970</v>
      </c>
      <c r="I70" s="2">
        <v>111.5</v>
      </c>
      <c r="J70" s="15">
        <v>3.9820000000000002</v>
      </c>
      <c r="K70" s="15">
        <v>3.262</v>
      </c>
      <c r="P70" s="8">
        <v>151.99377999999999</v>
      </c>
      <c r="Q70" s="8">
        <v>163.54823300000001</v>
      </c>
      <c r="R70" s="8">
        <v>155.857541</v>
      </c>
      <c r="S70" s="8">
        <v>150.80878899999999</v>
      </c>
      <c r="T70" s="8">
        <v>142.017528</v>
      </c>
      <c r="U70" s="8">
        <v>136.123752</v>
      </c>
      <c r="V70" s="8">
        <v>132.27839900000001</v>
      </c>
      <c r="W70" s="8">
        <v>129.99387100000001</v>
      </c>
      <c r="X70" s="8">
        <v>141.467488</v>
      </c>
      <c r="Y70" s="8">
        <v>150.62464199999999</v>
      </c>
      <c r="Z70" s="8">
        <v>156.79405600000001</v>
      </c>
      <c r="AA70" s="8">
        <v>138.225954</v>
      </c>
      <c r="AB70" s="8">
        <v>145.46554599999999</v>
      </c>
      <c r="AJ70" s="2">
        <v>124</v>
      </c>
      <c r="AK70" s="2">
        <v>119.5</v>
      </c>
      <c r="AL70" s="2">
        <v>111.4</v>
      </c>
      <c r="AM70" s="2">
        <v>111.5</v>
      </c>
      <c r="AN70" s="2" t="s">
        <v>773</v>
      </c>
      <c r="AO70" s="2">
        <v>110.1</v>
      </c>
      <c r="AP70" s="2" t="s">
        <v>773</v>
      </c>
      <c r="AQ70" s="2" t="s">
        <v>773</v>
      </c>
      <c r="AR70" s="19">
        <v>0.22777777777777777</v>
      </c>
      <c r="AS70" s="8">
        <f>(5+(28/60))*AO70</f>
        <v>601.88</v>
      </c>
    </row>
    <row r="71" spans="1:55" x14ac:dyDescent="0.2">
      <c r="A71" s="2">
        <v>54</v>
      </c>
      <c r="B71" s="2">
        <v>74</v>
      </c>
      <c r="C71" s="2">
        <v>204</v>
      </c>
      <c r="E71" t="s">
        <v>132</v>
      </c>
      <c r="F71" t="s">
        <v>544</v>
      </c>
      <c r="G71" t="s">
        <v>1327</v>
      </c>
      <c r="H71" s="2">
        <v>66340</v>
      </c>
      <c r="I71" s="2">
        <v>81.09</v>
      </c>
      <c r="J71" s="15">
        <v>2.8959999999999999</v>
      </c>
      <c r="K71" s="15">
        <v>2.0859999999999999</v>
      </c>
      <c r="P71" s="8">
        <v>99.125834999999995</v>
      </c>
      <c r="Q71" s="8">
        <v>97.153350000000003</v>
      </c>
      <c r="R71" s="8">
        <v>98.756732999999997</v>
      </c>
      <c r="S71" s="8">
        <v>96.608424999999997</v>
      </c>
      <c r="T71" s="8">
        <v>102.56881199999999</v>
      </c>
      <c r="U71" s="8">
        <v>103.09679</v>
      </c>
      <c r="V71" s="8">
        <v>116.79480700000001</v>
      </c>
      <c r="W71" s="8">
        <v>107.50936</v>
      </c>
      <c r="X71" s="8">
        <v>101.88049700000001</v>
      </c>
      <c r="Y71" s="8">
        <v>106.765067</v>
      </c>
      <c r="Z71" s="8">
        <v>115.57920300000001</v>
      </c>
      <c r="AA71" s="8">
        <v>95.808505999999994</v>
      </c>
      <c r="AB71" s="8">
        <v>101.214114</v>
      </c>
      <c r="AJ71" s="2">
        <v>103.7</v>
      </c>
      <c r="AK71" s="2">
        <v>82.45</v>
      </c>
      <c r="AL71" s="2">
        <v>81.09</v>
      </c>
      <c r="AM71" s="2">
        <v>101.8</v>
      </c>
      <c r="AN71" s="14" t="s">
        <v>773</v>
      </c>
      <c r="AO71" s="2">
        <v>103</v>
      </c>
      <c r="AP71" s="14" t="s">
        <v>773</v>
      </c>
      <c r="AQ71" s="14" t="s">
        <v>773</v>
      </c>
      <c r="AR71" s="19">
        <v>0.33888888888888885</v>
      </c>
      <c r="AS71" s="8">
        <f>(8+(8/60))*AO71</f>
        <v>837.73333333333323</v>
      </c>
    </row>
    <row r="72" spans="1:55" x14ac:dyDescent="0.2">
      <c r="A72" s="2">
        <v>55</v>
      </c>
      <c r="B72" s="2">
        <v>51</v>
      </c>
      <c r="C72" s="2">
        <v>44</v>
      </c>
      <c r="E72" t="s">
        <v>55</v>
      </c>
      <c r="F72" t="s">
        <v>523</v>
      </c>
      <c r="H72" s="2">
        <v>19090</v>
      </c>
      <c r="I72" s="2">
        <v>782.5</v>
      </c>
      <c r="J72" s="15">
        <v>27.94</v>
      </c>
      <c r="K72" s="15">
        <v>19.75</v>
      </c>
      <c r="P72" s="8">
        <v>1148.361169</v>
      </c>
      <c r="Q72" s="8">
        <v>882.97047599999996</v>
      </c>
      <c r="R72" s="8">
        <v>1161.7999809999999</v>
      </c>
      <c r="S72" s="8">
        <v>1196.447087</v>
      </c>
      <c r="T72" s="8">
        <v>1068.4229170000001</v>
      </c>
      <c r="U72" s="8">
        <v>925.12346100000002</v>
      </c>
      <c r="V72" s="8">
        <v>998.59000400000002</v>
      </c>
      <c r="W72" s="8">
        <v>984.57531400000005</v>
      </c>
      <c r="X72" s="8">
        <v>1146.1947680000001</v>
      </c>
      <c r="Y72" s="8">
        <v>1115.3363750000001</v>
      </c>
      <c r="Z72" s="8">
        <v>1206.0823660000001</v>
      </c>
      <c r="AA72" s="8">
        <v>1067.49631</v>
      </c>
      <c r="AB72" s="8">
        <v>985.88088400000004</v>
      </c>
      <c r="AJ72" s="2">
        <v>538.5</v>
      </c>
      <c r="AK72" s="2">
        <v>514.20000000000005</v>
      </c>
      <c r="AL72" s="2">
        <v>794.7</v>
      </c>
      <c r="AM72" s="2">
        <v>695.7</v>
      </c>
      <c r="AN72" s="2" t="s">
        <v>773</v>
      </c>
      <c r="AO72" s="2">
        <v>711.5</v>
      </c>
      <c r="AP72" s="2" t="s">
        <v>773</v>
      </c>
      <c r="AQ72" s="2" t="s">
        <v>773</v>
      </c>
      <c r="AR72" s="19">
        <v>0.14583333333333334</v>
      </c>
      <c r="AS72" s="8">
        <f>(3.5)*AO72</f>
        <v>2490.25</v>
      </c>
    </row>
    <row r="73" spans="1:55" x14ac:dyDescent="0.2">
      <c r="A73" s="2">
        <v>56</v>
      </c>
      <c r="B73" s="2">
        <v>82</v>
      </c>
      <c r="C73" s="2">
        <v>350</v>
      </c>
      <c r="E73" t="s">
        <v>91</v>
      </c>
      <c r="F73" t="s">
        <v>607</v>
      </c>
      <c r="G73" t="s">
        <v>1280</v>
      </c>
      <c r="H73" s="2">
        <v>121240</v>
      </c>
      <c r="I73" s="2">
        <v>110.6</v>
      </c>
      <c r="J73" s="15">
        <v>3.9529999999999998</v>
      </c>
      <c r="K73" s="15">
        <v>3.2120000000000002</v>
      </c>
      <c r="AJ73" s="2">
        <v>139</v>
      </c>
      <c r="AK73" s="2">
        <v>101.5</v>
      </c>
      <c r="AL73" s="2">
        <v>94.27</v>
      </c>
      <c r="AM73" s="2">
        <v>110.6</v>
      </c>
      <c r="AN73" s="2" t="s">
        <v>773</v>
      </c>
      <c r="AO73" s="2">
        <v>129.80000000000001</v>
      </c>
      <c r="AP73" s="2" t="s">
        <v>773</v>
      </c>
      <c r="AQ73" s="2" t="s">
        <v>773</v>
      </c>
      <c r="AR73" s="19">
        <v>0.18472222222222223</v>
      </c>
      <c r="AS73" s="8">
        <f>(4+(26/60))*AO73</f>
        <v>575.44666666666672</v>
      </c>
    </row>
    <row r="74" spans="1:55" x14ac:dyDescent="0.2">
      <c r="A74" s="2">
        <v>57</v>
      </c>
      <c r="B74" s="2">
        <v>60</v>
      </c>
      <c r="C74" s="2">
        <v>227</v>
      </c>
      <c r="E74" t="s">
        <v>90</v>
      </c>
      <c r="F74" t="s">
        <v>608</v>
      </c>
      <c r="G74" t="s">
        <v>1311</v>
      </c>
      <c r="H74" s="2">
        <v>2050</v>
      </c>
      <c r="I74" s="2">
        <v>150.30000000000001</v>
      </c>
      <c r="J74" s="15">
        <v>5.3689999999999998</v>
      </c>
      <c r="K74" s="15">
        <v>4.7720000000000002</v>
      </c>
      <c r="P74" s="8">
        <v>158.68978899999999</v>
      </c>
      <c r="Q74" s="8">
        <v>166.519384</v>
      </c>
      <c r="R74" s="8">
        <v>157.60469499999999</v>
      </c>
      <c r="S74" s="8">
        <v>157.44032000000001</v>
      </c>
      <c r="T74" s="8">
        <v>155.457089</v>
      </c>
      <c r="U74" s="8">
        <v>176.269463</v>
      </c>
      <c r="V74" s="8">
        <v>182.093256</v>
      </c>
      <c r="W74" s="8">
        <v>174.50502900000001</v>
      </c>
      <c r="X74" s="8">
        <v>193.97065499999999</v>
      </c>
      <c r="Y74" s="8">
        <v>182.07780500000001</v>
      </c>
      <c r="Z74" s="8">
        <v>194.52558300000001</v>
      </c>
      <c r="AA74" s="8">
        <v>181.52839599999999</v>
      </c>
      <c r="AB74" s="8">
        <v>184.877724</v>
      </c>
      <c r="AJ74" s="2">
        <v>137.1</v>
      </c>
      <c r="AK74" s="2">
        <v>125.3</v>
      </c>
      <c r="AL74" s="2">
        <v>128.4</v>
      </c>
      <c r="AM74" s="2">
        <v>150.30000000000001</v>
      </c>
      <c r="AN74" s="2" t="s">
        <v>773</v>
      </c>
      <c r="AO74" s="2">
        <v>142.30000000000001</v>
      </c>
      <c r="AP74" s="2" t="s">
        <v>773</v>
      </c>
      <c r="AQ74" s="2" t="s">
        <v>773</v>
      </c>
      <c r="AR74" s="19">
        <v>0.11388888888888889</v>
      </c>
      <c r="AS74" s="8">
        <f>(2+(44/60))*AO74</f>
        <v>388.95333333333338</v>
      </c>
    </row>
    <row r="75" spans="1:55" x14ac:dyDescent="0.2">
      <c r="A75" s="2">
        <v>58</v>
      </c>
      <c r="B75" s="2">
        <v>66</v>
      </c>
      <c r="C75" s="2">
        <v>178</v>
      </c>
      <c r="E75" t="s">
        <v>42</v>
      </c>
      <c r="F75" t="s">
        <v>529</v>
      </c>
      <c r="H75" s="2">
        <v>3420</v>
      </c>
      <c r="I75" s="2">
        <v>404.8</v>
      </c>
      <c r="J75" s="15">
        <v>14.45</v>
      </c>
      <c r="K75" s="15">
        <v>6.4640000000000004</v>
      </c>
      <c r="P75" s="8">
        <v>400.82286599999998</v>
      </c>
      <c r="Q75" s="8">
        <v>262.70227</v>
      </c>
      <c r="R75" s="8">
        <v>381.14508599999999</v>
      </c>
      <c r="S75" s="8">
        <v>464.286744</v>
      </c>
      <c r="T75" s="8">
        <v>478.08349099999998</v>
      </c>
      <c r="U75" s="8">
        <v>242.38267999999999</v>
      </c>
      <c r="V75" s="8">
        <v>170.827752</v>
      </c>
      <c r="W75" s="8">
        <v>209.52567099999999</v>
      </c>
      <c r="X75" s="8">
        <v>341.07201600000002</v>
      </c>
      <c r="Y75" s="8">
        <v>457.41225500000002</v>
      </c>
      <c r="Z75" s="8">
        <v>476.96872400000001</v>
      </c>
      <c r="AA75" s="8">
        <v>497.28071699999998</v>
      </c>
      <c r="AB75" s="8">
        <v>376.90969000000001</v>
      </c>
      <c r="AJ75" s="2">
        <v>155.19999999999999</v>
      </c>
      <c r="AK75" s="2">
        <v>173.9</v>
      </c>
      <c r="AL75" s="2">
        <v>525.79999999999995</v>
      </c>
      <c r="AM75" s="2">
        <v>164.8</v>
      </c>
      <c r="AN75" s="2" t="s">
        <v>773</v>
      </c>
      <c r="AO75" s="2">
        <v>178.8</v>
      </c>
      <c r="AP75" s="2" t="s">
        <v>773</v>
      </c>
      <c r="AQ75" s="2" t="s">
        <v>773</v>
      </c>
      <c r="AR75" s="19">
        <v>0.45624999999999999</v>
      </c>
      <c r="AS75" s="8">
        <f>(10+(57/60))*AO75</f>
        <v>1957.86</v>
      </c>
    </row>
    <row r="76" spans="1:55" x14ac:dyDescent="0.2">
      <c r="A76" s="2">
        <v>59</v>
      </c>
      <c r="B76" s="2">
        <v>67</v>
      </c>
      <c r="C76" s="2">
        <v>260</v>
      </c>
      <c r="E76" t="s">
        <v>88</v>
      </c>
      <c r="F76" t="s">
        <v>675</v>
      </c>
      <c r="H76" s="2">
        <v>10280</v>
      </c>
      <c r="I76" s="2">
        <v>133.30000000000001</v>
      </c>
      <c r="J76" s="15">
        <v>4.7629999999999999</v>
      </c>
      <c r="K76" s="15">
        <v>3.621</v>
      </c>
      <c r="P76" s="8">
        <v>112.556155</v>
      </c>
      <c r="Q76" s="8">
        <v>115.047977</v>
      </c>
      <c r="R76" s="8">
        <v>106.948634</v>
      </c>
      <c r="S76" s="8">
        <v>116.777173</v>
      </c>
      <c r="T76" s="8">
        <v>121.941237</v>
      </c>
      <c r="U76" s="8">
        <v>128.213382</v>
      </c>
      <c r="V76" s="8">
        <v>141.187431</v>
      </c>
      <c r="W76" s="8">
        <v>145.042676</v>
      </c>
      <c r="X76" s="8">
        <v>160.857596</v>
      </c>
      <c r="Y76" s="8">
        <v>172.01261600000001</v>
      </c>
      <c r="Z76" s="8">
        <v>174.444039</v>
      </c>
      <c r="AA76" s="8">
        <v>145.410932</v>
      </c>
      <c r="AB76" s="8">
        <v>148.406958</v>
      </c>
      <c r="AJ76" s="1">
        <v>134</v>
      </c>
      <c r="AK76" s="2">
        <v>101.9</v>
      </c>
      <c r="AL76" s="2">
        <v>115.5</v>
      </c>
      <c r="AM76" s="2">
        <v>133.30000000000001</v>
      </c>
      <c r="AN76" s="2" t="s">
        <v>773</v>
      </c>
      <c r="AO76" s="2">
        <v>132.80000000000001</v>
      </c>
      <c r="AP76" s="2" t="s">
        <v>773</v>
      </c>
      <c r="AQ76" s="2" t="s">
        <v>773</v>
      </c>
      <c r="AR76" s="19">
        <v>0.23750000000000002</v>
      </c>
      <c r="AS76" s="8">
        <f>(5+(42/60))*AO76</f>
        <v>756.96</v>
      </c>
      <c r="BA76" t="s">
        <v>465</v>
      </c>
    </row>
    <row r="77" spans="1:55" x14ac:dyDescent="0.2">
      <c r="A77" s="2">
        <v>60</v>
      </c>
      <c r="B77" s="2">
        <v>51</v>
      </c>
      <c r="C77" s="2">
        <v>185</v>
      </c>
      <c r="E77" t="s">
        <v>97</v>
      </c>
      <c r="F77" t="s">
        <v>536</v>
      </c>
      <c r="G77" t="s">
        <v>1263</v>
      </c>
      <c r="H77" s="2">
        <v>140670</v>
      </c>
      <c r="I77" s="2">
        <v>114</v>
      </c>
      <c r="J77" s="15">
        <v>4.0709999999999997</v>
      </c>
      <c r="K77" s="15">
        <v>3.0990000000000002</v>
      </c>
      <c r="P77" s="8">
        <v>110.85867399999999</v>
      </c>
      <c r="Q77" s="8">
        <v>110.41679000000001</v>
      </c>
      <c r="R77" s="8">
        <v>112.019164</v>
      </c>
      <c r="S77" s="8">
        <v>109.976354</v>
      </c>
      <c r="T77" s="8">
        <v>106.67282</v>
      </c>
      <c r="U77" s="8">
        <v>106.29632700000001</v>
      </c>
      <c r="V77" s="8">
        <v>111.87369</v>
      </c>
      <c r="W77" s="8">
        <v>111.856497</v>
      </c>
      <c r="X77" s="8">
        <v>126.08363199999999</v>
      </c>
      <c r="Y77" s="8">
        <v>131.57792000000001</v>
      </c>
      <c r="Z77" s="8">
        <v>137.07221999999999</v>
      </c>
      <c r="AA77" s="8">
        <v>118.104066</v>
      </c>
      <c r="AB77" s="8">
        <v>129.42174900000001</v>
      </c>
      <c r="AJ77" s="2">
        <v>96.15</v>
      </c>
      <c r="AK77" s="2">
        <v>114.6</v>
      </c>
      <c r="AL77" s="2">
        <v>106.8</v>
      </c>
      <c r="AM77" s="2">
        <v>114</v>
      </c>
      <c r="AN77" s="2" t="s">
        <v>773</v>
      </c>
      <c r="AO77" s="2">
        <v>114.3</v>
      </c>
      <c r="AP77" s="2" t="s">
        <v>773</v>
      </c>
      <c r="AQ77" s="2" t="s">
        <v>773</v>
      </c>
      <c r="AR77" s="19">
        <v>0.23819444444444446</v>
      </c>
      <c r="AS77" s="8">
        <f>(5+(43/60))*AO77</f>
        <v>653.41499999999996</v>
      </c>
      <c r="AX77" t="s">
        <v>685</v>
      </c>
    </row>
    <row r="78" spans="1:55" x14ac:dyDescent="0.2">
      <c r="A78" s="2">
        <v>61</v>
      </c>
      <c r="B78" s="2">
        <v>64</v>
      </c>
      <c r="C78" s="2">
        <v>244</v>
      </c>
      <c r="E78" t="s">
        <v>72</v>
      </c>
      <c r="F78" t="s">
        <v>9</v>
      </c>
      <c r="H78" s="2">
        <v>167830</v>
      </c>
      <c r="I78" s="2">
        <v>169.5</v>
      </c>
      <c r="J78" s="15">
        <v>6.0540000000000003</v>
      </c>
      <c r="K78" s="15">
        <v>3.121</v>
      </c>
      <c r="P78" s="8">
        <v>179.86115000000001</v>
      </c>
      <c r="Q78" s="8">
        <v>167.87699799999999</v>
      </c>
      <c r="R78" s="8">
        <v>186.162474</v>
      </c>
      <c r="S78" s="8">
        <v>171.27169000000001</v>
      </c>
      <c r="T78" s="8">
        <v>168.616872</v>
      </c>
      <c r="U78" s="8">
        <v>160.537994</v>
      </c>
      <c r="V78" s="8">
        <v>183.40650600000001</v>
      </c>
      <c r="W78" s="8">
        <v>175.57702399999999</v>
      </c>
      <c r="X78" s="8">
        <v>192.92382900000001</v>
      </c>
      <c r="Y78" s="8">
        <v>199.941351</v>
      </c>
      <c r="Z78" s="8">
        <v>221.76248699999999</v>
      </c>
      <c r="AA78" s="8">
        <v>194.05548400000001</v>
      </c>
      <c r="AB78" s="8">
        <v>217.68362500000001</v>
      </c>
      <c r="AJ78" s="2">
        <v>165.9</v>
      </c>
      <c r="AK78" s="2">
        <v>165.1</v>
      </c>
      <c r="AL78" s="2">
        <v>162.80000000000001</v>
      </c>
      <c r="AM78" s="2">
        <v>169.5</v>
      </c>
      <c r="AN78" s="2" t="s">
        <v>773</v>
      </c>
      <c r="AO78" s="2">
        <v>169.3</v>
      </c>
      <c r="AP78" s="2" t="s">
        <v>773</v>
      </c>
      <c r="AQ78" s="2" t="s">
        <v>773</v>
      </c>
      <c r="AR78" s="19">
        <v>0.47847222222222219</v>
      </c>
      <c r="AS78" s="8">
        <f>(11+(29/60))*AO78</f>
        <v>1944.1283333333333</v>
      </c>
    </row>
    <row r="79" spans="1:55" x14ac:dyDescent="0.2">
      <c r="A79" s="2">
        <v>62</v>
      </c>
      <c r="B79" s="2">
        <v>61</v>
      </c>
      <c r="C79" s="2">
        <v>246</v>
      </c>
      <c r="E79" t="s">
        <v>86</v>
      </c>
      <c r="F79" t="s">
        <v>538</v>
      </c>
      <c r="G79" t="s">
        <v>1275</v>
      </c>
      <c r="H79" s="2">
        <v>167900</v>
      </c>
      <c r="I79" s="2">
        <v>121.9</v>
      </c>
      <c r="J79" s="15">
        <v>4.3550000000000004</v>
      </c>
      <c r="K79" s="15">
        <v>2.5110000000000001</v>
      </c>
      <c r="P79" s="8">
        <v>138.937985</v>
      </c>
      <c r="Q79" s="8">
        <v>151.171009</v>
      </c>
      <c r="R79" s="8">
        <v>139.085037</v>
      </c>
      <c r="S79" s="8">
        <v>138.71865399999999</v>
      </c>
      <c r="T79" s="8">
        <v>132.808727</v>
      </c>
      <c r="U79" s="8">
        <v>145.48617400000001</v>
      </c>
      <c r="V79" s="8">
        <v>146.44754599999999</v>
      </c>
      <c r="W79" s="8">
        <v>148.53864899999999</v>
      </c>
      <c r="X79" s="8">
        <v>167.553425</v>
      </c>
      <c r="Y79" s="8">
        <v>166.915603</v>
      </c>
      <c r="Z79" s="8">
        <v>189.69699199999999</v>
      </c>
      <c r="AA79" s="8">
        <v>171.10156599999999</v>
      </c>
      <c r="AB79" s="8">
        <v>179.491287</v>
      </c>
      <c r="AJ79" s="2">
        <v>124.8</v>
      </c>
      <c r="AK79" s="2">
        <v>130</v>
      </c>
      <c r="AL79" s="2">
        <v>126.3</v>
      </c>
      <c r="AM79" s="2">
        <v>121.9</v>
      </c>
      <c r="AN79" s="2" t="s">
        <v>773</v>
      </c>
      <c r="AO79" s="2">
        <v>123.9</v>
      </c>
      <c r="AP79" s="2" t="s">
        <v>773</v>
      </c>
      <c r="AQ79" s="2" t="s">
        <v>773</v>
      </c>
      <c r="AR79" s="19">
        <v>0.28402777777777777</v>
      </c>
      <c r="AS79" s="8">
        <f>(6+(49/60))*AO79</f>
        <v>844.58500000000004</v>
      </c>
    </row>
    <row r="80" spans="1:55" x14ac:dyDescent="0.2">
      <c r="A80" s="2">
        <v>63</v>
      </c>
      <c r="B80" s="2">
        <v>64</v>
      </c>
      <c r="C80" s="2">
        <v>252</v>
      </c>
      <c r="E80" t="s">
        <v>105</v>
      </c>
      <c r="F80" t="s">
        <v>539</v>
      </c>
      <c r="G80" t="s">
        <v>1263</v>
      </c>
      <c r="H80" s="2">
        <v>215690</v>
      </c>
      <c r="I80" s="2">
        <v>108.1</v>
      </c>
      <c r="J80" s="15">
        <v>3.8610000000000002</v>
      </c>
      <c r="K80" s="15">
        <v>3.0209999999999999</v>
      </c>
      <c r="P80" s="8">
        <v>119.382222</v>
      </c>
      <c r="Q80" s="8">
        <v>119.996616</v>
      </c>
      <c r="R80" s="8">
        <v>122.890113</v>
      </c>
      <c r="S80" s="8">
        <v>114.44946400000001</v>
      </c>
      <c r="T80" s="8">
        <v>112.242696</v>
      </c>
      <c r="U80" s="8">
        <v>112.984989</v>
      </c>
      <c r="V80" s="8">
        <v>117.180475</v>
      </c>
      <c r="W80" s="8">
        <v>121.649986</v>
      </c>
      <c r="X80" s="8">
        <v>123.60369799999999</v>
      </c>
      <c r="Y80" s="8">
        <v>130.90648400000001</v>
      </c>
      <c r="Z80" s="8">
        <v>139.64740399999999</v>
      </c>
      <c r="AA80" s="8">
        <v>121.549999</v>
      </c>
      <c r="AB80" s="8">
        <v>122.658205</v>
      </c>
      <c r="AJ80" s="2">
        <v>106.4</v>
      </c>
      <c r="AK80" s="2">
        <v>111.4</v>
      </c>
      <c r="AL80" s="2">
        <v>103.5</v>
      </c>
      <c r="AM80" s="2">
        <v>108.1</v>
      </c>
      <c r="AN80" s="14" t="s">
        <v>773</v>
      </c>
      <c r="AO80" s="2">
        <v>107.4</v>
      </c>
      <c r="AP80" s="2" t="s">
        <v>773</v>
      </c>
      <c r="AQ80" s="2" t="s">
        <v>773</v>
      </c>
      <c r="AR80" s="19">
        <v>0.26805555555555555</v>
      </c>
      <c r="AS80" s="8">
        <f>(6+(26/60))*AO80</f>
        <v>690.94</v>
      </c>
    </row>
    <row r="81" spans="1:53" x14ac:dyDescent="0.2">
      <c r="A81" s="2">
        <v>64</v>
      </c>
      <c r="B81" s="2">
        <v>36</v>
      </c>
      <c r="C81" s="2">
        <v>56</v>
      </c>
      <c r="E81" t="s">
        <v>76</v>
      </c>
      <c r="F81" t="s">
        <v>6</v>
      </c>
      <c r="H81" s="2">
        <v>1000</v>
      </c>
      <c r="I81" s="2">
        <v>544.70000000000005</v>
      </c>
      <c r="J81" s="15">
        <v>19.45</v>
      </c>
      <c r="K81" s="15">
        <v>13.98</v>
      </c>
      <c r="P81" s="8">
        <v>4275.7350740000002</v>
      </c>
      <c r="Q81" s="8">
        <v>3838.5233819999999</v>
      </c>
      <c r="R81" s="8">
        <v>3999.7769290000001</v>
      </c>
      <c r="S81" s="8">
        <v>4988.758769</v>
      </c>
      <c r="T81" s="8">
        <v>4343.4475130000001</v>
      </c>
      <c r="U81" s="8">
        <v>4091.9425769999998</v>
      </c>
      <c r="V81" s="8">
        <v>4044.1266599999999</v>
      </c>
      <c r="W81" s="8">
        <v>4309.3333819999998</v>
      </c>
      <c r="X81" s="8">
        <v>3642.9196729999999</v>
      </c>
      <c r="Y81" s="8">
        <v>4560.8419640000002</v>
      </c>
      <c r="Z81" s="8">
        <v>3885.7047090000001</v>
      </c>
      <c r="AA81" s="8">
        <v>3504.7328889999999</v>
      </c>
      <c r="AB81" s="8">
        <v>3807.48911</v>
      </c>
      <c r="AJ81" s="2">
        <v>386</v>
      </c>
      <c r="AK81" s="2">
        <v>500.2</v>
      </c>
      <c r="AL81" s="2">
        <v>519.1</v>
      </c>
      <c r="AM81" s="2">
        <v>544.70000000000005</v>
      </c>
      <c r="AN81" s="2" t="s">
        <v>773</v>
      </c>
      <c r="AO81" s="2" t="s">
        <v>773</v>
      </c>
      <c r="AP81" s="2" t="s">
        <v>773</v>
      </c>
      <c r="AQ81" s="2" t="s">
        <v>773</v>
      </c>
      <c r="AR81" s="19">
        <v>0.44166666666666665</v>
      </c>
      <c r="AS81" s="60">
        <f>(10+(36/60))*AM81</f>
        <v>5773.8200000000006</v>
      </c>
    </row>
    <row r="82" spans="1:53" x14ac:dyDescent="0.2">
      <c r="A82" s="2">
        <v>65</v>
      </c>
      <c r="B82" s="2">
        <v>57</v>
      </c>
      <c r="C82" s="2">
        <v>100</v>
      </c>
      <c r="E82" t="s">
        <v>78</v>
      </c>
      <c r="F82" t="s">
        <v>6</v>
      </c>
      <c r="H82" s="2">
        <v>5000</v>
      </c>
      <c r="I82" s="2">
        <v>290.39999999999998</v>
      </c>
      <c r="J82" s="15">
        <v>10.37</v>
      </c>
      <c r="K82" s="15">
        <v>6.4749999999999996</v>
      </c>
      <c r="P82" s="47">
        <v>1024</v>
      </c>
      <c r="Q82" s="4">
        <v>943</v>
      </c>
      <c r="R82" s="4">
        <v>1019</v>
      </c>
      <c r="S82" s="4">
        <v>1033</v>
      </c>
      <c r="T82" s="4">
        <v>1037</v>
      </c>
      <c r="U82" s="4">
        <v>1008</v>
      </c>
      <c r="V82" s="4">
        <v>1068</v>
      </c>
      <c r="W82" s="4">
        <v>1048</v>
      </c>
      <c r="X82" s="4">
        <v>983</v>
      </c>
      <c r="Y82" s="4">
        <v>1069</v>
      </c>
      <c r="Z82" s="4">
        <v>1068</v>
      </c>
      <c r="AA82" s="4">
        <v>979</v>
      </c>
      <c r="AB82" s="4">
        <v>1129</v>
      </c>
      <c r="AJ82" s="2">
        <v>254.7</v>
      </c>
      <c r="AK82" s="2">
        <v>296.5</v>
      </c>
      <c r="AL82" s="2">
        <v>279.7</v>
      </c>
      <c r="AM82" s="2">
        <v>290.39999999999998</v>
      </c>
      <c r="AN82" s="2" t="s">
        <v>773</v>
      </c>
      <c r="AO82" s="2">
        <v>296.60000000000002</v>
      </c>
      <c r="AP82" s="2" t="s">
        <v>773</v>
      </c>
      <c r="AQ82" s="2" t="s">
        <v>773</v>
      </c>
      <c r="AR82" s="19">
        <v>0.21944444444444444</v>
      </c>
      <c r="AS82" s="60">
        <f>(5+(16/60))*AO82</f>
        <v>1562.0933333333335</v>
      </c>
    </row>
    <row r="83" spans="1:53" x14ac:dyDescent="0.2">
      <c r="A83" s="2">
        <v>66</v>
      </c>
      <c r="B83" s="2">
        <v>73</v>
      </c>
      <c r="C83" s="2">
        <v>278</v>
      </c>
      <c r="E83" t="s">
        <v>79</v>
      </c>
      <c r="F83" t="s">
        <v>676</v>
      </c>
      <c r="H83" s="2">
        <v>863</v>
      </c>
      <c r="I83" s="2">
        <v>164.6</v>
      </c>
      <c r="J83" s="15">
        <v>5.8810000000000002</v>
      </c>
      <c r="K83" s="15">
        <v>4.1779999999999999</v>
      </c>
      <c r="P83" s="8">
        <v>146.86779999999999</v>
      </c>
      <c r="Q83" s="8">
        <v>174.40543299999999</v>
      </c>
      <c r="R83" s="8">
        <v>152.78054399999999</v>
      </c>
      <c r="S83" s="8">
        <v>140.599951</v>
      </c>
      <c r="T83" s="8">
        <v>129.180904</v>
      </c>
      <c r="U83" s="8">
        <v>131.57056499999999</v>
      </c>
      <c r="V83" s="8">
        <v>154.11898099999999</v>
      </c>
      <c r="W83" s="8">
        <v>151.374698</v>
      </c>
      <c r="X83" s="8">
        <v>168.27498399999999</v>
      </c>
      <c r="Y83" s="8">
        <v>180.862741</v>
      </c>
      <c r="Z83" s="8">
        <v>179.02940100000001</v>
      </c>
      <c r="AA83" s="8">
        <v>157.960295</v>
      </c>
      <c r="AB83" s="8">
        <v>176.230006</v>
      </c>
      <c r="AJ83" s="2">
        <v>172.9</v>
      </c>
      <c r="AK83" s="2">
        <v>164.2</v>
      </c>
      <c r="AL83" s="2">
        <v>151.69999999999999</v>
      </c>
      <c r="AM83" s="2">
        <v>164.6</v>
      </c>
      <c r="AN83" s="2" t="s">
        <v>773</v>
      </c>
      <c r="AO83" s="2">
        <v>165.3</v>
      </c>
      <c r="AP83" s="2" t="s">
        <v>773</v>
      </c>
      <c r="AQ83" s="2" t="s">
        <v>773</v>
      </c>
      <c r="AR83" s="19">
        <v>0.12083333333333333</v>
      </c>
      <c r="AS83" s="8">
        <f>(2+(54/60))*AO83</f>
        <v>479.37</v>
      </c>
    </row>
    <row r="84" spans="1:53" x14ac:dyDescent="0.2">
      <c r="A84" s="2">
        <v>67</v>
      </c>
      <c r="B84" s="2">
        <v>71</v>
      </c>
      <c r="C84" s="2">
        <v>83</v>
      </c>
      <c r="E84" t="s">
        <v>87</v>
      </c>
      <c r="F84" t="s">
        <v>535</v>
      </c>
      <c r="G84" t="s">
        <v>1329</v>
      </c>
      <c r="H84" s="2">
        <v>2500000</v>
      </c>
      <c r="I84" s="2">
        <v>414.6</v>
      </c>
      <c r="J84" s="15">
        <v>14.81</v>
      </c>
      <c r="K84" s="15">
        <v>12.37</v>
      </c>
      <c r="P84" s="8">
        <v>811.09258399999999</v>
      </c>
      <c r="Q84" s="8">
        <v>830.66685299999995</v>
      </c>
      <c r="R84" s="8">
        <v>811.96907199999998</v>
      </c>
      <c r="S84" s="8">
        <v>810.35871099999997</v>
      </c>
      <c r="T84" s="8">
        <v>860.965371</v>
      </c>
      <c r="U84" s="8">
        <v>694.31608100000005</v>
      </c>
      <c r="V84" s="8">
        <v>777.36762299999998</v>
      </c>
      <c r="W84" s="8">
        <v>798.58134600000005</v>
      </c>
      <c r="X84" s="8">
        <v>789.93538799999999</v>
      </c>
      <c r="Y84" s="8">
        <v>795.43452600000001</v>
      </c>
      <c r="Z84" s="8">
        <v>853.22432200000003</v>
      </c>
      <c r="AA84" s="8">
        <v>775.90451299999995</v>
      </c>
      <c r="AB84" s="8">
        <v>799.54240500000003</v>
      </c>
      <c r="AJ84" s="2">
        <v>413.7</v>
      </c>
      <c r="AK84" s="2">
        <v>434.8</v>
      </c>
      <c r="AL84" s="2">
        <v>473</v>
      </c>
      <c r="AM84" s="2">
        <v>414.6</v>
      </c>
      <c r="AN84" s="2" t="s">
        <v>773</v>
      </c>
      <c r="AO84" s="2">
        <v>416.9</v>
      </c>
      <c r="AP84" s="2" t="s">
        <v>773</v>
      </c>
      <c r="AQ84" s="2" t="s">
        <v>773</v>
      </c>
      <c r="AR84" s="19">
        <v>0.11388888888888889</v>
      </c>
      <c r="AS84" s="8">
        <f>(2+(44/60))*AO84</f>
        <v>1139.5266666666666</v>
      </c>
    </row>
    <row r="85" spans="1:53" x14ac:dyDescent="0.2">
      <c r="A85" s="2">
        <v>68</v>
      </c>
      <c r="B85" s="2">
        <v>63</v>
      </c>
      <c r="C85" s="2">
        <v>65</v>
      </c>
      <c r="E85" t="s">
        <v>85</v>
      </c>
      <c r="F85" t="s">
        <v>553</v>
      </c>
      <c r="G85" t="s">
        <v>1312</v>
      </c>
      <c r="H85" s="2">
        <v>27530</v>
      </c>
      <c r="I85" s="2">
        <v>444.2</v>
      </c>
      <c r="J85" s="15">
        <v>15.86</v>
      </c>
      <c r="K85" s="15">
        <v>10.77</v>
      </c>
      <c r="P85" s="8">
        <v>787.53838900000005</v>
      </c>
      <c r="Q85" s="8">
        <v>858.319976</v>
      </c>
      <c r="R85" s="8">
        <v>824.08228799999995</v>
      </c>
      <c r="S85" s="8">
        <v>745.788905</v>
      </c>
      <c r="T85" s="8">
        <v>706.14276299999995</v>
      </c>
      <c r="U85" s="8">
        <v>691.25224500000002</v>
      </c>
      <c r="V85" s="8">
        <v>773.57872699999996</v>
      </c>
      <c r="W85" s="8">
        <v>729.36027000000001</v>
      </c>
      <c r="X85" s="8">
        <v>824.79786100000001</v>
      </c>
      <c r="Y85" s="8">
        <v>855.64015600000005</v>
      </c>
      <c r="Z85" s="8">
        <v>851.39281800000003</v>
      </c>
      <c r="AA85" s="8">
        <v>776.06953399999998</v>
      </c>
      <c r="AB85" s="8">
        <v>735.55738399999996</v>
      </c>
      <c r="AJ85" s="2">
        <v>430.9</v>
      </c>
      <c r="AK85" s="2">
        <v>450.1</v>
      </c>
      <c r="AL85" s="2">
        <v>432.6</v>
      </c>
      <c r="AM85" s="2">
        <v>444.2</v>
      </c>
      <c r="AN85" s="2" t="s">
        <v>773</v>
      </c>
      <c r="AO85" s="2">
        <v>447.6</v>
      </c>
      <c r="AP85" s="2" t="s">
        <v>773</v>
      </c>
      <c r="AQ85" s="2" t="s">
        <v>773</v>
      </c>
      <c r="AR85" s="19">
        <v>0.35902777777777778</v>
      </c>
      <c r="AS85" s="8">
        <f>(8+(37/60))*AO85</f>
        <v>3856.8200000000006</v>
      </c>
      <c r="BA85" t="s">
        <v>457</v>
      </c>
    </row>
    <row r="86" spans="1:53" x14ac:dyDescent="0.2">
      <c r="A86" s="2">
        <v>69</v>
      </c>
      <c r="B86" s="2">
        <v>73</v>
      </c>
      <c r="C86" s="2">
        <v>223</v>
      </c>
      <c r="E86" t="s">
        <v>83</v>
      </c>
      <c r="F86" t="s">
        <v>552</v>
      </c>
      <c r="G86" t="s">
        <v>1310</v>
      </c>
      <c r="H86" s="2">
        <v>145640</v>
      </c>
      <c r="I86" s="2">
        <v>177.3</v>
      </c>
      <c r="J86" s="15">
        <v>6.3339999999999996</v>
      </c>
      <c r="K86" s="15">
        <v>4.0990000000000002</v>
      </c>
      <c r="P86" s="8">
        <v>262.83671800000002</v>
      </c>
      <c r="Q86" s="8">
        <v>324.54936300000003</v>
      </c>
      <c r="R86" s="8">
        <v>292.15715599999999</v>
      </c>
      <c r="S86" s="8">
        <v>225.57047700000001</v>
      </c>
      <c r="T86" s="8">
        <v>204.78367600000001</v>
      </c>
      <c r="U86" s="8">
        <v>203.60387299999999</v>
      </c>
      <c r="V86" s="8">
        <v>224.46857600000001</v>
      </c>
      <c r="W86" s="8">
        <v>229.681319</v>
      </c>
      <c r="X86" s="8">
        <v>255.66807700000001</v>
      </c>
      <c r="Y86" s="8">
        <v>253.94436400000001</v>
      </c>
      <c r="Z86" s="8">
        <v>300.23787800000002</v>
      </c>
      <c r="AA86" s="8">
        <v>257.79612300000002</v>
      </c>
      <c r="AB86" s="8">
        <v>295.05753800000002</v>
      </c>
      <c r="AJ86" s="2">
        <v>193.5</v>
      </c>
      <c r="AK86" s="2">
        <v>223.8</v>
      </c>
      <c r="AL86" s="2">
        <v>178.2</v>
      </c>
      <c r="AM86" s="2">
        <v>177.3</v>
      </c>
      <c r="AN86" s="2" t="s">
        <v>773</v>
      </c>
      <c r="AO86" s="2">
        <v>177.7</v>
      </c>
      <c r="AP86" s="2" t="s">
        <v>773</v>
      </c>
      <c r="AQ86" s="2" t="s">
        <v>773</v>
      </c>
      <c r="AR86" s="19">
        <v>0.12430555555555556</v>
      </c>
      <c r="AS86" s="8">
        <f>(2+(59/60))*AO86</f>
        <v>530.13833333333332</v>
      </c>
      <c r="BA86" t="s">
        <v>471</v>
      </c>
    </row>
    <row r="87" spans="1:53" x14ac:dyDescent="0.2">
      <c r="A87" s="2">
        <v>70</v>
      </c>
      <c r="B87" s="2">
        <v>56</v>
      </c>
      <c r="C87" s="2">
        <v>217</v>
      </c>
      <c r="E87" t="s">
        <v>80</v>
      </c>
      <c r="F87" t="s">
        <v>541</v>
      </c>
      <c r="G87" t="s">
        <v>1291</v>
      </c>
      <c r="H87" s="2">
        <v>200000</v>
      </c>
      <c r="I87" s="2">
        <v>172.3</v>
      </c>
      <c r="J87" s="15">
        <v>6.157</v>
      </c>
      <c r="K87" s="15">
        <v>4.2229999999999999</v>
      </c>
      <c r="P87" s="8">
        <v>91.663527999999999</v>
      </c>
      <c r="Q87" s="8">
        <v>89.095899000000003</v>
      </c>
      <c r="R87" s="8">
        <v>93.728061999999994</v>
      </c>
      <c r="S87" s="8">
        <v>86.627934999999994</v>
      </c>
      <c r="T87" s="8">
        <v>93.346442999999994</v>
      </c>
      <c r="U87" s="8">
        <v>85.733232000000001</v>
      </c>
      <c r="V87" s="8">
        <v>92.077292</v>
      </c>
      <c r="W87" s="8">
        <v>89.925949000000003</v>
      </c>
      <c r="X87" s="8">
        <v>102.3723</v>
      </c>
      <c r="Y87" s="8">
        <v>99.222930000000005</v>
      </c>
      <c r="Z87" s="8">
        <v>105.58072</v>
      </c>
      <c r="AA87" s="8">
        <v>97.025212999999994</v>
      </c>
      <c r="AB87" s="8">
        <v>96.469246999999996</v>
      </c>
      <c r="AJ87" s="2">
        <v>124.3</v>
      </c>
      <c r="AK87" s="2">
        <v>172.4</v>
      </c>
      <c r="AL87" s="2">
        <v>177.7</v>
      </c>
      <c r="AM87" s="2">
        <v>172.3</v>
      </c>
      <c r="AN87" s="2" t="s">
        <v>773</v>
      </c>
      <c r="AO87" s="2">
        <v>162.30000000000001</v>
      </c>
      <c r="AP87" s="2" t="s">
        <v>773</v>
      </c>
      <c r="AQ87" s="2" t="s">
        <v>773</v>
      </c>
      <c r="AR87" s="19">
        <v>0.12638888888888888</v>
      </c>
      <c r="AS87" s="8">
        <f>(3+(2/60))*AO87</f>
        <v>492.31</v>
      </c>
      <c r="BA87" t="s">
        <v>387</v>
      </c>
    </row>
    <row r="88" spans="1:53" x14ac:dyDescent="0.2">
      <c r="A88" s="2">
        <v>71</v>
      </c>
      <c r="B88" s="2">
        <v>71</v>
      </c>
      <c r="C88" s="2">
        <v>53</v>
      </c>
      <c r="E88" t="s">
        <v>178</v>
      </c>
      <c r="F88" t="s">
        <v>1234</v>
      </c>
      <c r="H88" s="2">
        <v>0</v>
      </c>
      <c r="K88" s="15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J88" s="2">
        <v>418</v>
      </c>
      <c r="AK88" s="2" t="s">
        <v>773</v>
      </c>
      <c r="AL88" s="2" t="s">
        <v>773</v>
      </c>
      <c r="AM88" s="2" t="s">
        <v>773</v>
      </c>
      <c r="AN88" s="2" t="s">
        <v>773</v>
      </c>
      <c r="AO88" s="2" t="s">
        <v>773</v>
      </c>
      <c r="AP88" s="2" t="s">
        <v>773</v>
      </c>
      <c r="AQ88" s="2" t="s">
        <v>773</v>
      </c>
      <c r="AR88" s="19">
        <v>0.27291666666666664</v>
      </c>
      <c r="AS88" s="8">
        <f>(6+(33/60))*AJ88</f>
        <v>2737.9</v>
      </c>
    </row>
    <row r="89" spans="1:53" x14ac:dyDescent="0.2">
      <c r="A89" s="2">
        <v>72</v>
      </c>
      <c r="B89" s="2">
        <v>89</v>
      </c>
      <c r="C89" s="2">
        <v>379</v>
      </c>
      <c r="E89" t="s">
        <v>107</v>
      </c>
      <c r="F89" t="s">
        <v>681</v>
      </c>
      <c r="G89" t="s">
        <v>1307</v>
      </c>
      <c r="H89" s="2">
        <v>1170</v>
      </c>
      <c r="I89" s="2">
        <v>102.3</v>
      </c>
      <c r="J89" s="15">
        <v>3.6549999999999998</v>
      </c>
      <c r="K89" s="15">
        <v>2.6989999999999998</v>
      </c>
      <c r="AJ89" s="2">
        <v>100.3</v>
      </c>
      <c r="AK89" s="2">
        <v>80.55</v>
      </c>
      <c r="AL89" s="2">
        <v>91.3</v>
      </c>
      <c r="AM89" s="2">
        <v>102.3</v>
      </c>
      <c r="AN89" s="14" t="s">
        <v>773</v>
      </c>
      <c r="AO89" s="2">
        <v>103.8</v>
      </c>
      <c r="AP89" s="2" t="s">
        <v>773</v>
      </c>
      <c r="AQ89" s="2" t="s">
        <v>773</v>
      </c>
      <c r="AR89" s="19">
        <v>0.18194444444444444</v>
      </c>
      <c r="AS89" s="8">
        <f>(4+(22/60))*AO89</f>
        <v>453.25999999999993</v>
      </c>
    </row>
    <row r="90" spans="1:53" s="3" customFormat="1" x14ac:dyDescent="0.2">
      <c r="A90" s="4">
        <v>74</v>
      </c>
      <c r="B90" s="4">
        <v>92</v>
      </c>
      <c r="C90" s="4">
        <v>396</v>
      </c>
      <c r="D90" s="4"/>
      <c r="E90" s="3" t="s">
        <v>126</v>
      </c>
      <c r="F90" s="3" t="s">
        <v>6</v>
      </c>
      <c r="G90" s="3" t="s">
        <v>1306</v>
      </c>
      <c r="H90" s="4">
        <v>85900</v>
      </c>
      <c r="I90" s="4">
        <v>83.15</v>
      </c>
      <c r="J90" s="16">
        <v>2.9689999999999999</v>
      </c>
      <c r="K90" s="16">
        <v>1.8879999999999999</v>
      </c>
      <c r="L90" s="4"/>
      <c r="M90" s="9"/>
      <c r="N90" s="9"/>
      <c r="O90" s="9"/>
      <c r="P90" s="58">
        <v>65.23</v>
      </c>
      <c r="Q90" s="58">
        <v>84.632000000000005</v>
      </c>
      <c r="R90" s="58">
        <v>66.501999999999995</v>
      </c>
      <c r="S90" s="58">
        <v>63.628999999999998</v>
      </c>
      <c r="T90" s="58">
        <v>58.64</v>
      </c>
      <c r="U90" s="58">
        <v>65.061999999999998</v>
      </c>
      <c r="V90" s="58">
        <v>76.882000000000005</v>
      </c>
      <c r="W90" s="58">
        <v>72.637</v>
      </c>
      <c r="X90" s="58">
        <v>71.230999999999995</v>
      </c>
      <c r="Y90" s="58">
        <v>77.054000000000002</v>
      </c>
      <c r="Z90" s="58">
        <v>81.292000000000002</v>
      </c>
      <c r="AA90" s="58">
        <v>77.007000000000005</v>
      </c>
      <c r="AB90" s="58">
        <v>77.881</v>
      </c>
      <c r="AC90" s="9"/>
      <c r="AD90" s="9"/>
      <c r="AE90" s="9"/>
      <c r="AF90" s="9"/>
      <c r="AG90" s="9"/>
      <c r="AH90" s="9"/>
      <c r="AI90" s="9"/>
      <c r="AJ90" s="4">
        <v>90.32</v>
      </c>
      <c r="AK90" s="4">
        <v>100</v>
      </c>
      <c r="AL90" s="4">
        <v>71.52</v>
      </c>
      <c r="AM90" s="4">
        <v>83.15</v>
      </c>
      <c r="AN90" s="46" t="s">
        <v>773</v>
      </c>
      <c r="AO90" s="4">
        <v>76.8</v>
      </c>
      <c r="AP90" s="4" t="s">
        <v>773</v>
      </c>
      <c r="AQ90" s="4" t="s">
        <v>773</v>
      </c>
      <c r="AR90" s="23">
        <v>0.30138888888888887</v>
      </c>
      <c r="AS90" s="47">
        <f>(7+(14/60))*AO90</f>
        <v>555.52</v>
      </c>
    </row>
    <row r="91" spans="1:53" x14ac:dyDescent="0.2">
      <c r="A91" s="2">
        <v>75</v>
      </c>
      <c r="B91" s="2">
        <v>84</v>
      </c>
      <c r="C91" s="2">
        <v>288</v>
      </c>
      <c r="E91" t="s">
        <v>96</v>
      </c>
      <c r="F91" t="s">
        <v>542</v>
      </c>
      <c r="G91" t="s">
        <v>1310</v>
      </c>
      <c r="H91" s="2">
        <v>56030</v>
      </c>
      <c r="I91" s="2">
        <v>157.4</v>
      </c>
      <c r="J91" s="15">
        <v>5.6210000000000004</v>
      </c>
      <c r="K91" s="15">
        <v>3.47</v>
      </c>
      <c r="P91" s="8">
        <v>221.57844600000001</v>
      </c>
      <c r="Q91" s="8">
        <v>260.91471100000001</v>
      </c>
      <c r="R91" s="8">
        <v>237.54325399999999</v>
      </c>
      <c r="S91" s="8">
        <v>198.41718299999999</v>
      </c>
      <c r="T91" s="8">
        <v>192.94568799999999</v>
      </c>
      <c r="U91" s="8">
        <v>196.64950099999999</v>
      </c>
      <c r="V91" s="8">
        <v>204.56594699999999</v>
      </c>
      <c r="W91" s="8">
        <v>210.35311899999999</v>
      </c>
      <c r="X91" s="8">
        <v>222.425006</v>
      </c>
      <c r="Y91" s="8">
        <v>224.63211999999999</v>
      </c>
      <c r="Z91" s="8">
        <v>248.68123900000001</v>
      </c>
      <c r="AA91" s="8">
        <v>215.21005099999999</v>
      </c>
      <c r="AB91" s="8">
        <v>217.41474099999999</v>
      </c>
      <c r="AJ91" s="2">
        <v>161</v>
      </c>
      <c r="AK91" s="2">
        <v>155.9</v>
      </c>
      <c r="AL91" s="2">
        <v>143.1</v>
      </c>
      <c r="AM91" s="2">
        <v>157.4</v>
      </c>
      <c r="AN91" s="2" t="s">
        <v>773</v>
      </c>
      <c r="AO91" s="2">
        <v>151.5</v>
      </c>
      <c r="AP91" s="2" t="s">
        <v>773</v>
      </c>
      <c r="AQ91" s="2" t="s">
        <v>773</v>
      </c>
      <c r="AR91" s="19">
        <v>0.13402777777777777</v>
      </c>
      <c r="AS91" s="8">
        <f>(3+(13/60))*AO91</f>
        <v>487.32500000000005</v>
      </c>
    </row>
    <row r="92" spans="1:53" x14ac:dyDescent="0.2">
      <c r="A92" s="2">
        <v>76</v>
      </c>
      <c r="B92" s="2">
        <v>98</v>
      </c>
      <c r="C92" s="2">
        <v>248</v>
      </c>
      <c r="E92" t="s">
        <v>106</v>
      </c>
      <c r="F92" t="s">
        <v>680</v>
      </c>
      <c r="G92" t="s">
        <v>1308</v>
      </c>
      <c r="H92" s="2">
        <v>2220</v>
      </c>
      <c r="I92" s="2">
        <v>180.9</v>
      </c>
      <c r="J92" s="15">
        <v>6.4610000000000003</v>
      </c>
      <c r="K92" s="15">
        <v>5.5350000000000001</v>
      </c>
      <c r="P92" s="8">
        <v>153.16297299999999</v>
      </c>
      <c r="Q92" s="8">
        <v>152.118695</v>
      </c>
      <c r="R92" s="8">
        <v>149.579339</v>
      </c>
      <c r="S92" s="8">
        <v>155.927358</v>
      </c>
      <c r="T92" s="8">
        <v>155.64313899999999</v>
      </c>
      <c r="U92" s="8">
        <v>166.878646</v>
      </c>
      <c r="V92" s="8">
        <v>183.94783100000001</v>
      </c>
      <c r="W92" s="8">
        <v>174.68577400000001</v>
      </c>
      <c r="X92" s="8">
        <v>187.02173300000001</v>
      </c>
      <c r="Y92" s="8">
        <v>172.49722399999999</v>
      </c>
      <c r="Z92" s="8">
        <v>182.85318000000001</v>
      </c>
      <c r="AA92" s="8">
        <v>165.518821</v>
      </c>
      <c r="AB92" s="8">
        <v>168.77802299999999</v>
      </c>
      <c r="AJ92" s="2">
        <v>162.30000000000001</v>
      </c>
      <c r="AK92" s="2">
        <v>144.80000000000001</v>
      </c>
      <c r="AL92" s="2">
        <v>140.6</v>
      </c>
      <c r="AM92" s="2">
        <v>180.9</v>
      </c>
      <c r="AN92" s="14" t="s">
        <v>773</v>
      </c>
      <c r="AO92" s="2">
        <v>184.5</v>
      </c>
      <c r="AP92" s="2" t="s">
        <v>773</v>
      </c>
      <c r="AQ92" s="2" t="s">
        <v>773</v>
      </c>
      <c r="AR92" s="19">
        <v>0.125</v>
      </c>
      <c r="AS92" s="8">
        <f>3*AO92</f>
        <v>553.5</v>
      </c>
    </row>
    <row r="93" spans="1:53" x14ac:dyDescent="0.2">
      <c r="A93" s="2">
        <v>77</v>
      </c>
      <c r="B93" s="2">
        <v>70</v>
      </c>
      <c r="C93" s="2">
        <v>223</v>
      </c>
      <c r="E93" t="s">
        <v>74</v>
      </c>
      <c r="F93" t="s">
        <v>534</v>
      </c>
      <c r="H93" s="2">
        <v>119540</v>
      </c>
      <c r="I93" s="2">
        <v>119.4</v>
      </c>
      <c r="J93" s="15">
        <v>4.266</v>
      </c>
      <c r="K93" s="15">
        <v>2.4569999999999999</v>
      </c>
      <c r="P93" s="8">
        <v>113.673306</v>
      </c>
      <c r="Q93" s="8">
        <v>113.272987</v>
      </c>
      <c r="R93" s="8">
        <v>114.715581</v>
      </c>
      <c r="S93" s="8">
        <v>114.658068</v>
      </c>
      <c r="T93" s="8">
        <v>107.475613</v>
      </c>
      <c r="U93" s="8">
        <v>102.655462</v>
      </c>
      <c r="V93" s="8">
        <v>110.55453900000001</v>
      </c>
      <c r="W93" s="8">
        <v>116.265669</v>
      </c>
      <c r="X93" s="8">
        <v>123.714185</v>
      </c>
      <c r="Y93" s="8">
        <v>223.117379</v>
      </c>
      <c r="Z93" s="8">
        <v>208.03979200000001</v>
      </c>
      <c r="AA93" s="8">
        <v>209.94866400000001</v>
      </c>
      <c r="AB93" s="8">
        <v>179.73884200000001</v>
      </c>
      <c r="AJ93" s="2">
        <v>104.6</v>
      </c>
      <c r="AK93" s="2">
        <v>122.9</v>
      </c>
      <c r="AL93" s="2">
        <v>125.4</v>
      </c>
      <c r="AM93" s="2">
        <v>119.4</v>
      </c>
      <c r="AN93" s="2" t="s">
        <v>773</v>
      </c>
      <c r="AO93" s="2">
        <v>111.9</v>
      </c>
      <c r="AP93" s="2" t="s">
        <v>773</v>
      </c>
      <c r="AQ93" s="2" t="s">
        <v>773</v>
      </c>
      <c r="AR93" s="19">
        <v>0.49236111111111108</v>
      </c>
      <c r="AS93" s="8">
        <f>(11+(49/60))*AO93</f>
        <v>1322.2850000000001</v>
      </c>
      <c r="BA93" t="s">
        <v>266</v>
      </c>
    </row>
    <row r="94" spans="1:53" x14ac:dyDescent="0.2">
      <c r="A94" s="2">
        <v>78</v>
      </c>
      <c r="B94" s="2">
        <v>91</v>
      </c>
      <c r="C94" s="2">
        <v>363</v>
      </c>
      <c r="E94" t="s">
        <v>120</v>
      </c>
      <c r="F94" t="s">
        <v>555</v>
      </c>
      <c r="G94" t="s">
        <v>1318</v>
      </c>
      <c r="H94" s="2">
        <v>13250</v>
      </c>
      <c r="I94" s="2">
        <v>88.27</v>
      </c>
      <c r="J94" s="15">
        <v>3.1520000000000001</v>
      </c>
      <c r="K94" s="15">
        <v>2.5760000000000001</v>
      </c>
      <c r="AJ94" s="2">
        <v>81.56</v>
      </c>
      <c r="AK94" s="2">
        <v>77.86</v>
      </c>
      <c r="AL94" s="2">
        <v>73.78</v>
      </c>
      <c r="AM94" s="2">
        <v>88.27</v>
      </c>
      <c r="AN94" s="14" t="s">
        <v>773</v>
      </c>
      <c r="AO94" s="2">
        <v>95.61</v>
      </c>
      <c r="AP94" s="2" t="s">
        <v>773</v>
      </c>
      <c r="AQ94" s="2" t="s">
        <v>773</v>
      </c>
      <c r="AR94" s="19">
        <v>0.24305555555555555</v>
      </c>
      <c r="AS94" s="8">
        <f>(5+(50/60))*AO94</f>
        <v>557.72500000000002</v>
      </c>
    </row>
    <row r="95" spans="1:53" x14ac:dyDescent="0.2">
      <c r="A95" s="2">
        <v>79</v>
      </c>
      <c r="B95" s="2">
        <v>70</v>
      </c>
      <c r="C95" s="2">
        <v>43</v>
      </c>
      <c r="E95" t="s">
        <v>77</v>
      </c>
      <c r="F95" t="s">
        <v>1234</v>
      </c>
      <c r="H95" s="2">
        <v>0</v>
      </c>
      <c r="I95" s="2">
        <v>672.2</v>
      </c>
      <c r="J95" s="15">
        <v>24</v>
      </c>
      <c r="K95" s="15">
        <v>19.64</v>
      </c>
      <c r="P95" s="8">
        <v>457.08951999999999</v>
      </c>
      <c r="Q95" s="8">
        <v>405.06271700000002</v>
      </c>
      <c r="R95" s="8">
        <v>468.99963500000001</v>
      </c>
      <c r="S95" s="8">
        <v>453.91099200000002</v>
      </c>
      <c r="T95" s="8">
        <v>430.89439700000003</v>
      </c>
      <c r="U95" s="8">
        <v>389.00809700000002</v>
      </c>
      <c r="V95" s="8">
        <v>396.55180799999999</v>
      </c>
      <c r="W95" s="8">
        <v>434.59229099999999</v>
      </c>
      <c r="X95" s="8">
        <v>392.88372700000002</v>
      </c>
      <c r="Y95" s="8">
        <v>448.96148299999999</v>
      </c>
      <c r="Z95" s="8">
        <v>437.32213200000001</v>
      </c>
      <c r="AA95" s="8">
        <v>393.53108400000002</v>
      </c>
      <c r="AB95" s="8">
        <v>478.784695</v>
      </c>
      <c r="AJ95" s="2">
        <v>561.9</v>
      </c>
      <c r="AK95" s="2">
        <v>698.4</v>
      </c>
      <c r="AL95" s="2">
        <v>655.7</v>
      </c>
      <c r="AM95" s="2">
        <v>672.2</v>
      </c>
      <c r="AN95" s="14" t="s">
        <v>773</v>
      </c>
      <c r="AO95" s="14" t="s">
        <v>773</v>
      </c>
      <c r="AP95" s="14" t="s">
        <v>773</v>
      </c>
      <c r="AQ95" s="14" t="s">
        <v>773</v>
      </c>
      <c r="AR95" s="19">
        <v>0.19444444444444445</v>
      </c>
      <c r="AS95" s="8">
        <f>(4+(40/60))*AM95</f>
        <v>3136.9333333333338</v>
      </c>
    </row>
    <row r="96" spans="1:53" x14ac:dyDescent="0.2">
      <c r="A96" s="2">
        <v>80</v>
      </c>
      <c r="B96" s="2">
        <v>80</v>
      </c>
      <c r="C96" s="2">
        <v>140</v>
      </c>
      <c r="E96" t="s">
        <v>192</v>
      </c>
      <c r="F96" t="s">
        <v>1234</v>
      </c>
      <c r="K96" s="15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J96" s="2">
        <v>92.13</v>
      </c>
      <c r="AK96" s="2" t="s">
        <v>773</v>
      </c>
      <c r="AL96" s="2" t="s">
        <v>773</v>
      </c>
      <c r="AM96" s="2" t="s">
        <v>773</v>
      </c>
      <c r="AN96" s="14" t="s">
        <v>773</v>
      </c>
      <c r="AO96" s="14" t="s">
        <v>773</v>
      </c>
      <c r="AP96" s="14" t="s">
        <v>773</v>
      </c>
      <c r="AQ96" s="14" t="s">
        <v>773</v>
      </c>
      <c r="AR96" s="19">
        <v>0.39513888888888887</v>
      </c>
      <c r="AS96" s="8">
        <f>(9+(29/60))*AJ96</f>
        <v>873.69949999999983</v>
      </c>
    </row>
    <row r="97" spans="1:53" x14ac:dyDescent="0.2">
      <c r="A97" s="2">
        <v>81</v>
      </c>
      <c r="B97" s="2">
        <v>79</v>
      </c>
      <c r="C97" s="2">
        <v>318</v>
      </c>
      <c r="E97" t="s">
        <v>102</v>
      </c>
      <c r="F97" t="s">
        <v>679</v>
      </c>
      <c r="H97" s="2">
        <v>3910</v>
      </c>
      <c r="I97" s="2">
        <v>107.3</v>
      </c>
      <c r="J97" s="15">
        <v>3.8319999999999999</v>
      </c>
      <c r="K97" s="15">
        <v>3.0259999999999998</v>
      </c>
      <c r="P97" s="8">
        <v>103.732428</v>
      </c>
      <c r="Q97" s="8">
        <v>106.029051</v>
      </c>
      <c r="R97" s="8">
        <v>113.632982</v>
      </c>
      <c r="S97" s="8">
        <v>91.868801000000005</v>
      </c>
      <c r="T97" s="8">
        <v>84.007401999999999</v>
      </c>
      <c r="U97" s="8">
        <v>84.297330000000002</v>
      </c>
      <c r="V97" s="8">
        <v>90.088382999999993</v>
      </c>
      <c r="W97" s="8">
        <v>75.593892999999994</v>
      </c>
      <c r="X97" s="8">
        <v>82.809622000000005</v>
      </c>
      <c r="Y97" s="8">
        <v>93.027375000000006</v>
      </c>
      <c r="Z97" s="8">
        <v>92.38382</v>
      </c>
      <c r="AA97" s="8">
        <v>84.604642999999996</v>
      </c>
      <c r="AB97" s="8">
        <v>93.815090999999995</v>
      </c>
      <c r="AJ97" s="2">
        <v>84.09</v>
      </c>
      <c r="AK97" s="2">
        <v>103</v>
      </c>
      <c r="AL97" s="2">
        <v>93.14</v>
      </c>
      <c r="AM97" s="2">
        <v>107.3</v>
      </c>
      <c r="AN97" s="2" t="s">
        <v>773</v>
      </c>
      <c r="AO97" s="2">
        <v>109.2</v>
      </c>
      <c r="AP97" s="2" t="s">
        <v>773</v>
      </c>
      <c r="AQ97" s="2" t="s">
        <v>773</v>
      </c>
      <c r="AR97" s="19">
        <v>0.21180555555555555</v>
      </c>
      <c r="AS97" s="8">
        <f>(5+(5/60))*AO97</f>
        <v>555.1</v>
      </c>
    </row>
    <row r="98" spans="1:53" x14ac:dyDescent="0.2">
      <c r="A98" s="2">
        <v>82</v>
      </c>
      <c r="B98" s="2">
        <v>88</v>
      </c>
      <c r="C98" s="2">
        <v>361</v>
      </c>
      <c r="E98" t="s">
        <v>127</v>
      </c>
      <c r="F98" t="s">
        <v>543</v>
      </c>
      <c r="G98" t="s">
        <v>1280</v>
      </c>
      <c r="H98" s="2">
        <v>223550</v>
      </c>
      <c r="I98" s="2">
        <v>85.87</v>
      </c>
      <c r="J98" s="15">
        <v>3.0430000000000001</v>
      </c>
      <c r="K98" s="15">
        <v>2.48</v>
      </c>
      <c r="AJ98" s="2">
        <v>92.8</v>
      </c>
      <c r="AK98" s="2">
        <v>100.5</v>
      </c>
      <c r="AL98" s="2">
        <v>85.87</v>
      </c>
      <c r="AM98" s="2">
        <v>85.22</v>
      </c>
      <c r="AN98" s="14" t="s">
        <v>773</v>
      </c>
      <c r="AO98" s="2">
        <v>90.46</v>
      </c>
      <c r="AP98" s="2" t="s">
        <v>773</v>
      </c>
      <c r="AQ98" s="2" t="s">
        <v>773</v>
      </c>
      <c r="AR98" s="19">
        <v>0.17986111111111111</v>
      </c>
      <c r="AS98" s="8">
        <f>(4+(19/60))*AO98</f>
        <v>390.48566666666665</v>
      </c>
    </row>
    <row r="99" spans="1:53" x14ac:dyDescent="0.2">
      <c r="A99" s="2">
        <v>83</v>
      </c>
      <c r="B99" s="2">
        <v>86</v>
      </c>
      <c r="C99" s="2">
        <v>321</v>
      </c>
      <c r="E99" t="s">
        <v>94</v>
      </c>
      <c r="G99" t="s">
        <v>1237</v>
      </c>
      <c r="I99" s="2">
        <v>134.80000000000001</v>
      </c>
      <c r="J99" s="15">
        <v>4.8159999999999998</v>
      </c>
      <c r="K99" s="15">
        <v>4.0039999999999996</v>
      </c>
      <c r="N99" s="1" t="s">
        <v>16</v>
      </c>
      <c r="P99" s="57">
        <v>174</v>
      </c>
      <c r="Q99" s="57">
        <v>199</v>
      </c>
      <c r="R99" s="57">
        <v>176</v>
      </c>
      <c r="S99" s="57">
        <v>170</v>
      </c>
      <c r="T99" s="57">
        <v>172</v>
      </c>
      <c r="U99" s="57">
        <v>172</v>
      </c>
      <c r="V99" s="57">
        <v>167</v>
      </c>
      <c r="W99" s="57">
        <v>169</v>
      </c>
      <c r="X99" s="57">
        <v>170</v>
      </c>
      <c r="Y99" s="57">
        <v>209</v>
      </c>
      <c r="Z99" s="57">
        <v>227</v>
      </c>
      <c r="AA99" s="57">
        <v>198</v>
      </c>
      <c r="AB99" s="57">
        <v>190</v>
      </c>
      <c r="AJ99" s="2">
        <v>189.8</v>
      </c>
      <c r="AK99" s="2">
        <v>157.4</v>
      </c>
      <c r="AL99" s="2">
        <v>139.19999999999999</v>
      </c>
      <c r="AM99" s="2">
        <v>134.80000000000001</v>
      </c>
      <c r="AN99" s="2" t="s">
        <v>773</v>
      </c>
      <c r="AO99" s="2">
        <v>139.6</v>
      </c>
      <c r="AP99" s="2" t="s">
        <v>773</v>
      </c>
      <c r="AQ99" s="2" t="s">
        <v>773</v>
      </c>
      <c r="AR99" s="19">
        <v>0.1111111111111111</v>
      </c>
      <c r="AS99" s="60">
        <f>(2+(40/60))*AO99</f>
        <v>372.26666666666665</v>
      </c>
    </row>
    <row r="100" spans="1:53" x14ac:dyDescent="0.2">
      <c r="A100" s="2">
        <v>84</v>
      </c>
      <c r="B100" s="2">
        <v>57</v>
      </c>
      <c r="C100" s="2">
        <v>132</v>
      </c>
      <c r="E100" t="s">
        <v>92</v>
      </c>
      <c r="F100" t="s">
        <v>7</v>
      </c>
      <c r="K100" s="15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J100" s="2">
        <v>243.4</v>
      </c>
      <c r="AK100" s="2" t="s">
        <v>773</v>
      </c>
      <c r="AL100" s="2" t="s">
        <v>773</v>
      </c>
      <c r="AM100" s="2" t="s">
        <v>773</v>
      </c>
      <c r="AN100" s="2" t="s">
        <v>773</v>
      </c>
      <c r="AO100" s="2" t="s">
        <v>773</v>
      </c>
      <c r="AP100" s="2" t="s">
        <v>773</v>
      </c>
      <c r="AQ100" s="2" t="s">
        <v>773</v>
      </c>
      <c r="AR100" s="19">
        <v>0.40208333333333335</v>
      </c>
      <c r="AS100" s="8">
        <f>(9+(39/60))*AJ100</f>
        <v>2348.81</v>
      </c>
    </row>
    <row r="101" spans="1:53" x14ac:dyDescent="0.2">
      <c r="A101" s="2">
        <v>85</v>
      </c>
      <c r="B101" s="2">
        <v>136</v>
      </c>
      <c r="C101" s="2">
        <v>488</v>
      </c>
      <c r="E101" t="s">
        <v>99</v>
      </c>
      <c r="F101" t="s">
        <v>6</v>
      </c>
      <c r="G101" t="s">
        <v>1309</v>
      </c>
      <c r="H101" s="2">
        <v>0</v>
      </c>
      <c r="I101" s="2">
        <v>130</v>
      </c>
      <c r="J101" s="15">
        <v>4.6440000000000001</v>
      </c>
      <c r="K101" s="15">
        <v>2.8580000000000001</v>
      </c>
      <c r="AJ101" s="2">
        <v>129.30000000000001</v>
      </c>
      <c r="AK101" s="2">
        <v>33.15</v>
      </c>
      <c r="AL101" s="2">
        <v>99.61</v>
      </c>
      <c r="AM101" s="2">
        <v>130</v>
      </c>
      <c r="AN101" s="2" t="s">
        <v>773</v>
      </c>
      <c r="AO101" s="2">
        <v>127.7</v>
      </c>
      <c r="AP101" s="2" t="s">
        <v>773</v>
      </c>
      <c r="AQ101" s="2" t="s">
        <v>773</v>
      </c>
      <c r="AR101" s="19">
        <v>0.35833333333333334</v>
      </c>
      <c r="AS101" s="8">
        <f>(8+(36/60))*AO101</f>
        <v>1098.22</v>
      </c>
    </row>
    <row r="102" spans="1:53" x14ac:dyDescent="0.2">
      <c r="A102" s="2">
        <v>86</v>
      </c>
      <c r="B102" s="2">
        <v>49</v>
      </c>
      <c r="C102" s="2">
        <v>54</v>
      </c>
      <c r="E102" t="s">
        <v>57</v>
      </c>
      <c r="F102" t="s">
        <v>6</v>
      </c>
      <c r="H102" s="2">
        <v>1000</v>
      </c>
      <c r="I102" s="2">
        <v>509.6</v>
      </c>
      <c r="J102" s="15">
        <v>18.2</v>
      </c>
      <c r="K102" s="15">
        <v>13.96</v>
      </c>
      <c r="P102" s="8">
        <v>656.19464100000005</v>
      </c>
      <c r="Q102" s="8">
        <v>637.62245199999995</v>
      </c>
      <c r="R102" s="8">
        <v>657.59888699999999</v>
      </c>
      <c r="S102" s="8">
        <v>644.30729099999996</v>
      </c>
      <c r="T102" s="8">
        <v>633.89720699999998</v>
      </c>
      <c r="U102" s="8">
        <v>687.184349</v>
      </c>
      <c r="V102" s="8">
        <v>788.88637400000005</v>
      </c>
      <c r="W102" s="8">
        <v>744.68915100000004</v>
      </c>
      <c r="X102" s="8">
        <v>712.89092600000004</v>
      </c>
      <c r="Y102" s="8">
        <v>802.68906400000003</v>
      </c>
      <c r="Z102" s="8">
        <v>856.50980400000003</v>
      </c>
      <c r="AA102" s="8">
        <v>695.097983</v>
      </c>
      <c r="AB102" s="8">
        <v>752.55072800000005</v>
      </c>
      <c r="AJ102" s="2">
        <v>308.8</v>
      </c>
      <c r="AK102" s="2">
        <v>482</v>
      </c>
      <c r="AL102" s="2">
        <v>455.1</v>
      </c>
      <c r="AM102" s="2">
        <v>572</v>
      </c>
      <c r="AN102" s="2" t="s">
        <v>773</v>
      </c>
      <c r="AO102" s="2">
        <v>599.4</v>
      </c>
      <c r="AP102" s="2" t="s">
        <v>773</v>
      </c>
      <c r="AQ102" s="2" t="s">
        <v>773</v>
      </c>
      <c r="AR102" s="19">
        <v>5.1388888888888894E-2</v>
      </c>
      <c r="AS102" s="8">
        <f>(1+(14/60))*AO102</f>
        <v>739.26</v>
      </c>
    </row>
    <row r="103" spans="1:53" x14ac:dyDescent="0.2">
      <c r="A103" s="2">
        <v>87</v>
      </c>
      <c r="B103" s="2">
        <v>54</v>
      </c>
      <c r="C103" s="2">
        <v>98</v>
      </c>
      <c r="E103" t="s">
        <v>75</v>
      </c>
      <c r="I103" s="2">
        <v>328.4</v>
      </c>
      <c r="J103" s="15">
        <v>11.73</v>
      </c>
      <c r="K103" s="15">
        <v>4.1159999999999997</v>
      </c>
      <c r="AJ103" s="2">
        <v>236.6</v>
      </c>
      <c r="AK103" s="2">
        <v>292.8</v>
      </c>
      <c r="AL103" s="2">
        <v>288.39999999999998</v>
      </c>
      <c r="AM103" s="2">
        <v>328.4</v>
      </c>
      <c r="AN103" s="2" t="s">
        <v>773</v>
      </c>
      <c r="AO103" s="2">
        <v>328.9</v>
      </c>
      <c r="AP103" s="2" t="s">
        <v>773</v>
      </c>
      <c r="AQ103" s="2" t="s">
        <v>773</v>
      </c>
      <c r="AR103" s="19">
        <v>0.67152777777777783</v>
      </c>
      <c r="AS103" s="8">
        <f>(16+(7/60))*AO103</f>
        <v>5300.7716666666665</v>
      </c>
    </row>
    <row r="104" spans="1:53" x14ac:dyDescent="0.2">
      <c r="A104" s="2">
        <v>88</v>
      </c>
      <c r="B104" s="2">
        <v>97</v>
      </c>
      <c r="C104" s="2">
        <v>347</v>
      </c>
      <c r="E104" t="s">
        <v>81</v>
      </c>
      <c r="F104" t="s">
        <v>675</v>
      </c>
      <c r="G104" t="s">
        <v>1237</v>
      </c>
      <c r="H104" s="2">
        <v>10280</v>
      </c>
      <c r="I104" s="2">
        <v>162</v>
      </c>
      <c r="J104" s="15">
        <v>5.7869999999999999</v>
      </c>
      <c r="K104" s="15">
        <v>4.3440000000000003</v>
      </c>
      <c r="P104" s="57">
        <v>326</v>
      </c>
      <c r="Q104" s="57">
        <v>347</v>
      </c>
      <c r="R104" s="57">
        <v>334</v>
      </c>
      <c r="S104" s="57">
        <v>313</v>
      </c>
      <c r="T104" s="57">
        <v>305</v>
      </c>
      <c r="U104" s="57">
        <v>313</v>
      </c>
      <c r="V104" s="57">
        <v>339</v>
      </c>
      <c r="W104" s="57">
        <v>314</v>
      </c>
      <c r="X104" s="57">
        <v>381</v>
      </c>
      <c r="Y104" s="57">
        <v>369</v>
      </c>
      <c r="Z104" s="57">
        <v>380</v>
      </c>
      <c r="AA104" s="57">
        <v>355</v>
      </c>
      <c r="AB104" s="57">
        <v>345</v>
      </c>
      <c r="AJ104" s="2">
        <v>163.1</v>
      </c>
      <c r="AK104" s="2">
        <v>141.6</v>
      </c>
      <c r="AL104" s="2">
        <v>139.69999999999999</v>
      </c>
      <c r="AM104" s="2">
        <v>162</v>
      </c>
      <c r="AN104" s="2" t="s">
        <v>773</v>
      </c>
      <c r="AO104" s="2">
        <v>165.8</v>
      </c>
      <c r="AP104" s="2" t="s">
        <v>773</v>
      </c>
      <c r="AQ104" s="2" t="s">
        <v>773</v>
      </c>
      <c r="AR104" s="19">
        <v>0.1076388888888889</v>
      </c>
      <c r="AS104" s="60">
        <f>(2+(35/60))*AO104</f>
        <v>428.31666666666672</v>
      </c>
      <c r="BA104" t="s">
        <v>501</v>
      </c>
    </row>
    <row r="105" spans="1:53" x14ac:dyDescent="0.2">
      <c r="A105" s="2">
        <v>89</v>
      </c>
      <c r="B105" s="2">
        <v>103</v>
      </c>
      <c r="C105" s="2">
        <v>347</v>
      </c>
      <c r="E105" t="s">
        <v>104</v>
      </c>
      <c r="F105" t="s">
        <v>682</v>
      </c>
      <c r="H105" s="2">
        <v>5030</v>
      </c>
      <c r="I105" s="2">
        <v>146.9</v>
      </c>
      <c r="J105" s="15">
        <v>5.2460000000000004</v>
      </c>
      <c r="K105" s="15">
        <v>4.1689999999999996</v>
      </c>
      <c r="AJ105" s="2">
        <v>172.5</v>
      </c>
      <c r="AK105" s="2">
        <v>170.8</v>
      </c>
      <c r="AL105" s="2">
        <v>140.4</v>
      </c>
      <c r="AM105" s="2">
        <v>146.9</v>
      </c>
      <c r="AN105" s="2" t="s">
        <v>773</v>
      </c>
      <c r="AO105" s="2">
        <v>143.5</v>
      </c>
      <c r="AP105" s="2" t="s">
        <v>773</v>
      </c>
      <c r="AQ105" s="2" t="s">
        <v>773</v>
      </c>
      <c r="AR105" s="19">
        <v>8.0555555555555561E-2</v>
      </c>
      <c r="AS105" s="8">
        <f>(1+(56/60))*AO105</f>
        <v>277.43333333333334</v>
      </c>
    </row>
    <row r="106" spans="1:53" x14ac:dyDescent="0.2">
      <c r="A106" s="2">
        <v>90</v>
      </c>
      <c r="B106" s="2">
        <v>110</v>
      </c>
      <c r="C106" s="2">
        <v>470</v>
      </c>
      <c r="E106" t="s">
        <v>189</v>
      </c>
      <c r="F106" t="s">
        <v>549</v>
      </c>
      <c r="G106" t="s">
        <v>1263</v>
      </c>
      <c r="H106" s="2">
        <v>88480</v>
      </c>
      <c r="I106" s="2">
        <v>96.74</v>
      </c>
      <c r="J106" s="15">
        <v>3.4550000000000001</v>
      </c>
      <c r="K106" s="15">
        <v>1.6830000000000001</v>
      </c>
      <c r="AJ106" s="2">
        <v>120.9</v>
      </c>
      <c r="AK106" s="2">
        <v>74.48</v>
      </c>
      <c r="AL106" s="2">
        <v>77.48</v>
      </c>
      <c r="AM106" s="2">
        <v>96.74</v>
      </c>
      <c r="AN106" s="14" t="s">
        <v>773</v>
      </c>
      <c r="AO106" s="2">
        <v>88.87</v>
      </c>
      <c r="AP106" s="14" t="s">
        <v>773</v>
      </c>
      <c r="AQ106" s="14" t="s">
        <v>773</v>
      </c>
      <c r="AR106" s="19">
        <v>0.20972222222222223</v>
      </c>
      <c r="AS106" s="8">
        <f>(5+(2/60))*AO106</f>
        <v>447.31233333333336</v>
      </c>
    </row>
    <row r="107" spans="1:53" x14ac:dyDescent="0.2">
      <c r="A107" s="2">
        <v>91</v>
      </c>
      <c r="B107" s="2">
        <v>58</v>
      </c>
      <c r="C107" s="2">
        <v>219</v>
      </c>
      <c r="E107" t="s">
        <v>67</v>
      </c>
      <c r="F107" t="s">
        <v>525</v>
      </c>
      <c r="H107" s="2">
        <v>171400</v>
      </c>
      <c r="I107" s="2">
        <v>211.5</v>
      </c>
      <c r="J107" s="15">
        <v>7.556</v>
      </c>
      <c r="K107" s="15">
        <v>4.702</v>
      </c>
      <c r="P107" s="8">
        <v>80.124294000000006</v>
      </c>
      <c r="Q107" s="8">
        <v>79.022028000000006</v>
      </c>
      <c r="R107" s="8">
        <v>80.716860999999994</v>
      </c>
      <c r="S107" s="8">
        <v>81.878158999999997</v>
      </c>
      <c r="T107" s="8">
        <v>74.474273999999994</v>
      </c>
      <c r="U107" s="8">
        <v>76.593495000000004</v>
      </c>
      <c r="V107" s="8">
        <v>79.399601000000004</v>
      </c>
      <c r="W107" s="8">
        <v>70.498362999999998</v>
      </c>
      <c r="X107" s="8">
        <v>70.241204999999994</v>
      </c>
      <c r="Y107" s="8">
        <v>71.382029000000003</v>
      </c>
      <c r="Z107" s="8">
        <v>91.316939000000005</v>
      </c>
      <c r="AA107" s="8">
        <v>81.475021999999996</v>
      </c>
      <c r="AB107" s="8">
        <v>77.230063999999999</v>
      </c>
      <c r="AJ107" s="2">
        <v>114.7</v>
      </c>
      <c r="AK107" s="2">
        <v>190.1</v>
      </c>
      <c r="AL107" s="2">
        <v>209</v>
      </c>
      <c r="AM107" s="2">
        <v>211.5</v>
      </c>
      <c r="AN107" s="2" t="s">
        <v>773</v>
      </c>
      <c r="AO107" s="2">
        <v>209.6</v>
      </c>
      <c r="AP107" s="2" t="s">
        <v>773</v>
      </c>
      <c r="AQ107" s="2" t="s">
        <v>773</v>
      </c>
      <c r="AR107" s="19">
        <v>0.14305555555555557</v>
      </c>
      <c r="AS107" s="8">
        <f>(3+(26/60))*AO107</f>
        <v>719.62666666666667</v>
      </c>
    </row>
    <row r="108" spans="1:53" x14ac:dyDescent="0.2">
      <c r="A108" s="2">
        <v>92</v>
      </c>
      <c r="B108" s="2">
        <v>102</v>
      </c>
      <c r="C108" s="2">
        <v>366</v>
      </c>
      <c r="E108" t="s">
        <v>125</v>
      </c>
      <c r="F108" t="s">
        <v>690</v>
      </c>
      <c r="H108" s="2">
        <v>191320</v>
      </c>
      <c r="I108" s="2">
        <v>69.39</v>
      </c>
      <c r="J108" s="15">
        <v>2.4780000000000002</v>
      </c>
      <c r="K108" s="15">
        <v>1.8660000000000001</v>
      </c>
      <c r="AJ108" s="2">
        <v>122.4</v>
      </c>
      <c r="AK108" s="2">
        <v>89.16</v>
      </c>
      <c r="AL108" s="2">
        <v>121</v>
      </c>
      <c r="AM108" s="2">
        <v>69.39</v>
      </c>
      <c r="AN108" s="14" t="s">
        <v>773</v>
      </c>
      <c r="AO108" s="2">
        <v>60.28</v>
      </c>
      <c r="AP108" s="2" t="s">
        <v>773</v>
      </c>
      <c r="AQ108" s="2" t="s">
        <v>773</v>
      </c>
      <c r="AR108" s="19">
        <v>4.5833333333333337E-2</v>
      </c>
      <c r="AS108" s="8">
        <f>(1+(6/60))*AO108</f>
        <v>66.308000000000007</v>
      </c>
      <c r="AX108" s="5"/>
      <c r="AY108" s="5"/>
      <c r="AZ108" s="5"/>
    </row>
    <row r="109" spans="1:53" x14ac:dyDescent="0.2">
      <c r="A109" s="2">
        <v>93</v>
      </c>
      <c r="B109" s="2">
        <v>83</v>
      </c>
      <c r="C109" s="2">
        <v>352</v>
      </c>
      <c r="E109" t="s">
        <v>137</v>
      </c>
      <c r="F109" t="s">
        <v>558</v>
      </c>
      <c r="G109" t="s">
        <v>1319</v>
      </c>
      <c r="H109" s="2">
        <v>2910</v>
      </c>
      <c r="I109" s="2">
        <v>69.819999999999993</v>
      </c>
      <c r="J109" s="15">
        <v>2.4929999999999999</v>
      </c>
      <c r="K109" s="15">
        <v>2</v>
      </c>
      <c r="AJ109" s="2">
        <v>62.15</v>
      </c>
      <c r="AK109" s="2">
        <v>69.81</v>
      </c>
      <c r="AL109" s="2">
        <v>69.819999999999993</v>
      </c>
      <c r="AM109" s="2">
        <v>63.23</v>
      </c>
      <c r="AN109" s="14" t="s">
        <v>773</v>
      </c>
      <c r="AO109" s="2">
        <v>69.09</v>
      </c>
      <c r="AP109" s="14" t="s">
        <v>773</v>
      </c>
      <c r="AQ109" s="14" t="s">
        <v>773</v>
      </c>
      <c r="AR109" s="19">
        <v>0.21875</v>
      </c>
      <c r="AS109" s="8">
        <f>(5+(15/60))*AO109</f>
        <v>362.72250000000003</v>
      </c>
    </row>
    <row r="110" spans="1:53" x14ac:dyDescent="0.2">
      <c r="A110" s="2">
        <v>94</v>
      </c>
      <c r="B110" s="2">
        <v>111</v>
      </c>
      <c r="C110" s="2">
        <v>342</v>
      </c>
      <c r="E110" t="s">
        <v>161</v>
      </c>
      <c r="F110" t="s">
        <v>547</v>
      </c>
      <c r="H110" s="2">
        <v>109950</v>
      </c>
      <c r="I110" s="2">
        <v>81.97</v>
      </c>
      <c r="J110" s="15">
        <v>2.927</v>
      </c>
      <c r="K110" s="15">
        <v>2.4039999999999999</v>
      </c>
      <c r="AJ110" s="2">
        <v>98.31</v>
      </c>
      <c r="AK110" s="2">
        <v>87.94</v>
      </c>
      <c r="AL110" s="2">
        <v>82.39</v>
      </c>
      <c r="AM110" s="2">
        <v>81.97</v>
      </c>
      <c r="AN110" s="14" t="s">
        <v>773</v>
      </c>
      <c r="AO110" s="2">
        <v>81.77</v>
      </c>
      <c r="AP110" s="14" t="s">
        <v>773</v>
      </c>
      <c r="AQ110" s="14" t="s">
        <v>773</v>
      </c>
      <c r="AR110" s="19">
        <v>0.20277777777777781</v>
      </c>
      <c r="AS110" s="8">
        <f>(4+(52/60))*AO110</f>
        <v>397.94733333333335</v>
      </c>
    </row>
    <row r="111" spans="1:53" x14ac:dyDescent="0.2">
      <c r="A111" s="2">
        <v>95</v>
      </c>
      <c r="B111" s="2">
        <v>116</v>
      </c>
      <c r="C111" s="2">
        <v>48</v>
      </c>
      <c r="E111" t="s">
        <v>141</v>
      </c>
      <c r="F111" t="s">
        <v>545</v>
      </c>
      <c r="H111" s="2">
        <v>97170</v>
      </c>
      <c r="I111" s="2">
        <v>479.8</v>
      </c>
      <c r="J111" s="15">
        <v>17.13</v>
      </c>
      <c r="K111" s="15">
        <v>12.68</v>
      </c>
      <c r="P111" s="8">
        <v>490.75950599999999</v>
      </c>
      <c r="Q111" s="8">
        <v>470.16313600000001</v>
      </c>
      <c r="R111" s="8">
        <v>477.77046999999999</v>
      </c>
      <c r="S111" s="8">
        <v>477.95627200000001</v>
      </c>
      <c r="T111" s="8">
        <v>520.09435299999996</v>
      </c>
      <c r="U111" s="8">
        <v>588.528547</v>
      </c>
      <c r="V111" s="8">
        <v>687.70965200000001</v>
      </c>
      <c r="W111" s="8">
        <v>611.64599999999996</v>
      </c>
      <c r="X111" s="8">
        <v>626.455015</v>
      </c>
      <c r="Y111" s="8">
        <v>613.15158099999996</v>
      </c>
      <c r="Z111" s="8">
        <v>621.32125900000005</v>
      </c>
      <c r="AA111" s="8">
        <v>580.37590699999998</v>
      </c>
      <c r="AB111" s="8">
        <v>627.26152100000002</v>
      </c>
      <c r="AJ111" s="2">
        <v>586.20000000000005</v>
      </c>
      <c r="AK111" s="2">
        <v>469</v>
      </c>
      <c r="AL111" s="2">
        <v>479.8</v>
      </c>
      <c r="AM111" s="2">
        <v>643.79999999999995</v>
      </c>
      <c r="AN111" s="14" t="s">
        <v>773</v>
      </c>
      <c r="AO111" s="2">
        <v>618.70000000000005</v>
      </c>
      <c r="AP111" s="14" t="s">
        <v>773</v>
      </c>
      <c r="AQ111" s="14" t="s">
        <v>773</v>
      </c>
      <c r="AR111" s="19">
        <v>0.35000000000000003</v>
      </c>
      <c r="AS111" s="8">
        <f>(8+(24/60))*AO111</f>
        <v>5197.0800000000008</v>
      </c>
    </row>
    <row r="112" spans="1:53" x14ac:dyDescent="0.2">
      <c r="A112" s="2">
        <v>96</v>
      </c>
      <c r="B112" s="2">
        <v>105</v>
      </c>
      <c r="C112" s="2">
        <v>422</v>
      </c>
      <c r="E112" t="s">
        <v>121</v>
      </c>
      <c r="F112" t="s">
        <v>556</v>
      </c>
      <c r="G112" t="s">
        <v>1280</v>
      </c>
      <c r="H112" s="2">
        <v>15680</v>
      </c>
      <c r="I112" s="2">
        <v>91.59</v>
      </c>
      <c r="J112" s="15">
        <v>3.2709999999999999</v>
      </c>
      <c r="K112" s="15">
        <v>2.6389999999999998</v>
      </c>
      <c r="AJ112" s="2">
        <v>97.15</v>
      </c>
      <c r="AK112" s="2">
        <v>111.8</v>
      </c>
      <c r="AL112" s="2">
        <v>87.7</v>
      </c>
      <c r="AM112" s="2">
        <v>91.59</v>
      </c>
      <c r="AN112" s="14" t="s">
        <v>773</v>
      </c>
      <c r="AO112" s="2">
        <v>101.6</v>
      </c>
      <c r="AP112" s="2" t="s">
        <v>773</v>
      </c>
      <c r="AQ112" s="2" t="s">
        <v>773</v>
      </c>
      <c r="AR112" s="19">
        <v>0.17430555555555557</v>
      </c>
      <c r="AS112" s="8">
        <f>(4+(11/60))*AO112</f>
        <v>425.02666666666664</v>
      </c>
    </row>
    <row r="113" spans="1:45" s="3" customFormat="1" x14ac:dyDescent="0.2">
      <c r="A113" s="4">
        <v>97</v>
      </c>
      <c r="B113" s="2">
        <v>156</v>
      </c>
      <c r="C113" s="4">
        <v>740</v>
      </c>
      <c r="D113" s="4"/>
      <c r="E113" s="3" t="s">
        <v>306</v>
      </c>
      <c r="F113" s="3" t="s">
        <v>1244</v>
      </c>
      <c r="H113" s="4">
        <v>108000</v>
      </c>
      <c r="I113" s="4">
        <v>45.8</v>
      </c>
      <c r="J113" s="16">
        <v>1.635</v>
      </c>
      <c r="K113" s="16">
        <v>1.028</v>
      </c>
      <c r="L113" s="4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4">
        <v>81.150000000000006</v>
      </c>
      <c r="AK113" s="4">
        <v>70.430000000000007</v>
      </c>
      <c r="AL113" s="4">
        <v>45.61</v>
      </c>
      <c r="AM113" s="4">
        <v>45.8</v>
      </c>
      <c r="AN113" s="46" t="s">
        <v>773</v>
      </c>
      <c r="AO113" s="46" t="s">
        <v>773</v>
      </c>
      <c r="AP113" s="46" t="s">
        <v>773</v>
      </c>
      <c r="AQ113" s="46" t="s">
        <v>773</v>
      </c>
      <c r="AR113" s="23">
        <v>0.32500000000000001</v>
      </c>
      <c r="AS113" s="47">
        <f>(7+(48/60))*AM113</f>
        <v>357.23999999999995</v>
      </c>
    </row>
    <row r="114" spans="1:45" s="3" customFormat="1" x14ac:dyDescent="0.2">
      <c r="A114" s="4">
        <v>98</v>
      </c>
      <c r="B114" s="2">
        <v>78</v>
      </c>
      <c r="C114" s="4">
        <v>315</v>
      </c>
      <c r="D114" s="4"/>
      <c r="E114" s="3" t="s">
        <v>135</v>
      </c>
      <c r="F114" s="3" t="s">
        <v>557</v>
      </c>
      <c r="H114" s="4">
        <v>87920</v>
      </c>
      <c r="I114" s="4">
        <v>91.11</v>
      </c>
      <c r="J114" s="16">
        <v>3.254</v>
      </c>
      <c r="K114" s="16">
        <v>2.714</v>
      </c>
      <c r="L114" s="4"/>
      <c r="M114" s="9"/>
      <c r="N114" s="9"/>
      <c r="O114" s="9"/>
      <c r="P114" s="47">
        <v>121.358643</v>
      </c>
      <c r="Q114" s="47">
        <v>122.158323</v>
      </c>
      <c r="R114" s="47">
        <v>123.050037</v>
      </c>
      <c r="S114" s="47">
        <v>130.00998000000001</v>
      </c>
      <c r="T114" s="47">
        <v>112.829432</v>
      </c>
      <c r="U114" s="47">
        <v>86.654787999999996</v>
      </c>
      <c r="V114" s="47">
        <v>80.452219999999997</v>
      </c>
      <c r="W114" s="47">
        <v>84.192243000000005</v>
      </c>
      <c r="X114" s="47">
        <v>96.508593000000005</v>
      </c>
      <c r="Y114" s="47">
        <v>106.220119</v>
      </c>
      <c r="Z114" s="47">
        <v>115.40329699999999</v>
      </c>
      <c r="AA114" s="47">
        <v>99.194010000000006</v>
      </c>
      <c r="AB114" s="47">
        <v>107.733481</v>
      </c>
      <c r="AC114" s="9"/>
      <c r="AD114" s="9"/>
      <c r="AE114" s="9"/>
      <c r="AF114" s="9"/>
      <c r="AG114" s="9"/>
      <c r="AH114" s="9"/>
      <c r="AI114" s="9"/>
      <c r="AJ114" s="4">
        <v>79.89</v>
      </c>
      <c r="AK114" s="4">
        <v>80.959999999999994</v>
      </c>
      <c r="AL114" s="4">
        <v>91.11</v>
      </c>
      <c r="AM114" s="4">
        <v>68.11</v>
      </c>
      <c r="AN114" s="46" t="s">
        <v>773</v>
      </c>
      <c r="AO114" s="4">
        <v>67.12</v>
      </c>
      <c r="AP114" s="46" t="s">
        <v>773</v>
      </c>
      <c r="AQ114" s="46" t="s">
        <v>773</v>
      </c>
      <c r="AR114" s="23">
        <v>0.14305555555555557</v>
      </c>
      <c r="AS114" s="47">
        <f>(3+(26/60))*AO114</f>
        <v>230.44533333333337</v>
      </c>
    </row>
    <row r="115" spans="1:45" x14ac:dyDescent="0.2">
      <c r="A115" s="2">
        <v>100</v>
      </c>
      <c r="B115" s="2">
        <v>8</v>
      </c>
      <c r="C115" s="2">
        <v>34</v>
      </c>
      <c r="E115" t="s">
        <v>1223</v>
      </c>
      <c r="F115" t="s">
        <v>533</v>
      </c>
      <c r="H115" s="2">
        <v>30480</v>
      </c>
      <c r="I115" s="2">
        <v>835.3</v>
      </c>
      <c r="J115" s="15">
        <v>29.72</v>
      </c>
      <c r="K115" s="15">
        <v>15.38</v>
      </c>
      <c r="P115" s="8">
        <v>97.053492000000006</v>
      </c>
      <c r="Q115" s="8">
        <v>101.972375</v>
      </c>
      <c r="R115" s="8">
        <v>98.915245999999996</v>
      </c>
      <c r="S115" s="8">
        <v>96.324033</v>
      </c>
      <c r="T115" s="8">
        <v>95.450507000000002</v>
      </c>
      <c r="U115" s="8">
        <v>83.932011000000003</v>
      </c>
      <c r="V115" s="8">
        <v>91.936893999999995</v>
      </c>
      <c r="W115" s="8">
        <v>107.078659</v>
      </c>
      <c r="X115" s="8">
        <v>51.331536999999997</v>
      </c>
      <c r="Y115" s="8">
        <v>4.2054010000000002</v>
      </c>
      <c r="Z115" s="2"/>
      <c r="AA115" s="2"/>
      <c r="AB115" s="2"/>
      <c r="AJ115" s="2">
        <v>256.3</v>
      </c>
      <c r="AK115" s="2">
        <v>1077</v>
      </c>
      <c r="AL115" s="2">
        <v>929.6</v>
      </c>
      <c r="AM115" s="2">
        <v>832.3</v>
      </c>
      <c r="AN115" s="14" t="s">
        <v>773</v>
      </c>
      <c r="AO115" s="2" t="s">
        <v>773</v>
      </c>
      <c r="AP115" s="2" t="s">
        <v>773</v>
      </c>
      <c r="AQ115" s="2" t="s">
        <v>773</v>
      </c>
      <c r="AR115" s="19">
        <v>0.24444444444444446</v>
      </c>
      <c r="AS115" s="8">
        <f>(5+(52/60)*AM115)</f>
        <v>726.3266666666666</v>
      </c>
    </row>
    <row r="116" spans="1:45" x14ac:dyDescent="0.2">
      <c r="A116" s="2">
        <v>101</v>
      </c>
      <c r="B116" s="2">
        <v>107</v>
      </c>
      <c r="C116" s="2">
        <v>129</v>
      </c>
      <c r="E116" t="s">
        <v>98</v>
      </c>
      <c r="F116" t="s">
        <v>6</v>
      </c>
      <c r="G116" t="s">
        <v>1237</v>
      </c>
      <c r="H116" s="2">
        <v>1000</v>
      </c>
      <c r="I116" s="2">
        <v>385.6</v>
      </c>
      <c r="J116" s="15">
        <v>13.77</v>
      </c>
      <c r="K116" s="15">
        <v>7.7549999999999999</v>
      </c>
      <c r="N116" s="1" t="s">
        <v>16</v>
      </c>
      <c r="P116" s="1">
        <v>795</v>
      </c>
      <c r="Q116" s="1">
        <v>795</v>
      </c>
      <c r="R116" s="1">
        <v>797</v>
      </c>
      <c r="S116" s="1">
        <v>781</v>
      </c>
      <c r="T116" s="1">
        <v>800</v>
      </c>
      <c r="U116" s="1">
        <v>770</v>
      </c>
      <c r="V116" s="1">
        <v>879</v>
      </c>
      <c r="W116" s="1">
        <v>865</v>
      </c>
      <c r="X116" s="1">
        <v>974</v>
      </c>
      <c r="Y116" s="1">
        <v>987</v>
      </c>
      <c r="Z116" s="1">
        <v>971</v>
      </c>
      <c r="AA116" s="1">
        <v>982</v>
      </c>
      <c r="AB116" s="1">
        <v>1095</v>
      </c>
      <c r="AJ116" s="2">
        <v>305.8</v>
      </c>
      <c r="AK116" s="2">
        <v>346.4</v>
      </c>
      <c r="AL116" s="2">
        <v>372</v>
      </c>
      <c r="AM116" s="2">
        <v>385.6</v>
      </c>
      <c r="AN116" s="2" t="s">
        <v>773</v>
      </c>
      <c r="AO116" s="2">
        <v>397</v>
      </c>
      <c r="AP116" s="2" t="s">
        <v>773</v>
      </c>
      <c r="AQ116" s="2" t="s">
        <v>773</v>
      </c>
      <c r="AR116" s="19">
        <v>0.18402777777777779</v>
      </c>
      <c r="AS116" s="60">
        <f>(4+(25/60))*AO116</f>
        <v>1753.4166666666667</v>
      </c>
    </row>
    <row r="117" spans="1:45" x14ac:dyDescent="0.2">
      <c r="A117" s="2">
        <v>172</v>
      </c>
      <c r="B117" s="2">
        <v>102</v>
      </c>
      <c r="C117" s="2">
        <v>289</v>
      </c>
      <c r="E117" t="s">
        <v>1346</v>
      </c>
      <c r="F117" t="s">
        <v>696</v>
      </c>
      <c r="H117" s="2">
        <v>0</v>
      </c>
      <c r="K117" s="15"/>
      <c r="AJ117" s="2">
        <v>164.6</v>
      </c>
      <c r="AK117" s="2" t="s">
        <v>773</v>
      </c>
      <c r="AL117" s="2" t="s">
        <v>773</v>
      </c>
      <c r="AM117" s="2" t="s">
        <v>773</v>
      </c>
      <c r="AN117" s="2" t="s">
        <v>773</v>
      </c>
      <c r="AO117" s="2" t="s">
        <v>773</v>
      </c>
      <c r="AP117" s="2" t="s">
        <v>773</v>
      </c>
      <c r="AQ117" s="2" t="s">
        <v>773</v>
      </c>
      <c r="AR117" s="19">
        <v>0.20833333333333334</v>
      </c>
      <c r="AS117" s="60">
        <f>(5+(0/60))*AJ117</f>
        <v>823</v>
      </c>
    </row>
    <row r="118" spans="1:45" x14ac:dyDescent="0.2">
      <c r="A118" s="2">
        <v>103</v>
      </c>
      <c r="B118" s="2">
        <v>113</v>
      </c>
      <c r="C118" s="2">
        <v>81</v>
      </c>
      <c r="E118" t="s">
        <v>128</v>
      </c>
      <c r="F118" t="s">
        <v>7</v>
      </c>
      <c r="H118" s="2">
        <v>2000000</v>
      </c>
      <c r="I118" s="2">
        <v>388.5</v>
      </c>
      <c r="J118" s="15">
        <v>13.91</v>
      </c>
      <c r="K118" s="15">
        <v>8.266</v>
      </c>
      <c r="P118" s="8">
        <v>745.16992300000004</v>
      </c>
      <c r="Q118" s="8">
        <v>760.82020199999999</v>
      </c>
      <c r="R118" s="8">
        <v>755.60777099999996</v>
      </c>
      <c r="S118" s="8">
        <v>752.661023</v>
      </c>
      <c r="T118" s="8">
        <v>696.80112999999994</v>
      </c>
      <c r="U118" s="8">
        <v>673.04865099999995</v>
      </c>
      <c r="V118" s="8">
        <v>723.23583199999996</v>
      </c>
      <c r="W118" s="8">
        <v>656.74121500000001</v>
      </c>
      <c r="X118" s="8">
        <v>789.62536499999999</v>
      </c>
      <c r="Y118" s="8">
        <v>881.10868500000004</v>
      </c>
      <c r="Z118" s="8">
        <v>772.18099199999995</v>
      </c>
      <c r="AA118" s="8">
        <v>697.44752600000004</v>
      </c>
      <c r="AB118" s="8">
        <v>642.27407100000005</v>
      </c>
      <c r="AJ118" s="2">
        <v>446.5</v>
      </c>
      <c r="AK118" s="2">
        <v>385.3</v>
      </c>
      <c r="AL118" s="2">
        <v>388.5</v>
      </c>
      <c r="AM118" s="2">
        <v>389.5</v>
      </c>
      <c r="AN118" s="14" t="s">
        <v>773</v>
      </c>
      <c r="AO118" s="2">
        <v>381.2</v>
      </c>
      <c r="AP118" s="2" t="s">
        <v>773</v>
      </c>
      <c r="AQ118" s="2" t="s">
        <v>773</v>
      </c>
      <c r="AR118" s="19">
        <v>0.3125</v>
      </c>
      <c r="AS118" s="8">
        <f>7.5*AO118</f>
        <v>2859</v>
      </c>
    </row>
    <row r="119" spans="1:45" x14ac:dyDescent="0.2">
      <c r="A119" s="2">
        <v>104</v>
      </c>
      <c r="B119" s="2">
        <v>106</v>
      </c>
      <c r="C119" s="2">
        <v>306</v>
      </c>
      <c r="E119" t="s">
        <v>116</v>
      </c>
      <c r="F119" t="s">
        <v>554</v>
      </c>
      <c r="H119" s="2">
        <v>12330</v>
      </c>
      <c r="I119" s="2">
        <v>134.19999999999999</v>
      </c>
      <c r="J119" s="15">
        <v>4.7949999999999999</v>
      </c>
      <c r="K119" s="15">
        <v>2.6760000000000002</v>
      </c>
      <c r="P119" s="8">
        <v>179.57813400000001</v>
      </c>
      <c r="Q119" s="8">
        <v>176.32757100000001</v>
      </c>
      <c r="R119" s="8">
        <v>180.422067</v>
      </c>
      <c r="S119" s="8">
        <v>182.77253899999999</v>
      </c>
      <c r="T119" s="8">
        <v>173.460284</v>
      </c>
      <c r="U119" s="8">
        <v>168.02794800000001</v>
      </c>
      <c r="V119" s="8">
        <v>166.56506400000001</v>
      </c>
      <c r="W119" s="8">
        <v>168.72059899999999</v>
      </c>
      <c r="X119" s="8">
        <v>184.939336</v>
      </c>
      <c r="Y119" s="8">
        <v>182.33801700000001</v>
      </c>
      <c r="Z119" s="8">
        <v>199.25774799999999</v>
      </c>
      <c r="AA119" s="8">
        <v>185.48449400000001</v>
      </c>
      <c r="AB119" s="8">
        <v>191.64776800000001</v>
      </c>
      <c r="AJ119" s="2">
        <v>146.4</v>
      </c>
      <c r="AK119" s="2">
        <v>113.8</v>
      </c>
      <c r="AL119" s="2">
        <v>142.69999999999999</v>
      </c>
      <c r="AM119" s="2">
        <v>134.19999999999999</v>
      </c>
      <c r="AN119" s="14" t="s">
        <v>773</v>
      </c>
      <c r="AO119" s="2">
        <v>122.4</v>
      </c>
      <c r="AP119" s="2" t="s">
        <v>773</v>
      </c>
      <c r="AQ119" s="2" t="s">
        <v>773</v>
      </c>
      <c r="AR119" s="19">
        <v>0.15625</v>
      </c>
      <c r="AS119" s="8">
        <f>(3+(45/60))*AO119</f>
        <v>459</v>
      </c>
    </row>
    <row r="120" spans="1:45" x14ac:dyDescent="0.2">
      <c r="A120" s="2">
        <v>105</v>
      </c>
      <c r="B120" s="2">
        <v>109</v>
      </c>
      <c r="C120" s="2">
        <v>67</v>
      </c>
      <c r="E120" t="s">
        <v>139</v>
      </c>
      <c r="F120" t="s">
        <v>6</v>
      </c>
      <c r="H120" s="2">
        <v>19000</v>
      </c>
      <c r="I120" s="2">
        <v>485.4</v>
      </c>
      <c r="J120" s="15">
        <v>17.329999999999998</v>
      </c>
      <c r="K120" s="15">
        <v>10.87</v>
      </c>
      <c r="P120" s="8">
        <v>789.85226799999998</v>
      </c>
      <c r="Q120" s="8">
        <v>708.35487499999999</v>
      </c>
      <c r="R120" s="8">
        <v>832.17317600000001</v>
      </c>
      <c r="S120" s="8">
        <v>772.499686</v>
      </c>
      <c r="T120" s="8">
        <v>697.56350599999996</v>
      </c>
      <c r="U120" s="8">
        <v>574.00708799999995</v>
      </c>
      <c r="V120" s="8">
        <v>603.34695599999998</v>
      </c>
      <c r="W120" s="8">
        <v>646.34732599999995</v>
      </c>
      <c r="X120" s="8">
        <v>736.28967499999999</v>
      </c>
      <c r="Y120" s="8">
        <v>665.856131</v>
      </c>
      <c r="Z120" s="8">
        <v>723.02603799999997</v>
      </c>
      <c r="AA120" s="8">
        <v>609.25093900000002</v>
      </c>
      <c r="AB120" s="8">
        <v>571.95993999999996</v>
      </c>
      <c r="AJ120" s="2">
        <v>572.79999999999995</v>
      </c>
      <c r="AK120" s="2">
        <v>414.6</v>
      </c>
      <c r="AL120" s="2">
        <v>485.4</v>
      </c>
      <c r="AM120" s="2">
        <v>390.1</v>
      </c>
      <c r="AN120" s="14" t="s">
        <v>773</v>
      </c>
      <c r="AO120" s="2">
        <v>392.4</v>
      </c>
      <c r="AP120" s="14" t="s">
        <v>773</v>
      </c>
      <c r="AQ120" s="14" t="s">
        <v>773</v>
      </c>
      <c r="AR120" s="19">
        <v>0.43888888888888888</v>
      </c>
      <c r="AS120" s="8">
        <f>(10+(32/60))*AO120</f>
        <v>4133.28</v>
      </c>
    </row>
    <row r="121" spans="1:45" x14ac:dyDescent="0.2">
      <c r="A121" s="2">
        <v>106</v>
      </c>
      <c r="B121" s="2">
        <v>95</v>
      </c>
      <c r="C121" s="2">
        <v>115</v>
      </c>
      <c r="E121" t="s">
        <v>131</v>
      </c>
      <c r="F121" t="s">
        <v>6</v>
      </c>
      <c r="G121" t="s">
        <v>1319</v>
      </c>
      <c r="H121" s="2">
        <v>64000</v>
      </c>
      <c r="I121" s="2">
        <v>217</v>
      </c>
      <c r="J121" s="15">
        <v>7.7519999999999998</v>
      </c>
      <c r="K121" s="15">
        <v>5.9859999999999998</v>
      </c>
      <c r="P121" s="8">
        <v>215.03395399999999</v>
      </c>
      <c r="Q121" s="8">
        <v>178.64958899999999</v>
      </c>
      <c r="R121" s="8">
        <v>225.96984399999999</v>
      </c>
      <c r="S121" s="8">
        <v>200.068085</v>
      </c>
      <c r="T121" s="8">
        <v>186.96009100000001</v>
      </c>
      <c r="U121" s="8">
        <v>189.323296</v>
      </c>
      <c r="V121" s="8">
        <v>226.45612499999999</v>
      </c>
      <c r="W121" s="8">
        <v>271.475143</v>
      </c>
      <c r="X121" s="8">
        <v>276.86228799999998</v>
      </c>
      <c r="Y121" s="8">
        <v>242.73708099999999</v>
      </c>
      <c r="Z121" s="8">
        <v>253.793161</v>
      </c>
      <c r="AA121" s="8">
        <v>200.45792299999999</v>
      </c>
      <c r="AB121" s="8">
        <v>203.828779</v>
      </c>
      <c r="AJ121" s="2">
        <v>187.5</v>
      </c>
      <c r="AK121" s="2">
        <v>148.19999999999999</v>
      </c>
      <c r="AL121" s="2">
        <v>196.3</v>
      </c>
      <c r="AM121" s="2">
        <v>217</v>
      </c>
      <c r="AN121" s="14" t="s">
        <v>773</v>
      </c>
      <c r="AO121" s="2">
        <v>229.6</v>
      </c>
      <c r="AP121" s="2" t="s">
        <v>773</v>
      </c>
      <c r="AQ121" s="2" t="s">
        <v>773</v>
      </c>
      <c r="AR121" s="19">
        <v>0.31388888888888888</v>
      </c>
      <c r="AS121" s="8">
        <f>(7+(32/60))*AO121</f>
        <v>1729.6533333333332</v>
      </c>
    </row>
    <row r="122" spans="1:45" x14ac:dyDescent="0.2">
      <c r="A122" s="2">
        <v>107</v>
      </c>
      <c r="B122" s="2">
        <v>96</v>
      </c>
      <c r="C122" s="2">
        <v>395</v>
      </c>
      <c r="E122" t="s">
        <v>118</v>
      </c>
      <c r="F122" t="s">
        <v>688</v>
      </c>
      <c r="G122" t="s">
        <v>1280</v>
      </c>
      <c r="H122" s="2">
        <v>4070</v>
      </c>
      <c r="I122" s="2">
        <v>70.19</v>
      </c>
      <c r="J122" s="15">
        <v>2.5070000000000001</v>
      </c>
      <c r="K122" s="15">
        <v>2.0550000000000002</v>
      </c>
      <c r="AJ122" s="2">
        <v>65.47</v>
      </c>
      <c r="AK122" s="2">
        <v>116.3</v>
      </c>
      <c r="AL122" s="2">
        <v>77.16</v>
      </c>
      <c r="AM122" s="2">
        <v>70.19</v>
      </c>
      <c r="AN122" s="14" t="s">
        <v>773</v>
      </c>
      <c r="AO122" s="2">
        <v>85.37</v>
      </c>
      <c r="AP122" s="2" t="s">
        <v>773</v>
      </c>
      <c r="AQ122" s="2" t="s">
        <v>773</v>
      </c>
      <c r="AR122" s="19">
        <v>0.20972222222222223</v>
      </c>
      <c r="AS122" s="8">
        <f>(5+(2/60))*AO122</f>
        <v>429.69566666666668</v>
      </c>
    </row>
    <row r="123" spans="1:45" x14ac:dyDescent="0.2">
      <c r="A123" s="2">
        <v>108</v>
      </c>
      <c r="B123" s="2">
        <v>114</v>
      </c>
      <c r="C123" s="2">
        <v>216</v>
      </c>
      <c r="E123" t="s">
        <v>152</v>
      </c>
      <c r="F123" t="s">
        <v>563</v>
      </c>
      <c r="H123" s="2">
        <v>197580</v>
      </c>
      <c r="I123" s="2">
        <v>117</v>
      </c>
      <c r="J123" s="15">
        <v>4.1790000000000003</v>
      </c>
      <c r="K123" s="15">
        <v>1.93</v>
      </c>
      <c r="P123" s="8">
        <v>97.972807000000003</v>
      </c>
      <c r="Q123" s="8">
        <v>93.468960999999993</v>
      </c>
      <c r="R123" s="8">
        <v>90.149010000000004</v>
      </c>
      <c r="S123" s="8">
        <v>105.386562</v>
      </c>
      <c r="T123" s="8">
        <v>112.572558</v>
      </c>
      <c r="U123" s="8">
        <v>118.011607</v>
      </c>
      <c r="V123" s="8">
        <v>121.001616</v>
      </c>
      <c r="W123" s="8">
        <v>130.96588800000001</v>
      </c>
      <c r="X123" s="8">
        <v>141.65188599999999</v>
      </c>
      <c r="Y123" s="8">
        <v>140.364499</v>
      </c>
      <c r="Z123" s="8">
        <v>152.82569799999999</v>
      </c>
      <c r="AA123" s="8">
        <v>150.339483</v>
      </c>
      <c r="AB123" s="8">
        <v>186.78333799999999</v>
      </c>
      <c r="AJ123" s="2">
        <v>133.5</v>
      </c>
      <c r="AK123" s="2">
        <v>83.45</v>
      </c>
      <c r="AL123" s="2">
        <v>107.9</v>
      </c>
      <c r="AM123" s="2">
        <v>117</v>
      </c>
      <c r="AN123" s="14" t="s">
        <v>773</v>
      </c>
      <c r="AO123" s="2">
        <v>116.7</v>
      </c>
      <c r="AP123" s="14" t="s">
        <v>773</v>
      </c>
      <c r="AQ123" s="14" t="s">
        <v>773</v>
      </c>
      <c r="AR123" s="19">
        <v>0.74444444444444446</v>
      </c>
      <c r="AS123" s="8">
        <f>(17+(52/60))*AO123</f>
        <v>2085.04</v>
      </c>
    </row>
    <row r="124" spans="1:45" x14ac:dyDescent="0.2">
      <c r="A124" s="2">
        <v>109</v>
      </c>
      <c r="B124" s="2">
        <v>87</v>
      </c>
      <c r="C124" s="2">
        <v>322</v>
      </c>
      <c r="E124" t="s">
        <v>111</v>
      </c>
      <c r="F124" t="s">
        <v>683</v>
      </c>
      <c r="H124" s="2">
        <v>17970</v>
      </c>
      <c r="I124" s="2">
        <v>116.3</v>
      </c>
      <c r="J124" s="15">
        <v>4.1550000000000002</v>
      </c>
      <c r="K124" s="15">
        <v>3.4620000000000002</v>
      </c>
      <c r="P124" s="8">
        <v>137.09609</v>
      </c>
      <c r="Q124" s="8">
        <v>113.56272800000001</v>
      </c>
      <c r="R124" s="8">
        <v>137.163149</v>
      </c>
      <c r="S124" s="8">
        <v>135.85758200000001</v>
      </c>
      <c r="T124" s="8">
        <v>142.45541499999999</v>
      </c>
      <c r="U124" s="8">
        <v>136.10682299999999</v>
      </c>
      <c r="V124" s="8">
        <v>124.612246</v>
      </c>
      <c r="W124" s="8">
        <v>129.278693</v>
      </c>
      <c r="X124" s="8">
        <v>141.47256400000001</v>
      </c>
      <c r="Y124" s="8">
        <v>141.13672199999999</v>
      </c>
      <c r="Z124" s="8">
        <v>162.19826599999999</v>
      </c>
      <c r="AA124" s="8">
        <v>125.57170000000001</v>
      </c>
      <c r="AB124" s="8">
        <v>106.977389</v>
      </c>
      <c r="AJ124" s="2">
        <v>90.49</v>
      </c>
      <c r="AK124" s="2">
        <v>85.63</v>
      </c>
      <c r="AL124" s="2">
        <v>115.1</v>
      </c>
      <c r="AM124" s="2">
        <v>116.3</v>
      </c>
      <c r="AN124" s="14" t="s">
        <v>773</v>
      </c>
      <c r="AO124" s="2">
        <v>99.1</v>
      </c>
      <c r="AP124" s="2" t="s">
        <v>773</v>
      </c>
      <c r="AQ124" s="2" t="s">
        <v>773</v>
      </c>
      <c r="AR124" s="19">
        <v>0.12986111111111112</v>
      </c>
      <c r="AS124" s="8">
        <f>(3+(7/60))*AO124</f>
        <v>308.86166666666668</v>
      </c>
    </row>
    <row r="125" spans="1:45" x14ac:dyDescent="0.2">
      <c r="A125" s="2">
        <v>110</v>
      </c>
      <c r="B125" s="2">
        <v>124</v>
      </c>
      <c r="C125" s="2">
        <v>560</v>
      </c>
      <c r="E125" t="s">
        <v>260</v>
      </c>
      <c r="I125" s="2">
        <v>32.54</v>
      </c>
      <c r="J125" s="15">
        <v>1.1619999999999999</v>
      </c>
      <c r="K125" s="15">
        <v>0.63816600000000001</v>
      </c>
      <c r="AJ125" s="2">
        <v>33.15</v>
      </c>
      <c r="AK125" s="2">
        <v>33.5</v>
      </c>
      <c r="AL125" s="2">
        <v>30.7</v>
      </c>
      <c r="AM125" s="2">
        <v>32.54</v>
      </c>
      <c r="AN125" s="14" t="s">
        <v>773</v>
      </c>
      <c r="AO125" s="14" t="s">
        <v>773</v>
      </c>
      <c r="AP125" s="14" t="s">
        <v>773</v>
      </c>
      <c r="AQ125" s="14" t="s">
        <v>773</v>
      </c>
      <c r="AR125" s="19">
        <v>0.77708333333333324</v>
      </c>
      <c r="AS125" s="8">
        <f>(18+(39/60))*AM125</f>
        <v>606.87099999999998</v>
      </c>
    </row>
    <row r="126" spans="1:45" x14ac:dyDescent="0.2">
      <c r="A126" s="2">
        <v>111</v>
      </c>
      <c r="B126" s="2">
        <v>101</v>
      </c>
      <c r="C126" s="2">
        <v>384</v>
      </c>
      <c r="E126" t="s">
        <v>240</v>
      </c>
      <c r="F126" t="s">
        <v>1252</v>
      </c>
      <c r="G126" t="s">
        <v>1316</v>
      </c>
      <c r="H126" s="2">
        <v>4700</v>
      </c>
      <c r="I126" s="2">
        <v>39.369999999999997</v>
      </c>
      <c r="J126" s="15">
        <v>1.4059999999999999</v>
      </c>
      <c r="K126" s="15">
        <v>0.99961</v>
      </c>
      <c r="AJ126" s="2">
        <v>37.130000000000003</v>
      </c>
      <c r="AK126" s="2">
        <v>40.99</v>
      </c>
      <c r="AL126" s="2">
        <v>41.99</v>
      </c>
      <c r="AM126" s="57">
        <v>39.369999999999997</v>
      </c>
      <c r="AN126" s="57" t="s">
        <v>773</v>
      </c>
      <c r="AO126" s="57">
        <v>39.659999999999997</v>
      </c>
      <c r="AP126" s="57" t="s">
        <v>773</v>
      </c>
      <c r="AQ126" s="57" t="s">
        <v>773</v>
      </c>
      <c r="AR126" s="19">
        <v>0.59027777777777779</v>
      </c>
      <c r="AS126" s="8">
        <f>(14+(10/60))*AO126</f>
        <v>561.84999999999991</v>
      </c>
    </row>
    <row r="127" spans="1:45" x14ac:dyDescent="0.2">
      <c r="A127" s="2">
        <v>112</v>
      </c>
      <c r="B127" s="2">
        <v>100</v>
      </c>
      <c r="C127" s="2">
        <v>170</v>
      </c>
      <c r="E127" t="s">
        <v>112</v>
      </c>
      <c r="F127" t="s">
        <v>684</v>
      </c>
      <c r="G127" t="s">
        <v>1324</v>
      </c>
      <c r="H127" s="2">
        <v>7500</v>
      </c>
      <c r="I127" s="2">
        <v>202.8</v>
      </c>
      <c r="J127" s="15">
        <v>7.2430000000000003</v>
      </c>
      <c r="K127" s="15">
        <v>4.133</v>
      </c>
      <c r="P127" s="8">
        <v>365.70567599999998</v>
      </c>
      <c r="Q127" s="8">
        <v>363.51007600000003</v>
      </c>
      <c r="R127" s="8">
        <v>368.283906</v>
      </c>
      <c r="S127" s="8">
        <v>366.05664899999999</v>
      </c>
      <c r="T127" s="8">
        <v>346.96698199999997</v>
      </c>
      <c r="U127" s="8">
        <v>356.48306500000001</v>
      </c>
      <c r="V127" s="8">
        <v>383.94909699999999</v>
      </c>
      <c r="W127" s="8">
        <v>385.124955</v>
      </c>
      <c r="X127" s="8">
        <v>381.51028500000001</v>
      </c>
      <c r="Y127" s="8">
        <v>418.477507</v>
      </c>
      <c r="Z127" s="8">
        <v>416.96907800000002</v>
      </c>
      <c r="AA127" s="8">
        <v>405.37161700000001</v>
      </c>
      <c r="AB127" s="8">
        <v>416.61540200000002</v>
      </c>
      <c r="AJ127" s="2">
        <v>145.9</v>
      </c>
      <c r="AK127" s="2">
        <v>183</v>
      </c>
      <c r="AL127" s="2">
        <v>177.5</v>
      </c>
      <c r="AM127" s="2">
        <v>202.8</v>
      </c>
      <c r="AN127" s="14" t="s">
        <v>773</v>
      </c>
      <c r="AO127" s="2">
        <v>207.7</v>
      </c>
      <c r="AP127" s="2" t="s">
        <v>773</v>
      </c>
      <c r="AQ127" s="2" t="s">
        <v>773</v>
      </c>
      <c r="AR127" s="19">
        <v>0.37083333333333335</v>
      </c>
      <c r="AS127" s="8">
        <f>(8+(54/60))*AO127</f>
        <v>1848.53</v>
      </c>
    </row>
    <row r="128" spans="1:45" x14ac:dyDescent="0.2">
      <c r="A128" s="2">
        <v>113</v>
      </c>
      <c r="B128" s="2">
        <v>108</v>
      </c>
      <c r="C128" s="2">
        <v>119</v>
      </c>
      <c r="E128" t="s">
        <v>142</v>
      </c>
      <c r="F128" t="s">
        <v>546</v>
      </c>
      <c r="G128" t="s">
        <v>1328</v>
      </c>
      <c r="H128" s="2">
        <v>153870</v>
      </c>
      <c r="I128" s="2">
        <v>266.2</v>
      </c>
      <c r="J128" s="15">
        <v>9.5079999999999991</v>
      </c>
      <c r="K128" s="15">
        <v>7.4660000000000002</v>
      </c>
      <c r="P128" s="8">
        <v>440.25385999999997</v>
      </c>
      <c r="Q128" s="8">
        <v>417.26810999999998</v>
      </c>
      <c r="R128" s="8">
        <v>440.62811599999998</v>
      </c>
      <c r="S128" s="8">
        <v>451.49653599999999</v>
      </c>
      <c r="T128" s="8">
        <v>435.34655800000002</v>
      </c>
      <c r="U128" s="8">
        <v>390.43083799999999</v>
      </c>
      <c r="V128" s="8">
        <v>419.933379</v>
      </c>
      <c r="W128" s="8">
        <v>409.91661800000003</v>
      </c>
      <c r="X128" s="8">
        <v>436.15326700000003</v>
      </c>
      <c r="Y128" s="8">
        <v>417.46928300000002</v>
      </c>
      <c r="Z128" s="8">
        <v>460.90646800000002</v>
      </c>
      <c r="AA128" s="8">
        <v>393.70883600000002</v>
      </c>
      <c r="AB128" s="8">
        <v>366.26575200000002</v>
      </c>
      <c r="AJ128" s="2">
        <v>291.10000000000002</v>
      </c>
      <c r="AK128" s="2">
        <v>237.6</v>
      </c>
      <c r="AL128" s="2">
        <v>266.2</v>
      </c>
      <c r="AM128" s="2">
        <v>239.7</v>
      </c>
      <c r="AN128" s="14" t="s">
        <v>773</v>
      </c>
      <c r="AO128" s="2">
        <v>241.4</v>
      </c>
      <c r="AP128" s="14" t="s">
        <v>773</v>
      </c>
      <c r="AQ128" s="14" t="s">
        <v>773</v>
      </c>
      <c r="AR128" s="19">
        <v>0.15833333333333333</v>
      </c>
      <c r="AS128" s="8">
        <f>(3+(48/60))*AO128</f>
        <v>917.31999999999994</v>
      </c>
    </row>
    <row r="129" spans="1:52" x14ac:dyDescent="0.2">
      <c r="A129" s="2">
        <v>114</v>
      </c>
      <c r="B129" s="2">
        <v>119</v>
      </c>
      <c r="C129" s="2">
        <v>520</v>
      </c>
      <c r="E129" t="s">
        <v>177</v>
      </c>
      <c r="G129" t="s">
        <v>1264</v>
      </c>
      <c r="I129" s="2">
        <v>54.79</v>
      </c>
      <c r="J129" s="15">
        <v>1.9570000000000001</v>
      </c>
      <c r="K129" s="15">
        <v>1.526</v>
      </c>
      <c r="AJ129" s="2">
        <v>52.09</v>
      </c>
      <c r="AK129" s="2">
        <v>53.99</v>
      </c>
      <c r="AL129" s="2">
        <v>57.9</v>
      </c>
      <c r="AM129" s="2">
        <v>54.79</v>
      </c>
      <c r="AN129" s="14" t="s">
        <v>773</v>
      </c>
      <c r="AO129" s="2">
        <f>56.84</f>
        <v>56.84</v>
      </c>
      <c r="AP129" s="14" t="s">
        <v>773</v>
      </c>
      <c r="AQ129" s="14" t="s">
        <v>773</v>
      </c>
      <c r="AR129" s="19">
        <v>0.21666666666666667</v>
      </c>
      <c r="AS129" s="8">
        <f>(5+(12/60))*AO129</f>
        <v>295.56800000000004</v>
      </c>
    </row>
    <row r="130" spans="1:52" x14ac:dyDescent="0.2">
      <c r="A130" s="2">
        <v>115</v>
      </c>
      <c r="B130" s="2">
        <v>128</v>
      </c>
      <c r="C130" s="2">
        <v>540</v>
      </c>
      <c r="E130" t="s">
        <v>155</v>
      </c>
      <c r="F130" t="s">
        <v>559</v>
      </c>
      <c r="H130" s="2">
        <v>25590</v>
      </c>
      <c r="I130" s="2">
        <v>59.09</v>
      </c>
      <c r="J130" s="15">
        <v>2.11</v>
      </c>
      <c r="K130" s="15">
        <v>1.6930000000000001</v>
      </c>
      <c r="AJ130" s="2">
        <v>67.62</v>
      </c>
      <c r="AK130" s="2">
        <v>60.24</v>
      </c>
      <c r="AL130" s="2">
        <v>60.82</v>
      </c>
      <c r="AM130" s="2">
        <v>59.09</v>
      </c>
      <c r="AN130" s="14" t="s">
        <v>773</v>
      </c>
      <c r="AO130" s="2">
        <v>63.04</v>
      </c>
      <c r="AP130" s="14" t="s">
        <v>773</v>
      </c>
      <c r="AQ130" s="14" t="s">
        <v>773</v>
      </c>
      <c r="AR130" s="19">
        <v>0.31527777777777777</v>
      </c>
      <c r="AS130" s="8">
        <f>(7+(34/60))*AO130</f>
        <v>477.00266666666664</v>
      </c>
    </row>
    <row r="131" spans="1:52" s="3" customFormat="1" x14ac:dyDescent="0.2">
      <c r="A131" s="4">
        <v>116</v>
      </c>
      <c r="B131" s="4">
        <v>158</v>
      </c>
      <c r="C131" s="4">
        <v>461</v>
      </c>
      <c r="D131" s="4"/>
      <c r="E131" s="3" t="s">
        <v>133</v>
      </c>
      <c r="F131" s="3" t="s">
        <v>6</v>
      </c>
      <c r="G131" s="3" t="s">
        <v>1271</v>
      </c>
      <c r="H131" s="4">
        <v>300</v>
      </c>
      <c r="I131" s="4">
        <v>108.4</v>
      </c>
      <c r="J131" s="16">
        <v>3.8719999999999999</v>
      </c>
      <c r="K131" s="16">
        <v>3.4780000000000002</v>
      </c>
      <c r="L131" s="4">
        <v>72.209999999999994</v>
      </c>
      <c r="M131" s="9"/>
      <c r="N131" s="9"/>
      <c r="O131" s="9"/>
      <c r="P131" s="58">
        <v>148.69</v>
      </c>
      <c r="Q131" s="58">
        <v>158.51</v>
      </c>
      <c r="R131" s="58">
        <v>153.79</v>
      </c>
      <c r="S131" s="58">
        <v>141.47999999999999</v>
      </c>
      <c r="T131" s="58">
        <v>135.12</v>
      </c>
      <c r="U131" s="58">
        <v>146.35</v>
      </c>
      <c r="V131" s="58">
        <v>149.66</v>
      </c>
      <c r="W131" s="58">
        <v>148.88</v>
      </c>
      <c r="X131" s="58">
        <v>162.41</v>
      </c>
      <c r="Y131" s="58">
        <v>155.28</v>
      </c>
      <c r="Z131" s="58">
        <v>168.44</v>
      </c>
      <c r="AA131" s="58">
        <v>158.62</v>
      </c>
      <c r="AB131" s="58">
        <v>155.25</v>
      </c>
      <c r="AC131" s="9"/>
      <c r="AD131" s="9"/>
      <c r="AE131" s="9"/>
      <c r="AF131" s="9"/>
      <c r="AG131" s="9"/>
      <c r="AH131" s="9"/>
      <c r="AI131" s="9"/>
      <c r="AJ131" s="4">
        <v>169.4</v>
      </c>
      <c r="AK131" s="4">
        <v>112.9</v>
      </c>
      <c r="AL131" s="4">
        <v>108.4</v>
      </c>
      <c r="AM131" s="4">
        <v>118.1</v>
      </c>
      <c r="AN131" s="46" t="s">
        <v>773</v>
      </c>
      <c r="AO131" s="4">
        <v>109.5</v>
      </c>
      <c r="AP131" s="46" t="s">
        <v>773</v>
      </c>
      <c r="AQ131" s="46" t="s">
        <v>773</v>
      </c>
      <c r="AR131" s="23">
        <v>4.9999999999999996E-2</v>
      </c>
      <c r="AS131" s="47">
        <f>(1+(12/60))*AO131</f>
        <v>131.4</v>
      </c>
    </row>
    <row r="132" spans="1:52" x14ac:dyDescent="0.2">
      <c r="A132" s="2">
        <v>117</v>
      </c>
      <c r="B132" s="2">
        <v>110</v>
      </c>
      <c r="C132" s="2">
        <v>429</v>
      </c>
      <c r="E132" t="s">
        <v>269</v>
      </c>
      <c r="G132" t="s">
        <v>1237</v>
      </c>
      <c r="I132" s="2">
        <v>44.14</v>
      </c>
      <c r="J132" s="15">
        <v>1.5760000000000001</v>
      </c>
      <c r="K132" s="15">
        <v>1.4119999999999999</v>
      </c>
      <c r="AJ132" s="2">
        <v>135.19999999999999</v>
      </c>
      <c r="AK132" s="2">
        <v>73.650000000000006</v>
      </c>
      <c r="AL132" s="2">
        <v>47.37</v>
      </c>
      <c r="AM132" s="2">
        <v>44.14</v>
      </c>
      <c r="AN132" s="14" t="s">
        <v>773</v>
      </c>
      <c r="AO132" s="14" t="s">
        <v>773</v>
      </c>
      <c r="AP132" s="14" t="s">
        <v>773</v>
      </c>
      <c r="AQ132" s="14" t="s">
        <v>773</v>
      </c>
      <c r="AR132" s="19">
        <v>4.5138888888888888E-2</v>
      </c>
      <c r="AS132" s="8">
        <f>(1+(12/60))*AM132</f>
        <v>52.967999999999996</v>
      </c>
    </row>
    <row r="133" spans="1:52" x14ac:dyDescent="0.2">
      <c r="A133" s="2">
        <v>118</v>
      </c>
      <c r="B133" s="2">
        <v>112</v>
      </c>
      <c r="C133" s="2">
        <v>501</v>
      </c>
      <c r="E133" t="s">
        <v>158</v>
      </c>
      <c r="F133" t="s">
        <v>560</v>
      </c>
      <c r="G133" t="s">
        <v>1280</v>
      </c>
      <c r="H133" s="2">
        <v>2200</v>
      </c>
      <c r="I133" s="2">
        <v>60.04</v>
      </c>
      <c r="J133" s="15">
        <v>2.1440000000000001</v>
      </c>
      <c r="K133" s="15">
        <v>1.792</v>
      </c>
      <c r="AJ133" s="2">
        <v>51.77</v>
      </c>
      <c r="AK133" s="2">
        <v>74.849999999999994</v>
      </c>
      <c r="AL133" s="2">
        <v>57.59</v>
      </c>
      <c r="AM133" s="2">
        <v>60.04</v>
      </c>
      <c r="AN133" s="14" t="s">
        <v>773</v>
      </c>
      <c r="AO133" s="2">
        <v>55.94</v>
      </c>
      <c r="AP133" s="14" t="s">
        <v>773</v>
      </c>
      <c r="AQ133" s="14" t="s">
        <v>773</v>
      </c>
      <c r="AR133" s="19">
        <v>0.19305555555555554</v>
      </c>
      <c r="AS133" s="8">
        <f>(4+(38/60))*AO133</f>
        <v>259.18866666666662</v>
      </c>
    </row>
    <row r="134" spans="1:52" x14ac:dyDescent="0.2">
      <c r="A134" s="4">
        <v>119</v>
      </c>
      <c r="B134" s="2">
        <v>99</v>
      </c>
      <c r="C134" s="4">
        <v>159</v>
      </c>
      <c r="D134" s="4"/>
      <c r="E134" s="3" t="s">
        <v>103</v>
      </c>
      <c r="F134" t="s">
        <v>540</v>
      </c>
      <c r="G134" t="s">
        <v>1284</v>
      </c>
      <c r="H134" s="2">
        <v>0</v>
      </c>
      <c r="I134" s="2">
        <v>246.9</v>
      </c>
      <c r="J134" s="15">
        <v>7.6470000000000002</v>
      </c>
      <c r="K134" s="15">
        <v>5.8239999999999998</v>
      </c>
      <c r="L134" s="2">
        <v>102.9</v>
      </c>
      <c r="N134" s="1" t="s">
        <v>11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J134" s="2">
        <v>165.8</v>
      </c>
      <c r="AK134" s="2">
        <v>193.4</v>
      </c>
      <c r="AL134" s="2">
        <v>246.5</v>
      </c>
      <c r="AM134" s="2">
        <v>205.1</v>
      </c>
      <c r="AN134" s="2" t="s">
        <v>773</v>
      </c>
      <c r="AO134" s="2">
        <v>198.8</v>
      </c>
      <c r="AP134" s="2" t="s">
        <v>773</v>
      </c>
      <c r="AQ134" s="2" t="s">
        <v>773</v>
      </c>
      <c r="AR134" s="19">
        <v>0.17847222222222223</v>
      </c>
      <c r="AS134" s="8">
        <f>(4+(17/60))*AO134</f>
        <v>851.52666666666664</v>
      </c>
    </row>
    <row r="135" spans="1:52" x14ac:dyDescent="0.2">
      <c r="A135" s="2">
        <v>120</v>
      </c>
      <c r="B135" s="2">
        <v>90</v>
      </c>
      <c r="C135" s="2">
        <v>324</v>
      </c>
      <c r="E135" t="s">
        <v>93</v>
      </c>
      <c r="F135" t="s">
        <v>6</v>
      </c>
      <c r="G135" t="s">
        <v>1237</v>
      </c>
      <c r="I135" s="2">
        <v>146.80000000000001</v>
      </c>
      <c r="J135" s="15">
        <v>5.2430000000000003</v>
      </c>
      <c r="K135" s="15">
        <v>3.7080000000000002</v>
      </c>
      <c r="N135" s="1" t="s">
        <v>16</v>
      </c>
      <c r="P135" s="58">
        <v>202</v>
      </c>
      <c r="Q135" s="58">
        <v>194</v>
      </c>
      <c r="R135" s="58">
        <v>203</v>
      </c>
      <c r="S135" s="58">
        <v>201</v>
      </c>
      <c r="T135" s="58">
        <v>193</v>
      </c>
      <c r="U135" s="58">
        <v>202</v>
      </c>
      <c r="V135" s="58">
        <v>211</v>
      </c>
      <c r="W135" s="58">
        <v>224</v>
      </c>
      <c r="X135" s="58">
        <v>228</v>
      </c>
      <c r="Y135" s="58">
        <v>228</v>
      </c>
      <c r="Z135" s="58">
        <v>250</v>
      </c>
      <c r="AA135" s="58">
        <v>218</v>
      </c>
      <c r="AB135" s="58">
        <v>237</v>
      </c>
      <c r="AJ135" s="2">
        <v>121.7</v>
      </c>
      <c r="AK135" s="2">
        <v>124.6</v>
      </c>
      <c r="AL135" s="2">
        <v>136.9</v>
      </c>
      <c r="AM135" s="2">
        <v>146.80000000000001</v>
      </c>
      <c r="AN135" s="2" t="s">
        <v>773</v>
      </c>
      <c r="AO135" s="2">
        <v>139.80000000000001</v>
      </c>
      <c r="AP135" s="2" t="s">
        <v>773</v>
      </c>
      <c r="AQ135" s="2" t="s">
        <v>773</v>
      </c>
      <c r="AR135" s="19">
        <v>0.14027777777777778</v>
      </c>
      <c r="AS135" s="60">
        <f>(3+(22/60))*AO135</f>
        <v>470.66</v>
      </c>
    </row>
    <row r="136" spans="1:52" x14ac:dyDescent="0.2">
      <c r="A136" s="4">
        <v>121</v>
      </c>
      <c r="B136" s="2">
        <v>115</v>
      </c>
      <c r="C136" s="4">
        <v>215</v>
      </c>
      <c r="D136" s="4"/>
      <c r="E136" s="3" t="s">
        <v>113</v>
      </c>
      <c r="F136" t="s">
        <v>686</v>
      </c>
      <c r="H136" s="2">
        <v>100</v>
      </c>
      <c r="I136" s="2">
        <v>204.4</v>
      </c>
      <c r="J136" s="15">
        <v>6.41</v>
      </c>
      <c r="K136" s="15">
        <v>5.6589999999999998</v>
      </c>
      <c r="L136" s="2">
        <v>117.3</v>
      </c>
      <c r="N136" s="1" t="s">
        <v>744</v>
      </c>
      <c r="P136" s="8">
        <v>243.47607600000001</v>
      </c>
      <c r="Q136" s="8">
        <v>265.57869599999998</v>
      </c>
      <c r="R136" s="8">
        <v>237.51977400000001</v>
      </c>
      <c r="S136" s="8">
        <v>241.681309</v>
      </c>
      <c r="T136" s="8">
        <v>253.351463</v>
      </c>
      <c r="U136" s="8">
        <v>276.82700199999999</v>
      </c>
      <c r="V136" s="8">
        <v>312.37800299999998</v>
      </c>
      <c r="W136" s="8">
        <v>295.75980099999998</v>
      </c>
      <c r="X136" s="8">
        <v>335.20817899999997</v>
      </c>
      <c r="Y136" s="8">
        <v>336.62838699999998</v>
      </c>
      <c r="Z136" s="8">
        <v>368.16085600000002</v>
      </c>
      <c r="AA136" s="8">
        <v>353.72876300000001</v>
      </c>
      <c r="AB136" s="8">
        <v>375.987437</v>
      </c>
      <c r="AJ136" s="4">
        <v>144.6</v>
      </c>
      <c r="AK136" s="2">
        <v>160.1</v>
      </c>
      <c r="AL136" s="2">
        <v>156.5</v>
      </c>
      <c r="AM136" s="2">
        <v>185.1</v>
      </c>
      <c r="AN136" s="14" t="s">
        <v>773</v>
      </c>
      <c r="AO136" s="2">
        <v>180.2</v>
      </c>
      <c r="AP136" s="2" t="s">
        <v>773</v>
      </c>
      <c r="AQ136" s="2" t="s">
        <v>773</v>
      </c>
      <c r="AR136" s="19">
        <v>0.10694444444444444</v>
      </c>
      <c r="AS136" s="8">
        <f>(2+(34/60))*AO136</f>
        <v>462.51333333333326</v>
      </c>
    </row>
    <row r="137" spans="1:52" x14ac:dyDescent="0.2">
      <c r="A137" s="2">
        <v>124</v>
      </c>
      <c r="B137" s="2">
        <v>107</v>
      </c>
      <c r="C137" s="2">
        <v>93</v>
      </c>
      <c r="E137" t="s">
        <v>95</v>
      </c>
      <c r="G137" t="s">
        <v>1237</v>
      </c>
      <c r="I137" s="2">
        <v>456</v>
      </c>
      <c r="J137" s="15">
        <v>16.28</v>
      </c>
      <c r="K137" s="15">
        <v>10.79</v>
      </c>
      <c r="N137" s="1" t="s">
        <v>16</v>
      </c>
      <c r="P137" s="47">
        <v>864.85199999999998</v>
      </c>
      <c r="Q137" s="4">
        <v>792.96299999999997</v>
      </c>
      <c r="R137" s="4">
        <v>823.87599999999998</v>
      </c>
      <c r="S137" s="4">
        <v>988.31500000000005</v>
      </c>
      <c r="T137" s="4">
        <v>810.36800000000005</v>
      </c>
      <c r="U137" s="4">
        <v>819.78399999999999</v>
      </c>
      <c r="V137" s="4">
        <v>913.49199999999996</v>
      </c>
      <c r="W137" s="4">
        <v>968.18700000000001</v>
      </c>
      <c r="X137" s="4">
        <v>1007.9930000000001</v>
      </c>
      <c r="Y137" s="4">
        <v>972.86</v>
      </c>
      <c r="Z137" s="4">
        <v>978.24400000000003</v>
      </c>
      <c r="AA137" s="4">
        <v>967.20100000000002</v>
      </c>
      <c r="AB137" s="4">
        <v>997.51499999999999</v>
      </c>
      <c r="AJ137" s="2">
        <v>460.7</v>
      </c>
      <c r="AK137" s="2">
        <v>425.6</v>
      </c>
      <c r="AL137" s="2">
        <v>493.8</v>
      </c>
      <c r="AM137" s="2">
        <v>456</v>
      </c>
      <c r="AN137" s="2" t="s">
        <v>773</v>
      </c>
      <c r="AO137" s="2">
        <v>522.79999999999995</v>
      </c>
      <c r="AP137" s="2" t="s">
        <v>773</v>
      </c>
      <c r="AQ137" s="2" t="s">
        <v>773</v>
      </c>
      <c r="AR137" s="19">
        <v>0.12361111111111112</v>
      </c>
      <c r="AS137" s="60">
        <f>(2+(58/60))*AO137</f>
        <v>1550.9733333333334</v>
      </c>
    </row>
    <row r="138" spans="1:52" x14ac:dyDescent="0.2">
      <c r="A138" s="2">
        <v>125</v>
      </c>
      <c r="B138" s="2">
        <v>125</v>
      </c>
      <c r="C138" s="2">
        <v>163</v>
      </c>
      <c r="E138" t="s">
        <v>322</v>
      </c>
      <c r="F138" t="s">
        <v>1234</v>
      </c>
      <c r="H138" s="2">
        <v>0</v>
      </c>
      <c r="K138" s="15"/>
      <c r="P138" s="47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J138" s="2">
        <v>100.1</v>
      </c>
      <c r="AK138" s="2" t="s">
        <v>773</v>
      </c>
      <c r="AL138" s="2" t="s">
        <v>773</v>
      </c>
      <c r="AM138" s="2" t="s">
        <v>773</v>
      </c>
      <c r="AN138" s="2" t="s">
        <v>773</v>
      </c>
      <c r="AO138" s="2" t="s">
        <v>773</v>
      </c>
      <c r="AP138" s="2" t="s">
        <v>773</v>
      </c>
      <c r="AQ138" s="2" t="s">
        <v>773</v>
      </c>
      <c r="AR138" s="19">
        <v>0.29236111111111113</v>
      </c>
      <c r="AS138" s="8">
        <f>(7+(1/60))*AJ138</f>
        <v>702.36833333333334</v>
      </c>
    </row>
    <row r="139" spans="1:52" x14ac:dyDescent="0.2">
      <c r="A139" s="2">
        <v>126</v>
      </c>
      <c r="B139" s="2">
        <v>135</v>
      </c>
      <c r="C139" s="2">
        <v>644</v>
      </c>
      <c r="E139" t="s">
        <v>134</v>
      </c>
      <c r="F139" t="s">
        <v>538</v>
      </c>
      <c r="H139" s="2">
        <v>167630</v>
      </c>
      <c r="I139" s="2">
        <v>62.68</v>
      </c>
      <c r="J139" s="15">
        <v>2.238</v>
      </c>
      <c r="K139" s="15">
        <v>1.3520000000000001</v>
      </c>
      <c r="AJ139" s="2">
        <v>77.08</v>
      </c>
      <c r="AK139" s="2">
        <v>71.3</v>
      </c>
      <c r="AL139" s="2">
        <v>62.68</v>
      </c>
      <c r="AM139" s="2">
        <v>62.25</v>
      </c>
      <c r="AN139" s="14" t="s">
        <v>773</v>
      </c>
      <c r="AO139" s="2">
        <v>57.19</v>
      </c>
      <c r="AP139" s="14" t="s">
        <v>773</v>
      </c>
      <c r="AQ139" s="14" t="s">
        <v>773</v>
      </c>
      <c r="AR139" s="19">
        <v>0.40208333333333335</v>
      </c>
      <c r="AS139" s="8">
        <f>(9+(39/60))*AO139</f>
        <v>551.88350000000003</v>
      </c>
    </row>
    <row r="140" spans="1:52" x14ac:dyDescent="0.2">
      <c r="A140" s="2">
        <v>127</v>
      </c>
      <c r="B140" s="2">
        <v>141</v>
      </c>
      <c r="C140" s="2">
        <v>557</v>
      </c>
      <c r="E140" t="s">
        <v>153</v>
      </c>
      <c r="F140" t="s">
        <v>695</v>
      </c>
      <c r="H140" s="2">
        <v>87890</v>
      </c>
      <c r="I140" s="2">
        <v>69.510000000000005</v>
      </c>
      <c r="J140" s="15">
        <v>2.4820000000000002</v>
      </c>
      <c r="K140" s="15">
        <v>1.629</v>
      </c>
      <c r="AJ140" s="2">
        <v>74.56</v>
      </c>
      <c r="AK140" s="2">
        <v>75.099999999999994</v>
      </c>
      <c r="AL140" s="2">
        <v>70.39</v>
      </c>
      <c r="AM140" s="2">
        <v>69.510000000000005</v>
      </c>
      <c r="AN140" s="14" t="s">
        <v>773</v>
      </c>
      <c r="AO140" s="2">
        <v>70.099999999999994</v>
      </c>
      <c r="AP140" s="14" t="s">
        <v>773</v>
      </c>
      <c r="AQ140" s="14" t="s">
        <v>773</v>
      </c>
      <c r="AR140" s="19">
        <v>0.20277777777777781</v>
      </c>
      <c r="AS140" s="8">
        <f>(4+(52/60))*AO140</f>
        <v>341.15333333333336</v>
      </c>
    </row>
    <row r="141" spans="1:52" x14ac:dyDescent="0.2">
      <c r="A141" s="2">
        <v>128</v>
      </c>
      <c r="B141" s="2">
        <v>146</v>
      </c>
      <c r="C141" s="2">
        <v>130</v>
      </c>
      <c r="E141" t="s">
        <v>166</v>
      </c>
      <c r="F141" t="s">
        <v>9</v>
      </c>
      <c r="G141" t="s">
        <v>1315</v>
      </c>
      <c r="H141" s="2">
        <v>168050</v>
      </c>
      <c r="I141" s="2">
        <v>265.39999999999998</v>
      </c>
      <c r="J141" s="15">
        <v>9.4809999999999999</v>
      </c>
      <c r="K141" s="15">
        <v>5.8259999999999996</v>
      </c>
      <c r="P141" s="8">
        <v>339.66483699999998</v>
      </c>
      <c r="Q141" s="8">
        <v>264.86118299999998</v>
      </c>
      <c r="R141" s="8">
        <v>339.955715</v>
      </c>
      <c r="S141" s="8">
        <v>393.99358000000001</v>
      </c>
      <c r="T141" s="8">
        <v>271.80337300000002</v>
      </c>
      <c r="U141" s="8">
        <v>219.79032000000001</v>
      </c>
      <c r="V141" s="8">
        <v>251.58698999999999</v>
      </c>
      <c r="W141" s="8">
        <v>262.21471200000002</v>
      </c>
      <c r="X141" s="8">
        <v>266.58970499999998</v>
      </c>
      <c r="Y141" s="8">
        <v>284.48593099999999</v>
      </c>
      <c r="Z141" s="8">
        <v>303.23701199999999</v>
      </c>
      <c r="AA141" s="8">
        <v>256.83267699999999</v>
      </c>
      <c r="AB141" s="8">
        <v>289.64793900000001</v>
      </c>
      <c r="AJ141" s="2">
        <v>304.60000000000002</v>
      </c>
      <c r="AK141" s="2">
        <v>311.3</v>
      </c>
      <c r="AL141" s="2">
        <v>290.10000000000002</v>
      </c>
      <c r="AM141" s="2">
        <v>265.39999999999998</v>
      </c>
      <c r="AN141" s="14" t="s">
        <v>773</v>
      </c>
      <c r="AO141" s="2">
        <v>267.5</v>
      </c>
      <c r="AP141" s="14" t="s">
        <v>773</v>
      </c>
      <c r="AQ141" s="14" t="s">
        <v>773</v>
      </c>
      <c r="AR141" s="19">
        <v>0.24444444444444446</v>
      </c>
      <c r="AS141" s="8">
        <f>(5+(52/60))*AO141</f>
        <v>1569.3333333333335</v>
      </c>
      <c r="AX141" s="3"/>
      <c r="AY141" s="3"/>
      <c r="AZ141" s="3"/>
    </row>
    <row r="142" spans="1:52" x14ac:dyDescent="0.2">
      <c r="A142" s="2">
        <v>136</v>
      </c>
      <c r="B142" s="2">
        <v>129</v>
      </c>
      <c r="C142" s="2">
        <v>664</v>
      </c>
      <c r="E142" t="s">
        <v>1347</v>
      </c>
      <c r="K142" s="15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J142" s="2">
        <v>35.119999999999997</v>
      </c>
      <c r="AK142" s="2" t="s">
        <v>773</v>
      </c>
      <c r="AL142" s="2" t="s">
        <v>773</v>
      </c>
      <c r="AM142" s="2" t="s">
        <v>773</v>
      </c>
      <c r="AN142" s="14" t="s">
        <v>773</v>
      </c>
      <c r="AO142" s="2" t="s">
        <v>773</v>
      </c>
      <c r="AP142" s="14" t="s">
        <v>773</v>
      </c>
      <c r="AQ142" s="14" t="s">
        <v>773</v>
      </c>
      <c r="AR142" s="19">
        <v>0.31111111111111112</v>
      </c>
      <c r="AS142" s="8">
        <f>(7+(28/60))*AJ142</f>
        <v>262.22933333333333</v>
      </c>
      <c r="AX142" s="3"/>
      <c r="AY142" s="3"/>
      <c r="AZ142" s="3"/>
    </row>
    <row r="143" spans="1:52" x14ac:dyDescent="0.2">
      <c r="A143" s="2">
        <v>130</v>
      </c>
      <c r="B143" s="2">
        <v>144</v>
      </c>
      <c r="C143" s="2">
        <v>202</v>
      </c>
      <c r="E143" t="s">
        <v>352</v>
      </c>
      <c r="F143" t="s">
        <v>562</v>
      </c>
      <c r="I143" s="2">
        <v>103.3</v>
      </c>
      <c r="J143" s="15">
        <v>3.6890000000000001</v>
      </c>
      <c r="K143" s="16">
        <v>2.1469999999999998</v>
      </c>
      <c r="P143" s="8">
        <v>194.81799599999999</v>
      </c>
      <c r="Q143" s="8">
        <v>191.555768</v>
      </c>
      <c r="R143" s="8">
        <v>204.615476</v>
      </c>
      <c r="S143" s="8">
        <v>181.76061200000001</v>
      </c>
      <c r="T143" s="8">
        <v>177.089372</v>
      </c>
      <c r="U143" s="8">
        <v>175.60918100000001</v>
      </c>
      <c r="V143" s="8">
        <v>191.194929</v>
      </c>
      <c r="W143" s="8">
        <v>172.28954899999999</v>
      </c>
      <c r="X143" s="8">
        <v>168.45603800000001</v>
      </c>
      <c r="Y143" s="8">
        <v>168.288466</v>
      </c>
      <c r="Z143" s="8">
        <v>171.365047</v>
      </c>
      <c r="AA143" s="8">
        <v>158.678549</v>
      </c>
      <c r="AB143" s="8">
        <v>158.678549</v>
      </c>
      <c r="AJ143" s="2">
        <v>121.2</v>
      </c>
      <c r="AK143" s="2">
        <v>108.4</v>
      </c>
      <c r="AL143" s="2">
        <v>103.3</v>
      </c>
      <c r="AM143" s="14" t="s">
        <v>773</v>
      </c>
      <c r="AN143" s="14" t="s">
        <v>773</v>
      </c>
      <c r="AO143" s="14" t="s">
        <v>773</v>
      </c>
      <c r="AP143" s="14" t="s">
        <v>773</v>
      </c>
      <c r="AQ143" s="14" t="s">
        <v>773</v>
      </c>
      <c r="AR143" s="19">
        <v>0.56041666666666667</v>
      </c>
      <c r="AS143" s="8">
        <f>(13+(27/60))*AL143</f>
        <v>1389.385</v>
      </c>
    </row>
    <row r="144" spans="1:52" x14ac:dyDescent="0.2">
      <c r="A144" s="2">
        <v>131</v>
      </c>
      <c r="B144" s="2">
        <v>127</v>
      </c>
      <c r="C144" s="2">
        <v>120</v>
      </c>
      <c r="E144" t="s">
        <v>159</v>
      </c>
      <c r="F144" t="s">
        <v>6</v>
      </c>
      <c r="G144" t="s">
        <v>1289</v>
      </c>
      <c r="H144" s="2">
        <v>500</v>
      </c>
      <c r="I144" s="2">
        <v>184.6</v>
      </c>
      <c r="J144" s="15">
        <v>6.5949999999999998</v>
      </c>
      <c r="K144" s="15">
        <v>3.1960000000000002</v>
      </c>
      <c r="P144" s="8">
        <v>210.223525</v>
      </c>
      <c r="Q144" s="8">
        <v>205.146568</v>
      </c>
      <c r="R144" s="8">
        <v>211.822833</v>
      </c>
      <c r="S144" s="8">
        <v>207.707672</v>
      </c>
      <c r="T144" s="8">
        <v>202.04051100000001</v>
      </c>
      <c r="U144" s="8">
        <v>191.807265</v>
      </c>
      <c r="V144" s="8">
        <v>245.59660700000001</v>
      </c>
      <c r="W144" s="8">
        <v>235.77775299999999</v>
      </c>
      <c r="X144" s="8">
        <v>306.491604</v>
      </c>
      <c r="Y144" s="8">
        <v>328.36731700000001</v>
      </c>
      <c r="Z144" s="8">
        <v>358.919511</v>
      </c>
      <c r="AA144" s="8">
        <v>333.46323699999999</v>
      </c>
      <c r="AB144" s="8">
        <v>312.85604999999998</v>
      </c>
      <c r="AJ144" s="2">
        <v>155.5</v>
      </c>
      <c r="AK144" s="2">
        <v>178</v>
      </c>
      <c r="AL144" s="2">
        <v>178.3</v>
      </c>
      <c r="AM144" s="2">
        <v>184.6</v>
      </c>
      <c r="AN144" s="14" t="s">
        <v>773</v>
      </c>
      <c r="AO144" s="2">
        <v>186.2</v>
      </c>
      <c r="AP144" s="14" t="s">
        <v>773</v>
      </c>
      <c r="AQ144" s="14" t="s">
        <v>773</v>
      </c>
      <c r="AR144" s="19">
        <v>0.60138888888888886</v>
      </c>
      <c r="AS144" s="8">
        <f>(14+(26/60))*AO144</f>
        <v>2687.4866666666667</v>
      </c>
    </row>
    <row r="145" spans="1:45" x14ac:dyDescent="0.2">
      <c r="A145" s="2">
        <v>132</v>
      </c>
      <c r="B145" s="2">
        <v>140</v>
      </c>
      <c r="C145" s="2">
        <v>622</v>
      </c>
      <c r="E145" t="s">
        <v>194</v>
      </c>
      <c r="F145" t="s">
        <v>700</v>
      </c>
      <c r="G145" t="s">
        <v>1264</v>
      </c>
      <c r="H145" s="2">
        <v>9150</v>
      </c>
      <c r="I145" s="2">
        <v>58.05</v>
      </c>
      <c r="J145" s="15">
        <v>2.073</v>
      </c>
      <c r="K145" s="15">
        <v>1.4239999999999999</v>
      </c>
      <c r="AJ145" s="2">
        <v>57.19</v>
      </c>
      <c r="AK145" s="2">
        <v>56.29</v>
      </c>
      <c r="AL145" s="2">
        <v>52.29</v>
      </c>
      <c r="AM145" s="2">
        <v>58.05</v>
      </c>
      <c r="AN145" s="14" t="s">
        <v>773</v>
      </c>
      <c r="AO145" s="2">
        <v>56.71</v>
      </c>
      <c r="AP145" s="14" t="s">
        <v>773</v>
      </c>
      <c r="AQ145" s="14" t="s">
        <v>773</v>
      </c>
      <c r="AR145" s="19">
        <v>0.28611111111111115</v>
      </c>
      <c r="AS145" s="8">
        <f>(6+(52/60))*AO145</f>
        <v>389.4086666666667</v>
      </c>
    </row>
    <row r="146" spans="1:45" x14ac:dyDescent="0.2">
      <c r="A146" s="2">
        <v>133</v>
      </c>
      <c r="B146" s="2">
        <v>161</v>
      </c>
      <c r="C146" s="2">
        <v>608</v>
      </c>
      <c r="E146" t="s">
        <v>167</v>
      </c>
      <c r="I146" s="2">
        <v>83.93</v>
      </c>
      <c r="J146" s="15">
        <v>2.9969999999999999</v>
      </c>
      <c r="K146" s="15">
        <v>2.524</v>
      </c>
      <c r="AJ146" s="2">
        <v>107.5</v>
      </c>
      <c r="AK146" s="2">
        <v>123</v>
      </c>
      <c r="AL146" s="2">
        <v>88.74</v>
      </c>
      <c r="AM146" s="2">
        <v>83.93</v>
      </c>
      <c r="AN146" s="14" t="s">
        <v>773</v>
      </c>
      <c r="AO146" s="2">
        <v>78.89</v>
      </c>
      <c r="AP146" s="14" t="s">
        <v>773</v>
      </c>
      <c r="AQ146" s="14" t="s">
        <v>773</v>
      </c>
      <c r="AR146" s="19">
        <v>8.4722222222222213E-2</v>
      </c>
      <c r="AS146" s="8">
        <f>(2+(2/60))*AO146</f>
        <v>160.40966666666665</v>
      </c>
    </row>
    <row r="147" spans="1:45" x14ac:dyDescent="0.2">
      <c r="A147" s="2">
        <v>134</v>
      </c>
      <c r="B147" s="2">
        <v>117</v>
      </c>
      <c r="C147" s="2">
        <v>506</v>
      </c>
      <c r="E147" t="s">
        <v>199</v>
      </c>
      <c r="F147" t="s">
        <v>550</v>
      </c>
      <c r="G147" t="s">
        <v>1291</v>
      </c>
      <c r="H147" s="2">
        <v>158030</v>
      </c>
      <c r="I147" s="2">
        <v>56.67</v>
      </c>
      <c r="J147" s="15">
        <v>2.024</v>
      </c>
      <c r="K147" s="15">
        <v>1.6719999999999999</v>
      </c>
      <c r="AJ147" s="2">
        <v>46.67</v>
      </c>
      <c r="AK147" s="2">
        <v>56.98</v>
      </c>
      <c r="AL147" s="2">
        <v>60.89</v>
      </c>
      <c r="AM147" s="2">
        <v>56.67</v>
      </c>
      <c r="AN147" s="14" t="s">
        <v>773</v>
      </c>
      <c r="AO147" s="2">
        <v>55.28</v>
      </c>
      <c r="AP147" s="14" t="s">
        <v>773</v>
      </c>
      <c r="AQ147" s="14" t="s">
        <v>773</v>
      </c>
      <c r="AR147" s="19">
        <v>0.20555555555555557</v>
      </c>
      <c r="AS147" s="8">
        <f>(4+(56/60))*AO147</f>
        <v>272.71466666666669</v>
      </c>
    </row>
    <row r="148" spans="1:45" x14ac:dyDescent="0.2">
      <c r="A148" s="2">
        <v>135</v>
      </c>
      <c r="B148" s="2">
        <v>192</v>
      </c>
      <c r="C148" s="2">
        <v>779</v>
      </c>
      <c r="E148" t="s">
        <v>257</v>
      </c>
      <c r="I148" s="2">
        <v>45.6</v>
      </c>
      <c r="J148" s="15">
        <v>1.6279999999999999</v>
      </c>
      <c r="K148" s="15">
        <v>1.2929999999999999</v>
      </c>
      <c r="AJ148" s="2">
        <v>43.43</v>
      </c>
      <c r="AK148" s="2">
        <v>36.979999999999997</v>
      </c>
      <c r="AL148" s="2">
        <v>33.81</v>
      </c>
      <c r="AM148" s="2">
        <v>45.6</v>
      </c>
      <c r="AN148" s="14" t="s">
        <v>773</v>
      </c>
      <c r="AO148" s="14" t="s">
        <v>773</v>
      </c>
      <c r="AP148" s="14" t="s">
        <v>773</v>
      </c>
      <c r="AQ148" s="14" t="s">
        <v>773</v>
      </c>
      <c r="AR148" s="19">
        <v>0.25763888888888892</v>
      </c>
      <c r="AS148" s="8">
        <f>(6+(11/60))*AM148</f>
        <v>281.96000000000004</v>
      </c>
    </row>
    <row r="149" spans="1:45" x14ac:dyDescent="0.2">
      <c r="A149" s="2">
        <v>136</v>
      </c>
      <c r="B149" s="2">
        <v>143</v>
      </c>
      <c r="C149" s="2">
        <v>674</v>
      </c>
      <c r="E149" t="s">
        <v>187</v>
      </c>
      <c r="F149" t="s">
        <v>721</v>
      </c>
      <c r="H149" s="2">
        <v>10590</v>
      </c>
      <c r="I149" s="2">
        <v>48.68</v>
      </c>
      <c r="J149" s="15">
        <v>1.738</v>
      </c>
      <c r="K149" s="15">
        <v>1.39</v>
      </c>
      <c r="AJ149" s="2">
        <v>36.090000000000003</v>
      </c>
      <c r="AK149" s="2">
        <v>36.619999999999997</v>
      </c>
      <c r="AL149" s="2">
        <v>36.99</v>
      </c>
      <c r="AM149" s="2">
        <v>48.68</v>
      </c>
      <c r="AN149" s="14" t="s">
        <v>773</v>
      </c>
      <c r="AO149" s="2">
        <v>51.28</v>
      </c>
      <c r="AP149" s="14" t="s">
        <v>773</v>
      </c>
      <c r="AQ149" s="14" t="s">
        <v>773</v>
      </c>
      <c r="AR149" s="19">
        <v>0.18541666666666667</v>
      </c>
      <c r="AS149" s="8">
        <f>(4+(27/60))*AO149</f>
        <v>228.19600000000003</v>
      </c>
    </row>
    <row r="150" spans="1:45" x14ac:dyDescent="0.2">
      <c r="A150" s="2">
        <v>137</v>
      </c>
      <c r="B150" s="2">
        <v>176</v>
      </c>
      <c r="C150" s="2">
        <v>858</v>
      </c>
      <c r="E150" t="s">
        <v>207</v>
      </c>
      <c r="F150" t="s">
        <v>765</v>
      </c>
      <c r="H150" s="2">
        <v>33830</v>
      </c>
      <c r="I150" s="2">
        <v>44.78</v>
      </c>
      <c r="J150" s="15">
        <v>1.599</v>
      </c>
      <c r="K150" s="15">
        <v>1.288</v>
      </c>
      <c r="AJ150" s="2">
        <v>45.61</v>
      </c>
      <c r="AK150" s="2">
        <v>36.380000000000003</v>
      </c>
      <c r="AL150" s="2">
        <v>37.72</v>
      </c>
      <c r="AM150" s="2">
        <v>44.78</v>
      </c>
      <c r="AN150" s="14" t="s">
        <v>773</v>
      </c>
      <c r="AO150" s="2">
        <v>47.94</v>
      </c>
      <c r="AP150" s="14" t="s">
        <v>773</v>
      </c>
      <c r="AQ150" s="14" t="s">
        <v>773</v>
      </c>
      <c r="AR150" s="19">
        <v>0.22013888888888888</v>
      </c>
      <c r="AS150" s="8">
        <f>(5+(17/60))*AO150</f>
        <v>253.28299999999999</v>
      </c>
    </row>
    <row r="151" spans="1:45" x14ac:dyDescent="0.2">
      <c r="A151" s="2">
        <v>138</v>
      </c>
      <c r="B151" s="2">
        <v>138</v>
      </c>
      <c r="C151" s="2">
        <v>264</v>
      </c>
      <c r="E151" t="s">
        <v>231</v>
      </c>
      <c r="I151" s="2">
        <v>95.65</v>
      </c>
      <c r="J151" s="15">
        <v>3.4159999999999999</v>
      </c>
      <c r="K151" s="15">
        <v>1.954</v>
      </c>
      <c r="P151" s="8">
        <v>312.78245099999998</v>
      </c>
      <c r="Q151" s="8">
        <v>295.90630499999997</v>
      </c>
      <c r="R151" s="8">
        <v>309.70001000000002</v>
      </c>
      <c r="S151" s="8">
        <v>320.94135799999998</v>
      </c>
      <c r="T151" s="8">
        <v>316.89379000000002</v>
      </c>
      <c r="U151" s="8">
        <v>299.791045</v>
      </c>
      <c r="V151" s="8">
        <v>319.27305000000001</v>
      </c>
      <c r="W151" s="8">
        <v>302.22350999999998</v>
      </c>
      <c r="X151" s="8">
        <v>296.40147200000001</v>
      </c>
      <c r="Y151" s="8">
        <v>317.76522199999999</v>
      </c>
      <c r="Z151" s="8">
        <v>306.18397499999998</v>
      </c>
      <c r="AA151" s="8">
        <v>302.29107599999998</v>
      </c>
      <c r="AB151" s="8">
        <v>329.16150199999998</v>
      </c>
      <c r="AJ151" s="2">
        <v>91.83</v>
      </c>
      <c r="AK151" s="2">
        <v>100.3</v>
      </c>
      <c r="AL151" s="2">
        <v>90.31</v>
      </c>
      <c r="AM151" s="2">
        <v>95.65</v>
      </c>
      <c r="AN151" s="2" t="s">
        <v>773</v>
      </c>
      <c r="AO151" s="2">
        <v>93.99</v>
      </c>
      <c r="AP151" s="2" t="s">
        <v>773</v>
      </c>
      <c r="AQ151" s="2" t="s">
        <v>773</v>
      </c>
      <c r="AR151" s="19">
        <v>0.37083333333333335</v>
      </c>
      <c r="AS151" s="8">
        <f>(8+(54/60))*AO151</f>
        <v>836.51099999999997</v>
      </c>
    </row>
    <row r="152" spans="1:45" x14ac:dyDescent="0.2">
      <c r="A152" s="2">
        <v>139</v>
      </c>
      <c r="B152" s="2">
        <v>145</v>
      </c>
      <c r="C152" s="2">
        <v>591</v>
      </c>
      <c r="E152" t="s">
        <v>146</v>
      </c>
      <c r="F152" t="s">
        <v>9</v>
      </c>
      <c r="H152" s="2">
        <v>168050</v>
      </c>
      <c r="I152" s="2">
        <v>68.27</v>
      </c>
      <c r="J152" s="15">
        <v>2.9159999999999999</v>
      </c>
      <c r="K152" s="15">
        <v>2.2799999999999998</v>
      </c>
      <c r="AJ152" s="2">
        <v>114.9</v>
      </c>
      <c r="AK152" s="2">
        <v>79.959999999999994</v>
      </c>
      <c r="AL152" s="2">
        <v>81.650000000000006</v>
      </c>
      <c r="AM152" s="2">
        <v>68.27</v>
      </c>
      <c r="AN152" s="14" t="s">
        <v>773</v>
      </c>
      <c r="AO152" s="2">
        <v>71.849999999999994</v>
      </c>
      <c r="AP152" s="14" t="s">
        <v>773</v>
      </c>
      <c r="AQ152" s="14" t="s">
        <v>773</v>
      </c>
      <c r="AR152" s="19">
        <v>0.16458333333333333</v>
      </c>
      <c r="AS152" s="8">
        <f>(3+(57/60))*AO152</f>
        <v>283.8075</v>
      </c>
    </row>
    <row r="153" spans="1:45" x14ac:dyDescent="0.2">
      <c r="A153" s="2">
        <v>140</v>
      </c>
      <c r="B153" s="2">
        <v>190</v>
      </c>
      <c r="C153" s="2">
        <v>970</v>
      </c>
      <c r="E153" t="s">
        <v>173</v>
      </c>
      <c r="I153" s="2">
        <v>60.27</v>
      </c>
      <c r="J153" s="15">
        <v>2.1520000000000001</v>
      </c>
      <c r="K153" s="15">
        <v>1.1539999999999999</v>
      </c>
      <c r="AJ153" s="2">
        <v>78.290000000000006</v>
      </c>
      <c r="AK153" s="2">
        <v>63.84</v>
      </c>
      <c r="AL153" s="2">
        <v>58.54</v>
      </c>
      <c r="AM153" s="2">
        <v>60.27</v>
      </c>
      <c r="AN153" s="14" t="s">
        <v>773</v>
      </c>
      <c r="AO153" s="2">
        <v>61.65</v>
      </c>
      <c r="AP153" s="14" t="s">
        <v>773</v>
      </c>
      <c r="AQ153" s="14" t="s">
        <v>773</v>
      </c>
      <c r="AR153" s="19">
        <v>0.1986111111111111</v>
      </c>
      <c r="AS153" s="8">
        <f>(4+(46/60))*AO153</f>
        <v>293.86500000000001</v>
      </c>
    </row>
    <row r="154" spans="1:45" s="3" customFormat="1" x14ac:dyDescent="0.2">
      <c r="A154" s="4">
        <v>141</v>
      </c>
      <c r="B154" s="4">
        <v>125</v>
      </c>
      <c r="C154" s="4">
        <v>574</v>
      </c>
      <c r="D154" s="4"/>
      <c r="E154" s="3" t="s">
        <v>201</v>
      </c>
      <c r="F154" s="3" t="s">
        <v>702</v>
      </c>
      <c r="H154" s="4">
        <v>26810</v>
      </c>
      <c r="I154" s="4">
        <v>49.29</v>
      </c>
      <c r="J154" s="16">
        <v>1.76</v>
      </c>
      <c r="K154" s="16">
        <v>1.43</v>
      </c>
      <c r="L154" s="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4">
        <v>52.52</v>
      </c>
      <c r="AK154" s="4">
        <v>61.39</v>
      </c>
      <c r="AL154" s="4">
        <v>63.13</v>
      </c>
      <c r="AM154" s="4">
        <v>49.29</v>
      </c>
      <c r="AN154" s="46" t="s">
        <v>773</v>
      </c>
      <c r="AO154" s="4">
        <v>48.5</v>
      </c>
      <c r="AP154" s="46" t="s">
        <v>773</v>
      </c>
      <c r="AQ154" s="46" t="s">
        <v>773</v>
      </c>
      <c r="AR154" s="23">
        <v>0.16527777777777777</v>
      </c>
      <c r="AS154" s="47">
        <f>(3+(58/60))*AO154</f>
        <v>192.38333333333333</v>
      </c>
    </row>
    <row r="155" spans="1:45" x14ac:dyDescent="0.2">
      <c r="A155" s="2">
        <v>142</v>
      </c>
      <c r="B155" s="2">
        <v>133</v>
      </c>
      <c r="C155" s="2">
        <v>196</v>
      </c>
      <c r="E155" t="s">
        <v>191</v>
      </c>
      <c r="F155" t="s">
        <v>699</v>
      </c>
      <c r="G155" t="s">
        <v>1326</v>
      </c>
      <c r="H155" s="2">
        <v>7790</v>
      </c>
      <c r="I155" s="2">
        <v>131.19999999999999</v>
      </c>
      <c r="J155" s="15">
        <v>4.6870000000000003</v>
      </c>
      <c r="K155" s="15">
        <v>3.4140000000000001</v>
      </c>
      <c r="P155" s="8">
        <v>233.89945</v>
      </c>
      <c r="Q155" s="8">
        <v>215.08320599999999</v>
      </c>
      <c r="R155" s="8">
        <v>232.23367999999999</v>
      </c>
      <c r="S155" s="8">
        <v>242.098433</v>
      </c>
      <c r="T155" s="8">
        <v>227.311015</v>
      </c>
      <c r="U155" s="8">
        <v>222.01264800000001</v>
      </c>
      <c r="V155" s="8">
        <v>233.75949199999999</v>
      </c>
      <c r="W155" s="8">
        <v>237.317117</v>
      </c>
      <c r="X155" s="8">
        <v>258.07688000000002</v>
      </c>
      <c r="Y155" s="8">
        <v>259.84838500000001</v>
      </c>
      <c r="Z155" s="8">
        <v>275.11379699999998</v>
      </c>
      <c r="AA155" s="8">
        <v>244.29660200000001</v>
      </c>
      <c r="AB155" s="8">
        <v>233.499413</v>
      </c>
      <c r="AJ155" s="2">
        <v>130.4</v>
      </c>
      <c r="AK155" s="2">
        <v>117.5</v>
      </c>
      <c r="AL155" s="2">
        <v>137.69999999999999</v>
      </c>
      <c r="AM155" s="2">
        <v>131.19999999999999</v>
      </c>
      <c r="AN155" s="14" t="s">
        <v>773</v>
      </c>
      <c r="AO155" s="2">
        <v>132.69999999999999</v>
      </c>
      <c r="AP155" s="14" t="s">
        <v>773</v>
      </c>
      <c r="AQ155" s="14" t="s">
        <v>773</v>
      </c>
      <c r="AR155" s="19">
        <v>0.21805555555555556</v>
      </c>
      <c r="AS155" s="8">
        <f>(5+(14/60))*AO155</f>
        <v>694.46333333333325</v>
      </c>
    </row>
    <row r="156" spans="1:45" x14ac:dyDescent="0.2">
      <c r="A156" s="2">
        <v>143</v>
      </c>
      <c r="B156" s="2">
        <v>129</v>
      </c>
      <c r="C156" s="2">
        <v>527</v>
      </c>
      <c r="E156" t="s">
        <v>160</v>
      </c>
      <c r="I156" s="2">
        <v>89.78</v>
      </c>
      <c r="J156" s="15">
        <v>3.206</v>
      </c>
      <c r="K156" s="15">
        <v>2.6320000000000001</v>
      </c>
      <c r="AJ156" s="2">
        <v>127.7</v>
      </c>
      <c r="AK156" s="2">
        <v>81.8</v>
      </c>
      <c r="AL156" s="2">
        <v>99.9</v>
      </c>
      <c r="AM156" s="2">
        <v>89.78</v>
      </c>
      <c r="AN156" s="14" t="s">
        <v>773</v>
      </c>
      <c r="AO156" s="2">
        <v>77.06</v>
      </c>
      <c r="AP156" s="14" t="s">
        <v>773</v>
      </c>
      <c r="AQ156" s="14" t="s">
        <v>773</v>
      </c>
      <c r="AR156" s="19">
        <v>6.0416666666666667E-2</v>
      </c>
      <c r="AS156" s="8">
        <f>(1+(27/60))*AO156</f>
        <v>111.73699999999999</v>
      </c>
    </row>
    <row r="157" spans="1:45" x14ac:dyDescent="0.2">
      <c r="A157" s="2">
        <v>144</v>
      </c>
      <c r="B157" s="2">
        <v>182</v>
      </c>
      <c r="C157" s="2">
        <v>927</v>
      </c>
      <c r="E157" t="s">
        <v>250</v>
      </c>
      <c r="F157" t="s">
        <v>6</v>
      </c>
      <c r="H157" s="2">
        <v>3350</v>
      </c>
      <c r="I157" s="2">
        <v>37.200000000000003</v>
      </c>
      <c r="J157" s="15">
        <v>1.3280000000000001</v>
      </c>
      <c r="K157" s="15">
        <v>1.111</v>
      </c>
      <c r="AJ157" s="2">
        <v>45.59</v>
      </c>
      <c r="AK157" s="2">
        <v>35.04</v>
      </c>
      <c r="AL157" s="2">
        <v>37.82</v>
      </c>
      <c r="AM157" s="57">
        <v>37.200000000000003</v>
      </c>
      <c r="AN157" s="57" t="s">
        <v>773</v>
      </c>
      <c r="AO157" s="57">
        <v>39.01</v>
      </c>
      <c r="AP157" s="57" t="s">
        <v>773</v>
      </c>
      <c r="AQ157" s="57" t="s">
        <v>773</v>
      </c>
      <c r="AR157" s="19">
        <v>0.17152777777777775</v>
      </c>
      <c r="AS157" s="8">
        <f>(4+(7/60))*AO157</f>
        <v>160.59116666666665</v>
      </c>
    </row>
    <row r="158" spans="1:45" x14ac:dyDescent="0.2">
      <c r="A158" s="2">
        <v>145</v>
      </c>
      <c r="B158" s="2">
        <v>81</v>
      </c>
      <c r="C158" s="2">
        <v>97</v>
      </c>
      <c r="E158" t="s">
        <v>237</v>
      </c>
      <c r="I158" s="2">
        <v>122</v>
      </c>
      <c r="J158" s="15">
        <v>4.3579999999999997</v>
      </c>
      <c r="K158" s="15">
        <v>2.9039999999999999</v>
      </c>
      <c r="AJ158" s="2">
        <v>71.91</v>
      </c>
      <c r="AK158" s="2">
        <v>115</v>
      </c>
      <c r="AL158" s="2">
        <v>109.9</v>
      </c>
      <c r="AM158" s="2">
        <v>122</v>
      </c>
      <c r="AN158" s="2" t="s">
        <v>773</v>
      </c>
      <c r="AO158" s="2">
        <v>123.1</v>
      </c>
      <c r="AP158" s="2" t="s">
        <v>773</v>
      </c>
      <c r="AQ158" s="2" t="s">
        <v>773</v>
      </c>
      <c r="AR158" s="19">
        <v>0.47152777777777777</v>
      </c>
      <c r="AS158" s="8">
        <f>(11+(19/60))*AO158</f>
        <v>1393.0816666666665</v>
      </c>
    </row>
    <row r="159" spans="1:45" x14ac:dyDescent="0.2">
      <c r="A159" s="2">
        <v>146</v>
      </c>
      <c r="B159" s="2">
        <v>137</v>
      </c>
      <c r="C159" s="2">
        <v>616</v>
      </c>
      <c r="E159" t="s">
        <v>190</v>
      </c>
      <c r="F159" s="13" t="s">
        <v>698</v>
      </c>
      <c r="G159" s="13"/>
      <c r="H159" s="2">
        <v>31000</v>
      </c>
      <c r="I159" s="2">
        <v>48.07</v>
      </c>
      <c r="J159" s="15">
        <v>1.716</v>
      </c>
      <c r="K159" s="15">
        <v>1.3009999999999999</v>
      </c>
      <c r="AJ159" s="2">
        <v>49.69</v>
      </c>
      <c r="AK159" s="2">
        <v>55.16</v>
      </c>
      <c r="AL159" s="2">
        <v>54.08</v>
      </c>
      <c r="AM159" s="2">
        <v>48.07</v>
      </c>
      <c r="AN159" s="14" t="s">
        <v>773</v>
      </c>
      <c r="AO159" s="2">
        <v>49.86</v>
      </c>
      <c r="AP159" s="14" t="s">
        <v>773</v>
      </c>
      <c r="AQ159" s="14" t="s">
        <v>773</v>
      </c>
      <c r="AR159" s="19">
        <v>0.22916666666666666</v>
      </c>
      <c r="AS159" s="8">
        <f>5.5*AO159</f>
        <v>274.23</v>
      </c>
    </row>
    <row r="160" spans="1:45" x14ac:dyDescent="0.2">
      <c r="A160" s="2">
        <v>147</v>
      </c>
      <c r="B160" s="2">
        <v>162</v>
      </c>
      <c r="C160" s="2">
        <v>794</v>
      </c>
      <c r="E160" t="s">
        <v>232</v>
      </c>
      <c r="I160" s="2">
        <v>42.79</v>
      </c>
      <c r="J160" s="15">
        <v>1.528</v>
      </c>
      <c r="K160" s="15">
        <v>1.3180000000000001</v>
      </c>
      <c r="AJ160" s="2">
        <v>44.42</v>
      </c>
      <c r="AK160" s="2">
        <v>44.23</v>
      </c>
      <c r="AL160" s="2">
        <v>41.62</v>
      </c>
      <c r="AM160" s="2">
        <v>42.79</v>
      </c>
      <c r="AN160" s="2" t="s">
        <v>773</v>
      </c>
      <c r="AO160" s="2">
        <v>42.33</v>
      </c>
      <c r="AP160" s="2" t="s">
        <v>773</v>
      </c>
      <c r="AQ160" s="2" t="s">
        <v>773</v>
      </c>
      <c r="AR160" s="19">
        <v>0.17083333333333331</v>
      </c>
      <c r="AS160" s="8">
        <f>(4+(6/60))*AO160</f>
        <v>173.55299999999997</v>
      </c>
    </row>
    <row r="161" spans="1:46" x14ac:dyDescent="0.2">
      <c r="A161" s="2">
        <v>148</v>
      </c>
      <c r="B161" s="2">
        <v>201</v>
      </c>
      <c r="C161" s="2">
        <v>1042</v>
      </c>
      <c r="E161" t="s">
        <v>136</v>
      </c>
      <c r="F161" t="s">
        <v>540</v>
      </c>
      <c r="H161" s="2">
        <v>0</v>
      </c>
      <c r="I161" s="2">
        <v>58.78</v>
      </c>
      <c r="J161" s="15">
        <v>2.0990000000000002</v>
      </c>
      <c r="K161" s="15">
        <v>1.2969999999999999</v>
      </c>
      <c r="AJ161" s="2">
        <v>78.069999999999993</v>
      </c>
      <c r="AK161" s="2">
        <v>76.349999999999994</v>
      </c>
      <c r="AL161" s="2">
        <v>58.78</v>
      </c>
      <c r="AM161" s="2">
        <v>78.27</v>
      </c>
      <c r="AN161" s="14" t="s">
        <v>773</v>
      </c>
      <c r="AO161" s="2">
        <v>79.61</v>
      </c>
      <c r="AP161" s="14" t="s">
        <v>773</v>
      </c>
      <c r="AQ161" s="14" t="s">
        <v>773</v>
      </c>
      <c r="AR161" s="19">
        <v>0.12291666666666667</v>
      </c>
      <c r="AS161" s="8">
        <f>(2+(57/60))*AO161</f>
        <v>234.84950000000001</v>
      </c>
    </row>
    <row r="162" spans="1:46" s="3" customFormat="1" x14ac:dyDescent="0.2">
      <c r="A162" s="4">
        <v>149</v>
      </c>
      <c r="B162" s="4">
        <v>130</v>
      </c>
      <c r="C162" s="4">
        <v>460</v>
      </c>
      <c r="D162" s="4"/>
      <c r="E162" s="3" t="s">
        <v>101</v>
      </c>
      <c r="F162" s="3" t="s">
        <v>538</v>
      </c>
      <c r="G162" s="3" t="s">
        <v>1271</v>
      </c>
      <c r="H162" s="4">
        <v>167630</v>
      </c>
      <c r="I162" s="4">
        <v>121.9</v>
      </c>
      <c r="J162" s="16">
        <v>4.3529999999999998</v>
      </c>
      <c r="K162" s="16">
        <v>3.0750000000000002</v>
      </c>
      <c r="L162" s="4"/>
      <c r="M162" s="9"/>
      <c r="N162" s="9"/>
      <c r="O162" s="9"/>
      <c r="P162" s="58">
        <v>166.1</v>
      </c>
      <c r="Q162" s="58">
        <v>149.79</v>
      </c>
      <c r="R162" s="58">
        <v>162.13999999999999</v>
      </c>
      <c r="S162" s="58">
        <v>181.63</v>
      </c>
      <c r="T162" s="58">
        <v>153.66</v>
      </c>
      <c r="U162" s="58">
        <v>154.99</v>
      </c>
      <c r="V162" s="58">
        <v>171.03</v>
      </c>
      <c r="W162" s="58">
        <v>166.85</v>
      </c>
      <c r="X162" s="58">
        <v>197.36</v>
      </c>
      <c r="Y162" s="58">
        <v>224.58</v>
      </c>
      <c r="Z162" s="58">
        <v>272.72000000000003</v>
      </c>
      <c r="AA162" s="58">
        <v>209.09</v>
      </c>
      <c r="AB162" s="58">
        <v>211.6</v>
      </c>
      <c r="AC162" s="9"/>
      <c r="AD162" s="9"/>
      <c r="AE162" s="9"/>
      <c r="AF162" s="9"/>
      <c r="AG162" s="9"/>
      <c r="AH162" s="9"/>
      <c r="AI162" s="9"/>
      <c r="AJ162" s="4">
        <v>108.6</v>
      </c>
      <c r="AK162" s="4">
        <v>99.46</v>
      </c>
      <c r="AL162" s="4">
        <v>124.1</v>
      </c>
      <c r="AM162" s="4">
        <v>121.9</v>
      </c>
      <c r="AN162" s="4" t="s">
        <v>773</v>
      </c>
      <c r="AO162" s="4">
        <v>117.2</v>
      </c>
      <c r="AP162" s="4" t="s">
        <v>773</v>
      </c>
      <c r="AQ162" s="4" t="s">
        <v>773</v>
      </c>
      <c r="AR162" s="23">
        <v>0.10347222222222223</v>
      </c>
      <c r="AS162" s="66">
        <f>(2+(29/60))*AO162</f>
        <v>291.04666666666668</v>
      </c>
    </row>
    <row r="163" spans="1:46" x14ac:dyDescent="0.2">
      <c r="A163" s="4">
        <v>150</v>
      </c>
      <c r="B163" s="4">
        <v>173</v>
      </c>
      <c r="C163" s="4">
        <v>504</v>
      </c>
      <c r="D163" s="4"/>
      <c r="E163" s="3" t="s">
        <v>294</v>
      </c>
      <c r="F163" t="s">
        <v>6</v>
      </c>
      <c r="H163" s="2">
        <v>500</v>
      </c>
      <c r="I163" s="2">
        <v>52.71</v>
      </c>
      <c r="J163" s="15">
        <v>1.8819999999999999</v>
      </c>
      <c r="K163" s="15">
        <v>0.740479</v>
      </c>
      <c r="AJ163" s="2">
        <v>52.26</v>
      </c>
      <c r="AK163" s="2">
        <v>51.12</v>
      </c>
      <c r="AL163" s="2">
        <v>49.53</v>
      </c>
      <c r="AM163" s="2">
        <v>52.71</v>
      </c>
      <c r="AN163" s="14" t="s">
        <v>773</v>
      </c>
      <c r="AO163" s="14" t="s">
        <v>773</v>
      </c>
      <c r="AP163" s="14" t="s">
        <v>773</v>
      </c>
      <c r="AQ163" s="14" t="s">
        <v>773</v>
      </c>
      <c r="AR163" s="19">
        <v>0.4604166666666667</v>
      </c>
      <c r="AS163" s="8">
        <f>(11+(3/60))*AM163</f>
        <v>582.44550000000004</v>
      </c>
    </row>
    <row r="164" spans="1:46" x14ac:dyDescent="0.2">
      <c r="A164" s="2">
        <v>151</v>
      </c>
      <c r="B164" s="2">
        <v>176</v>
      </c>
      <c r="C164" s="2">
        <v>10</v>
      </c>
      <c r="E164" t="s">
        <v>122</v>
      </c>
      <c r="F164" t="s">
        <v>1</v>
      </c>
      <c r="H164" s="2">
        <v>600000</v>
      </c>
      <c r="I164" s="57">
        <v>2697</v>
      </c>
      <c r="J164" s="57">
        <v>96.34</v>
      </c>
      <c r="K164" s="58">
        <v>57.67</v>
      </c>
      <c r="P164" s="2">
        <v>3056.1</v>
      </c>
      <c r="Q164" s="2">
        <v>2874</v>
      </c>
      <c r="R164" s="2">
        <v>3111</v>
      </c>
      <c r="S164" s="2">
        <v>3055</v>
      </c>
      <c r="T164" s="2">
        <v>3016</v>
      </c>
      <c r="U164" s="2">
        <v>2639</v>
      </c>
      <c r="V164" s="2">
        <v>2533</v>
      </c>
      <c r="W164" s="2">
        <v>2619</v>
      </c>
      <c r="X164" s="2">
        <v>2403</v>
      </c>
      <c r="Y164" s="2">
        <v>2425</v>
      </c>
      <c r="Z164" s="2">
        <v>2203</v>
      </c>
      <c r="AA164" s="2">
        <v>2200</v>
      </c>
      <c r="AB164" s="2">
        <v>2172</v>
      </c>
      <c r="AJ164" s="2">
        <v>4161</v>
      </c>
      <c r="AK164" s="2">
        <v>2614</v>
      </c>
      <c r="AL164" s="2">
        <v>2786</v>
      </c>
      <c r="AM164" s="2">
        <v>2697</v>
      </c>
      <c r="AN164" s="14" t="s">
        <v>773</v>
      </c>
      <c r="AO164" s="2">
        <v>2715</v>
      </c>
      <c r="AP164" s="2" t="s">
        <v>773</v>
      </c>
      <c r="AQ164" s="2" t="s">
        <v>773</v>
      </c>
      <c r="AR164" s="19">
        <v>0.78263888888888899</v>
      </c>
      <c r="AS164" s="60">
        <f>(18+(47/60))*AO164</f>
        <v>50996.750000000007</v>
      </c>
      <c r="AT164">
        <v>2009</v>
      </c>
    </row>
    <row r="165" spans="1:46" x14ac:dyDescent="0.2">
      <c r="A165" s="2">
        <v>152</v>
      </c>
      <c r="B165" s="2">
        <v>160</v>
      </c>
      <c r="C165" s="2">
        <v>730</v>
      </c>
      <c r="E165" t="s">
        <v>227</v>
      </c>
      <c r="G165" t="s">
        <v>1264</v>
      </c>
      <c r="I165" s="2">
        <v>50.22</v>
      </c>
      <c r="J165" s="15">
        <v>1.7929999999999999</v>
      </c>
      <c r="K165" s="15">
        <v>1.3340000000000001</v>
      </c>
      <c r="AJ165" s="2">
        <v>48.74</v>
      </c>
      <c r="AK165" s="2">
        <v>51.54</v>
      </c>
      <c r="AL165" s="2">
        <v>45.51</v>
      </c>
      <c r="AM165" s="2">
        <v>50.22</v>
      </c>
      <c r="AN165" s="2" t="s">
        <v>773</v>
      </c>
      <c r="AO165" s="2">
        <v>49.43</v>
      </c>
      <c r="AP165" s="2" t="s">
        <v>773</v>
      </c>
      <c r="AQ165" s="2" t="s">
        <v>773</v>
      </c>
      <c r="AR165" s="19">
        <v>0.28402777777777777</v>
      </c>
      <c r="AS165" s="8">
        <f>(6+(49/60))*AO165</f>
        <v>336.94783333333334</v>
      </c>
    </row>
    <row r="166" spans="1:46" x14ac:dyDescent="0.2">
      <c r="A166" s="2">
        <v>153</v>
      </c>
      <c r="B166" s="2">
        <v>425</v>
      </c>
      <c r="C166" s="2">
        <v>747</v>
      </c>
      <c r="E166" t="s">
        <v>425</v>
      </c>
      <c r="AJ166" s="2">
        <v>35.229999999999997</v>
      </c>
      <c r="AK166" s="2" t="s">
        <v>773</v>
      </c>
      <c r="AL166" s="1" t="s">
        <v>773</v>
      </c>
      <c r="AM166" s="14" t="s">
        <v>773</v>
      </c>
      <c r="AN166" s="14" t="s">
        <v>773</v>
      </c>
      <c r="AO166" s="14" t="s">
        <v>773</v>
      </c>
      <c r="AP166" s="14" t="s">
        <v>773</v>
      </c>
      <c r="AQ166" s="2" t="s">
        <v>773</v>
      </c>
      <c r="AR166" s="19">
        <v>0.6645833333333333</v>
      </c>
      <c r="AS166" s="8">
        <f>(15+(57/60))*AJ166</f>
        <v>561.91849999999988</v>
      </c>
    </row>
    <row r="167" spans="1:46" x14ac:dyDescent="0.2">
      <c r="A167" s="2">
        <v>154</v>
      </c>
      <c r="B167" s="2">
        <v>142</v>
      </c>
      <c r="C167" s="2">
        <v>226</v>
      </c>
      <c r="E167" t="s">
        <v>162</v>
      </c>
      <c r="F167" t="s">
        <v>548</v>
      </c>
      <c r="G167" t="s">
        <v>1319</v>
      </c>
      <c r="H167" s="2">
        <v>184760</v>
      </c>
      <c r="I167" s="2">
        <v>132.9</v>
      </c>
      <c r="J167" s="15">
        <v>4.7489999999999997</v>
      </c>
      <c r="K167" s="15">
        <v>3.9039999999999999</v>
      </c>
      <c r="P167" s="8">
        <v>186.48488800000001</v>
      </c>
      <c r="Q167" s="8">
        <v>180.728227</v>
      </c>
      <c r="R167" s="8">
        <v>208.50952799999999</v>
      </c>
      <c r="S167" s="8">
        <v>159.40517600000001</v>
      </c>
      <c r="T167" s="8">
        <v>143.08310800000001</v>
      </c>
      <c r="U167" s="8">
        <v>142.83942999999999</v>
      </c>
      <c r="V167" s="8">
        <v>148.67879099999999</v>
      </c>
      <c r="W167" s="8">
        <v>140.427323</v>
      </c>
      <c r="X167" s="8">
        <v>184.08309600000001</v>
      </c>
      <c r="Y167" s="8">
        <v>190.94229100000001</v>
      </c>
      <c r="Z167" s="8">
        <v>187.458054</v>
      </c>
      <c r="AA167" s="8">
        <v>147.286406</v>
      </c>
      <c r="AB167" s="8">
        <v>156.83951200000001</v>
      </c>
      <c r="AJ167" s="2">
        <v>117.6</v>
      </c>
      <c r="AK167" s="2">
        <v>131.69999999999999</v>
      </c>
      <c r="AL167" s="2">
        <v>134.1</v>
      </c>
      <c r="AM167" s="2">
        <v>132.9</v>
      </c>
      <c r="AN167" s="14" t="s">
        <v>773</v>
      </c>
      <c r="AO167" s="2">
        <v>129.69999999999999</v>
      </c>
      <c r="AP167" s="14" t="s">
        <v>773</v>
      </c>
      <c r="AQ167" s="14" t="s">
        <v>773</v>
      </c>
      <c r="AR167" s="19">
        <v>0.15</v>
      </c>
      <c r="AS167" s="8">
        <f>(3+(36/60))*AO167</f>
        <v>466.91999999999996</v>
      </c>
    </row>
    <row r="168" spans="1:46" x14ac:dyDescent="0.2">
      <c r="A168" s="2">
        <v>155</v>
      </c>
      <c r="B168" s="2">
        <v>155</v>
      </c>
      <c r="C168" s="2">
        <v>201</v>
      </c>
      <c r="E168" t="s">
        <v>275</v>
      </c>
      <c r="F168" t="s">
        <v>6</v>
      </c>
      <c r="I168" s="2">
        <v>117</v>
      </c>
      <c r="J168" s="15">
        <v>4.1790000000000003</v>
      </c>
      <c r="K168" s="15">
        <v>3.26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J168" s="2">
        <v>129</v>
      </c>
      <c r="AK168" s="2">
        <v>125.1</v>
      </c>
      <c r="AL168" s="2">
        <v>115.1</v>
      </c>
      <c r="AM168" s="2">
        <v>117</v>
      </c>
      <c r="AN168" s="14" t="s">
        <v>773</v>
      </c>
      <c r="AO168" s="14" t="s">
        <v>773</v>
      </c>
      <c r="AP168" s="14" t="s">
        <v>773</v>
      </c>
      <c r="AQ168" s="14" t="s">
        <v>773</v>
      </c>
      <c r="AR168" s="19">
        <v>0.21041666666666667</v>
      </c>
      <c r="AS168" s="8">
        <f>(5+(3/60))*AM168</f>
        <v>590.85</v>
      </c>
    </row>
    <row r="169" spans="1:46" x14ac:dyDescent="0.2">
      <c r="A169" s="2">
        <v>156</v>
      </c>
      <c r="B169" s="2">
        <v>132</v>
      </c>
      <c r="C169" s="2">
        <v>36</v>
      </c>
      <c r="E169" t="s">
        <v>138</v>
      </c>
      <c r="F169" s="13" t="s">
        <v>693</v>
      </c>
      <c r="G169" s="13"/>
      <c r="H169" s="2">
        <v>430000</v>
      </c>
      <c r="I169" s="2">
        <v>1105</v>
      </c>
      <c r="J169" s="15">
        <v>39.479999999999997</v>
      </c>
      <c r="K169" s="15">
        <v>26.85</v>
      </c>
      <c r="P169" s="8">
        <v>680.23566600000004</v>
      </c>
      <c r="Q169" s="8">
        <v>664.95892600000002</v>
      </c>
      <c r="R169" s="8">
        <v>732.87795200000005</v>
      </c>
      <c r="S169" s="8">
        <v>618.77449899999999</v>
      </c>
      <c r="T169" s="8">
        <v>568.98987399999999</v>
      </c>
      <c r="U169" s="8">
        <v>577.16074700000001</v>
      </c>
      <c r="V169" s="8">
        <v>623.23126200000002</v>
      </c>
      <c r="W169" s="8">
        <v>521.10570199999995</v>
      </c>
      <c r="X169" s="8">
        <v>577.69731400000001</v>
      </c>
      <c r="Y169" s="8">
        <v>605.34918600000003</v>
      </c>
      <c r="Z169" s="8">
        <v>659.28087700000003</v>
      </c>
      <c r="AA169" s="8">
        <v>679.57280000000003</v>
      </c>
      <c r="AB169" s="8">
        <v>599.91163100000006</v>
      </c>
      <c r="AJ169" s="2">
        <v>898.4</v>
      </c>
      <c r="AK169" s="2">
        <v>1041</v>
      </c>
      <c r="AL169" s="2">
        <v>1105</v>
      </c>
      <c r="AM169" s="2">
        <v>1190</v>
      </c>
      <c r="AN169" s="14" t="s">
        <v>773</v>
      </c>
      <c r="AO169" s="2">
        <v>1082</v>
      </c>
      <c r="AP169" s="14" t="s">
        <v>773</v>
      </c>
      <c r="AQ169" s="14" t="s">
        <v>773</v>
      </c>
      <c r="AR169" s="19">
        <v>0.1076388888888889</v>
      </c>
      <c r="AS169" s="8">
        <f>(2+(35/60))*AO169</f>
        <v>2795.166666666667</v>
      </c>
    </row>
    <row r="170" spans="1:46" x14ac:dyDescent="0.2">
      <c r="A170" s="2">
        <v>157</v>
      </c>
      <c r="B170" s="2">
        <v>221</v>
      </c>
      <c r="C170" s="2">
        <v>1137</v>
      </c>
      <c r="E170" t="s">
        <v>267</v>
      </c>
      <c r="I170" s="2">
        <v>41.04</v>
      </c>
      <c r="J170" s="15">
        <v>1.4650000000000001</v>
      </c>
      <c r="K170" s="15">
        <v>1.125</v>
      </c>
      <c r="AJ170" s="2">
        <v>49.58</v>
      </c>
      <c r="AK170" s="2">
        <v>39.19</v>
      </c>
      <c r="AL170" s="2">
        <v>37.94</v>
      </c>
      <c r="AM170" s="2">
        <v>41.04</v>
      </c>
      <c r="AN170" s="14" t="s">
        <v>773</v>
      </c>
      <c r="AO170" s="14" t="s">
        <v>773</v>
      </c>
      <c r="AP170" s="14" t="s">
        <v>773</v>
      </c>
      <c r="AQ170" s="14" t="s">
        <v>773</v>
      </c>
      <c r="AR170" s="19">
        <v>0.20347222222222219</v>
      </c>
      <c r="AS170" s="8">
        <f>(4+(53/60))*AM170</f>
        <v>200.41199999999998</v>
      </c>
    </row>
    <row r="171" spans="1:46" x14ac:dyDescent="0.2">
      <c r="A171" s="2">
        <v>158</v>
      </c>
      <c r="B171" s="2">
        <v>159</v>
      </c>
      <c r="C171" s="2">
        <v>713</v>
      </c>
      <c r="E171" t="s">
        <v>357</v>
      </c>
      <c r="I171" s="2">
        <v>46.02</v>
      </c>
      <c r="J171" s="15">
        <v>1.643</v>
      </c>
      <c r="K171" s="15">
        <v>1.4219999999999999</v>
      </c>
      <c r="AJ171" s="2">
        <v>39.99</v>
      </c>
      <c r="AK171" s="2">
        <v>40.98</v>
      </c>
      <c r="AL171" s="2">
        <v>46.02</v>
      </c>
      <c r="AM171" s="14" t="s">
        <v>773</v>
      </c>
      <c r="AN171" s="14" t="s">
        <v>773</v>
      </c>
      <c r="AO171" s="14" t="s">
        <v>773</v>
      </c>
      <c r="AP171" s="14" t="s">
        <v>773</v>
      </c>
      <c r="AQ171" s="57" t="s">
        <v>773</v>
      </c>
      <c r="AR171" s="19">
        <v>0.1277777777777778</v>
      </c>
      <c r="AS171" s="8">
        <f>(3+(4/60))*AL171</f>
        <v>141.12800000000001</v>
      </c>
    </row>
    <row r="172" spans="1:46" x14ac:dyDescent="0.2">
      <c r="A172" s="2">
        <v>159</v>
      </c>
      <c r="B172" s="2">
        <v>166</v>
      </c>
      <c r="C172" s="2">
        <v>693</v>
      </c>
      <c r="E172" t="s">
        <v>143</v>
      </c>
      <c r="F172" t="s">
        <v>538</v>
      </c>
      <c r="H172" s="2">
        <v>167630</v>
      </c>
      <c r="I172" s="2">
        <v>88.19</v>
      </c>
      <c r="J172" s="15">
        <v>3.149</v>
      </c>
      <c r="K172" s="15">
        <v>2.5830000000000002</v>
      </c>
      <c r="P172" s="58">
        <v>152.28700000000001</v>
      </c>
      <c r="Q172" s="58">
        <v>138.52500000000001</v>
      </c>
      <c r="R172" s="58">
        <v>144.82300000000001</v>
      </c>
      <c r="S172" s="58">
        <v>171.721</v>
      </c>
      <c r="T172" s="58">
        <v>144.90100000000001</v>
      </c>
      <c r="U172" s="58">
        <v>164.374</v>
      </c>
      <c r="V172" s="58">
        <v>151.971</v>
      </c>
      <c r="W172" s="58">
        <v>153.24700000000001</v>
      </c>
      <c r="X172" s="58">
        <v>161.06899999999999</v>
      </c>
      <c r="Y172" s="58">
        <v>173.74700000000001</v>
      </c>
      <c r="Z172" s="58">
        <v>184.75299999999999</v>
      </c>
      <c r="AA172" s="58">
        <v>154.74600000000001</v>
      </c>
      <c r="AB172" s="58">
        <v>175.25</v>
      </c>
      <c r="AJ172" s="2">
        <v>134.80000000000001</v>
      </c>
      <c r="AK172" s="2">
        <v>71.59</v>
      </c>
      <c r="AL172" s="2">
        <v>88.19</v>
      </c>
      <c r="AM172" s="2">
        <v>99.03</v>
      </c>
      <c r="AN172" s="14" t="s">
        <v>773</v>
      </c>
      <c r="AO172" s="2">
        <v>80.47</v>
      </c>
      <c r="AP172" s="14" t="s">
        <v>773</v>
      </c>
      <c r="AQ172" s="14" t="s">
        <v>773</v>
      </c>
      <c r="AR172" s="19">
        <v>6.1805555555555558E-2</v>
      </c>
      <c r="AS172" s="60">
        <f>(1+(29/60))*AO172</f>
        <v>119.36383333333333</v>
      </c>
    </row>
    <row r="173" spans="1:46" x14ac:dyDescent="0.2">
      <c r="A173" s="2">
        <v>160</v>
      </c>
      <c r="B173" s="2">
        <v>131</v>
      </c>
      <c r="C173" s="2">
        <v>582</v>
      </c>
      <c r="E173" t="s">
        <v>119</v>
      </c>
      <c r="F173" t="s">
        <v>6</v>
      </c>
      <c r="H173" s="2">
        <v>1000</v>
      </c>
      <c r="I173" s="2">
        <v>104.1</v>
      </c>
      <c r="J173" s="15">
        <v>3.7189999999999999</v>
      </c>
      <c r="K173" s="15">
        <v>2.6459999999999999</v>
      </c>
      <c r="AJ173" s="2">
        <v>81.319999999999993</v>
      </c>
      <c r="AK173" s="2">
        <v>142.30000000000001</v>
      </c>
      <c r="AL173" s="2">
        <v>107.5</v>
      </c>
      <c r="AM173" s="2">
        <v>104.1</v>
      </c>
      <c r="AN173" s="14" t="s">
        <v>773</v>
      </c>
      <c r="AO173" s="2">
        <v>106</v>
      </c>
      <c r="AP173" s="2" t="s">
        <v>773</v>
      </c>
      <c r="AQ173" s="2" t="s">
        <v>773</v>
      </c>
      <c r="AR173" s="19">
        <v>5.0694444444444452E-2</v>
      </c>
      <c r="AS173" s="8">
        <f>(1+(13/60))*AO173</f>
        <v>128.96666666666667</v>
      </c>
    </row>
    <row r="174" spans="1:46" x14ac:dyDescent="0.2">
      <c r="A174" s="2">
        <v>161</v>
      </c>
      <c r="B174" s="2">
        <v>224</v>
      </c>
      <c r="C174" s="2">
        <v>973</v>
      </c>
      <c r="E174" t="s">
        <v>184</v>
      </c>
      <c r="F174" t="s">
        <v>694</v>
      </c>
      <c r="H174" s="2">
        <v>9880</v>
      </c>
      <c r="I174" s="2">
        <v>63.23</v>
      </c>
      <c r="J174" s="15">
        <v>2.4420000000000002</v>
      </c>
      <c r="K174" s="15">
        <v>2.2120000000000002</v>
      </c>
      <c r="L174" s="2">
        <v>39.119999999999997</v>
      </c>
      <c r="M174" s="1" t="s">
        <v>11</v>
      </c>
      <c r="N174" s="1" t="s">
        <v>16</v>
      </c>
      <c r="AJ174" s="2">
        <v>93.63</v>
      </c>
      <c r="AK174" s="2">
        <v>72.38</v>
      </c>
      <c r="AL174" s="2">
        <v>93.26</v>
      </c>
      <c r="AM174" s="2">
        <v>71.89</v>
      </c>
      <c r="AN174" s="14" t="s">
        <v>773</v>
      </c>
      <c r="AO174" s="2">
        <v>82.44</v>
      </c>
      <c r="AP174" s="14" t="s">
        <v>773</v>
      </c>
      <c r="AQ174" s="14" t="s">
        <v>773</v>
      </c>
      <c r="AR174" s="48">
        <v>4.4444444444444446E-2</v>
      </c>
      <c r="AS174" s="8">
        <f>(1+(6/60))*AO174</f>
        <v>90.684000000000012</v>
      </c>
    </row>
    <row r="175" spans="1:46" x14ac:dyDescent="0.2">
      <c r="A175" s="2">
        <v>162</v>
      </c>
      <c r="B175" s="2">
        <v>225</v>
      </c>
      <c r="C175" s="2">
        <v>305</v>
      </c>
      <c r="E175" t="s">
        <v>168</v>
      </c>
      <c r="F175" t="s">
        <v>6</v>
      </c>
      <c r="I175" s="2">
        <v>157.5</v>
      </c>
      <c r="J175" s="15">
        <v>5.6280000000000001</v>
      </c>
      <c r="K175" s="15">
        <v>3.06</v>
      </c>
      <c r="P175" s="8">
        <v>107.47077299999999</v>
      </c>
      <c r="Q175" s="8">
        <v>118.507992</v>
      </c>
      <c r="R175" s="8">
        <v>117.013944</v>
      </c>
      <c r="S175" s="8">
        <v>101.746482</v>
      </c>
      <c r="T175" s="8">
        <v>97.305367000000004</v>
      </c>
      <c r="U175" s="8">
        <v>58.463092000000003</v>
      </c>
      <c r="V175" s="8">
        <v>50.915855999999998</v>
      </c>
      <c r="W175" s="8">
        <v>44.538381999999999</v>
      </c>
      <c r="X175" s="8">
        <v>47.568055999999999</v>
      </c>
      <c r="Y175" s="8">
        <v>51.952156000000002</v>
      </c>
      <c r="Z175" s="8">
        <v>50.813544</v>
      </c>
      <c r="AA175" s="8">
        <v>48.934950999999998</v>
      </c>
      <c r="AB175" s="8">
        <v>58.809871999999999</v>
      </c>
      <c r="AJ175" s="2">
        <v>204.5</v>
      </c>
      <c r="AK175" s="2">
        <v>160.5</v>
      </c>
      <c r="AL175" s="2">
        <v>151.1</v>
      </c>
      <c r="AM175" s="2">
        <v>157.5</v>
      </c>
      <c r="AN175" s="14" t="s">
        <v>773</v>
      </c>
      <c r="AO175" s="2">
        <v>160.80000000000001</v>
      </c>
      <c r="AP175" s="14" t="s">
        <v>773</v>
      </c>
      <c r="AQ175" s="14" t="s">
        <v>773</v>
      </c>
      <c r="AR175" s="19">
        <v>0.17291666666666669</v>
      </c>
      <c r="AS175" s="8">
        <f>(4+(9/60))*AO175</f>
        <v>667.32</v>
      </c>
    </row>
    <row r="176" spans="1:46" x14ac:dyDescent="0.2">
      <c r="A176" s="2">
        <v>163</v>
      </c>
      <c r="B176" s="2">
        <v>177</v>
      </c>
      <c r="C176" s="2">
        <v>901</v>
      </c>
      <c r="E176" t="s">
        <v>210</v>
      </c>
      <c r="F176" t="s">
        <v>763</v>
      </c>
      <c r="G176" t="s">
        <v>1275</v>
      </c>
      <c r="H176" s="2">
        <v>50480</v>
      </c>
      <c r="I176" s="2">
        <v>41.96</v>
      </c>
      <c r="J176" s="15">
        <v>1.498</v>
      </c>
      <c r="K176" s="15">
        <v>1.0389999999999999</v>
      </c>
      <c r="AJ176" s="2">
        <v>48.72</v>
      </c>
      <c r="AK176" s="2">
        <v>43.74</v>
      </c>
      <c r="AL176" s="2">
        <v>45.14</v>
      </c>
      <c r="AM176" s="2">
        <v>41.96</v>
      </c>
      <c r="AN176" s="2" t="s">
        <v>773</v>
      </c>
      <c r="AO176" s="2">
        <v>43.24</v>
      </c>
      <c r="AP176" s="2" t="s">
        <v>773</v>
      </c>
      <c r="AQ176" s="2" t="s">
        <v>773</v>
      </c>
      <c r="AR176" s="19">
        <v>0.20694444444444446</v>
      </c>
      <c r="AS176" s="8">
        <f>(4+(58/60))*AO176</f>
        <v>214.75866666666667</v>
      </c>
    </row>
    <row r="177" spans="1:45" x14ac:dyDescent="0.2">
      <c r="A177" s="2">
        <v>164</v>
      </c>
      <c r="B177" s="2">
        <v>187</v>
      </c>
      <c r="C177" s="2">
        <v>341</v>
      </c>
      <c r="E177" t="s">
        <v>205</v>
      </c>
      <c r="F177" t="s">
        <v>697</v>
      </c>
      <c r="G177" t="s">
        <v>1285</v>
      </c>
      <c r="H177" s="2">
        <v>1000</v>
      </c>
      <c r="I177" s="2">
        <v>114.5</v>
      </c>
      <c r="J177" s="15">
        <v>3.8490000000000002</v>
      </c>
      <c r="K177" s="15">
        <v>3.1360000000000001</v>
      </c>
      <c r="L177" s="2">
        <v>54.83</v>
      </c>
      <c r="AJ177" s="2">
        <v>147.19999999999999</v>
      </c>
      <c r="AK177" s="2">
        <v>106.5</v>
      </c>
      <c r="AL177" s="2">
        <v>110.5</v>
      </c>
      <c r="AM177" s="2">
        <v>111.6</v>
      </c>
      <c r="AN177" s="14" t="s">
        <v>773</v>
      </c>
      <c r="AO177" s="2">
        <v>109.6</v>
      </c>
      <c r="AP177" s="14" t="s">
        <v>773</v>
      </c>
      <c r="AQ177" s="14" t="s">
        <v>773</v>
      </c>
      <c r="AR177" s="19">
        <v>0.1173611111111111</v>
      </c>
      <c r="AS177" s="8">
        <f>(2+(49/60))*AO177</f>
        <v>308.70666666666665</v>
      </c>
    </row>
    <row r="178" spans="1:45" x14ac:dyDescent="0.2">
      <c r="A178" s="2">
        <v>165</v>
      </c>
      <c r="B178" s="2">
        <v>175</v>
      </c>
      <c r="C178" s="2">
        <v>874</v>
      </c>
      <c r="E178" t="s">
        <v>246</v>
      </c>
      <c r="F178" t="s">
        <v>1255</v>
      </c>
      <c r="G178" t="s">
        <v>1332</v>
      </c>
      <c r="H178" s="2">
        <v>9290</v>
      </c>
      <c r="I178" s="2">
        <v>45.96</v>
      </c>
      <c r="J178" s="15">
        <v>1.641</v>
      </c>
      <c r="K178" s="15">
        <v>1.2929999999999999</v>
      </c>
      <c r="AJ178" s="2">
        <v>44.08</v>
      </c>
      <c r="AK178" s="2">
        <v>50.12</v>
      </c>
      <c r="AL178" s="2">
        <v>45.39</v>
      </c>
      <c r="AM178" s="57">
        <v>45.96</v>
      </c>
      <c r="AN178" s="57" t="s">
        <v>773</v>
      </c>
      <c r="AO178" s="57">
        <v>46.52</v>
      </c>
      <c r="AP178" s="57" t="s">
        <v>773</v>
      </c>
      <c r="AQ178" s="57" t="s">
        <v>773</v>
      </c>
      <c r="AR178" s="19">
        <v>0.15972222222222224</v>
      </c>
      <c r="AS178" s="8">
        <f>(3+(50/60))*AO178</f>
        <v>178.32666666666668</v>
      </c>
    </row>
    <row r="179" spans="1:45" x14ac:dyDescent="0.2">
      <c r="A179" s="2">
        <v>166</v>
      </c>
      <c r="B179" s="2">
        <v>149</v>
      </c>
      <c r="C179" s="2">
        <v>707</v>
      </c>
      <c r="E179" t="s">
        <v>242</v>
      </c>
      <c r="G179" t="s">
        <v>1260</v>
      </c>
      <c r="I179" s="2">
        <v>41.48</v>
      </c>
      <c r="J179" s="15">
        <v>1.4810000000000001</v>
      </c>
      <c r="K179" s="15">
        <v>0.76800199999999996</v>
      </c>
      <c r="P179" s="58">
        <v>172.38200000000001</v>
      </c>
      <c r="Q179" s="58">
        <v>161.22</v>
      </c>
      <c r="R179" s="58">
        <v>166.565</v>
      </c>
      <c r="S179" s="58">
        <v>195.07400000000001</v>
      </c>
      <c r="T179" s="58">
        <v>158.74100000000001</v>
      </c>
      <c r="U179" s="58">
        <v>149.74799999999999</v>
      </c>
      <c r="V179" s="58">
        <v>181.46299999999999</v>
      </c>
      <c r="W179" s="58">
        <v>167.88200000000001</v>
      </c>
      <c r="X179" s="58">
        <v>207.68799999999999</v>
      </c>
      <c r="Y179" s="58">
        <v>197.346</v>
      </c>
      <c r="Z179" s="58">
        <v>164.56299999999999</v>
      </c>
      <c r="AA179" s="58">
        <v>172.142</v>
      </c>
      <c r="AB179" s="58">
        <v>207.00700000000001</v>
      </c>
      <c r="AJ179" s="2">
        <v>58.63</v>
      </c>
      <c r="AK179" s="2">
        <v>40.65</v>
      </c>
      <c r="AL179" s="2">
        <v>44.36</v>
      </c>
      <c r="AM179" s="57">
        <v>41.48</v>
      </c>
      <c r="AN179" s="57" t="s">
        <v>773</v>
      </c>
      <c r="AO179" s="57">
        <v>41.92</v>
      </c>
      <c r="AP179" s="57" t="s">
        <v>773</v>
      </c>
      <c r="AQ179" s="57" t="s">
        <v>773</v>
      </c>
      <c r="AR179" s="19">
        <v>0.62083333333333335</v>
      </c>
      <c r="AS179" s="8">
        <f>(14+(54/60))*AO179</f>
        <v>624.60800000000006</v>
      </c>
    </row>
    <row r="180" spans="1:45" x14ac:dyDescent="0.2">
      <c r="A180" s="2">
        <v>167</v>
      </c>
      <c r="B180" s="2" t="s">
        <v>773</v>
      </c>
      <c r="C180" s="2">
        <v>291</v>
      </c>
      <c r="E180" t="s">
        <v>1348</v>
      </c>
      <c r="K180" s="15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J180" s="2">
        <v>156.5</v>
      </c>
      <c r="AK180" s="2" t="s">
        <v>773</v>
      </c>
      <c r="AL180" s="2" t="s">
        <v>773</v>
      </c>
      <c r="AM180" s="57" t="s">
        <v>773</v>
      </c>
      <c r="AN180" s="57" t="s">
        <v>773</v>
      </c>
      <c r="AO180" s="57" t="s">
        <v>773</v>
      </c>
      <c r="AP180" s="57" t="s">
        <v>773</v>
      </c>
      <c r="AQ180" s="57" t="s">
        <v>773</v>
      </c>
      <c r="AR180" s="19">
        <v>0.51111111111111107</v>
      </c>
      <c r="AS180" s="8">
        <f>(12+(16/60))*AJ180</f>
        <v>1919.7333333333336</v>
      </c>
    </row>
    <row r="181" spans="1:45" x14ac:dyDescent="0.2">
      <c r="A181" s="2">
        <v>169</v>
      </c>
      <c r="B181" s="2">
        <v>153</v>
      </c>
      <c r="C181" s="2">
        <v>424</v>
      </c>
      <c r="E181" t="s">
        <v>245</v>
      </c>
      <c r="I181" s="2">
        <v>76.14</v>
      </c>
      <c r="J181" s="15">
        <v>2.7189999999999999</v>
      </c>
      <c r="K181" s="15">
        <v>2.0720000000000001</v>
      </c>
      <c r="AJ181" s="2">
        <v>84.62</v>
      </c>
      <c r="AK181" s="2">
        <v>69.819999999999993</v>
      </c>
      <c r="AL181" s="2">
        <v>87.14</v>
      </c>
      <c r="AM181" s="57">
        <v>76.14</v>
      </c>
      <c r="AN181" s="57" t="s">
        <v>773</v>
      </c>
      <c r="AO181" s="57">
        <v>74.27</v>
      </c>
      <c r="AP181" s="57" t="s">
        <v>773</v>
      </c>
      <c r="AQ181" s="57" t="s">
        <v>773</v>
      </c>
      <c r="AR181" s="19">
        <v>0.22777777777777777</v>
      </c>
      <c r="AS181" s="8">
        <f>(5+(28/60))*AO181</f>
        <v>406.0093333333333</v>
      </c>
    </row>
    <row r="182" spans="1:45" x14ac:dyDescent="0.2">
      <c r="A182" s="2">
        <v>170</v>
      </c>
      <c r="B182" s="2">
        <v>210</v>
      </c>
      <c r="C182" s="2">
        <v>759</v>
      </c>
      <c r="E182" t="s">
        <v>244</v>
      </c>
      <c r="I182" s="2">
        <v>56.3</v>
      </c>
      <c r="J182" s="15">
        <v>2.0099999999999998</v>
      </c>
      <c r="K182" s="15">
        <v>1.59</v>
      </c>
      <c r="AJ182" s="2">
        <v>54.76</v>
      </c>
      <c r="AK182" s="2">
        <v>49.92</v>
      </c>
      <c r="AL182" s="2">
        <v>49.82</v>
      </c>
      <c r="AM182" s="57">
        <v>56.3</v>
      </c>
      <c r="AN182" s="57" t="s">
        <v>773</v>
      </c>
      <c r="AO182" s="57">
        <v>52.39</v>
      </c>
      <c r="AP182" s="57" t="s">
        <v>773</v>
      </c>
      <c r="AQ182" s="57" t="s">
        <v>773</v>
      </c>
      <c r="AR182" s="19">
        <v>0.21111111111111111</v>
      </c>
      <c r="AS182" s="8">
        <f>(5+(4/60))*AO182</f>
        <v>265.44266666666664</v>
      </c>
    </row>
    <row r="183" spans="1:45" x14ac:dyDescent="0.2">
      <c r="A183" s="2">
        <v>171</v>
      </c>
      <c r="B183" s="2">
        <v>179</v>
      </c>
      <c r="C183" s="2">
        <v>885</v>
      </c>
      <c r="E183" t="s">
        <v>156</v>
      </c>
      <c r="F183" t="s">
        <v>534</v>
      </c>
      <c r="H183" s="2">
        <v>119970</v>
      </c>
      <c r="I183" s="2">
        <v>44.87</v>
      </c>
      <c r="J183" s="15">
        <v>1.6020000000000001</v>
      </c>
      <c r="K183" s="15">
        <v>1.3979999999999999</v>
      </c>
      <c r="AJ183" s="2">
        <v>39.58</v>
      </c>
      <c r="AK183" s="2">
        <v>41.71</v>
      </c>
      <c r="AL183" s="2">
        <v>40.74</v>
      </c>
      <c r="AM183" s="2">
        <v>44.87</v>
      </c>
      <c r="AN183" s="14" t="s">
        <v>773</v>
      </c>
      <c r="AO183" s="2">
        <v>44.6</v>
      </c>
      <c r="AP183" s="14" t="s">
        <v>773</v>
      </c>
      <c r="AQ183" s="14" t="s">
        <v>773</v>
      </c>
      <c r="AR183" s="19">
        <v>0.11944444444444445</v>
      </c>
      <c r="AS183" s="8">
        <f>(2+(52/60))*AO183</f>
        <v>127.85333333333334</v>
      </c>
    </row>
    <row r="184" spans="1:45" x14ac:dyDescent="0.2">
      <c r="A184" s="2">
        <v>172</v>
      </c>
      <c r="B184" s="2">
        <v>202</v>
      </c>
      <c r="C184" s="2">
        <v>187</v>
      </c>
      <c r="E184" s="3" t="s">
        <v>217</v>
      </c>
      <c r="F184" t="s">
        <v>6</v>
      </c>
      <c r="G184" t="s">
        <v>1325</v>
      </c>
      <c r="H184" s="2">
        <v>1000</v>
      </c>
      <c r="I184" s="2">
        <v>187.2</v>
      </c>
      <c r="J184" s="15">
        <v>8.1509999999999998</v>
      </c>
      <c r="K184" s="14">
        <v>2.8319999999999999</v>
      </c>
      <c r="L184" s="2">
        <v>13.27</v>
      </c>
      <c r="M184" s="1" t="s">
        <v>11</v>
      </c>
      <c r="N184" s="1" t="s">
        <v>11</v>
      </c>
      <c r="O184" s="63"/>
      <c r="P184" s="4">
        <v>494</v>
      </c>
      <c r="Q184" s="9">
        <v>471</v>
      </c>
      <c r="R184" s="4">
        <v>479</v>
      </c>
      <c r="S184" s="4">
        <v>527</v>
      </c>
      <c r="T184" s="4">
        <v>503</v>
      </c>
      <c r="U184" s="4">
        <v>464</v>
      </c>
      <c r="V184" s="4">
        <v>563</v>
      </c>
      <c r="W184" s="4">
        <v>530</v>
      </c>
      <c r="X184" s="4">
        <v>882</v>
      </c>
      <c r="Y184" s="4">
        <v>642</v>
      </c>
      <c r="Z184" s="4">
        <v>240</v>
      </c>
      <c r="AA184" s="4">
        <v>237</v>
      </c>
      <c r="AB184" s="4">
        <v>154</v>
      </c>
      <c r="AC184" s="4"/>
      <c r="AD184" s="4"/>
      <c r="AE184" s="4"/>
      <c r="AF184" s="4"/>
      <c r="AG184" s="4"/>
      <c r="AH184" s="4"/>
      <c r="AI184" s="4"/>
      <c r="AJ184" s="4">
        <v>194.9</v>
      </c>
      <c r="AK184" s="4">
        <v>165</v>
      </c>
      <c r="AL184" s="2">
        <v>147.9</v>
      </c>
      <c r="AM184" s="2">
        <v>187.9</v>
      </c>
      <c r="AN184" s="2">
        <v>180.9</v>
      </c>
      <c r="AO184" s="2">
        <v>174.8</v>
      </c>
      <c r="AP184" s="2">
        <v>223.9</v>
      </c>
      <c r="AQ184" s="2">
        <v>228.2</v>
      </c>
      <c r="AR184" s="48" t="s">
        <v>767</v>
      </c>
      <c r="AS184" s="47">
        <f>(29+(20/60))*AM184</f>
        <v>5511.7333333333336</v>
      </c>
    </row>
    <row r="185" spans="1:45" x14ac:dyDescent="0.2">
      <c r="A185" s="2">
        <v>173</v>
      </c>
      <c r="B185" s="2">
        <v>195</v>
      </c>
      <c r="C185" s="2">
        <v>1036</v>
      </c>
      <c r="E185" t="s">
        <v>256</v>
      </c>
      <c r="F185" t="s">
        <v>1256</v>
      </c>
      <c r="G185" t="s">
        <v>1277</v>
      </c>
      <c r="H185" s="2">
        <v>9160</v>
      </c>
      <c r="I185" s="2">
        <v>45.16</v>
      </c>
      <c r="J185" s="15">
        <v>1.613</v>
      </c>
      <c r="K185" s="15">
        <v>1.3480000000000001</v>
      </c>
      <c r="AJ185" s="2">
        <v>41.03</v>
      </c>
      <c r="AK185" s="2">
        <v>47.83</v>
      </c>
      <c r="AL185" s="2">
        <v>32.93</v>
      </c>
      <c r="AM185" s="57">
        <v>45.16</v>
      </c>
      <c r="AN185" s="57" t="s">
        <v>773</v>
      </c>
      <c r="AO185" s="57" t="s">
        <v>773</v>
      </c>
      <c r="AP185" s="57" t="s">
        <v>773</v>
      </c>
      <c r="AQ185" s="57" t="s">
        <v>773</v>
      </c>
      <c r="AR185" s="19">
        <v>0.12777777777777777</v>
      </c>
      <c r="AS185" s="8">
        <f>(3+(18/60))*AM185</f>
        <v>149.02799999999999</v>
      </c>
    </row>
    <row r="186" spans="1:45" x14ac:dyDescent="0.2">
      <c r="A186" s="2">
        <v>174</v>
      </c>
      <c r="B186" s="2">
        <v>247</v>
      </c>
      <c r="C186" s="2">
        <v>805</v>
      </c>
      <c r="E186" t="s">
        <v>171</v>
      </c>
      <c r="G186" t="s">
        <v>1237</v>
      </c>
      <c r="I186" s="2">
        <v>75.84</v>
      </c>
      <c r="J186" s="15">
        <v>2.7080000000000002</v>
      </c>
      <c r="K186" s="15">
        <v>2.3889999999999998</v>
      </c>
      <c r="P186" s="57">
        <v>100.63800000000001</v>
      </c>
      <c r="Q186" s="57">
        <v>118.482</v>
      </c>
      <c r="R186" s="57">
        <v>105.55</v>
      </c>
      <c r="S186" s="57">
        <v>92.981999999999999</v>
      </c>
      <c r="T186" s="57">
        <v>92.355000000000004</v>
      </c>
      <c r="U186" s="57">
        <v>90.665000000000006</v>
      </c>
      <c r="V186" s="57">
        <v>100.512</v>
      </c>
      <c r="W186" s="57">
        <v>96.25</v>
      </c>
      <c r="X186" s="57">
        <v>122.75</v>
      </c>
      <c r="Y186" s="57">
        <v>121.893</v>
      </c>
      <c r="Z186" s="57">
        <v>137.47499999999999</v>
      </c>
      <c r="AA186" s="57">
        <v>127.738</v>
      </c>
      <c r="AB186" s="57">
        <v>135.14599999999999</v>
      </c>
      <c r="AJ186" s="2">
        <v>94.97</v>
      </c>
      <c r="AK186" s="2">
        <v>81.790000000000006</v>
      </c>
      <c r="AL186" s="2">
        <v>70.459999999999994</v>
      </c>
      <c r="AM186" s="2">
        <v>75.84</v>
      </c>
      <c r="AN186" s="14" t="s">
        <v>773</v>
      </c>
      <c r="AO186" s="2">
        <v>70.790000000000006</v>
      </c>
      <c r="AP186" s="14" t="s">
        <v>773</v>
      </c>
      <c r="AQ186" s="14" t="s">
        <v>773</v>
      </c>
      <c r="AR186" s="19">
        <v>5.2083333333333336E-2</v>
      </c>
      <c r="AS186" s="8">
        <f>(1+(15/60))*AO186</f>
        <v>88.487500000000011</v>
      </c>
    </row>
    <row r="187" spans="1:45" x14ac:dyDescent="0.2">
      <c r="A187" s="2">
        <v>175</v>
      </c>
      <c r="B187" s="2">
        <v>236</v>
      </c>
      <c r="C187" s="2">
        <v>1223</v>
      </c>
      <c r="E187" t="s">
        <v>330</v>
      </c>
      <c r="F187" t="s">
        <v>6</v>
      </c>
      <c r="I187" s="2">
        <v>28.25</v>
      </c>
      <c r="J187" s="15">
        <v>1.008</v>
      </c>
      <c r="K187" s="16">
        <v>0.81794999999999995</v>
      </c>
      <c r="AJ187" s="2">
        <v>37.409999999999997</v>
      </c>
      <c r="AK187" s="2">
        <v>36.89</v>
      </c>
      <c r="AL187" s="2">
        <v>28.25</v>
      </c>
      <c r="AM187" s="14" t="s">
        <v>773</v>
      </c>
      <c r="AN187" s="14" t="s">
        <v>773</v>
      </c>
      <c r="AO187" s="14" t="s">
        <v>773</v>
      </c>
      <c r="AP187" s="14" t="s">
        <v>773</v>
      </c>
      <c r="AQ187" s="14" t="s">
        <v>773</v>
      </c>
      <c r="AR187" s="19">
        <v>0.27847222222222223</v>
      </c>
      <c r="AS187" s="8">
        <f>(6+(41/60))*AL187</f>
        <v>188.80416666666667</v>
      </c>
    </row>
    <row r="188" spans="1:45" x14ac:dyDescent="0.2">
      <c r="A188" s="2">
        <v>176</v>
      </c>
      <c r="B188" s="2">
        <v>178</v>
      </c>
      <c r="C188" s="2">
        <v>793</v>
      </c>
      <c r="E188" t="s">
        <v>243</v>
      </c>
      <c r="G188" t="s">
        <v>1264</v>
      </c>
      <c r="I188" s="2">
        <v>50.29</v>
      </c>
      <c r="J188" s="15">
        <v>1.796</v>
      </c>
      <c r="K188" s="15">
        <v>1.2989999999999999</v>
      </c>
      <c r="AJ188" s="2">
        <v>45.37</v>
      </c>
      <c r="AK188" s="2">
        <v>49.22</v>
      </c>
      <c r="AL188" s="2">
        <v>43.69</v>
      </c>
      <c r="AM188" s="57">
        <v>50.29</v>
      </c>
      <c r="AN188" s="57" t="s">
        <v>773</v>
      </c>
      <c r="AO188" s="57">
        <v>51.73</v>
      </c>
      <c r="AP188" s="57" t="s">
        <v>773</v>
      </c>
      <c r="AQ188" s="57" t="s">
        <v>773</v>
      </c>
      <c r="AR188" s="19">
        <v>0.26527777777777778</v>
      </c>
      <c r="AS188" s="8">
        <f>(6+(22/60))*AO188</f>
        <v>329.34766666666661</v>
      </c>
    </row>
    <row r="189" spans="1:45" x14ac:dyDescent="0.2">
      <c r="A189" s="2">
        <v>177</v>
      </c>
      <c r="B189" s="2">
        <v>203</v>
      </c>
      <c r="C189" s="2">
        <v>1055</v>
      </c>
      <c r="E189" t="s">
        <v>272</v>
      </c>
      <c r="F189" t="s">
        <v>518</v>
      </c>
      <c r="H189" s="2">
        <v>433560</v>
      </c>
      <c r="I189" s="2">
        <v>38.22</v>
      </c>
      <c r="J189" s="15">
        <v>1.365</v>
      </c>
      <c r="K189" s="15">
        <v>1.141</v>
      </c>
      <c r="AJ189" s="2">
        <v>41.71</v>
      </c>
      <c r="AK189" s="2">
        <v>38.71</v>
      </c>
      <c r="AL189" s="2">
        <v>37</v>
      </c>
      <c r="AM189" s="2">
        <v>38.22</v>
      </c>
      <c r="AN189" s="14" t="s">
        <v>773</v>
      </c>
      <c r="AO189" s="14" t="s">
        <v>773</v>
      </c>
      <c r="AP189" s="14" t="s">
        <v>773</v>
      </c>
      <c r="AQ189" s="14" t="s">
        <v>773</v>
      </c>
      <c r="AR189" s="19">
        <v>0.18472222222222223</v>
      </c>
      <c r="AS189" s="8">
        <f>(4+(26/60))*AM189</f>
        <v>169.44200000000001</v>
      </c>
    </row>
    <row r="190" spans="1:45" x14ac:dyDescent="0.2">
      <c r="A190" s="2">
        <v>180</v>
      </c>
      <c r="B190" s="2">
        <v>178</v>
      </c>
      <c r="C190" s="2">
        <v>202</v>
      </c>
      <c r="E190" t="s">
        <v>497</v>
      </c>
      <c r="K190" s="15"/>
      <c r="AJ190" s="2">
        <v>64.319999999999993</v>
      </c>
      <c r="AK190" s="2" t="s">
        <v>773</v>
      </c>
      <c r="AL190" s="2" t="s">
        <v>773</v>
      </c>
      <c r="AM190" s="2" t="s">
        <v>773</v>
      </c>
      <c r="AN190" s="14" t="s">
        <v>773</v>
      </c>
      <c r="AO190" s="14" t="s">
        <v>773</v>
      </c>
      <c r="AP190" s="14" t="s">
        <v>773</v>
      </c>
      <c r="AQ190" s="14" t="s">
        <v>773</v>
      </c>
      <c r="AR190" s="19">
        <v>0.44374999999999998</v>
      </c>
      <c r="AS190" s="8">
        <f>(10+(39/60))*AJ190</f>
        <v>685.00799999999992</v>
      </c>
    </row>
    <row r="191" spans="1:45" x14ac:dyDescent="0.2">
      <c r="A191" s="2">
        <v>179</v>
      </c>
      <c r="B191" s="2">
        <v>231</v>
      </c>
      <c r="C191" s="2">
        <v>744</v>
      </c>
      <c r="E191" t="s">
        <v>253</v>
      </c>
      <c r="I191" s="2">
        <v>62.25</v>
      </c>
      <c r="J191" s="15">
        <v>2.2229999999999999</v>
      </c>
      <c r="K191" s="15">
        <v>1.978</v>
      </c>
      <c r="AJ191" s="2">
        <v>71.930000000000007</v>
      </c>
      <c r="AK191" s="2">
        <v>88.27</v>
      </c>
      <c r="AL191" s="2">
        <v>68.06</v>
      </c>
      <c r="AM191" s="57">
        <v>62.25</v>
      </c>
      <c r="AN191" s="57" t="s">
        <v>773</v>
      </c>
      <c r="AO191" s="57">
        <v>60.97</v>
      </c>
      <c r="AP191" s="57" t="s">
        <v>773</v>
      </c>
      <c r="AQ191" s="57" t="s">
        <v>773</v>
      </c>
      <c r="AR191" s="19">
        <v>9.8611111111111108E-2</v>
      </c>
      <c r="AS191" s="8">
        <f>(2+(22/60))*AO191</f>
        <v>144.29566666666668</v>
      </c>
    </row>
    <row r="192" spans="1:45" x14ac:dyDescent="0.2">
      <c r="A192" s="2">
        <v>180</v>
      </c>
      <c r="B192" s="2">
        <v>164</v>
      </c>
      <c r="C192" s="2">
        <v>768</v>
      </c>
      <c r="E192" t="s">
        <v>320</v>
      </c>
      <c r="I192" s="2">
        <v>30.28</v>
      </c>
      <c r="J192" s="15">
        <v>1.081</v>
      </c>
      <c r="K192" s="15">
        <v>0.65577300000000005</v>
      </c>
      <c r="AJ192" s="2">
        <v>24.65</v>
      </c>
      <c r="AK192" s="2">
        <v>28.82</v>
      </c>
      <c r="AL192" s="2">
        <v>27.41</v>
      </c>
      <c r="AM192" s="2">
        <v>30.28</v>
      </c>
      <c r="AN192" s="14" t="s">
        <v>773</v>
      </c>
      <c r="AO192" s="14" t="s">
        <v>773</v>
      </c>
      <c r="AP192" s="14" t="s">
        <v>773</v>
      </c>
      <c r="AQ192" s="14" t="s">
        <v>773</v>
      </c>
      <c r="AR192" s="19">
        <v>0.52986111111111112</v>
      </c>
      <c r="AS192" s="8">
        <f>(12+(43/60))*AM192</f>
        <v>385.06066666666669</v>
      </c>
    </row>
    <row r="193" spans="1:45" x14ac:dyDescent="0.2">
      <c r="A193" s="2">
        <v>181</v>
      </c>
      <c r="B193" s="2">
        <v>183</v>
      </c>
      <c r="C193" s="2">
        <v>883</v>
      </c>
      <c r="E193" t="s">
        <v>222</v>
      </c>
      <c r="I193" s="2">
        <v>47.06</v>
      </c>
      <c r="J193" s="15">
        <v>1.6120000000000001</v>
      </c>
      <c r="K193" s="15">
        <v>1.23</v>
      </c>
      <c r="L193" s="2">
        <v>17.84</v>
      </c>
      <c r="AJ193" s="2">
        <v>42.94</v>
      </c>
      <c r="AK193" s="2">
        <v>41.25</v>
      </c>
      <c r="AL193" s="2">
        <v>44.97</v>
      </c>
      <c r="AM193" s="2">
        <v>45.78</v>
      </c>
      <c r="AN193" s="2" t="s">
        <v>773</v>
      </c>
      <c r="AO193" s="2">
        <v>43.96</v>
      </c>
      <c r="AP193" s="2" t="s">
        <v>773</v>
      </c>
      <c r="AQ193" s="2" t="s">
        <v>773</v>
      </c>
      <c r="AR193" s="19">
        <v>0.21944444444444444</v>
      </c>
      <c r="AS193" s="8">
        <f>(5+(16/60))*AO193</f>
        <v>231.52266666666668</v>
      </c>
    </row>
    <row r="194" spans="1:45" x14ac:dyDescent="0.2">
      <c r="A194" s="2">
        <v>182</v>
      </c>
      <c r="B194" s="2">
        <v>159</v>
      </c>
      <c r="C194" s="2">
        <v>132</v>
      </c>
      <c r="E194" t="s">
        <v>130</v>
      </c>
      <c r="F194" t="s">
        <v>692</v>
      </c>
      <c r="G194" t="s">
        <v>1237</v>
      </c>
      <c r="H194" s="2">
        <v>1000</v>
      </c>
      <c r="I194" s="2">
        <v>334.5</v>
      </c>
      <c r="J194" s="15">
        <v>11.56</v>
      </c>
      <c r="K194" s="15">
        <v>7.0970000000000004</v>
      </c>
      <c r="P194" s="1">
        <v>557</v>
      </c>
      <c r="Q194" s="1">
        <v>565</v>
      </c>
      <c r="R194" s="1">
        <v>550</v>
      </c>
      <c r="S194" s="1">
        <v>592</v>
      </c>
      <c r="T194" s="1">
        <v>532</v>
      </c>
      <c r="U194" s="1">
        <v>498</v>
      </c>
      <c r="V194" s="1">
        <v>589</v>
      </c>
      <c r="W194" s="1">
        <v>570</v>
      </c>
      <c r="X194" s="1">
        <v>635</v>
      </c>
      <c r="Y194" s="1">
        <v>626</v>
      </c>
      <c r="Z194" s="1">
        <v>679</v>
      </c>
      <c r="AA194" s="1">
        <v>624</v>
      </c>
      <c r="AB194" s="1">
        <v>696</v>
      </c>
      <c r="AJ194" s="2">
        <v>328.1</v>
      </c>
      <c r="AK194" s="2">
        <v>316.5</v>
      </c>
      <c r="AL194" s="2">
        <v>334.5</v>
      </c>
      <c r="AM194" s="2">
        <v>323.8</v>
      </c>
      <c r="AN194" s="14" t="s">
        <v>773</v>
      </c>
      <c r="AO194" s="2">
        <v>323.10000000000002</v>
      </c>
      <c r="AP194" s="2" t="s">
        <v>773</v>
      </c>
      <c r="AQ194" s="2" t="s">
        <v>773</v>
      </c>
      <c r="AR194" s="19">
        <v>0.19166666666666665</v>
      </c>
      <c r="AS194" s="60">
        <f>(4+(36/60))*AO194</f>
        <v>1486.26</v>
      </c>
    </row>
    <row r="195" spans="1:45" x14ac:dyDescent="0.2">
      <c r="A195" s="2">
        <v>183</v>
      </c>
      <c r="B195" s="2">
        <v>197</v>
      </c>
      <c r="C195" s="2">
        <v>1034</v>
      </c>
      <c r="E195" t="s">
        <v>371</v>
      </c>
      <c r="AJ195" s="2">
        <v>29.4</v>
      </c>
      <c r="AK195" s="2" t="s">
        <v>773</v>
      </c>
      <c r="AL195" s="2" t="s">
        <v>773</v>
      </c>
      <c r="AM195" s="14" t="s">
        <v>773</v>
      </c>
      <c r="AN195" s="14" t="s">
        <v>773</v>
      </c>
      <c r="AO195" s="14" t="s">
        <v>773</v>
      </c>
      <c r="AP195" s="14" t="s">
        <v>773</v>
      </c>
      <c r="AQ195" s="57" t="s">
        <v>773</v>
      </c>
      <c r="AR195" s="19">
        <v>0.19722222222222222</v>
      </c>
      <c r="AS195" s="8">
        <f>(4+(44/60))*AJ195</f>
        <v>139.16</v>
      </c>
    </row>
    <row r="196" spans="1:45" x14ac:dyDescent="0.2">
      <c r="A196" s="2">
        <v>184</v>
      </c>
      <c r="B196" s="2">
        <v>150</v>
      </c>
      <c r="C196" s="2">
        <v>736</v>
      </c>
      <c r="E196" t="s">
        <v>326</v>
      </c>
      <c r="G196" t="s">
        <v>1301</v>
      </c>
      <c r="I196" s="2">
        <v>36.590000000000003</v>
      </c>
      <c r="J196" s="15">
        <v>1.306</v>
      </c>
      <c r="K196" s="15">
        <v>1.0720000000000001</v>
      </c>
      <c r="AJ196" s="2">
        <v>36.97</v>
      </c>
      <c r="AK196" s="2">
        <v>36.46</v>
      </c>
      <c r="AL196" s="2">
        <v>36.590000000000003</v>
      </c>
      <c r="AM196" s="14" t="s">
        <v>773</v>
      </c>
      <c r="AN196" s="14" t="s">
        <v>773</v>
      </c>
      <c r="AO196" s="14" t="s">
        <v>773</v>
      </c>
      <c r="AP196" s="14" t="s">
        <v>773</v>
      </c>
      <c r="AQ196" s="14" t="s">
        <v>773</v>
      </c>
      <c r="AR196" s="22" t="s">
        <v>1300</v>
      </c>
      <c r="AS196" s="8">
        <f>(6+(8/60))*AL196</f>
        <v>224.4186666666667</v>
      </c>
    </row>
    <row r="197" spans="1:45" x14ac:dyDescent="0.2">
      <c r="A197" s="2">
        <v>185</v>
      </c>
      <c r="B197" s="2">
        <v>301</v>
      </c>
      <c r="C197" s="2">
        <v>442</v>
      </c>
      <c r="E197" t="s">
        <v>259</v>
      </c>
      <c r="I197" s="2">
        <v>106.8</v>
      </c>
      <c r="J197" s="15">
        <v>3.8140000000000001</v>
      </c>
      <c r="K197" s="15">
        <v>2.1539999999999999</v>
      </c>
      <c r="AJ197" s="2">
        <v>134</v>
      </c>
      <c r="AK197" s="2">
        <v>110</v>
      </c>
      <c r="AL197" s="2">
        <v>94.14</v>
      </c>
      <c r="AM197" s="2">
        <v>106.8</v>
      </c>
      <c r="AN197" s="14" t="s">
        <v>773</v>
      </c>
      <c r="AO197" s="14" t="s">
        <v>773</v>
      </c>
      <c r="AP197" s="14" t="s">
        <v>773</v>
      </c>
      <c r="AQ197" s="14" t="s">
        <v>773</v>
      </c>
      <c r="AR197" s="19">
        <v>0.4513888888888889</v>
      </c>
      <c r="AS197" s="8">
        <f>(10+(50/60))*AM197</f>
        <v>1157</v>
      </c>
    </row>
    <row r="198" spans="1:45" x14ac:dyDescent="0.2">
      <c r="A198" s="2">
        <v>186</v>
      </c>
      <c r="B198" s="2">
        <v>198</v>
      </c>
      <c r="C198" s="2">
        <v>346</v>
      </c>
      <c r="E198" t="s">
        <v>169</v>
      </c>
      <c r="F198" t="s">
        <v>697</v>
      </c>
      <c r="H198" s="2">
        <v>1000</v>
      </c>
      <c r="I198" s="2">
        <v>114.4</v>
      </c>
      <c r="J198" s="15">
        <v>4.0880000000000001</v>
      </c>
      <c r="K198" s="15">
        <v>3.202</v>
      </c>
      <c r="AJ198" s="2">
        <v>97.96</v>
      </c>
      <c r="AK198" s="2">
        <v>120.5</v>
      </c>
      <c r="AL198" s="2">
        <v>100.5</v>
      </c>
      <c r="AM198" s="2">
        <v>114.4</v>
      </c>
      <c r="AN198" s="14" t="s">
        <v>773</v>
      </c>
      <c r="AO198" s="2">
        <v>124</v>
      </c>
      <c r="AP198" s="14" t="s">
        <v>773</v>
      </c>
      <c r="AQ198" s="14" t="s">
        <v>773</v>
      </c>
      <c r="AR198" s="19">
        <v>0.13958333333333334</v>
      </c>
      <c r="AS198" s="8">
        <f>(3+(21/60))*AO198</f>
        <v>415.40000000000003</v>
      </c>
    </row>
    <row r="199" spans="1:45" x14ac:dyDescent="0.2">
      <c r="A199" s="2">
        <v>187</v>
      </c>
      <c r="B199" s="2">
        <v>195</v>
      </c>
      <c r="C199" s="2">
        <v>926</v>
      </c>
      <c r="E199" t="s">
        <v>208</v>
      </c>
      <c r="F199" t="s">
        <v>764</v>
      </c>
      <c r="G199" t="s">
        <v>1279</v>
      </c>
      <c r="H199" s="2">
        <v>3130</v>
      </c>
      <c r="I199" s="2">
        <v>55.32</v>
      </c>
      <c r="J199" s="15">
        <v>1.9750000000000001</v>
      </c>
      <c r="K199" s="15">
        <v>1.6339999999999999</v>
      </c>
      <c r="AJ199" s="2">
        <v>48.81</v>
      </c>
      <c r="AK199" s="2">
        <v>60.85</v>
      </c>
      <c r="AL199" s="2">
        <v>44.38</v>
      </c>
      <c r="AM199" s="2">
        <v>55.32</v>
      </c>
      <c r="AN199" s="14" t="s">
        <v>773</v>
      </c>
      <c r="AO199" s="2">
        <v>49.3</v>
      </c>
      <c r="AP199" s="14" t="s">
        <v>773</v>
      </c>
      <c r="AQ199" s="14" t="s">
        <v>773</v>
      </c>
      <c r="AR199" s="19">
        <v>0.15972222222222224</v>
      </c>
      <c r="AS199" s="8">
        <f>(3+(50/60))*AO199</f>
        <v>188.98333333333332</v>
      </c>
    </row>
    <row r="200" spans="1:45" x14ac:dyDescent="0.2">
      <c r="A200" s="2">
        <v>188</v>
      </c>
      <c r="B200" s="2">
        <v>260</v>
      </c>
      <c r="C200" s="2">
        <v>144</v>
      </c>
      <c r="E200" t="s">
        <v>354</v>
      </c>
      <c r="G200" t="s">
        <v>1322</v>
      </c>
      <c r="I200" s="2">
        <v>175.4</v>
      </c>
      <c r="J200" s="15">
        <v>6.266</v>
      </c>
      <c r="K200" s="15">
        <v>4.8339999999999996</v>
      </c>
      <c r="P200" s="8">
        <v>280.62660699999998</v>
      </c>
      <c r="Q200" s="8">
        <v>274.49006600000001</v>
      </c>
      <c r="R200" s="8">
        <v>288.77091899999999</v>
      </c>
      <c r="S200" s="8">
        <v>277.75673499999999</v>
      </c>
      <c r="T200" s="8">
        <v>250.98085499999999</v>
      </c>
      <c r="U200" s="8">
        <v>262.24222800000001</v>
      </c>
      <c r="V200" s="8">
        <v>261.917464</v>
      </c>
      <c r="W200" s="8">
        <v>230.457605</v>
      </c>
      <c r="X200" s="8">
        <v>256.11132300000003</v>
      </c>
      <c r="Y200" s="8">
        <v>279.44894900000003</v>
      </c>
      <c r="Z200" s="8">
        <v>300.89097800000002</v>
      </c>
      <c r="AA200" s="8">
        <v>282.78737799999999</v>
      </c>
      <c r="AB200" s="8">
        <v>314.79237599999999</v>
      </c>
      <c r="AJ200" s="2">
        <v>196.5</v>
      </c>
      <c r="AK200" s="2">
        <v>191</v>
      </c>
      <c r="AL200" s="2">
        <v>175.4</v>
      </c>
      <c r="AM200" s="14" t="s">
        <v>773</v>
      </c>
      <c r="AN200" s="14" t="s">
        <v>773</v>
      </c>
      <c r="AO200" s="14" t="s">
        <v>773</v>
      </c>
      <c r="AP200" s="14" t="s">
        <v>773</v>
      </c>
      <c r="AQ200" s="14" t="s">
        <v>773</v>
      </c>
      <c r="AR200" s="19">
        <v>0.23958333333333334</v>
      </c>
      <c r="AS200" s="8">
        <f>(5+(45/60))*AL200</f>
        <v>1008.5500000000001</v>
      </c>
    </row>
    <row r="201" spans="1:45" x14ac:dyDescent="0.2">
      <c r="A201" s="2">
        <v>189</v>
      </c>
      <c r="B201" s="2">
        <v>193</v>
      </c>
      <c r="C201" s="2">
        <v>673</v>
      </c>
      <c r="E201" t="s">
        <v>310</v>
      </c>
      <c r="I201" s="2">
        <v>44.68</v>
      </c>
      <c r="J201" s="15">
        <v>1.595</v>
      </c>
      <c r="K201" s="15">
        <v>1.0349999999999999</v>
      </c>
      <c r="AJ201" s="2">
        <v>49.38</v>
      </c>
      <c r="AK201" s="2">
        <v>41.92</v>
      </c>
      <c r="AL201" s="2">
        <v>44.76</v>
      </c>
      <c r="AM201" s="2">
        <v>44.68</v>
      </c>
      <c r="AN201" s="14" t="s">
        <v>773</v>
      </c>
      <c r="AO201" s="14" t="s">
        <v>773</v>
      </c>
      <c r="AP201" s="14" t="s">
        <v>773</v>
      </c>
      <c r="AQ201" s="14" t="s">
        <v>773</v>
      </c>
      <c r="AR201" s="19">
        <v>0.3347222222222222</v>
      </c>
      <c r="AS201" s="8">
        <f>(8+(2/60))*AM201</f>
        <v>358.92933333333332</v>
      </c>
    </row>
    <row r="202" spans="1:45" x14ac:dyDescent="0.2">
      <c r="A202" s="2">
        <v>190</v>
      </c>
      <c r="B202" s="2">
        <v>187</v>
      </c>
      <c r="C202" s="2">
        <v>879</v>
      </c>
      <c r="E202" t="s">
        <v>185</v>
      </c>
      <c r="I202" s="2">
        <v>60.43</v>
      </c>
      <c r="J202" s="15">
        <v>2.1579999999999999</v>
      </c>
      <c r="K202" s="15">
        <v>1.2989999999999999</v>
      </c>
      <c r="AJ202" s="2">
        <v>70.459999999999994</v>
      </c>
      <c r="AK202" s="2">
        <v>55.22</v>
      </c>
      <c r="AL202" s="2">
        <v>48.2</v>
      </c>
      <c r="AM202" s="2">
        <v>60.43</v>
      </c>
      <c r="AN202" s="14" t="s">
        <v>773</v>
      </c>
      <c r="AO202" s="2">
        <v>63.08</v>
      </c>
      <c r="AP202" s="14" t="s">
        <v>773</v>
      </c>
      <c r="AQ202" s="14" t="s">
        <v>773</v>
      </c>
      <c r="AR202" s="19">
        <v>0.13263888888888889</v>
      </c>
      <c r="AS202" s="8">
        <f>(3+(11/60))*AO202</f>
        <v>200.80466666666663</v>
      </c>
    </row>
    <row r="203" spans="1:45" s="3" customFormat="1" x14ac:dyDescent="0.2">
      <c r="A203" s="4">
        <v>191</v>
      </c>
      <c r="B203" s="4">
        <v>154</v>
      </c>
      <c r="C203" s="4">
        <v>607</v>
      </c>
      <c r="D203" s="4"/>
      <c r="E203" s="3" t="s">
        <v>145</v>
      </c>
      <c r="F203" s="3" t="s">
        <v>675</v>
      </c>
      <c r="H203" s="4">
        <v>10490</v>
      </c>
      <c r="I203" s="4">
        <v>88.58</v>
      </c>
      <c r="J203" s="16">
        <v>3.1930000000000001</v>
      </c>
      <c r="K203" s="16">
        <v>2.23</v>
      </c>
      <c r="L203" s="4">
        <v>32.67</v>
      </c>
      <c r="M203" s="9"/>
      <c r="N203" s="9"/>
      <c r="O203" s="9"/>
      <c r="P203" s="58">
        <v>112.649511</v>
      </c>
      <c r="Q203" s="58">
        <v>109.596</v>
      </c>
      <c r="R203" s="58">
        <v>111.925</v>
      </c>
      <c r="S203" s="58">
        <v>122.821</v>
      </c>
      <c r="T203" s="58">
        <v>99.046999999999997</v>
      </c>
      <c r="U203" s="58">
        <v>93.566000000000003</v>
      </c>
      <c r="V203" s="58">
        <v>108.94</v>
      </c>
      <c r="W203" s="58">
        <v>113.532</v>
      </c>
      <c r="X203" s="58">
        <v>130.61699999999999</v>
      </c>
      <c r="Y203" s="58">
        <v>132.834</v>
      </c>
      <c r="Z203" s="58">
        <v>148.345</v>
      </c>
      <c r="AA203" s="58">
        <v>128.23099999999999</v>
      </c>
      <c r="AB203" s="58">
        <v>137.738</v>
      </c>
      <c r="AC203" s="9"/>
      <c r="AD203" s="9"/>
      <c r="AE203" s="9"/>
      <c r="AF203" s="9"/>
      <c r="AG203" s="9"/>
      <c r="AH203" s="9"/>
      <c r="AI203" s="9"/>
      <c r="AJ203" s="4">
        <v>81.150000000000006</v>
      </c>
      <c r="AK203" s="4">
        <v>81.42</v>
      </c>
      <c r="AL203" s="4">
        <v>89.42</v>
      </c>
      <c r="AM203" s="4">
        <v>78.86</v>
      </c>
      <c r="AN203" s="46" t="s">
        <v>773</v>
      </c>
      <c r="AO203" s="4">
        <v>80.77</v>
      </c>
      <c r="AP203" s="46" t="s">
        <v>773</v>
      </c>
      <c r="AQ203" s="46" t="s">
        <v>773</v>
      </c>
      <c r="AR203" s="23">
        <v>0.11527777777777777</v>
      </c>
      <c r="AS203" s="66">
        <f>(2+(45/60))*AO203</f>
        <v>222.11749999999998</v>
      </c>
    </row>
    <row r="204" spans="1:45" x14ac:dyDescent="0.2">
      <c r="A204" s="2">
        <v>192</v>
      </c>
      <c r="B204" s="2">
        <v>212</v>
      </c>
      <c r="C204" s="2">
        <v>1154</v>
      </c>
      <c r="E204" t="s">
        <v>268</v>
      </c>
      <c r="G204" t="s">
        <v>1268</v>
      </c>
      <c r="I204" s="2">
        <v>36.840000000000003</v>
      </c>
      <c r="J204" s="15">
        <v>1.3149999999999999</v>
      </c>
      <c r="K204" s="15">
        <v>1.085</v>
      </c>
      <c r="AJ204" s="2">
        <v>41.95</v>
      </c>
      <c r="AK204" s="2">
        <v>41.06</v>
      </c>
      <c r="AL204" s="2">
        <v>35.119999999999997</v>
      </c>
      <c r="AM204" s="2">
        <v>36.840000000000003</v>
      </c>
      <c r="AN204" s="14" t="s">
        <v>773</v>
      </c>
      <c r="AO204" s="14" t="s">
        <v>773</v>
      </c>
      <c r="AP204" s="14" t="s">
        <v>773</v>
      </c>
      <c r="AQ204" s="14" t="s">
        <v>773</v>
      </c>
      <c r="AR204" s="19">
        <v>0.13750000000000001</v>
      </c>
      <c r="AS204" s="8">
        <f>(3+(18/60))*AM204</f>
        <v>121.572</v>
      </c>
    </row>
    <row r="205" spans="1:45" s="3" customFormat="1" x14ac:dyDescent="0.2">
      <c r="A205" s="4">
        <v>193</v>
      </c>
      <c r="B205" s="2">
        <v>583</v>
      </c>
      <c r="C205" s="4">
        <v>1139</v>
      </c>
      <c r="D205" s="4"/>
      <c r="E205" s="3" t="s">
        <v>335</v>
      </c>
      <c r="F205" s="3" t="s">
        <v>6</v>
      </c>
      <c r="H205" s="4">
        <v>17000</v>
      </c>
      <c r="I205" s="4">
        <v>31.67</v>
      </c>
      <c r="J205" s="16">
        <v>1.131</v>
      </c>
      <c r="K205" s="16">
        <v>0.81256399999999995</v>
      </c>
      <c r="L205" s="4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4">
        <v>32.43</v>
      </c>
      <c r="AK205" s="4">
        <v>29.81</v>
      </c>
      <c r="AL205" s="4">
        <v>31.67</v>
      </c>
      <c r="AM205" s="46" t="s">
        <v>773</v>
      </c>
      <c r="AN205" s="46" t="s">
        <v>773</v>
      </c>
      <c r="AO205" s="46" t="s">
        <v>773</v>
      </c>
      <c r="AP205" s="46" t="s">
        <v>773</v>
      </c>
      <c r="AQ205" s="46" t="s">
        <v>773</v>
      </c>
      <c r="AR205" s="23">
        <v>0.23611111111111113</v>
      </c>
      <c r="AS205" s="47">
        <f>(5+(40/60))*AL205</f>
        <v>179.46333333333334</v>
      </c>
    </row>
    <row r="206" spans="1:45" x14ac:dyDescent="0.2">
      <c r="A206" s="2">
        <v>194</v>
      </c>
      <c r="B206" s="2">
        <v>80</v>
      </c>
      <c r="C206" s="2">
        <v>229</v>
      </c>
      <c r="E206" t="s">
        <v>109</v>
      </c>
      <c r="F206" t="s">
        <v>6</v>
      </c>
      <c r="H206" s="2">
        <v>1000</v>
      </c>
      <c r="I206" s="2">
        <v>59.52</v>
      </c>
      <c r="J206" s="15">
        <v>2.125</v>
      </c>
      <c r="K206" s="15">
        <v>1.4730000000000001</v>
      </c>
      <c r="P206" s="8">
        <v>194.63430299999999</v>
      </c>
      <c r="Q206" s="8">
        <v>156.99919600000001</v>
      </c>
      <c r="R206" s="8">
        <v>190.84485799999999</v>
      </c>
      <c r="S206" s="8">
        <v>224.53801300000001</v>
      </c>
      <c r="T206" s="8">
        <v>202.888891</v>
      </c>
      <c r="U206" s="8">
        <v>93.772175000000004</v>
      </c>
      <c r="V206" s="8">
        <v>95.385189999999994</v>
      </c>
      <c r="W206" s="8">
        <v>128.06653600000001</v>
      </c>
      <c r="X206" s="8">
        <v>205.10315499999999</v>
      </c>
      <c r="Y206" s="8">
        <v>239.91977399999999</v>
      </c>
      <c r="Z206" s="8">
        <v>268.90763399999997</v>
      </c>
      <c r="AA206" s="8">
        <v>268.52858300000003</v>
      </c>
      <c r="AB206" s="8">
        <v>183.174117</v>
      </c>
      <c r="AJ206" s="2">
        <v>54.21</v>
      </c>
      <c r="AK206" s="2">
        <v>67.78</v>
      </c>
      <c r="AL206" s="2">
        <v>152</v>
      </c>
      <c r="AM206" s="2">
        <v>59.52</v>
      </c>
      <c r="AN206" s="14" t="s">
        <v>773</v>
      </c>
      <c r="AO206" s="2">
        <v>66.430000000000007</v>
      </c>
      <c r="AP206" s="2" t="s">
        <v>773</v>
      </c>
      <c r="AQ206" s="2" t="s">
        <v>773</v>
      </c>
      <c r="AR206" s="19">
        <v>0.31944444444444448</v>
      </c>
      <c r="AS206" s="8">
        <f>(7+(40/60))*AO206</f>
        <v>509.29666666666674</v>
      </c>
    </row>
    <row r="207" spans="1:45" x14ac:dyDescent="0.2">
      <c r="A207" s="2">
        <v>195</v>
      </c>
      <c r="B207" s="2">
        <v>355</v>
      </c>
      <c r="C207" s="2">
        <v>528</v>
      </c>
      <c r="E207" t="s">
        <v>305</v>
      </c>
      <c r="F207" t="s">
        <v>535</v>
      </c>
      <c r="G207" t="s">
        <v>1292</v>
      </c>
      <c r="H207" s="2">
        <v>3000000</v>
      </c>
      <c r="I207" s="2">
        <v>87.47</v>
      </c>
      <c r="J207" s="15">
        <v>3.1240000000000001</v>
      </c>
      <c r="K207" s="15">
        <v>2.1869999999999998</v>
      </c>
      <c r="AJ207" s="2">
        <v>96.09</v>
      </c>
      <c r="AK207" s="2">
        <v>87.04</v>
      </c>
      <c r="AL207" s="2">
        <v>87.26</v>
      </c>
      <c r="AM207" s="2">
        <v>87.47</v>
      </c>
      <c r="AN207" s="14" t="s">
        <v>773</v>
      </c>
      <c r="AO207" s="14" t="s">
        <v>773</v>
      </c>
      <c r="AP207" s="14" t="s">
        <v>773</v>
      </c>
      <c r="AQ207" s="14" t="s">
        <v>773</v>
      </c>
      <c r="AR207" s="19">
        <v>0.17013888888888887</v>
      </c>
      <c r="AS207" s="8">
        <f>(4+(5/60))*AM207</f>
        <v>357.16916666666663</v>
      </c>
    </row>
    <row r="208" spans="1:45" x14ac:dyDescent="0.2">
      <c r="A208" s="2">
        <v>196</v>
      </c>
      <c r="B208" s="2">
        <v>200</v>
      </c>
      <c r="C208" s="2">
        <v>1012</v>
      </c>
      <c r="E208" t="s">
        <v>108</v>
      </c>
      <c r="F208" t="s">
        <v>540</v>
      </c>
      <c r="H208" s="2">
        <v>0</v>
      </c>
      <c r="I208" s="2">
        <v>35.979999999999997</v>
      </c>
      <c r="J208" s="15">
        <v>1.2849999999999999</v>
      </c>
      <c r="K208" s="15">
        <v>1.077</v>
      </c>
      <c r="N208" s="1" t="s">
        <v>11</v>
      </c>
      <c r="AJ208" s="2">
        <v>31.23</v>
      </c>
      <c r="AK208" s="2">
        <v>43.42</v>
      </c>
      <c r="AL208" s="2">
        <v>39.200000000000003</v>
      </c>
      <c r="AM208" s="2">
        <v>35.979999999999997</v>
      </c>
      <c r="AN208" s="14" t="s">
        <v>773</v>
      </c>
      <c r="AO208" s="2">
        <v>37.85</v>
      </c>
      <c r="AP208" s="2" t="s">
        <v>773</v>
      </c>
      <c r="AQ208" s="2" t="s">
        <v>773</v>
      </c>
      <c r="AR208" s="19">
        <v>0.19791666666666666</v>
      </c>
      <c r="AS208" s="8">
        <f>(4+(45/60))*AO208</f>
        <v>179.78749999999999</v>
      </c>
    </row>
    <row r="209" spans="1:52" x14ac:dyDescent="0.2">
      <c r="A209" s="2">
        <v>197</v>
      </c>
      <c r="B209" s="2">
        <v>218</v>
      </c>
      <c r="C209" s="2">
        <v>1077</v>
      </c>
      <c r="E209" t="s">
        <v>281</v>
      </c>
      <c r="I209" s="2">
        <v>38.11</v>
      </c>
      <c r="J209" s="15">
        <v>1.361</v>
      </c>
      <c r="K209" s="15">
        <v>0.98093799999999998</v>
      </c>
      <c r="AJ209" s="2">
        <v>35.15</v>
      </c>
      <c r="AK209" s="2">
        <v>42.43</v>
      </c>
      <c r="AL209" s="2">
        <v>39.71</v>
      </c>
      <c r="AM209" s="2">
        <v>38.11</v>
      </c>
      <c r="AN209" s="14" t="s">
        <v>773</v>
      </c>
      <c r="AO209" s="14" t="s">
        <v>773</v>
      </c>
      <c r="AP209" s="14" t="s">
        <v>773</v>
      </c>
      <c r="AQ209" s="14" t="s">
        <v>773</v>
      </c>
      <c r="AR209" s="19">
        <v>0.31388888888888888</v>
      </c>
      <c r="AS209" s="8">
        <f>(7+(32/60))*AM209</f>
        <v>287.09533333333331</v>
      </c>
    </row>
    <row r="210" spans="1:52" x14ac:dyDescent="0.2">
      <c r="A210" s="2">
        <v>198</v>
      </c>
      <c r="B210" s="2">
        <v>214</v>
      </c>
      <c r="C210" s="2">
        <v>406</v>
      </c>
      <c r="E210" t="s">
        <v>209</v>
      </c>
      <c r="F210" t="s">
        <v>2</v>
      </c>
      <c r="H210" s="2">
        <v>1000000</v>
      </c>
      <c r="I210" s="2">
        <v>95.83</v>
      </c>
      <c r="J210" s="15">
        <v>3.4220000000000002</v>
      </c>
      <c r="K210" s="15">
        <v>2.5750000000000002</v>
      </c>
      <c r="AJ210" s="2">
        <v>79.900000000000006</v>
      </c>
      <c r="AK210" s="2">
        <v>112.4</v>
      </c>
      <c r="AL210" s="2">
        <v>87.02</v>
      </c>
      <c r="AM210" s="2">
        <v>95.83</v>
      </c>
      <c r="AN210" s="2" t="s">
        <v>773</v>
      </c>
      <c r="AO210" s="2">
        <v>100.3</v>
      </c>
      <c r="AP210" s="2" t="s">
        <v>773</v>
      </c>
      <c r="AQ210" s="2" t="s">
        <v>773</v>
      </c>
      <c r="AR210" s="19">
        <v>0.18472222222222223</v>
      </c>
      <c r="AS210" s="8">
        <f>(4+(26/60))*AO210</f>
        <v>444.66333333333336</v>
      </c>
    </row>
    <row r="211" spans="1:52" x14ac:dyDescent="0.2">
      <c r="A211" s="2">
        <v>199</v>
      </c>
      <c r="B211" s="2">
        <v>248</v>
      </c>
      <c r="C211" s="2">
        <v>465</v>
      </c>
      <c r="E211" t="s">
        <v>288</v>
      </c>
      <c r="F211" t="s">
        <v>563</v>
      </c>
      <c r="G211" t="s">
        <v>1276</v>
      </c>
      <c r="H211" s="2">
        <v>200000</v>
      </c>
      <c r="I211" s="2">
        <v>80.180000000000007</v>
      </c>
      <c r="J211" s="15">
        <v>2.863</v>
      </c>
      <c r="K211" s="15">
        <v>1.5289999999999999</v>
      </c>
      <c r="AJ211" s="2">
        <v>101.1</v>
      </c>
      <c r="AK211" s="2">
        <v>66.75</v>
      </c>
      <c r="AL211" s="2">
        <v>80.61</v>
      </c>
      <c r="AM211" s="2">
        <v>80.180000000000007</v>
      </c>
      <c r="AN211" s="14" t="s">
        <v>773</v>
      </c>
      <c r="AO211" s="14" t="s">
        <v>773</v>
      </c>
      <c r="AP211" s="14" t="s">
        <v>773</v>
      </c>
      <c r="AQ211" s="14" t="s">
        <v>773</v>
      </c>
      <c r="AR211" s="19">
        <v>0.2902777777777778</v>
      </c>
      <c r="AS211" s="8">
        <f>(6+(58/60))*AM211</f>
        <v>558.58733333333339</v>
      </c>
    </row>
    <row r="212" spans="1:52" x14ac:dyDescent="0.2">
      <c r="A212" s="2">
        <v>205</v>
      </c>
      <c r="B212" s="2">
        <v>200</v>
      </c>
      <c r="C212" s="2">
        <v>159</v>
      </c>
      <c r="E212" t="s">
        <v>140</v>
      </c>
      <c r="F212" t="s">
        <v>1234</v>
      </c>
      <c r="K212" s="15"/>
      <c r="AJ212" s="2">
        <v>271.8</v>
      </c>
      <c r="AK212" s="2" t="s">
        <v>773</v>
      </c>
      <c r="AL212" s="2" t="s">
        <v>773</v>
      </c>
      <c r="AM212" s="2" t="s">
        <v>773</v>
      </c>
      <c r="AN212" s="14" t="s">
        <v>773</v>
      </c>
      <c r="AO212" s="14" t="s">
        <v>773</v>
      </c>
      <c r="AP212" s="14" t="s">
        <v>773</v>
      </c>
      <c r="AQ212" s="14" t="s">
        <v>773</v>
      </c>
      <c r="AR212" s="19">
        <v>7.8472222222222221E-2</v>
      </c>
      <c r="AS212" s="8">
        <f>(1+(53/60))*AJ212</f>
        <v>511.89</v>
      </c>
    </row>
    <row r="213" spans="1:52" x14ac:dyDescent="0.2">
      <c r="A213" s="2">
        <v>201</v>
      </c>
      <c r="B213" s="2">
        <v>205</v>
      </c>
      <c r="C213" s="2">
        <v>1016</v>
      </c>
      <c r="E213" t="s">
        <v>324</v>
      </c>
      <c r="F213" t="s">
        <v>545</v>
      </c>
      <c r="I213" s="2">
        <v>38.71</v>
      </c>
      <c r="J213" s="15">
        <v>1.3819999999999999</v>
      </c>
      <c r="K213" s="15">
        <v>1.046</v>
      </c>
      <c r="AJ213" s="2">
        <v>42.17</v>
      </c>
      <c r="AK213" s="2">
        <v>31.85</v>
      </c>
      <c r="AL213" s="2">
        <v>32.020000000000003</v>
      </c>
      <c r="AM213" s="2">
        <v>38.71</v>
      </c>
      <c r="AN213" s="14" t="s">
        <v>773</v>
      </c>
      <c r="AO213" s="14" t="s">
        <v>773</v>
      </c>
      <c r="AP213" s="14" t="s">
        <v>773</v>
      </c>
      <c r="AQ213" s="14" t="s">
        <v>773</v>
      </c>
      <c r="AR213" s="19">
        <v>0.20555555555555555</v>
      </c>
      <c r="AS213" s="8">
        <f>(5+(25/60))*AM213</f>
        <v>209.67916666666667</v>
      </c>
    </row>
    <row r="214" spans="1:52" x14ac:dyDescent="0.2">
      <c r="A214" s="2">
        <v>202</v>
      </c>
      <c r="B214" s="2">
        <v>202</v>
      </c>
      <c r="C214" s="2">
        <v>1099</v>
      </c>
      <c r="E214" t="s">
        <v>339</v>
      </c>
      <c r="I214" s="2">
        <v>32.26</v>
      </c>
      <c r="J214" s="15">
        <v>1.1519999999999999</v>
      </c>
      <c r="K214" s="16">
        <v>0.90941300000000003</v>
      </c>
      <c r="AJ214" s="2">
        <v>38.619999999999997</v>
      </c>
      <c r="AK214" s="2">
        <v>34.799999999999997</v>
      </c>
      <c r="AL214" s="2">
        <v>32.26</v>
      </c>
      <c r="AM214" s="14" t="s">
        <v>773</v>
      </c>
      <c r="AN214" s="14" t="s">
        <v>773</v>
      </c>
      <c r="AO214" s="14" t="s">
        <v>773</v>
      </c>
      <c r="AP214" s="14" t="s">
        <v>773</v>
      </c>
      <c r="AQ214" s="14" t="s">
        <v>773</v>
      </c>
      <c r="AR214" s="19">
        <v>0.17222222222222222</v>
      </c>
      <c r="AS214" s="8">
        <f>(4+(38/60))*AL214</f>
        <v>149.47133333333332</v>
      </c>
    </row>
    <row r="215" spans="1:52" x14ac:dyDescent="0.2">
      <c r="A215" s="2">
        <v>175</v>
      </c>
      <c r="B215" s="2">
        <v>203</v>
      </c>
      <c r="C215" s="2">
        <v>198</v>
      </c>
      <c r="E215" t="s">
        <v>1349</v>
      </c>
      <c r="F215" t="s">
        <v>696</v>
      </c>
      <c r="AJ215" s="2">
        <v>179.5</v>
      </c>
      <c r="AK215" s="2" t="s">
        <v>773</v>
      </c>
      <c r="AL215" s="2" t="s">
        <v>773</v>
      </c>
      <c r="AM215" s="14" t="s">
        <v>773</v>
      </c>
      <c r="AN215" s="14" t="s">
        <v>773</v>
      </c>
      <c r="AO215" s="14" t="s">
        <v>773</v>
      </c>
      <c r="AP215" s="14" t="s">
        <v>773</v>
      </c>
      <c r="AQ215" s="14" t="s">
        <v>773</v>
      </c>
      <c r="AR215" s="19">
        <v>0.64930555555555558</v>
      </c>
      <c r="AS215" s="8">
        <f>(15+(35/60))*AJ215</f>
        <v>2797.2083333333335</v>
      </c>
    </row>
    <row r="216" spans="1:52" x14ac:dyDescent="0.2">
      <c r="A216" s="2">
        <v>204</v>
      </c>
      <c r="B216" s="2">
        <v>207</v>
      </c>
      <c r="C216" s="2">
        <v>1075</v>
      </c>
      <c r="E216" t="s">
        <v>274</v>
      </c>
      <c r="I216" s="2">
        <v>38.06</v>
      </c>
      <c r="J216" s="15">
        <v>1.359</v>
      </c>
      <c r="K216" s="15">
        <v>1.143</v>
      </c>
      <c r="AJ216" s="2">
        <v>35.25</v>
      </c>
      <c r="AK216" s="2">
        <v>35.729999999999997</v>
      </c>
      <c r="AL216" s="2">
        <v>36.17</v>
      </c>
      <c r="AM216" s="2">
        <v>38.06</v>
      </c>
      <c r="AN216" s="14" t="s">
        <v>773</v>
      </c>
      <c r="AO216" s="14" t="s">
        <v>773</v>
      </c>
      <c r="AP216" s="14" t="s">
        <v>773</v>
      </c>
      <c r="AQ216" s="14" t="s">
        <v>773</v>
      </c>
      <c r="AR216" s="19">
        <v>0.13055555555555556</v>
      </c>
      <c r="AS216" s="8">
        <f>(3+(8/60))*AM216</f>
        <v>119.25466666666668</v>
      </c>
    </row>
    <row r="217" spans="1:52" x14ac:dyDescent="0.2">
      <c r="A217" s="2">
        <v>205</v>
      </c>
      <c r="B217" s="2">
        <v>290</v>
      </c>
      <c r="C217" s="2">
        <v>1167</v>
      </c>
      <c r="E217" t="s">
        <v>337</v>
      </c>
      <c r="I217" s="2">
        <v>34.409999999999997</v>
      </c>
      <c r="J217" s="15">
        <v>1.2290000000000001</v>
      </c>
      <c r="K217" s="15">
        <v>1.0049999999999999</v>
      </c>
      <c r="AJ217" s="2">
        <v>47.02</v>
      </c>
      <c r="AK217" s="2">
        <v>44.17</v>
      </c>
      <c r="AL217" s="2">
        <v>34.409999999999997</v>
      </c>
      <c r="AM217" s="14" t="s">
        <v>773</v>
      </c>
      <c r="AN217" s="14" t="s">
        <v>773</v>
      </c>
      <c r="AO217" s="14" t="s">
        <v>773</v>
      </c>
      <c r="AP217" s="14" t="s">
        <v>773</v>
      </c>
      <c r="AQ217" s="14" t="s">
        <v>773</v>
      </c>
      <c r="AR217" s="19">
        <v>0.19652777777777777</v>
      </c>
      <c r="AS217" s="8">
        <f>(4+(43/60))*AL217</f>
        <v>162.3005</v>
      </c>
    </row>
    <row r="218" spans="1:52" x14ac:dyDescent="0.2">
      <c r="A218" s="2">
        <v>206</v>
      </c>
      <c r="B218" s="2">
        <v>285</v>
      </c>
      <c r="C218" s="2">
        <v>524</v>
      </c>
      <c r="E218" t="s">
        <v>219</v>
      </c>
      <c r="F218" t="s">
        <v>1253</v>
      </c>
      <c r="G218" t="s">
        <v>1258</v>
      </c>
      <c r="H218" s="2">
        <v>3040</v>
      </c>
      <c r="I218" s="2">
        <v>111.5</v>
      </c>
      <c r="J218" s="15">
        <v>3.9830000000000001</v>
      </c>
      <c r="K218" s="15">
        <v>2.97</v>
      </c>
      <c r="AJ218" s="2">
        <v>122.5</v>
      </c>
      <c r="AK218" s="2">
        <v>123</v>
      </c>
      <c r="AL218" s="2">
        <v>109.6</v>
      </c>
      <c r="AM218" s="2">
        <v>111.5</v>
      </c>
      <c r="AN218" s="2" t="s">
        <v>773</v>
      </c>
      <c r="AO218" s="2">
        <v>111.1</v>
      </c>
      <c r="AP218" s="2" t="s">
        <v>773</v>
      </c>
      <c r="AQ218" s="2" t="s">
        <v>773</v>
      </c>
      <c r="AR218" s="19">
        <v>9.930555555555555E-2</v>
      </c>
      <c r="AS218" s="8">
        <f>(2+(23/60))*AO218</f>
        <v>264.7883333333333</v>
      </c>
    </row>
    <row r="219" spans="1:52" x14ac:dyDescent="0.2">
      <c r="A219" s="2">
        <v>216</v>
      </c>
      <c r="B219" s="2">
        <v>207</v>
      </c>
      <c r="C219" s="2">
        <v>1147</v>
      </c>
      <c r="E219" t="s">
        <v>394</v>
      </c>
      <c r="AJ219" s="2">
        <v>30.41</v>
      </c>
      <c r="AK219" s="2" t="s">
        <v>773</v>
      </c>
      <c r="AL219" s="1" t="s">
        <v>773</v>
      </c>
      <c r="AM219" s="14" t="s">
        <v>773</v>
      </c>
      <c r="AN219" s="14" t="s">
        <v>773</v>
      </c>
      <c r="AO219" s="14" t="s">
        <v>773</v>
      </c>
      <c r="AP219" s="14" t="s">
        <v>773</v>
      </c>
      <c r="AQ219" s="2" t="s">
        <v>773</v>
      </c>
      <c r="AR219" s="19">
        <v>0.22152777777777777</v>
      </c>
      <c r="AS219" s="8">
        <f>(5+(19/60))*AJ219</f>
        <v>161.67983333333333</v>
      </c>
    </row>
    <row r="220" spans="1:52" x14ac:dyDescent="0.2">
      <c r="A220" s="2">
        <v>208</v>
      </c>
      <c r="B220" s="2">
        <v>147</v>
      </c>
      <c r="C220" s="2">
        <v>645</v>
      </c>
      <c r="E220" t="s">
        <v>114</v>
      </c>
      <c r="F220" t="s">
        <v>5</v>
      </c>
      <c r="H220" s="2">
        <v>0</v>
      </c>
      <c r="I220" s="2">
        <v>97.06</v>
      </c>
      <c r="J220" s="15">
        <v>3.4660000000000002</v>
      </c>
      <c r="K220" s="15">
        <v>2.6070000000000002</v>
      </c>
      <c r="P220" s="8">
        <v>155.394812</v>
      </c>
      <c r="Q220" s="8">
        <v>148.810687</v>
      </c>
      <c r="R220" s="8">
        <v>155.030731</v>
      </c>
      <c r="S220" s="8">
        <v>154.231956</v>
      </c>
      <c r="T220" s="8">
        <v>160.28258199999999</v>
      </c>
      <c r="U220" s="8">
        <v>147.89075</v>
      </c>
      <c r="V220" s="8">
        <v>162.34909200000001</v>
      </c>
      <c r="W220" s="8">
        <v>162.23882499999999</v>
      </c>
      <c r="X220" s="8">
        <v>194.17859799999999</v>
      </c>
      <c r="Y220" s="8">
        <v>205.50739200000001</v>
      </c>
      <c r="Z220" s="8">
        <v>201.854917</v>
      </c>
      <c r="AA220" s="8">
        <v>171.82154600000001</v>
      </c>
      <c r="AB220" s="8">
        <v>172.94190399999999</v>
      </c>
      <c r="AJ220" s="2">
        <v>79.64</v>
      </c>
      <c r="AK220" s="2">
        <v>80.77</v>
      </c>
      <c r="AL220" s="2">
        <v>93.24</v>
      </c>
      <c r="AM220" s="2">
        <v>97.06</v>
      </c>
      <c r="AN220" s="14" t="s">
        <v>773</v>
      </c>
      <c r="AO220" s="2">
        <v>90.26</v>
      </c>
      <c r="AP220" s="2" t="s">
        <v>773</v>
      </c>
      <c r="AQ220" s="2" t="s">
        <v>773</v>
      </c>
      <c r="AR220" s="19">
        <v>8.5416666666666655E-2</v>
      </c>
      <c r="AS220" s="60">
        <f>(2+(3/60))*AO220</f>
        <v>185.03299999999999</v>
      </c>
      <c r="AX220" s="51" t="s">
        <v>687</v>
      </c>
    </row>
    <row r="221" spans="1:52" x14ac:dyDescent="0.2">
      <c r="A221" s="2">
        <v>209</v>
      </c>
      <c r="B221" s="2">
        <v>455</v>
      </c>
      <c r="C221" s="2">
        <v>1240</v>
      </c>
      <c r="E221" t="s">
        <v>348</v>
      </c>
      <c r="F221" t="s">
        <v>6</v>
      </c>
      <c r="I221" s="2">
        <v>42.91</v>
      </c>
      <c r="J221" s="15">
        <v>1.532</v>
      </c>
      <c r="K221" s="15">
        <v>1.175</v>
      </c>
      <c r="AJ221" s="2">
        <v>76.44</v>
      </c>
      <c r="AK221" s="2">
        <v>52.03</v>
      </c>
      <c r="AL221" s="2">
        <v>42.91</v>
      </c>
      <c r="AM221" s="14" t="s">
        <v>773</v>
      </c>
      <c r="AN221" s="14" t="s">
        <v>773</v>
      </c>
      <c r="AO221" s="14" t="s">
        <v>773</v>
      </c>
      <c r="AP221" s="14" t="s">
        <v>773</v>
      </c>
      <c r="AQ221" s="14" t="s">
        <v>773</v>
      </c>
      <c r="AR221" s="19">
        <v>0.1111111111111111</v>
      </c>
      <c r="AS221" s="8">
        <f>(2+(40/60))*AL221</f>
        <v>114.42666666666665</v>
      </c>
    </row>
    <row r="222" spans="1:52" x14ac:dyDescent="0.2">
      <c r="A222" s="2">
        <v>210</v>
      </c>
      <c r="B222" s="2">
        <v>308</v>
      </c>
      <c r="C222" s="2">
        <v>496</v>
      </c>
      <c r="E222" t="s">
        <v>278</v>
      </c>
      <c r="I222" s="2">
        <v>97.58</v>
      </c>
      <c r="J222" s="15">
        <v>3.4849999999999999</v>
      </c>
      <c r="K222" s="15">
        <v>2.532</v>
      </c>
      <c r="AJ222" s="2">
        <v>97.37</v>
      </c>
      <c r="AK222" s="2">
        <v>96.47</v>
      </c>
      <c r="AL222" s="2">
        <v>90.59</v>
      </c>
      <c r="AM222" s="2">
        <v>97.58</v>
      </c>
      <c r="AN222" s="14" t="s">
        <v>773</v>
      </c>
      <c r="AO222" s="14" t="s">
        <v>773</v>
      </c>
      <c r="AP222" s="14" t="s">
        <v>773</v>
      </c>
      <c r="AQ222" s="14" t="s">
        <v>773</v>
      </c>
      <c r="AR222" s="19">
        <v>0.14930555555555555</v>
      </c>
      <c r="AS222" s="8">
        <f>(3+(35/60))*AM222</f>
        <v>349.66166666666669</v>
      </c>
    </row>
    <row r="223" spans="1:52" s="3" customFormat="1" x14ac:dyDescent="0.2">
      <c r="A223" s="4">
        <v>211</v>
      </c>
      <c r="B223" s="4">
        <v>228</v>
      </c>
      <c r="C223" s="4">
        <v>659</v>
      </c>
      <c r="D223" s="4"/>
      <c r="E223" s="3" t="s">
        <v>164</v>
      </c>
      <c r="F223" s="3" t="s">
        <v>6</v>
      </c>
      <c r="H223" s="4">
        <v>3000</v>
      </c>
      <c r="I223" s="4">
        <v>101.6</v>
      </c>
      <c r="J223" s="16">
        <v>3.1469999999999998</v>
      </c>
      <c r="K223" s="16">
        <v>2.859</v>
      </c>
      <c r="L223" s="4">
        <v>66.12</v>
      </c>
      <c r="M223" s="9"/>
      <c r="N223" s="9"/>
      <c r="O223" s="9"/>
      <c r="P223" s="58">
        <v>121.4641</v>
      </c>
      <c r="Q223" s="58">
        <v>129.02500000000001</v>
      </c>
      <c r="R223" s="58">
        <v>117.991</v>
      </c>
      <c r="S223" s="58">
        <v>126.262</v>
      </c>
      <c r="T223" s="58">
        <v>132.57300000000001</v>
      </c>
      <c r="U223" s="58">
        <v>113.565</v>
      </c>
      <c r="V223" s="58">
        <v>124.88</v>
      </c>
      <c r="W223" s="58">
        <v>121.36199999999999</v>
      </c>
      <c r="X223" s="58">
        <v>143.792</v>
      </c>
      <c r="Y223" s="58">
        <v>155.15700000000001</v>
      </c>
      <c r="Z223" s="58">
        <v>172.96899999999999</v>
      </c>
      <c r="AA223" s="58">
        <v>149.38399999999999</v>
      </c>
      <c r="AB223" s="58">
        <v>162.55199999999999</v>
      </c>
      <c r="AC223" s="9"/>
      <c r="AD223" s="9"/>
      <c r="AE223" s="9"/>
      <c r="AF223" s="9"/>
      <c r="AG223" s="9"/>
      <c r="AH223" s="9"/>
      <c r="AI223" s="9"/>
      <c r="AJ223" s="4">
        <v>94.38</v>
      </c>
      <c r="AK223" s="4">
        <v>87.79</v>
      </c>
      <c r="AL223" s="4">
        <v>91.05</v>
      </c>
      <c r="AM223" s="4">
        <v>86.9</v>
      </c>
      <c r="AN223" s="46" t="s">
        <v>773</v>
      </c>
      <c r="AO223" s="4">
        <v>86.18</v>
      </c>
      <c r="AP223" s="46" t="s">
        <v>773</v>
      </c>
      <c r="AQ223" s="46" t="s">
        <v>773</v>
      </c>
      <c r="AR223" s="21" t="s">
        <v>747</v>
      </c>
      <c r="AS223" s="47">
        <f>(1+(27/60))*AO223</f>
        <v>124.96100000000001</v>
      </c>
      <c r="AX223"/>
      <c r="AY223"/>
      <c r="AZ223"/>
    </row>
    <row r="224" spans="1:52" x14ac:dyDescent="0.2">
      <c r="A224" s="2">
        <v>213</v>
      </c>
      <c r="B224" s="2">
        <v>201</v>
      </c>
      <c r="C224" s="2">
        <v>930</v>
      </c>
      <c r="E224" t="s">
        <v>220</v>
      </c>
      <c r="F224" t="s">
        <v>1254</v>
      </c>
      <c r="G224" t="s">
        <v>1237</v>
      </c>
      <c r="H224" s="2">
        <v>40</v>
      </c>
      <c r="I224" s="2">
        <v>46.84</v>
      </c>
      <c r="J224" s="15">
        <v>1.6719999999999999</v>
      </c>
      <c r="K224" s="15">
        <v>1.04</v>
      </c>
      <c r="P224" s="9">
        <v>185.33199999999999</v>
      </c>
      <c r="Q224" s="9">
        <v>155.34200000000001</v>
      </c>
      <c r="R224" s="9">
        <v>191.495</v>
      </c>
      <c r="S224" s="9">
        <v>185.88499999999999</v>
      </c>
      <c r="T224" s="9">
        <v>155.24700000000001</v>
      </c>
      <c r="U224" s="9">
        <v>172.38200000000001</v>
      </c>
      <c r="V224" s="9">
        <v>161.80799999999999</v>
      </c>
      <c r="W224" s="9">
        <v>158.024</v>
      </c>
      <c r="X224" s="9">
        <v>206.68299999999999</v>
      </c>
      <c r="Y224" s="9">
        <v>203.40600000000001</v>
      </c>
      <c r="Z224" s="9">
        <v>217.90700000000001</v>
      </c>
      <c r="AA224" s="9">
        <v>181.34899999999999</v>
      </c>
      <c r="AB224" s="9">
        <v>213.672</v>
      </c>
      <c r="AJ224" s="2">
        <v>67.52</v>
      </c>
      <c r="AK224" s="2">
        <v>46.95</v>
      </c>
      <c r="AL224" s="2">
        <v>49.32</v>
      </c>
      <c r="AM224" s="2">
        <v>46.84</v>
      </c>
      <c r="AN224" s="2" t="s">
        <v>773</v>
      </c>
      <c r="AO224" s="2">
        <v>46.4</v>
      </c>
      <c r="AP224" s="2" t="s">
        <v>773</v>
      </c>
      <c r="AQ224" s="2" t="s">
        <v>773</v>
      </c>
      <c r="AR224" s="19">
        <v>0.12361111111111112</v>
      </c>
      <c r="AS224" s="8">
        <f>(3+(11/60))*AO224</f>
        <v>147.70666666666665</v>
      </c>
    </row>
    <row r="225" spans="1:45" x14ac:dyDescent="0.2">
      <c r="A225" s="2">
        <v>214</v>
      </c>
      <c r="B225" s="2">
        <v>242</v>
      </c>
      <c r="C225" s="2">
        <v>1285</v>
      </c>
      <c r="E225" t="s">
        <v>297</v>
      </c>
      <c r="F225" t="s">
        <v>1241</v>
      </c>
      <c r="G225" t="s">
        <v>1282</v>
      </c>
      <c r="H225" s="2">
        <v>13870</v>
      </c>
      <c r="I225" s="2">
        <v>35.15</v>
      </c>
      <c r="J225" s="15">
        <v>1.2549999999999999</v>
      </c>
      <c r="K225" s="15">
        <v>1.111</v>
      </c>
      <c r="AJ225" s="2">
        <v>38.86</v>
      </c>
      <c r="AK225" s="2">
        <v>39.520000000000003</v>
      </c>
      <c r="AL225" s="2">
        <v>34.79</v>
      </c>
      <c r="AM225" s="2">
        <v>35.15</v>
      </c>
      <c r="AN225" s="14" t="s">
        <v>773</v>
      </c>
      <c r="AO225" s="14" t="s">
        <v>773</v>
      </c>
      <c r="AP225" s="14" t="s">
        <v>773</v>
      </c>
      <c r="AQ225" s="14" t="s">
        <v>773</v>
      </c>
      <c r="AR225" s="19">
        <v>0.15069444444444444</v>
      </c>
      <c r="AS225" s="8">
        <f>(3+(37/60))*AM225</f>
        <v>127.12583333333333</v>
      </c>
    </row>
    <row r="226" spans="1:45" x14ac:dyDescent="0.2">
      <c r="A226" s="2">
        <v>215</v>
      </c>
      <c r="B226" s="2">
        <v>186</v>
      </c>
      <c r="C226" s="2">
        <v>945</v>
      </c>
      <c r="E226" t="s">
        <v>321</v>
      </c>
      <c r="G226" t="s">
        <v>1299</v>
      </c>
      <c r="I226" s="2">
        <v>29.19</v>
      </c>
      <c r="J226" s="15">
        <v>1.042</v>
      </c>
      <c r="K226" s="15">
        <v>0.866672</v>
      </c>
      <c r="AJ226" s="2">
        <v>27.88</v>
      </c>
      <c r="AK226" s="2">
        <v>32.9</v>
      </c>
      <c r="AL226" s="2">
        <v>34.020000000000003</v>
      </c>
      <c r="AM226" s="2">
        <v>29.19</v>
      </c>
      <c r="AN226" s="14" t="s">
        <v>773</v>
      </c>
      <c r="AO226" s="14" t="s">
        <v>773</v>
      </c>
      <c r="AP226" s="14" t="s">
        <v>773</v>
      </c>
      <c r="AQ226" s="14" t="s">
        <v>773</v>
      </c>
      <c r="AR226" s="19">
        <v>0.31111111111111112</v>
      </c>
      <c r="AS226" s="8">
        <f>(7+(28/60))*AM226</f>
        <v>217.95200000000003</v>
      </c>
    </row>
    <row r="227" spans="1:45" x14ac:dyDescent="0.2">
      <c r="A227" s="2">
        <v>152</v>
      </c>
      <c r="B227" s="2">
        <v>216</v>
      </c>
      <c r="C227" s="2">
        <v>735</v>
      </c>
      <c r="E227" t="s">
        <v>1350</v>
      </c>
      <c r="K227" s="15"/>
      <c r="AJ227" s="2">
        <v>45.34</v>
      </c>
      <c r="AK227" s="2" t="s">
        <v>773</v>
      </c>
      <c r="AL227" s="2" t="s">
        <v>773</v>
      </c>
      <c r="AM227" s="2" t="s">
        <v>773</v>
      </c>
      <c r="AN227" s="14" t="s">
        <v>773</v>
      </c>
      <c r="AO227" s="14" t="s">
        <v>773</v>
      </c>
      <c r="AP227" s="14" t="s">
        <v>773</v>
      </c>
      <c r="AQ227" s="14" t="s">
        <v>773</v>
      </c>
      <c r="AR227" s="19">
        <v>0.54374999999999996</v>
      </c>
      <c r="AS227" s="8">
        <f>(13+(3/60))*AJ227</f>
        <v>591.68700000000013</v>
      </c>
    </row>
    <row r="228" spans="1:45" x14ac:dyDescent="0.2">
      <c r="A228" s="2">
        <v>217</v>
      </c>
      <c r="B228" s="2">
        <v>174</v>
      </c>
      <c r="C228" s="2">
        <v>482</v>
      </c>
      <c r="E228" t="s">
        <v>186</v>
      </c>
      <c r="I228" s="2">
        <v>87.64</v>
      </c>
      <c r="J228" s="15">
        <v>3.13</v>
      </c>
      <c r="K228" s="15">
        <v>2.7440000000000002</v>
      </c>
      <c r="AJ228" s="2">
        <v>91.61</v>
      </c>
      <c r="AK228" s="2">
        <v>118.2</v>
      </c>
      <c r="AL228" s="2">
        <v>93.88</v>
      </c>
      <c r="AM228" s="2">
        <v>87.64</v>
      </c>
      <c r="AN228" s="14" t="s">
        <v>773</v>
      </c>
      <c r="AO228" s="2">
        <v>85.18</v>
      </c>
      <c r="AP228" s="14" t="s">
        <v>773</v>
      </c>
      <c r="AQ228" s="14" t="s">
        <v>773</v>
      </c>
      <c r="AR228" s="19">
        <v>7.5694444444444439E-2</v>
      </c>
      <c r="AS228" s="8">
        <f>(1+(49/60))*AO228</f>
        <v>154.74366666666668</v>
      </c>
    </row>
    <row r="229" spans="1:45" x14ac:dyDescent="0.2">
      <c r="A229" s="2">
        <v>243</v>
      </c>
      <c r="B229" s="2">
        <v>218</v>
      </c>
      <c r="C229" s="2">
        <v>1401</v>
      </c>
      <c r="E229" t="s">
        <v>427</v>
      </c>
      <c r="AJ229" s="2">
        <v>26.99</v>
      </c>
      <c r="AK229" s="2" t="s">
        <v>773</v>
      </c>
      <c r="AL229" s="1" t="s">
        <v>773</v>
      </c>
      <c r="AM229" s="14" t="s">
        <v>773</v>
      </c>
      <c r="AN229" s="14" t="s">
        <v>773</v>
      </c>
      <c r="AO229" s="14" t="s">
        <v>773</v>
      </c>
      <c r="AP229" s="14" t="s">
        <v>773</v>
      </c>
      <c r="AQ229" s="14" t="s">
        <v>773</v>
      </c>
      <c r="AR229" s="19">
        <v>0.21458333333333332</v>
      </c>
      <c r="AS229" s="8">
        <f>(5+(9/60))*AJ229</f>
        <v>138.99850000000001</v>
      </c>
    </row>
    <row r="230" spans="1:45" x14ac:dyDescent="0.2">
      <c r="A230" s="2">
        <v>219</v>
      </c>
      <c r="B230" s="2">
        <v>217</v>
      </c>
      <c r="C230" s="2">
        <v>1223</v>
      </c>
      <c r="E230" t="s">
        <v>292</v>
      </c>
      <c r="F230" t="s">
        <v>1241</v>
      </c>
      <c r="G230" t="s">
        <v>1282</v>
      </c>
      <c r="H230" s="2">
        <v>13870</v>
      </c>
      <c r="I230" s="2">
        <v>35.340000000000003</v>
      </c>
      <c r="J230" s="15">
        <v>1.262</v>
      </c>
      <c r="K230" s="15">
        <v>1.125</v>
      </c>
      <c r="AJ230" s="2">
        <v>38.950000000000003</v>
      </c>
      <c r="AK230" s="2">
        <v>34.78</v>
      </c>
      <c r="AL230" s="2">
        <v>32.85</v>
      </c>
      <c r="AM230" s="2">
        <v>35.340000000000003</v>
      </c>
      <c r="AN230" s="14" t="s">
        <v>773</v>
      </c>
      <c r="AO230" s="14" t="s">
        <v>773</v>
      </c>
      <c r="AP230" s="14" t="s">
        <v>773</v>
      </c>
      <c r="AQ230" s="14" t="s">
        <v>773</v>
      </c>
      <c r="AR230" s="19">
        <v>8.8888888888888892E-2</v>
      </c>
      <c r="AS230" s="8">
        <f>(2+(55/60))*AM230</f>
        <v>103.075</v>
      </c>
    </row>
    <row r="231" spans="1:45" x14ac:dyDescent="0.2">
      <c r="A231" s="2">
        <v>220</v>
      </c>
      <c r="B231" s="2">
        <v>265</v>
      </c>
      <c r="C231" s="2">
        <v>365</v>
      </c>
      <c r="E231" t="s">
        <v>276</v>
      </c>
      <c r="F231" t="s">
        <v>563</v>
      </c>
      <c r="G231" t="s">
        <v>1317</v>
      </c>
      <c r="I231" s="2">
        <v>109.3</v>
      </c>
      <c r="J231" s="15">
        <v>3.907</v>
      </c>
      <c r="K231" s="15">
        <v>1.6970000000000001</v>
      </c>
      <c r="AJ231" s="2">
        <v>125.2</v>
      </c>
      <c r="AK231" s="2">
        <v>82.37</v>
      </c>
      <c r="AL231" s="2">
        <v>107.6</v>
      </c>
      <c r="AM231" s="2">
        <v>109.3</v>
      </c>
      <c r="AN231" s="14" t="s">
        <v>773</v>
      </c>
      <c r="AO231" s="14" t="s">
        <v>773</v>
      </c>
      <c r="AP231" s="14" t="s">
        <v>773</v>
      </c>
      <c r="AQ231" s="14" t="s">
        <v>773</v>
      </c>
      <c r="AR231" s="19">
        <v>0.59513888888888888</v>
      </c>
      <c r="AS231" s="8">
        <f>(14+(17/60))*AM231</f>
        <v>1561.1683333333333</v>
      </c>
    </row>
    <row r="232" spans="1:45" x14ac:dyDescent="0.2">
      <c r="A232" s="2">
        <v>221</v>
      </c>
      <c r="B232" s="2">
        <v>263</v>
      </c>
      <c r="C232" s="2">
        <v>1130</v>
      </c>
      <c r="E232" t="s">
        <v>315</v>
      </c>
      <c r="F232" t="s">
        <v>1297</v>
      </c>
      <c r="G232" t="s">
        <v>1298</v>
      </c>
      <c r="H232" s="2">
        <v>27120</v>
      </c>
      <c r="I232" s="2">
        <v>37.24</v>
      </c>
      <c r="J232" s="15">
        <v>1.33</v>
      </c>
      <c r="K232" s="15">
        <v>1.0329999999999999</v>
      </c>
      <c r="AJ232" s="2">
        <v>42.22</v>
      </c>
      <c r="AK232" s="2">
        <v>34.67</v>
      </c>
      <c r="AL232" s="2">
        <v>38.119999999999997</v>
      </c>
      <c r="AM232" s="2">
        <v>37.24</v>
      </c>
      <c r="AN232" s="14" t="s">
        <v>773</v>
      </c>
      <c r="AO232" s="14" t="s">
        <v>773</v>
      </c>
      <c r="AP232" s="14" t="s">
        <v>773</v>
      </c>
      <c r="AQ232" s="14" t="s">
        <v>773</v>
      </c>
      <c r="AR232" s="19">
        <v>0.18402777777777779</v>
      </c>
      <c r="AS232" s="8">
        <f>(4+(25/60))*AM232</f>
        <v>164.47666666666669</v>
      </c>
    </row>
    <row r="233" spans="1:45" s="5" customFormat="1" x14ac:dyDescent="0.2">
      <c r="A233" s="6">
        <v>222</v>
      </c>
      <c r="B233" s="2">
        <v>152</v>
      </c>
      <c r="C233" s="6">
        <v>745</v>
      </c>
      <c r="D233" s="6"/>
      <c r="E233" s="5" t="s">
        <v>110</v>
      </c>
      <c r="F233" s="5" t="s">
        <v>541</v>
      </c>
      <c r="G233" s="5" t="s">
        <v>1291</v>
      </c>
      <c r="H233" s="6">
        <v>121750</v>
      </c>
      <c r="I233" s="6">
        <v>93.36</v>
      </c>
      <c r="J233" s="17">
        <v>3.3340000000000001</v>
      </c>
      <c r="K233" s="17">
        <v>2.0459999999999998</v>
      </c>
      <c r="L233" s="6"/>
      <c r="M233" s="7"/>
      <c r="N233" s="7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7"/>
      <c r="AD233" s="7"/>
      <c r="AE233" s="7"/>
      <c r="AF233" s="7"/>
      <c r="AG233" s="7"/>
      <c r="AH233" s="7"/>
      <c r="AI233" s="7"/>
      <c r="AJ233" s="6">
        <v>56.07</v>
      </c>
      <c r="AK233" s="6">
        <v>84.46</v>
      </c>
      <c r="AL233" s="6">
        <v>87.26</v>
      </c>
      <c r="AM233" s="6">
        <v>93.36</v>
      </c>
      <c r="AN233" s="50" t="s">
        <v>773</v>
      </c>
      <c r="AO233" s="6">
        <v>93.72</v>
      </c>
      <c r="AP233" s="6" t="s">
        <v>773</v>
      </c>
      <c r="AQ233" s="6" t="s">
        <v>773</v>
      </c>
      <c r="AR233" s="53">
        <v>0.12569444444444444</v>
      </c>
      <c r="AS233" s="54">
        <f>(3+(1/60))*AO233</f>
        <v>282.72199999999998</v>
      </c>
    </row>
    <row r="234" spans="1:45" x14ac:dyDescent="0.2">
      <c r="A234" s="2">
        <v>223</v>
      </c>
      <c r="B234" s="2">
        <v>238</v>
      </c>
      <c r="C234" s="2">
        <v>1264</v>
      </c>
      <c r="E234" t="s">
        <v>216</v>
      </c>
      <c r="I234" s="2">
        <v>48.05</v>
      </c>
      <c r="J234" s="15">
        <v>1.716</v>
      </c>
      <c r="K234" s="15">
        <v>1.4850000000000001</v>
      </c>
      <c r="AJ234" s="2">
        <v>43.46</v>
      </c>
      <c r="AK234" s="2">
        <v>46.11</v>
      </c>
      <c r="AL234" s="2">
        <v>42.87</v>
      </c>
      <c r="AM234" s="2">
        <v>48.05</v>
      </c>
      <c r="AN234" s="2" t="s">
        <v>773</v>
      </c>
      <c r="AO234" s="2">
        <v>47.57</v>
      </c>
      <c r="AP234" s="2" t="s">
        <v>773</v>
      </c>
      <c r="AQ234" s="2" t="s">
        <v>773</v>
      </c>
      <c r="AR234" s="19">
        <v>8.611111111111111E-2</v>
      </c>
      <c r="AS234" s="8">
        <f>(2+(2/60))*AO234</f>
        <v>96.725666666666655</v>
      </c>
    </row>
    <row r="235" spans="1:45" x14ac:dyDescent="0.2">
      <c r="A235" s="2">
        <v>226</v>
      </c>
      <c r="B235" s="2">
        <v>224</v>
      </c>
      <c r="C235" s="2">
        <v>525</v>
      </c>
      <c r="E235" t="s">
        <v>472</v>
      </c>
      <c r="K235" s="15"/>
      <c r="AJ235" s="2">
        <v>39.770000000000003</v>
      </c>
      <c r="AK235" s="2" t="s">
        <v>773</v>
      </c>
      <c r="AL235" s="2" t="s">
        <v>773</v>
      </c>
      <c r="AM235" s="2" t="s">
        <v>773</v>
      </c>
      <c r="AN235" s="2" t="s">
        <v>773</v>
      </c>
      <c r="AO235" s="2" t="s">
        <v>773</v>
      </c>
      <c r="AP235" s="2" t="s">
        <v>773</v>
      </c>
      <c r="AQ235" s="2" t="s">
        <v>773</v>
      </c>
      <c r="AR235" s="19">
        <v>0.37222222222222223</v>
      </c>
      <c r="AS235" s="8">
        <f>(8+(56/60))*AJ235</f>
        <v>355.27866666666671</v>
      </c>
    </row>
    <row r="236" spans="1:45" x14ac:dyDescent="0.2">
      <c r="A236" s="2">
        <v>270</v>
      </c>
      <c r="B236" s="2">
        <v>225</v>
      </c>
      <c r="C236" s="2">
        <v>68</v>
      </c>
      <c r="E236" t="s">
        <v>1351</v>
      </c>
      <c r="K236" s="15"/>
      <c r="AJ236" s="2">
        <v>649.6</v>
      </c>
      <c r="AK236" s="2" t="s">
        <v>773</v>
      </c>
      <c r="AL236" s="2" t="s">
        <v>773</v>
      </c>
      <c r="AM236" s="2" t="s">
        <v>773</v>
      </c>
      <c r="AN236" s="2" t="s">
        <v>773</v>
      </c>
      <c r="AO236" s="2" t="s">
        <v>773</v>
      </c>
      <c r="AP236" s="2" t="s">
        <v>773</v>
      </c>
      <c r="AQ236" s="2" t="s">
        <v>773</v>
      </c>
      <c r="AR236" s="19">
        <v>0.13819444444444445</v>
      </c>
      <c r="AS236" s="8">
        <f>(3+(19/60))*AJ236</f>
        <v>2154.5066666666667</v>
      </c>
    </row>
    <row r="237" spans="1:45" x14ac:dyDescent="0.2">
      <c r="A237" s="2">
        <v>226</v>
      </c>
      <c r="B237" s="2">
        <v>286</v>
      </c>
      <c r="C237" s="2">
        <v>1604</v>
      </c>
      <c r="E237" t="s">
        <v>367</v>
      </c>
      <c r="AJ237" s="2">
        <v>26.49</v>
      </c>
      <c r="AK237" s="2" t="s">
        <v>773</v>
      </c>
      <c r="AL237" s="2" t="s">
        <v>773</v>
      </c>
      <c r="AM237" s="14" t="s">
        <v>773</v>
      </c>
      <c r="AN237" s="14" t="s">
        <v>773</v>
      </c>
      <c r="AO237" s="14" t="s">
        <v>773</v>
      </c>
      <c r="AP237" s="14" t="s">
        <v>773</v>
      </c>
      <c r="AQ237" s="57" t="s">
        <v>773</v>
      </c>
      <c r="AR237" s="19">
        <v>0.14166666666666666</v>
      </c>
      <c r="AS237" s="8">
        <f>(3+(24/60))*AJ237</f>
        <v>90.065999999999988</v>
      </c>
    </row>
    <row r="238" spans="1:45" x14ac:dyDescent="0.2">
      <c r="A238" s="2">
        <v>227</v>
      </c>
      <c r="B238" s="2">
        <v>220</v>
      </c>
      <c r="C238" s="2">
        <v>639</v>
      </c>
      <c r="E238" t="s">
        <v>170</v>
      </c>
      <c r="F238" t="s">
        <v>1254</v>
      </c>
      <c r="H238" s="2">
        <v>0</v>
      </c>
      <c r="I238" s="2">
        <v>96.86</v>
      </c>
      <c r="J238" s="15">
        <v>3.0830000000000002</v>
      </c>
      <c r="K238" s="15">
        <v>2.3540000000000001</v>
      </c>
      <c r="L238" s="2">
        <v>38.869999999999997</v>
      </c>
      <c r="P238" s="58">
        <v>158.82499999999999</v>
      </c>
      <c r="Q238" s="58">
        <v>162.19999999999999</v>
      </c>
      <c r="R238" s="58">
        <v>166.50200000000001</v>
      </c>
      <c r="S238" s="58">
        <v>152.6</v>
      </c>
      <c r="T238" s="58">
        <v>141.18799999999999</v>
      </c>
      <c r="U238" s="58">
        <v>129.07</v>
      </c>
      <c r="V238" s="58">
        <v>148.69999999999999</v>
      </c>
      <c r="W238" s="58">
        <v>133.55600000000001</v>
      </c>
      <c r="X238" s="58">
        <v>162.1</v>
      </c>
      <c r="Y238" s="58">
        <v>170.2</v>
      </c>
      <c r="Z238" s="58">
        <v>184.26</v>
      </c>
      <c r="AA238" s="58">
        <v>157.715</v>
      </c>
      <c r="AB238" s="58">
        <v>192.28</v>
      </c>
      <c r="AJ238" s="2">
        <v>83.29</v>
      </c>
      <c r="AK238" s="2">
        <v>79.61</v>
      </c>
      <c r="AL238" s="2">
        <v>81.37</v>
      </c>
      <c r="AM238" s="2">
        <v>82.16</v>
      </c>
      <c r="AN238" s="14" t="s">
        <v>773</v>
      </c>
      <c r="AO238" s="2">
        <v>90.13</v>
      </c>
      <c r="AP238" s="14" t="s">
        <v>773</v>
      </c>
      <c r="AQ238" s="14" t="s">
        <v>773</v>
      </c>
      <c r="AR238" s="19">
        <v>0.12569444444444444</v>
      </c>
      <c r="AS238" s="8">
        <f>(3+(1/60))*AO238</f>
        <v>271.89216666666664</v>
      </c>
    </row>
    <row r="239" spans="1:45" x14ac:dyDescent="0.2">
      <c r="A239" s="2">
        <v>228</v>
      </c>
      <c r="B239" s="2">
        <v>371</v>
      </c>
      <c r="C239" s="2">
        <v>69</v>
      </c>
      <c r="E239" t="s">
        <v>295</v>
      </c>
      <c r="F239" t="s">
        <v>717</v>
      </c>
      <c r="G239" t="s">
        <v>1280</v>
      </c>
      <c r="I239" s="2">
        <v>429.5</v>
      </c>
      <c r="J239" s="15">
        <v>15.34</v>
      </c>
      <c r="K239" s="15">
        <v>11.46</v>
      </c>
      <c r="P239" s="8">
        <v>1094.784895</v>
      </c>
      <c r="Q239" s="8">
        <v>960.43197699999996</v>
      </c>
      <c r="R239" s="8">
        <v>1214.078391</v>
      </c>
      <c r="S239" s="8">
        <v>940.98224400000004</v>
      </c>
      <c r="T239" s="8">
        <v>896.66917899999999</v>
      </c>
      <c r="U239" s="8">
        <v>834.08874600000001</v>
      </c>
      <c r="V239" s="8">
        <v>886.58929799999999</v>
      </c>
      <c r="W239" s="8">
        <v>831.39114400000005</v>
      </c>
      <c r="X239" s="8">
        <v>867.04938700000002</v>
      </c>
      <c r="Y239" s="8">
        <v>916.61299399999996</v>
      </c>
      <c r="Z239" s="8">
        <v>1007.941341</v>
      </c>
      <c r="AA239" s="8">
        <v>922.19362899999999</v>
      </c>
      <c r="AB239" s="8">
        <v>934.82968400000004</v>
      </c>
      <c r="AJ239" s="2">
        <v>548.4</v>
      </c>
      <c r="AK239" s="2">
        <v>424.2</v>
      </c>
      <c r="AL239" s="2">
        <v>405.2</v>
      </c>
      <c r="AM239" s="2">
        <v>429.5</v>
      </c>
      <c r="AN239" s="14" t="s">
        <v>773</v>
      </c>
      <c r="AO239" s="14" t="s">
        <v>773</v>
      </c>
      <c r="AP239" s="14" t="s">
        <v>773</v>
      </c>
      <c r="AQ239" s="14" t="s">
        <v>773</v>
      </c>
      <c r="AR239" s="19">
        <v>0.26041666666666669</v>
      </c>
      <c r="AS239" s="8">
        <f>(6+(15/60))*AM239</f>
        <v>2684.375</v>
      </c>
    </row>
    <row r="240" spans="1:45" x14ac:dyDescent="0.2">
      <c r="A240" s="2">
        <v>229</v>
      </c>
      <c r="B240" s="2">
        <v>375</v>
      </c>
      <c r="C240" s="2">
        <v>211</v>
      </c>
      <c r="E240" t="s">
        <v>355</v>
      </c>
      <c r="F240" t="s">
        <v>1330</v>
      </c>
      <c r="G240" s="2" t="s">
        <v>1331</v>
      </c>
      <c r="H240" s="2">
        <v>10000</v>
      </c>
      <c r="I240" s="2">
        <v>152</v>
      </c>
      <c r="J240" s="15">
        <v>5.431</v>
      </c>
      <c r="K240" s="15">
        <v>4.2359999999999998</v>
      </c>
      <c r="P240" s="8">
        <v>411.07084800000001</v>
      </c>
      <c r="Q240" s="8">
        <v>459.58200399999998</v>
      </c>
      <c r="R240" s="8">
        <v>419.069322</v>
      </c>
      <c r="S240" s="8">
        <v>396.94697400000001</v>
      </c>
      <c r="T240" s="8">
        <v>413.21765900000003</v>
      </c>
      <c r="U240" s="8">
        <v>365.75069100000002</v>
      </c>
      <c r="V240" s="8">
        <v>426.117816</v>
      </c>
      <c r="W240" s="8">
        <v>384.07556899999997</v>
      </c>
      <c r="X240" s="8">
        <v>411.72316499999999</v>
      </c>
      <c r="Y240" s="8">
        <v>468.02974599999999</v>
      </c>
      <c r="Z240" s="8">
        <v>429.69635</v>
      </c>
      <c r="AA240" s="8">
        <v>376.91881999999998</v>
      </c>
      <c r="AB240" s="8">
        <v>432.51700499999998</v>
      </c>
      <c r="AJ240" s="2">
        <v>188.2</v>
      </c>
      <c r="AK240" s="2">
        <v>191.1</v>
      </c>
      <c r="AL240" s="2">
        <v>152</v>
      </c>
      <c r="AM240" s="14" t="s">
        <v>773</v>
      </c>
      <c r="AN240" s="14" t="s">
        <v>773</v>
      </c>
      <c r="AO240" s="14" t="s">
        <v>773</v>
      </c>
      <c r="AP240" s="14" t="s">
        <v>773</v>
      </c>
      <c r="AQ240" s="14" t="s">
        <v>773</v>
      </c>
      <c r="AR240" s="19">
        <v>0.13333333333333333</v>
      </c>
      <c r="AS240" s="8">
        <f>(3+(12/60))*AL240</f>
        <v>486.40000000000003</v>
      </c>
    </row>
    <row r="241" spans="1:45" x14ac:dyDescent="0.2">
      <c r="A241" s="2">
        <v>230</v>
      </c>
      <c r="B241" s="2">
        <v>189</v>
      </c>
      <c r="C241" s="2">
        <v>505</v>
      </c>
      <c r="E241" t="s">
        <v>188</v>
      </c>
      <c r="G241" t="s">
        <v>1313</v>
      </c>
      <c r="I241" s="2">
        <v>84.14</v>
      </c>
      <c r="J241" s="15">
        <v>3.0049999999999999</v>
      </c>
      <c r="K241" s="15">
        <v>2.2240000000000002</v>
      </c>
      <c r="AJ241" s="2">
        <v>75.89</v>
      </c>
      <c r="AK241" s="2">
        <v>82.45</v>
      </c>
      <c r="AL241" s="2">
        <v>92.11</v>
      </c>
      <c r="AM241" s="2">
        <v>84.14</v>
      </c>
      <c r="AN241" s="14" t="s">
        <v>773</v>
      </c>
      <c r="AO241" s="2">
        <v>83.61</v>
      </c>
      <c r="AP241" s="14" t="s">
        <v>773</v>
      </c>
      <c r="AQ241" s="14" t="s">
        <v>773</v>
      </c>
      <c r="AR241" s="19">
        <v>0.18472222222222223</v>
      </c>
      <c r="AS241" s="8">
        <f>(4+(26/60))*AO241</f>
        <v>370.67099999999999</v>
      </c>
    </row>
    <row r="242" spans="1:45" x14ac:dyDescent="0.2">
      <c r="A242" s="2">
        <v>231</v>
      </c>
      <c r="B242" s="2">
        <v>272</v>
      </c>
      <c r="C242" s="2">
        <v>376</v>
      </c>
      <c r="E242" t="s">
        <v>474</v>
      </c>
      <c r="F242" t="s">
        <v>2</v>
      </c>
      <c r="H242" s="2">
        <v>1000000</v>
      </c>
      <c r="I242" s="2">
        <v>61.21</v>
      </c>
      <c r="AJ242" s="57">
        <v>61.59</v>
      </c>
      <c r="AK242" s="57" t="s">
        <v>773</v>
      </c>
      <c r="AL242" s="57" t="s">
        <v>773</v>
      </c>
      <c r="AM242" s="57" t="s">
        <v>773</v>
      </c>
      <c r="AN242" s="57">
        <v>61.21</v>
      </c>
      <c r="AO242" s="14" t="s">
        <v>773</v>
      </c>
      <c r="AP242" s="14" t="s">
        <v>773</v>
      </c>
      <c r="AQ242" s="14" t="s">
        <v>773</v>
      </c>
      <c r="AR242" s="19">
        <v>0.4777777777777778</v>
      </c>
      <c r="AS242" s="8">
        <f>(11+(28/60))*AJ242</f>
        <v>706.23200000000008</v>
      </c>
    </row>
    <row r="243" spans="1:45" x14ac:dyDescent="0.2">
      <c r="A243" s="2">
        <v>232</v>
      </c>
      <c r="B243" s="2">
        <v>230</v>
      </c>
      <c r="C243" s="2">
        <v>1169</v>
      </c>
      <c r="E243" t="s">
        <v>303</v>
      </c>
      <c r="F243" t="s">
        <v>540</v>
      </c>
      <c r="H243" s="2">
        <v>0</v>
      </c>
      <c r="I243" s="2">
        <v>34.33</v>
      </c>
      <c r="J243" s="15">
        <v>1.226</v>
      </c>
      <c r="K243" s="15">
        <v>0.92829899999999999</v>
      </c>
      <c r="AJ243" s="2">
        <v>26.69</v>
      </c>
      <c r="AK243" s="2">
        <v>32.58</v>
      </c>
      <c r="AL243" s="2">
        <v>31.84</v>
      </c>
      <c r="AM243" s="2">
        <v>34.33</v>
      </c>
      <c r="AN243" s="14" t="s">
        <v>773</v>
      </c>
      <c r="AO243" s="14" t="s">
        <v>773</v>
      </c>
      <c r="AP243" s="14" t="s">
        <v>773</v>
      </c>
      <c r="AQ243" s="14" t="s">
        <v>773</v>
      </c>
      <c r="AR243" s="19">
        <v>0.17777777777777778</v>
      </c>
      <c r="AS243" s="8">
        <f>(4+(16/60))*AM243</f>
        <v>146.47466666666665</v>
      </c>
    </row>
    <row r="244" spans="1:45" x14ac:dyDescent="0.2">
      <c r="A244" s="2">
        <v>233</v>
      </c>
      <c r="B244" s="2">
        <v>194</v>
      </c>
      <c r="C244" s="2">
        <v>100</v>
      </c>
      <c r="E244" t="s">
        <v>180</v>
      </c>
      <c r="F244" t="s">
        <v>1</v>
      </c>
      <c r="G244" t="s">
        <v>1324</v>
      </c>
      <c r="H244" s="2">
        <v>600000</v>
      </c>
      <c r="I244" s="2">
        <v>290.39999999999998</v>
      </c>
      <c r="J244" s="15">
        <v>10.37</v>
      </c>
      <c r="K244" s="15">
        <v>4.38</v>
      </c>
      <c r="P244" s="8">
        <v>213.69058000000001</v>
      </c>
      <c r="Q244" s="8">
        <v>211.95619099999999</v>
      </c>
      <c r="R244" s="8">
        <v>217.436294</v>
      </c>
      <c r="S244" s="8">
        <v>215.78026399999999</v>
      </c>
      <c r="T244" s="8">
        <v>201.72606400000001</v>
      </c>
      <c r="U244" s="8">
        <v>176.75501800000001</v>
      </c>
      <c r="V244" s="8">
        <v>196.698543</v>
      </c>
      <c r="W244" s="8">
        <v>208.743413</v>
      </c>
      <c r="X244" s="8">
        <v>236.95119399999999</v>
      </c>
      <c r="Y244" s="8">
        <v>235.04380699999999</v>
      </c>
      <c r="Z244" s="8">
        <v>276.31141400000001</v>
      </c>
      <c r="AA244" s="8">
        <v>237.92314999999999</v>
      </c>
      <c r="AB244" s="8">
        <v>249.195031</v>
      </c>
      <c r="AJ244" s="2">
        <v>242.4</v>
      </c>
      <c r="AK244" s="2">
        <v>298.5</v>
      </c>
      <c r="AL244" s="2">
        <v>315.7</v>
      </c>
      <c r="AM244" s="2">
        <v>290.39999999999998</v>
      </c>
      <c r="AN244" s="14" t="s">
        <v>773</v>
      </c>
      <c r="AO244" s="2">
        <v>299.10000000000002</v>
      </c>
      <c r="AP244" s="14" t="s">
        <v>773</v>
      </c>
      <c r="AQ244" s="14" t="s">
        <v>773</v>
      </c>
      <c r="AR244" s="19">
        <v>0.56736111111111109</v>
      </c>
      <c r="AS244" s="60">
        <f>(14+(3/60))*AO244</f>
        <v>4202.3550000000005</v>
      </c>
    </row>
    <row r="245" spans="1:45" x14ac:dyDescent="0.2">
      <c r="A245" s="2">
        <v>234</v>
      </c>
      <c r="B245" s="2">
        <v>228</v>
      </c>
      <c r="C245" s="2">
        <v>1284</v>
      </c>
      <c r="E245" t="s">
        <v>365</v>
      </c>
      <c r="F245" t="s">
        <v>713</v>
      </c>
      <c r="H245" s="2">
        <v>45450</v>
      </c>
      <c r="AJ245" s="2">
        <v>26.38</v>
      </c>
      <c r="AK245" s="2" t="s">
        <v>773</v>
      </c>
      <c r="AL245" s="2" t="s">
        <v>773</v>
      </c>
      <c r="AM245" s="14" t="s">
        <v>773</v>
      </c>
      <c r="AN245" s="14" t="s">
        <v>773</v>
      </c>
      <c r="AO245" s="14" t="s">
        <v>773</v>
      </c>
      <c r="AP245" s="14" t="s">
        <v>773</v>
      </c>
      <c r="AQ245" s="57" t="s">
        <v>773</v>
      </c>
      <c r="AR245" s="19">
        <v>0.23749999999999999</v>
      </c>
      <c r="AS245" s="8">
        <f>(5+(42/60))*AJ245</f>
        <v>150.36599999999999</v>
      </c>
    </row>
    <row r="246" spans="1:45" s="3" customFormat="1" x14ac:dyDescent="0.2">
      <c r="A246" s="4">
        <v>235</v>
      </c>
      <c r="B246" s="4">
        <v>229</v>
      </c>
      <c r="C246" s="4">
        <v>453</v>
      </c>
      <c r="D246" s="4"/>
      <c r="E246" s="3" t="s">
        <v>150</v>
      </c>
      <c r="F246" s="3" t="s">
        <v>5</v>
      </c>
      <c r="G246" s="3" t="s">
        <v>1284</v>
      </c>
      <c r="H246" s="4">
        <v>0</v>
      </c>
      <c r="I246" s="4">
        <v>153.19999999999999</v>
      </c>
      <c r="J246" s="16">
        <v>4.7300000000000004</v>
      </c>
      <c r="K246" s="16">
        <v>4.2839999999999998</v>
      </c>
      <c r="L246" s="4">
        <v>101.9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4">
        <v>107</v>
      </c>
      <c r="AK246" s="4">
        <v>118.4</v>
      </c>
      <c r="AL246" s="4">
        <v>121.3</v>
      </c>
      <c r="AM246" s="4">
        <v>123.5</v>
      </c>
      <c r="AN246" s="46" t="s">
        <v>773</v>
      </c>
      <c r="AO246" s="4">
        <v>125.3</v>
      </c>
      <c r="AP246" s="46" t="s">
        <v>773</v>
      </c>
      <c r="AQ246" s="46" t="s">
        <v>773</v>
      </c>
      <c r="AR246" s="23">
        <v>5.0694444444444452E-2</v>
      </c>
      <c r="AS246" s="47">
        <f>(1+(13/60))*AO246</f>
        <v>152.44833333333335</v>
      </c>
    </row>
    <row r="247" spans="1:45" x14ac:dyDescent="0.2">
      <c r="A247" s="2">
        <v>236</v>
      </c>
      <c r="B247" s="2">
        <v>279</v>
      </c>
      <c r="C247" s="2">
        <v>1031</v>
      </c>
      <c r="E247" t="s">
        <v>318</v>
      </c>
      <c r="I247" s="2">
        <v>42.6</v>
      </c>
      <c r="J247" s="15">
        <v>1.5209999999999999</v>
      </c>
      <c r="K247" s="15">
        <v>1.2549999999999999</v>
      </c>
      <c r="AJ247" s="2">
        <v>36.5</v>
      </c>
      <c r="AK247" s="2">
        <v>35.01</v>
      </c>
      <c r="AL247" s="2">
        <v>34.99</v>
      </c>
      <c r="AM247" s="2">
        <v>42.6</v>
      </c>
      <c r="AN247" s="14" t="s">
        <v>773</v>
      </c>
      <c r="AO247" s="14" t="s">
        <v>773</v>
      </c>
      <c r="AP247" s="14" t="s">
        <v>773</v>
      </c>
      <c r="AQ247" s="14" t="s">
        <v>773</v>
      </c>
      <c r="AR247" s="19">
        <v>0.1763888888888889</v>
      </c>
      <c r="AS247" s="8">
        <f>(4+(14/60))*AM247</f>
        <v>180.34</v>
      </c>
    </row>
    <row r="248" spans="1:45" x14ac:dyDescent="0.2">
      <c r="A248" s="2">
        <v>238</v>
      </c>
      <c r="B248" s="2">
        <v>255</v>
      </c>
      <c r="C248" s="2">
        <v>289</v>
      </c>
      <c r="E248" t="s">
        <v>193</v>
      </c>
      <c r="I248" s="2">
        <v>180.8</v>
      </c>
      <c r="J248" s="15">
        <v>6.4589999999999996</v>
      </c>
      <c r="K248" s="15">
        <v>5.5869999999999997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J248" s="2">
        <v>180.7</v>
      </c>
      <c r="AK248" s="2">
        <v>184.9</v>
      </c>
      <c r="AL248" s="2">
        <v>175.5</v>
      </c>
      <c r="AM248" s="2">
        <v>180.8</v>
      </c>
      <c r="AN248" s="14" t="s">
        <v>773</v>
      </c>
      <c r="AO248" s="2">
        <v>179.9</v>
      </c>
      <c r="AP248" s="14" t="s">
        <v>773</v>
      </c>
      <c r="AQ248" s="14" t="s">
        <v>773</v>
      </c>
      <c r="AR248" s="19">
        <v>7.7777777777777779E-2</v>
      </c>
      <c r="AS248" s="8">
        <f>(1+(52/60))*AO248</f>
        <v>335.81333333333333</v>
      </c>
    </row>
    <row r="249" spans="1:45" x14ac:dyDescent="0.2">
      <c r="A249" s="2">
        <v>239</v>
      </c>
      <c r="B249" s="2">
        <v>223</v>
      </c>
      <c r="C249" s="2">
        <v>923</v>
      </c>
      <c r="E249" t="s">
        <v>215</v>
      </c>
      <c r="F249" t="s">
        <v>706</v>
      </c>
      <c r="H249" s="2">
        <v>708</v>
      </c>
      <c r="I249" s="2">
        <v>48.09</v>
      </c>
      <c r="J249" s="15">
        <v>1.7170000000000001</v>
      </c>
      <c r="K249" s="15">
        <v>1.4350000000000001</v>
      </c>
      <c r="AJ249" s="2">
        <v>42.27</v>
      </c>
      <c r="AK249" s="2">
        <v>34.94</v>
      </c>
      <c r="AL249" s="2">
        <v>56</v>
      </c>
      <c r="AM249" s="2">
        <v>48.09</v>
      </c>
      <c r="AN249" s="2" t="s">
        <v>773</v>
      </c>
      <c r="AO249" s="2">
        <v>48.61</v>
      </c>
      <c r="AP249" s="2" t="s">
        <v>773</v>
      </c>
      <c r="AQ249" s="2" t="s">
        <v>773</v>
      </c>
      <c r="AR249" s="19">
        <v>9.5138888888888884E-2</v>
      </c>
      <c r="AS249" s="8">
        <f>(2+(17/60))*AO249</f>
        <v>110.99283333333332</v>
      </c>
    </row>
    <row r="250" spans="1:45" x14ac:dyDescent="0.2">
      <c r="A250" s="2">
        <v>240</v>
      </c>
      <c r="B250" s="2">
        <v>236</v>
      </c>
      <c r="C250" s="2">
        <v>1324</v>
      </c>
      <c r="E250" t="s">
        <v>349</v>
      </c>
      <c r="G250" t="s">
        <v>1280</v>
      </c>
      <c r="I250" s="2">
        <v>24.73</v>
      </c>
      <c r="J250" s="15">
        <v>0.88332299999999997</v>
      </c>
      <c r="K250" s="15">
        <v>0.69935199999999997</v>
      </c>
      <c r="AJ250" s="2">
        <v>29.58</v>
      </c>
      <c r="AK250" s="2">
        <v>24.03</v>
      </c>
      <c r="AL250" s="2">
        <v>24.73</v>
      </c>
      <c r="AM250" s="14" t="s">
        <v>773</v>
      </c>
      <c r="AN250" s="14" t="s">
        <v>773</v>
      </c>
      <c r="AO250" s="14" t="s">
        <v>773</v>
      </c>
      <c r="AP250" s="14" t="s">
        <v>773</v>
      </c>
      <c r="AQ250" s="14" t="s">
        <v>773</v>
      </c>
      <c r="AR250" s="19">
        <v>0.23472222222222222</v>
      </c>
      <c r="AS250" s="8">
        <f>(5+(23/60))*AL250</f>
        <v>133.12983333333335</v>
      </c>
    </row>
    <row r="251" spans="1:45" x14ac:dyDescent="0.2">
      <c r="A251" s="2">
        <v>228</v>
      </c>
      <c r="B251" s="2">
        <v>241</v>
      </c>
      <c r="C251" s="2">
        <v>1302</v>
      </c>
      <c r="E251" t="s">
        <v>505</v>
      </c>
      <c r="AJ251" s="57">
        <v>29.29</v>
      </c>
      <c r="AK251" s="2" t="s">
        <v>773</v>
      </c>
      <c r="AL251" s="1" t="s">
        <v>773</v>
      </c>
      <c r="AM251" s="14" t="s">
        <v>773</v>
      </c>
      <c r="AN251" s="14" t="s">
        <v>773</v>
      </c>
      <c r="AO251" s="14" t="s">
        <v>773</v>
      </c>
      <c r="AP251" s="14" t="s">
        <v>773</v>
      </c>
      <c r="AQ251" s="14" t="s">
        <v>773</v>
      </c>
      <c r="AR251" s="19">
        <v>0.16388888888888889</v>
      </c>
      <c r="AS251" s="8">
        <f>(3+(56/60))*AJ251</f>
        <v>115.20733333333334</v>
      </c>
    </row>
    <row r="252" spans="1:45" x14ac:dyDescent="0.2">
      <c r="A252" s="2">
        <v>242</v>
      </c>
      <c r="B252" s="2">
        <v>126</v>
      </c>
      <c r="C252" s="2">
        <v>464</v>
      </c>
      <c r="E252" t="s">
        <v>149</v>
      </c>
      <c r="F252" t="s">
        <v>682</v>
      </c>
      <c r="H252" s="2">
        <v>5000</v>
      </c>
      <c r="I252" s="2">
        <v>103.8</v>
      </c>
      <c r="J252" s="15">
        <v>3.71</v>
      </c>
      <c r="K252" s="15">
        <v>3.1349999999999998</v>
      </c>
      <c r="AJ252" s="2">
        <v>61.02</v>
      </c>
      <c r="AK252" s="2">
        <v>129.4</v>
      </c>
      <c r="AL252" s="2">
        <v>111</v>
      </c>
      <c r="AM252" s="2">
        <v>103.8</v>
      </c>
      <c r="AN252" s="14" t="s">
        <v>773</v>
      </c>
      <c r="AO252" s="2">
        <v>89.5</v>
      </c>
      <c r="AP252" s="14" t="s">
        <v>773</v>
      </c>
      <c r="AQ252" s="14" t="s">
        <v>773</v>
      </c>
      <c r="AR252" s="19">
        <v>5.9722222222222225E-2</v>
      </c>
      <c r="AS252" s="8">
        <f>(1+(26/60))*AO252</f>
        <v>128.28333333333333</v>
      </c>
    </row>
    <row r="253" spans="1:45" x14ac:dyDescent="0.2">
      <c r="A253" s="2">
        <v>234</v>
      </c>
      <c r="B253" s="2">
        <v>243</v>
      </c>
      <c r="C253" s="2">
        <v>363</v>
      </c>
      <c r="E253" t="s">
        <v>1352</v>
      </c>
      <c r="K253" s="15"/>
      <c r="AJ253" s="2">
        <v>72.319999999999993</v>
      </c>
      <c r="AK253" s="2" t="s">
        <v>773</v>
      </c>
      <c r="AL253" s="2" t="s">
        <v>773</v>
      </c>
      <c r="AM253" s="2" t="s">
        <v>773</v>
      </c>
      <c r="AN253" s="14" t="s">
        <v>773</v>
      </c>
      <c r="AO253" s="2" t="s">
        <v>773</v>
      </c>
      <c r="AP253" s="14" t="s">
        <v>773</v>
      </c>
      <c r="AQ253" s="14" t="s">
        <v>773</v>
      </c>
      <c r="AR253" s="19">
        <v>0.32916666666666666</v>
      </c>
      <c r="AS253" s="8">
        <f>(7+(54/60))*AJ253</f>
        <v>571.32799999999997</v>
      </c>
    </row>
    <row r="254" spans="1:45" x14ac:dyDescent="0.2">
      <c r="A254" s="2">
        <v>301</v>
      </c>
      <c r="B254" s="2">
        <v>244</v>
      </c>
      <c r="C254" s="2">
        <v>1637</v>
      </c>
      <c r="E254" t="s">
        <v>421</v>
      </c>
      <c r="AJ254" s="2">
        <v>26.83</v>
      </c>
      <c r="AK254" s="2" t="s">
        <v>773</v>
      </c>
      <c r="AL254" s="2" t="s">
        <v>773</v>
      </c>
      <c r="AM254" s="2" t="s">
        <v>773</v>
      </c>
      <c r="AN254" s="14" t="s">
        <v>773</v>
      </c>
      <c r="AO254" s="2" t="s">
        <v>773</v>
      </c>
      <c r="AP254" s="14" t="s">
        <v>773</v>
      </c>
      <c r="AQ254" s="14" t="s">
        <v>773</v>
      </c>
      <c r="AR254" s="19">
        <v>0.15277777777777779</v>
      </c>
      <c r="AS254" s="8">
        <f>(3+(40/60))*AJ254</f>
        <v>98.376666666666651</v>
      </c>
    </row>
    <row r="255" spans="1:45" s="3" customFormat="1" x14ac:dyDescent="0.2">
      <c r="A255" s="4">
        <v>245</v>
      </c>
      <c r="B255" s="4">
        <v>286</v>
      </c>
      <c r="C255" s="4">
        <v>822</v>
      </c>
      <c r="D255" s="4"/>
      <c r="E255" s="3" t="s">
        <v>233</v>
      </c>
      <c r="F255" s="3" t="s">
        <v>5</v>
      </c>
      <c r="G255" s="3" t="s">
        <v>1262</v>
      </c>
      <c r="H255" s="4">
        <v>0</v>
      </c>
      <c r="I255" s="4">
        <v>73.849999999999994</v>
      </c>
      <c r="J255" s="16">
        <v>2.637</v>
      </c>
      <c r="K255" s="16">
        <v>2.3660000000000001</v>
      </c>
      <c r="L255" s="4"/>
      <c r="M255" s="9" t="s">
        <v>1251</v>
      </c>
      <c r="N255" s="9" t="s">
        <v>1251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4">
        <v>74.959999999999994</v>
      </c>
      <c r="AK255" s="4">
        <v>64.709999999999994</v>
      </c>
      <c r="AL255" s="4">
        <v>70.709999999999994</v>
      </c>
      <c r="AM255" s="4">
        <v>73.849999999999994</v>
      </c>
      <c r="AN255" s="4" t="s">
        <v>773</v>
      </c>
      <c r="AO255" s="4">
        <v>68.88</v>
      </c>
      <c r="AP255" s="4" t="s">
        <v>773</v>
      </c>
      <c r="AQ255" s="4" t="s">
        <v>773</v>
      </c>
      <c r="AR255" s="23">
        <v>5.6944444444444443E-2</v>
      </c>
      <c r="AS255" s="47">
        <f>(1+(22/60))*AO255</f>
        <v>94.135999999999996</v>
      </c>
    </row>
    <row r="256" spans="1:45" x14ac:dyDescent="0.2">
      <c r="A256" s="2">
        <v>251</v>
      </c>
      <c r="B256" s="2">
        <v>246</v>
      </c>
      <c r="C256" s="2">
        <v>292</v>
      </c>
      <c r="E256" t="s">
        <v>406</v>
      </c>
      <c r="F256" t="s">
        <v>566</v>
      </c>
      <c r="AJ256" s="2">
        <v>127.6</v>
      </c>
      <c r="AK256" s="2" t="s">
        <v>773</v>
      </c>
      <c r="AL256" s="2" t="s">
        <v>773</v>
      </c>
      <c r="AM256" s="14" t="s">
        <v>773</v>
      </c>
      <c r="AN256" s="14" t="s">
        <v>773</v>
      </c>
      <c r="AO256" s="14" t="s">
        <v>773</v>
      </c>
      <c r="AP256" s="14" t="s">
        <v>773</v>
      </c>
      <c r="AQ256" s="57" t="s">
        <v>773</v>
      </c>
      <c r="AR256" s="19">
        <v>0.5</v>
      </c>
      <c r="AS256" s="8">
        <f>(12+(0/60))*AJ256</f>
        <v>1531.1999999999998</v>
      </c>
    </row>
    <row r="257" spans="1:45" x14ac:dyDescent="0.2">
      <c r="A257" s="2">
        <v>247</v>
      </c>
      <c r="B257" s="2">
        <v>253</v>
      </c>
      <c r="C257" s="2">
        <v>1443</v>
      </c>
      <c r="E257" s="3" t="s">
        <v>363</v>
      </c>
      <c r="F257" s="3"/>
      <c r="G257" t="s">
        <v>1284</v>
      </c>
      <c r="AJ257" s="2">
        <v>26.51</v>
      </c>
      <c r="AK257" s="2" t="s">
        <v>773</v>
      </c>
      <c r="AL257" s="2" t="s">
        <v>773</v>
      </c>
      <c r="AM257" s="14" t="s">
        <v>773</v>
      </c>
      <c r="AN257" s="14" t="s">
        <v>773</v>
      </c>
      <c r="AO257" s="14" t="s">
        <v>773</v>
      </c>
      <c r="AP257" s="14" t="s">
        <v>773</v>
      </c>
      <c r="AQ257" s="57" t="s">
        <v>773</v>
      </c>
      <c r="AR257" s="19">
        <v>0.23958333333333334</v>
      </c>
      <c r="AS257" s="8">
        <f>(5+(45/60))*AJ257</f>
        <v>152.4325</v>
      </c>
    </row>
    <row r="258" spans="1:45" x14ac:dyDescent="0.2">
      <c r="A258" s="2">
        <v>248</v>
      </c>
      <c r="B258" s="2">
        <v>494</v>
      </c>
      <c r="C258" s="2">
        <v>2344</v>
      </c>
      <c r="E258" t="s">
        <v>500</v>
      </c>
      <c r="AJ258" s="2">
        <v>25.5</v>
      </c>
      <c r="AK258" s="2" t="s">
        <v>773</v>
      </c>
      <c r="AL258" s="2" t="s">
        <v>773</v>
      </c>
      <c r="AM258" s="14" t="s">
        <v>773</v>
      </c>
      <c r="AN258" s="14" t="s">
        <v>773</v>
      </c>
      <c r="AO258" s="14" t="s">
        <v>773</v>
      </c>
      <c r="AP258" s="14" t="s">
        <v>773</v>
      </c>
      <c r="AQ258" s="57" t="s">
        <v>773</v>
      </c>
      <c r="AR258" s="19">
        <v>0.13541666666666666</v>
      </c>
      <c r="AS258" s="8">
        <f>(5+(45/60))*AJ258</f>
        <v>146.625</v>
      </c>
    </row>
    <row r="259" spans="1:45" x14ac:dyDescent="0.2">
      <c r="A259" s="2">
        <v>249</v>
      </c>
      <c r="B259" s="2">
        <v>231</v>
      </c>
      <c r="C259" s="2">
        <v>1261</v>
      </c>
      <c r="E259" t="s">
        <v>602</v>
      </c>
      <c r="G259" t="s">
        <v>1306</v>
      </c>
      <c r="I259" s="2">
        <v>17.149999999999999</v>
      </c>
      <c r="J259" s="15">
        <v>0.61261299999999996</v>
      </c>
      <c r="K259" s="15">
        <v>0.50042799999999998</v>
      </c>
      <c r="AJ259" s="2">
        <v>23.67</v>
      </c>
      <c r="AK259" s="2">
        <v>25.97</v>
      </c>
      <c r="AL259" s="2">
        <v>17.149999999999999</v>
      </c>
      <c r="AM259" s="14" t="s">
        <v>773</v>
      </c>
      <c r="AN259" s="14" t="s">
        <v>773</v>
      </c>
      <c r="AO259" s="14" t="s">
        <v>773</v>
      </c>
      <c r="AP259" s="14" t="s">
        <v>773</v>
      </c>
      <c r="AQ259" s="14" t="s">
        <v>773</v>
      </c>
      <c r="AR259" s="19">
        <v>0.3</v>
      </c>
      <c r="AS259" s="8">
        <f>(6+(50/60))*AL259</f>
        <v>117.19166666666665</v>
      </c>
    </row>
    <row r="260" spans="1:45" x14ac:dyDescent="0.2">
      <c r="A260" s="2">
        <v>251</v>
      </c>
      <c r="B260" s="2">
        <v>238</v>
      </c>
      <c r="C260" s="2">
        <v>1225</v>
      </c>
      <c r="E260" t="s">
        <v>301</v>
      </c>
      <c r="I260" s="2">
        <v>31.27</v>
      </c>
      <c r="J260" s="15">
        <v>1.1160000000000001</v>
      </c>
      <c r="K260" s="15">
        <v>0.93360100000000001</v>
      </c>
      <c r="AJ260" s="2">
        <v>30.55</v>
      </c>
      <c r="AK260" s="2">
        <v>43.66</v>
      </c>
      <c r="AL260" s="2">
        <v>32.11</v>
      </c>
      <c r="AM260" s="2">
        <v>31.27</v>
      </c>
      <c r="AN260" s="14" t="s">
        <v>773</v>
      </c>
      <c r="AO260" s="14" t="s">
        <v>773</v>
      </c>
      <c r="AP260" s="14" t="s">
        <v>773</v>
      </c>
      <c r="AQ260" s="14" t="s">
        <v>773</v>
      </c>
      <c r="AR260" s="19">
        <v>0.16666666666666666</v>
      </c>
      <c r="AS260" s="8">
        <f>(4)*AM260</f>
        <v>125.08</v>
      </c>
    </row>
    <row r="261" spans="1:45" x14ac:dyDescent="0.2">
      <c r="A261" s="2">
        <v>252</v>
      </c>
      <c r="B261" s="2">
        <v>244</v>
      </c>
      <c r="C261" s="2">
        <v>236</v>
      </c>
      <c r="E261" t="s">
        <v>342</v>
      </c>
      <c r="I261" s="2">
        <v>124.6</v>
      </c>
      <c r="J261" s="15">
        <v>4.452</v>
      </c>
      <c r="K261" s="15">
        <v>2.9169999999999998</v>
      </c>
      <c r="P261" s="8">
        <v>124.553496</v>
      </c>
      <c r="Q261" s="8">
        <v>132.06855200000001</v>
      </c>
      <c r="R261" s="8">
        <v>123.128394</v>
      </c>
      <c r="S261" s="8">
        <v>129.86456899999999</v>
      </c>
      <c r="T261" s="8">
        <v>125.507152</v>
      </c>
      <c r="U261" s="8">
        <v>114.69023199999999</v>
      </c>
      <c r="V261" s="8">
        <v>117.055716</v>
      </c>
      <c r="W261" s="8">
        <v>122.11156200000001</v>
      </c>
      <c r="X261" s="8">
        <v>122.053264</v>
      </c>
      <c r="Y261" s="8">
        <v>124.919713</v>
      </c>
      <c r="Z261" s="8">
        <v>141.44098600000001</v>
      </c>
      <c r="AA261" s="8">
        <v>113.148484</v>
      </c>
      <c r="AB261" s="8">
        <v>114.674632</v>
      </c>
      <c r="AJ261" s="2">
        <v>129.19999999999999</v>
      </c>
      <c r="AK261" s="2">
        <v>129.4</v>
      </c>
      <c r="AL261" s="2">
        <v>124.6</v>
      </c>
      <c r="AM261" s="14" t="s">
        <v>773</v>
      </c>
      <c r="AN261" s="14" t="s">
        <v>773</v>
      </c>
      <c r="AO261" s="14" t="s">
        <v>773</v>
      </c>
      <c r="AP261" s="14" t="s">
        <v>773</v>
      </c>
      <c r="AQ261" s="14" t="s">
        <v>773</v>
      </c>
      <c r="AR261" s="19">
        <v>0.30624999999999997</v>
      </c>
      <c r="AS261" s="8">
        <f>(7+(21/60))*AL261</f>
        <v>915.81</v>
      </c>
    </row>
    <row r="262" spans="1:45" x14ac:dyDescent="0.2">
      <c r="A262" s="2">
        <v>253</v>
      </c>
      <c r="B262" s="2">
        <v>311</v>
      </c>
      <c r="C262" s="2">
        <v>1691</v>
      </c>
      <c r="E262" t="s">
        <v>225</v>
      </c>
      <c r="I262" s="2">
        <v>36.369999999999997</v>
      </c>
      <c r="J262" s="15">
        <v>1.2989999999999999</v>
      </c>
      <c r="K262" s="15">
        <v>1.1279999999999999</v>
      </c>
      <c r="AJ262" s="2">
        <v>35.07</v>
      </c>
      <c r="AK262" s="2">
        <v>58.36</v>
      </c>
      <c r="AL262" s="2">
        <v>42.94</v>
      </c>
      <c r="AM262" s="2">
        <v>36.369999999999997</v>
      </c>
      <c r="AN262" s="2" t="s">
        <v>773</v>
      </c>
      <c r="AO262" s="2">
        <v>38.79</v>
      </c>
      <c r="AP262" s="2" t="s">
        <v>773</v>
      </c>
      <c r="AQ262" s="2" t="s">
        <v>773</v>
      </c>
      <c r="AR262" s="19">
        <v>9.6527777777777782E-2</v>
      </c>
      <c r="AS262" s="8">
        <f>(2+(1/60))*AO262</f>
        <v>78.226500000000001</v>
      </c>
    </row>
    <row r="263" spans="1:45" x14ac:dyDescent="0.2">
      <c r="A263" s="2">
        <v>254</v>
      </c>
      <c r="B263" s="2">
        <v>265</v>
      </c>
      <c r="C263" s="2">
        <v>646</v>
      </c>
      <c r="E263" t="s">
        <v>379</v>
      </c>
      <c r="AJ263" s="2">
        <v>45.77</v>
      </c>
      <c r="AK263" s="2" t="s">
        <v>773</v>
      </c>
      <c r="AL263" s="2" t="s">
        <v>773</v>
      </c>
      <c r="AM263" s="14" t="s">
        <v>773</v>
      </c>
      <c r="AN263" s="14" t="s">
        <v>773</v>
      </c>
      <c r="AO263" s="14" t="s">
        <v>773</v>
      </c>
      <c r="AP263" s="14" t="s">
        <v>773</v>
      </c>
      <c r="AQ263" s="57" t="s">
        <v>773</v>
      </c>
      <c r="AR263" s="19">
        <v>0.21805555555555556</v>
      </c>
      <c r="AS263" s="8">
        <f>(5+(14/60))*AJ263</f>
        <v>239.52966666666669</v>
      </c>
    </row>
    <row r="264" spans="1:45" x14ac:dyDescent="0.2">
      <c r="A264" s="2">
        <v>264</v>
      </c>
      <c r="B264" s="2">
        <v>255</v>
      </c>
      <c r="C264" s="2">
        <v>1497</v>
      </c>
      <c r="E264" t="s">
        <v>483</v>
      </c>
      <c r="AJ264" s="2">
        <v>19.52</v>
      </c>
      <c r="AK264" s="2" t="s">
        <v>773</v>
      </c>
      <c r="AL264" s="2" t="s">
        <v>773</v>
      </c>
      <c r="AM264" s="2" t="s">
        <v>773</v>
      </c>
      <c r="AN264" s="2" t="s">
        <v>773</v>
      </c>
      <c r="AO264" s="2" t="s">
        <v>773</v>
      </c>
      <c r="AP264" s="2" t="s">
        <v>773</v>
      </c>
      <c r="AQ264" s="2" t="s">
        <v>773</v>
      </c>
      <c r="AR264" s="19">
        <v>0.48541666666666666</v>
      </c>
      <c r="AS264" s="8">
        <f>(11+(39/60))*AJ264</f>
        <v>227.40800000000002</v>
      </c>
    </row>
    <row r="265" spans="1:45" x14ac:dyDescent="0.2">
      <c r="A265" s="2">
        <v>256</v>
      </c>
      <c r="B265" s="2">
        <v>205</v>
      </c>
      <c r="C265" s="2">
        <v>1074</v>
      </c>
      <c r="E265" t="s">
        <v>144</v>
      </c>
      <c r="F265" t="s">
        <v>6</v>
      </c>
      <c r="H265" s="2">
        <v>6900</v>
      </c>
      <c r="I265" s="2">
        <v>62.95</v>
      </c>
      <c r="J265" s="15">
        <v>2.3940000000000001</v>
      </c>
      <c r="K265" s="15">
        <v>2.17</v>
      </c>
      <c r="AJ265" s="2">
        <v>50.18</v>
      </c>
      <c r="AK265" s="2">
        <v>71.83</v>
      </c>
      <c r="AL265" s="2">
        <v>67.03</v>
      </c>
      <c r="AM265" s="2">
        <v>62.95</v>
      </c>
      <c r="AN265" s="14" t="s">
        <v>773</v>
      </c>
      <c r="AO265" s="2">
        <v>65.540000000000006</v>
      </c>
      <c r="AP265" s="14" t="s">
        <v>773</v>
      </c>
      <c r="AQ265" s="14" t="s">
        <v>773</v>
      </c>
      <c r="AR265" s="19">
        <v>1.5277777777777777E-2</v>
      </c>
      <c r="AS265" s="8">
        <f>(21/60)*AO265</f>
        <v>22.939</v>
      </c>
    </row>
    <row r="266" spans="1:45" x14ac:dyDescent="0.2">
      <c r="A266" s="2">
        <v>257</v>
      </c>
      <c r="B266" s="2">
        <v>293</v>
      </c>
      <c r="C266" s="2">
        <v>391</v>
      </c>
      <c r="E266" t="s">
        <v>317</v>
      </c>
      <c r="I266" s="2">
        <v>79.09</v>
      </c>
      <c r="J266" s="15">
        <v>2.8239999999999998</v>
      </c>
      <c r="K266" s="15">
        <v>2.2389999999999999</v>
      </c>
      <c r="AJ266" s="2">
        <v>69.25</v>
      </c>
      <c r="AK266" s="2">
        <v>74.260000000000005</v>
      </c>
      <c r="AL266" s="2">
        <v>74.75</v>
      </c>
      <c r="AM266" s="2">
        <v>79.09</v>
      </c>
      <c r="AN266" s="14" t="s">
        <v>773</v>
      </c>
      <c r="AO266" s="14" t="s">
        <v>773</v>
      </c>
      <c r="AP266" s="14" t="s">
        <v>773</v>
      </c>
      <c r="AQ266" s="14" t="s">
        <v>773</v>
      </c>
      <c r="AR266" s="19">
        <v>0.30833333333333335</v>
      </c>
      <c r="AS266" s="8">
        <f>(7+(24/60))*AM266</f>
        <v>585.26600000000008</v>
      </c>
    </row>
    <row r="267" spans="1:45" x14ac:dyDescent="0.2">
      <c r="A267" s="2">
        <v>258</v>
      </c>
      <c r="B267" s="2">
        <v>263</v>
      </c>
      <c r="C267" s="2">
        <v>1426</v>
      </c>
      <c r="E267" t="s">
        <v>300</v>
      </c>
      <c r="I267" s="2">
        <v>35.950000000000003</v>
      </c>
      <c r="J267" s="15">
        <v>1.2050000000000001</v>
      </c>
      <c r="K267" s="15">
        <v>0.98501499999999997</v>
      </c>
      <c r="L267" s="2">
        <v>17.52</v>
      </c>
      <c r="AJ267" s="2">
        <v>28.97</v>
      </c>
      <c r="AK267" s="2">
        <v>30.18</v>
      </c>
      <c r="AL267" s="2">
        <v>28.01</v>
      </c>
      <c r="AM267" s="2">
        <v>34.200000000000003</v>
      </c>
      <c r="AN267" s="14" t="s">
        <v>773</v>
      </c>
      <c r="AO267" s="14" t="s">
        <v>773</v>
      </c>
      <c r="AP267" s="14" t="s">
        <v>773</v>
      </c>
      <c r="AQ267" s="14" t="s">
        <v>773</v>
      </c>
      <c r="AR267" s="19">
        <v>0.1763888888888889</v>
      </c>
      <c r="AS267" s="8">
        <f>(4+(14/60))*AM267</f>
        <v>144.78</v>
      </c>
    </row>
    <row r="268" spans="1:45" x14ac:dyDescent="0.2">
      <c r="A268" s="2">
        <v>259</v>
      </c>
      <c r="B268" s="2">
        <v>1110</v>
      </c>
      <c r="C268" s="2">
        <v>1350</v>
      </c>
      <c r="E268" t="s">
        <v>296</v>
      </c>
      <c r="F268" t="s">
        <v>1242</v>
      </c>
      <c r="H268" s="2">
        <v>1620</v>
      </c>
      <c r="I268" s="2">
        <v>39.200000000000003</v>
      </c>
      <c r="J268" s="15">
        <v>1.4</v>
      </c>
      <c r="K268" s="15">
        <v>1.141</v>
      </c>
      <c r="AJ268" s="2">
        <v>31.58</v>
      </c>
      <c r="AK268" s="2">
        <v>35.049999999999997</v>
      </c>
      <c r="AL268" s="2">
        <v>32.99</v>
      </c>
      <c r="AM268" s="2">
        <v>39.200000000000003</v>
      </c>
      <c r="AN268" s="14" t="s">
        <v>773</v>
      </c>
      <c r="AO268" s="14" t="s">
        <v>773</v>
      </c>
      <c r="AP268" s="14" t="s">
        <v>773</v>
      </c>
      <c r="AQ268" s="14" t="s">
        <v>773</v>
      </c>
      <c r="AR268" s="19">
        <v>0.16805555555555557</v>
      </c>
      <c r="AS268" s="8">
        <f>(3+(59/60))*AM268</f>
        <v>156.14666666666668</v>
      </c>
    </row>
    <row r="269" spans="1:45" s="3" customFormat="1" x14ac:dyDescent="0.2">
      <c r="A269" s="4">
        <v>260</v>
      </c>
      <c r="B269" s="4">
        <v>289</v>
      </c>
      <c r="C269" s="4">
        <v>1607</v>
      </c>
      <c r="D269" s="4"/>
      <c r="E269" s="3" t="s">
        <v>228</v>
      </c>
      <c r="F269" s="3" t="s">
        <v>675</v>
      </c>
      <c r="G269" s="3" t="s">
        <v>1270</v>
      </c>
      <c r="H269" s="4">
        <v>12550</v>
      </c>
      <c r="I269" s="4">
        <v>44.53</v>
      </c>
      <c r="J269" s="16">
        <v>1.59</v>
      </c>
      <c r="K269" s="16">
        <v>1.3240000000000001</v>
      </c>
      <c r="L269" s="4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2">
        <v>43.13</v>
      </c>
      <c r="AK269" s="2">
        <v>43.93</v>
      </c>
      <c r="AL269" s="4">
        <v>36.67</v>
      </c>
      <c r="AM269" s="4">
        <v>44.53</v>
      </c>
      <c r="AN269" s="4" t="s">
        <v>773</v>
      </c>
      <c r="AO269" s="4">
        <v>47.95</v>
      </c>
      <c r="AP269" s="4" t="s">
        <v>773</v>
      </c>
      <c r="AQ269" s="4" t="s">
        <v>773</v>
      </c>
      <c r="AR269" s="23">
        <v>9.7916666666666666E-2</v>
      </c>
      <c r="AS269" s="47">
        <f>(2+(36/60))*AO269</f>
        <v>124.67000000000002</v>
      </c>
    </row>
    <row r="270" spans="1:45" x14ac:dyDescent="0.2">
      <c r="A270" s="2">
        <v>261</v>
      </c>
      <c r="B270" s="2">
        <v>139</v>
      </c>
      <c r="C270" s="2">
        <v>583</v>
      </c>
      <c r="E270" t="s">
        <v>147</v>
      </c>
      <c r="F270" t="s">
        <v>694</v>
      </c>
      <c r="H270" s="2">
        <v>9800</v>
      </c>
      <c r="I270" s="2">
        <v>54.88</v>
      </c>
      <c r="J270" s="15">
        <v>1.96</v>
      </c>
      <c r="K270" s="15">
        <v>1.377</v>
      </c>
      <c r="P270" s="58">
        <v>83.173000000000002</v>
      </c>
      <c r="Q270" s="58">
        <v>89.24</v>
      </c>
      <c r="R270" s="58">
        <v>83.326999999999998</v>
      </c>
      <c r="S270" s="58">
        <v>90.872</v>
      </c>
      <c r="T270" s="58">
        <v>82.153999999999996</v>
      </c>
      <c r="U270" s="58">
        <v>53.988999999999997</v>
      </c>
      <c r="V270" s="58">
        <v>49.668999999999997</v>
      </c>
      <c r="W270" s="58">
        <v>51.853000000000002</v>
      </c>
      <c r="X270" s="58">
        <v>69.387</v>
      </c>
      <c r="Y270" s="58">
        <v>92.251000000000005</v>
      </c>
      <c r="Z270" s="58">
        <v>112.85599999999999</v>
      </c>
      <c r="AA270" s="58">
        <v>67.028000000000006</v>
      </c>
      <c r="AB270" s="58">
        <v>90.855000000000004</v>
      </c>
      <c r="AJ270" s="2">
        <v>43.48</v>
      </c>
      <c r="AK270" s="2">
        <v>86.06</v>
      </c>
      <c r="AL270" s="2">
        <v>93.26</v>
      </c>
      <c r="AM270" s="2">
        <v>54.88</v>
      </c>
      <c r="AN270" s="14" t="s">
        <v>773</v>
      </c>
      <c r="AO270" s="2">
        <v>47.59</v>
      </c>
      <c r="AP270" s="14" t="s">
        <v>773</v>
      </c>
      <c r="AQ270" s="14" t="s">
        <v>773</v>
      </c>
      <c r="AR270" s="19">
        <v>0.17361111111111113</v>
      </c>
      <c r="AS270" s="8">
        <f>(4+(10/60))*AO270</f>
        <v>198.29166666666669</v>
      </c>
    </row>
    <row r="271" spans="1:45" x14ac:dyDescent="0.2">
      <c r="A271" s="2">
        <v>246</v>
      </c>
      <c r="B271" s="2">
        <v>262</v>
      </c>
      <c r="C271" s="2">
        <v>592</v>
      </c>
      <c r="E271" t="s">
        <v>443</v>
      </c>
      <c r="F271" t="s">
        <v>6</v>
      </c>
      <c r="AJ271" s="2">
        <v>53.02</v>
      </c>
      <c r="AK271" s="2" t="s">
        <v>773</v>
      </c>
      <c r="AL271" s="1" t="s">
        <v>773</v>
      </c>
      <c r="AM271" s="14" t="s">
        <v>773</v>
      </c>
      <c r="AN271" s="14" t="s">
        <v>773</v>
      </c>
      <c r="AO271" s="14" t="s">
        <v>773</v>
      </c>
      <c r="AP271" s="14" t="s">
        <v>773</v>
      </c>
      <c r="AQ271" s="14" t="s">
        <v>773</v>
      </c>
      <c r="AR271" s="19">
        <v>0.46597222222222223</v>
      </c>
      <c r="AS271" s="8">
        <f>(11+(11/60))*AJ271</f>
        <v>592.94033333333334</v>
      </c>
    </row>
    <row r="272" spans="1:45" x14ac:dyDescent="0.2">
      <c r="A272" s="2">
        <v>263</v>
      </c>
      <c r="B272" s="2">
        <v>199</v>
      </c>
      <c r="C272" s="2">
        <v>151</v>
      </c>
      <c r="E272" t="s">
        <v>183</v>
      </c>
      <c r="I272" s="2">
        <v>233.9</v>
      </c>
      <c r="J272" s="15">
        <v>8.3539999999999992</v>
      </c>
      <c r="K272" s="15">
        <v>6.7990000000000004</v>
      </c>
      <c r="P272" s="8">
        <v>613.91418599999997</v>
      </c>
      <c r="Q272" s="8">
        <v>629.29451800000004</v>
      </c>
      <c r="R272" s="8">
        <v>630.77027099999998</v>
      </c>
      <c r="S272" s="8">
        <v>634.08689000000004</v>
      </c>
      <c r="T272" s="8">
        <v>517.75634200000002</v>
      </c>
      <c r="U272" s="8">
        <v>483.45908200000002</v>
      </c>
      <c r="V272" s="8">
        <v>608.92287899999997</v>
      </c>
      <c r="W272" s="8">
        <v>513.29728299999999</v>
      </c>
      <c r="X272" s="8">
        <v>609.92774499999996</v>
      </c>
      <c r="Y272" s="8">
        <v>631.61351300000001</v>
      </c>
      <c r="Z272" s="8">
        <v>579.74111300000004</v>
      </c>
      <c r="AA272" s="8">
        <v>589.06264699999997</v>
      </c>
      <c r="AB272" s="8">
        <v>543.30282099999999</v>
      </c>
      <c r="AJ272" s="2">
        <v>172.5</v>
      </c>
      <c r="AK272" s="2">
        <v>239.2</v>
      </c>
      <c r="AL272" s="2">
        <v>255.6</v>
      </c>
      <c r="AM272" s="2">
        <v>233.9</v>
      </c>
      <c r="AN272" s="14" t="s">
        <v>773</v>
      </c>
      <c r="AO272" s="2">
        <v>237.5</v>
      </c>
      <c r="AP272" s="14" t="s">
        <v>773</v>
      </c>
      <c r="AQ272" s="14" t="s">
        <v>773</v>
      </c>
      <c r="AR272" s="19">
        <v>0.15416666666666667</v>
      </c>
      <c r="AS272" s="8">
        <f>(3+(42/60))*AO272</f>
        <v>878.75</v>
      </c>
    </row>
    <row r="273" spans="1:52" x14ac:dyDescent="0.2">
      <c r="A273" s="2">
        <v>264</v>
      </c>
      <c r="B273" s="2">
        <v>252</v>
      </c>
      <c r="C273" s="2">
        <v>1153</v>
      </c>
      <c r="E273" t="s">
        <v>203</v>
      </c>
      <c r="F273" t="s">
        <v>675</v>
      </c>
      <c r="G273" t="s">
        <v>1287</v>
      </c>
      <c r="H273" s="2">
        <v>10830</v>
      </c>
      <c r="I273" s="2">
        <v>53.81</v>
      </c>
      <c r="J273" s="15">
        <v>1.921</v>
      </c>
      <c r="K273" s="15">
        <v>1.359</v>
      </c>
      <c r="AJ273" s="2">
        <v>55.64</v>
      </c>
      <c r="AK273" s="2">
        <v>50.32</v>
      </c>
      <c r="AL273" s="2">
        <v>47.02</v>
      </c>
      <c r="AM273" s="2">
        <v>53.81</v>
      </c>
      <c r="AN273" s="14" t="s">
        <v>773</v>
      </c>
      <c r="AO273" s="2">
        <v>51.65</v>
      </c>
      <c r="AP273" s="14" t="s">
        <v>773</v>
      </c>
      <c r="AQ273" s="14" t="s">
        <v>773</v>
      </c>
      <c r="AR273" s="19">
        <v>9.2361111111111116E-2</v>
      </c>
      <c r="AS273" s="8">
        <f>(2+(10/60))*AO273</f>
        <v>111.90833333333332</v>
      </c>
    </row>
    <row r="274" spans="1:52" x14ac:dyDescent="0.2">
      <c r="A274" s="2">
        <v>265</v>
      </c>
      <c r="B274" s="2">
        <v>276</v>
      </c>
      <c r="C274" s="2">
        <v>1548</v>
      </c>
      <c r="E274" t="s">
        <v>334</v>
      </c>
      <c r="F274" t="s">
        <v>711</v>
      </c>
      <c r="G274" s="12" t="s">
        <v>1280</v>
      </c>
      <c r="H274" s="2">
        <v>49790</v>
      </c>
      <c r="I274" s="2">
        <v>32.18</v>
      </c>
      <c r="J274" s="15">
        <v>1.149</v>
      </c>
      <c r="K274" s="15">
        <v>0.96315499999999998</v>
      </c>
      <c r="AJ274" s="2">
        <v>31.42</v>
      </c>
      <c r="AK274" s="2">
        <v>29.2</v>
      </c>
      <c r="AL274" s="2">
        <v>32.18</v>
      </c>
      <c r="AM274" s="14" t="s">
        <v>773</v>
      </c>
      <c r="AN274" s="14" t="s">
        <v>773</v>
      </c>
      <c r="AO274" s="14" t="s">
        <v>773</v>
      </c>
      <c r="AP274" s="14" t="s">
        <v>773</v>
      </c>
      <c r="AQ274" s="14" t="s">
        <v>773</v>
      </c>
      <c r="AR274" s="19">
        <v>0.14027777777777778</v>
      </c>
      <c r="AS274" s="8">
        <f>(3+(30/60))*AL274</f>
        <v>112.63</v>
      </c>
    </row>
    <row r="275" spans="1:52" x14ac:dyDescent="0.2">
      <c r="A275" s="2">
        <v>266</v>
      </c>
      <c r="B275" s="2">
        <v>295</v>
      </c>
      <c r="C275" s="2">
        <v>1241</v>
      </c>
      <c r="E275" t="s">
        <v>248</v>
      </c>
      <c r="F275" t="s">
        <v>9</v>
      </c>
      <c r="G275" t="s">
        <v>1237</v>
      </c>
      <c r="H275" s="2">
        <v>152660</v>
      </c>
      <c r="I275" s="2">
        <v>41.13</v>
      </c>
      <c r="J275" s="15">
        <v>1.4690000000000001</v>
      </c>
      <c r="K275" s="15">
        <v>1.2549999999999999</v>
      </c>
      <c r="AJ275" s="2">
        <v>84.76</v>
      </c>
      <c r="AK275" s="2">
        <v>47.72</v>
      </c>
      <c r="AL275" s="2">
        <v>52.81</v>
      </c>
      <c r="AM275" s="57">
        <v>41.13</v>
      </c>
      <c r="AN275" s="57" t="s">
        <v>773</v>
      </c>
      <c r="AO275" s="57">
        <v>44.68</v>
      </c>
      <c r="AP275" s="57" t="s">
        <v>773</v>
      </c>
      <c r="AQ275" s="57" t="s">
        <v>773</v>
      </c>
      <c r="AR275" s="19">
        <v>0.125</v>
      </c>
      <c r="AS275" s="8">
        <f>3*AO275</f>
        <v>134.04</v>
      </c>
      <c r="AX275" s="3"/>
      <c r="AY275" s="3"/>
      <c r="AZ275" s="3"/>
    </row>
    <row r="276" spans="1:52" x14ac:dyDescent="0.2">
      <c r="A276" s="2">
        <v>267</v>
      </c>
      <c r="B276" s="2">
        <v>196</v>
      </c>
      <c r="C276" s="2">
        <v>1010</v>
      </c>
      <c r="E276" t="s">
        <v>290</v>
      </c>
      <c r="F276" t="s">
        <v>710</v>
      </c>
      <c r="G276" t="s">
        <v>1277</v>
      </c>
      <c r="H276" s="2">
        <v>2000</v>
      </c>
      <c r="I276" s="2">
        <v>34.619999999999997</v>
      </c>
      <c r="J276" s="15">
        <v>1.236</v>
      </c>
      <c r="K276" s="15">
        <v>1.016</v>
      </c>
      <c r="AJ276" s="2">
        <v>25.14</v>
      </c>
      <c r="AK276" s="2">
        <v>39.28</v>
      </c>
      <c r="AL276" s="2">
        <v>36.799999999999997</v>
      </c>
      <c r="AM276" s="2">
        <v>34.619999999999997</v>
      </c>
      <c r="AN276" s="14" t="s">
        <v>773</v>
      </c>
      <c r="AO276" s="14" t="s">
        <v>773</v>
      </c>
      <c r="AP276" s="14" t="s">
        <v>773</v>
      </c>
      <c r="AQ276" s="14" t="s">
        <v>773</v>
      </c>
      <c r="AR276" s="19">
        <v>0.20416666666666669</v>
      </c>
      <c r="AS276" s="8">
        <f>(4+(54/60))*AM276</f>
        <v>169.63800000000001</v>
      </c>
    </row>
    <row r="277" spans="1:52" x14ac:dyDescent="0.2">
      <c r="A277" s="2">
        <v>268</v>
      </c>
      <c r="B277" s="2">
        <v>208</v>
      </c>
      <c r="C277" s="2">
        <v>948</v>
      </c>
      <c r="E277" t="s">
        <v>221</v>
      </c>
      <c r="G277" t="s">
        <v>1260</v>
      </c>
      <c r="I277" s="2">
        <v>55.63</v>
      </c>
      <c r="J277" s="15">
        <v>1.986</v>
      </c>
      <c r="K277" s="15">
        <v>1.5409999999999999</v>
      </c>
      <c r="AJ277" s="2">
        <v>61.86</v>
      </c>
      <c r="AK277" s="2">
        <v>47.82</v>
      </c>
      <c r="AL277" s="2">
        <v>55.48</v>
      </c>
      <c r="AM277" s="2">
        <v>55.63</v>
      </c>
      <c r="AN277" s="2" t="s">
        <v>773</v>
      </c>
      <c r="AO277" s="2">
        <v>52.93</v>
      </c>
      <c r="AP277" s="2" t="s">
        <v>773</v>
      </c>
      <c r="AQ277" s="2" t="s">
        <v>773</v>
      </c>
      <c r="AR277" s="19">
        <v>0.19305555555555554</v>
      </c>
      <c r="AS277" s="8">
        <f>(4+(38/60))*AO277</f>
        <v>245.24233333333331</v>
      </c>
    </row>
    <row r="278" spans="1:52" x14ac:dyDescent="0.2">
      <c r="A278" s="2">
        <v>305</v>
      </c>
      <c r="B278" s="2">
        <v>269</v>
      </c>
      <c r="C278" s="2">
        <v>313</v>
      </c>
      <c r="E278" t="s">
        <v>1353</v>
      </c>
      <c r="K278" s="15"/>
      <c r="AJ278" s="2">
        <v>160.6</v>
      </c>
      <c r="AK278" s="2" t="s">
        <v>773</v>
      </c>
      <c r="AL278" s="2" t="s">
        <v>773</v>
      </c>
      <c r="AM278" s="2" t="s">
        <v>773</v>
      </c>
      <c r="AN278" s="2" t="s">
        <v>773</v>
      </c>
      <c r="AO278" s="2" t="s">
        <v>773</v>
      </c>
      <c r="AP278" s="2" t="s">
        <v>773</v>
      </c>
      <c r="AQ278" s="2" t="s">
        <v>773</v>
      </c>
      <c r="AR278" s="19">
        <v>0.49930555555555556</v>
      </c>
      <c r="AS278" s="8">
        <f>(11+(59/60))*AJ278</f>
        <v>1924.5233333333331</v>
      </c>
    </row>
    <row r="279" spans="1:52" x14ac:dyDescent="0.2">
      <c r="A279" s="2">
        <v>270</v>
      </c>
      <c r="B279" s="2">
        <v>257</v>
      </c>
      <c r="C279" s="2">
        <v>1236</v>
      </c>
      <c r="E279" t="s">
        <v>279</v>
      </c>
      <c r="I279" s="2">
        <v>43.17</v>
      </c>
      <c r="J279" s="15">
        <v>1.5409999999999999</v>
      </c>
      <c r="K279" s="15">
        <v>1.27</v>
      </c>
      <c r="AJ279" s="2">
        <v>30.22</v>
      </c>
      <c r="AK279" s="2">
        <v>47.42</v>
      </c>
      <c r="AL279" s="2">
        <v>38.26</v>
      </c>
      <c r="AM279" s="2">
        <v>43.17</v>
      </c>
      <c r="AN279" s="14" t="s">
        <v>773</v>
      </c>
      <c r="AO279" s="14" t="s">
        <v>773</v>
      </c>
      <c r="AP279" s="14" t="s">
        <v>773</v>
      </c>
      <c r="AQ279" s="14" t="s">
        <v>773</v>
      </c>
      <c r="AR279" s="19">
        <v>0.11875000000000001</v>
      </c>
      <c r="AS279" s="8">
        <f>(2+(51/60))*AM279</f>
        <v>123.03450000000001</v>
      </c>
    </row>
    <row r="280" spans="1:52" x14ac:dyDescent="0.2">
      <c r="A280" s="2">
        <v>282</v>
      </c>
      <c r="B280" s="2">
        <v>271</v>
      </c>
      <c r="C280" s="2">
        <v>1661</v>
      </c>
      <c r="E280" t="s">
        <v>477</v>
      </c>
      <c r="AJ280" s="2">
        <v>21.72</v>
      </c>
      <c r="AK280" s="2" t="s">
        <v>773</v>
      </c>
      <c r="AL280" s="1" t="s">
        <v>773</v>
      </c>
      <c r="AM280" s="14" t="s">
        <v>773</v>
      </c>
      <c r="AN280" s="14" t="s">
        <v>773</v>
      </c>
      <c r="AO280" s="14" t="s">
        <v>773</v>
      </c>
      <c r="AP280" s="14" t="s">
        <v>773</v>
      </c>
      <c r="AQ280" s="14" t="s">
        <v>773</v>
      </c>
      <c r="AR280" s="19">
        <v>0.27361111111111114</v>
      </c>
      <c r="AS280" s="8">
        <f>(6+(34/60))*AJ280</f>
        <v>142.62799999999999</v>
      </c>
    </row>
    <row r="281" spans="1:52" x14ac:dyDescent="0.2">
      <c r="A281" s="2">
        <v>265</v>
      </c>
      <c r="B281" s="2">
        <v>272</v>
      </c>
      <c r="C281" s="2">
        <v>516</v>
      </c>
      <c r="E281" t="s">
        <v>1354</v>
      </c>
      <c r="AJ281" s="2">
        <v>63.02</v>
      </c>
      <c r="AK281" s="2" t="s">
        <v>773</v>
      </c>
      <c r="AL281" s="1" t="s">
        <v>773</v>
      </c>
      <c r="AM281" s="14" t="s">
        <v>773</v>
      </c>
      <c r="AN281" s="14" t="s">
        <v>773</v>
      </c>
      <c r="AO281" s="14" t="s">
        <v>773</v>
      </c>
      <c r="AP281" s="14" t="s">
        <v>773</v>
      </c>
      <c r="AQ281" s="14" t="s">
        <v>773</v>
      </c>
      <c r="AR281" s="19">
        <v>0.31388888888888888</v>
      </c>
      <c r="AS281" s="8">
        <f>(7+(32/60))*AJ281</f>
        <v>474.75066666666669</v>
      </c>
    </row>
    <row r="282" spans="1:52" x14ac:dyDescent="0.2">
      <c r="A282" s="2">
        <v>273</v>
      </c>
      <c r="B282" s="2">
        <v>315</v>
      </c>
      <c r="C282" s="2">
        <v>760</v>
      </c>
      <c r="E282" t="s">
        <v>223</v>
      </c>
      <c r="I282" s="2">
        <v>79.67</v>
      </c>
      <c r="J282" s="15">
        <v>2.8450000000000002</v>
      </c>
      <c r="K282" s="15">
        <v>2.4009999999999998</v>
      </c>
      <c r="AJ282" s="2">
        <v>67.599999999999994</v>
      </c>
      <c r="AK282" s="2">
        <v>81.61</v>
      </c>
      <c r="AL282" s="2">
        <v>65.819999999999993</v>
      </c>
      <c r="AM282" s="2">
        <v>79.67</v>
      </c>
      <c r="AN282" s="2" t="s">
        <v>773</v>
      </c>
      <c r="AO282" s="2">
        <v>81.89</v>
      </c>
      <c r="AP282" s="2" t="s">
        <v>773</v>
      </c>
      <c r="AQ282" s="2" t="s">
        <v>773</v>
      </c>
      <c r="AR282" s="19">
        <v>8.4722222222222213E-2</v>
      </c>
      <c r="AS282" s="8">
        <f>(2+(2/60))*AO282</f>
        <v>166.50966666666665</v>
      </c>
    </row>
    <row r="283" spans="1:52" x14ac:dyDescent="0.2">
      <c r="A283" s="2">
        <v>274</v>
      </c>
      <c r="B283" s="2">
        <v>167</v>
      </c>
      <c r="C283" s="2">
        <v>178</v>
      </c>
      <c r="E283" t="s">
        <v>213</v>
      </c>
      <c r="F283" t="s">
        <v>561</v>
      </c>
      <c r="G283" t="s">
        <v>1324</v>
      </c>
      <c r="H283" s="2">
        <v>13940</v>
      </c>
      <c r="I283" s="2">
        <v>167.6</v>
      </c>
      <c r="J283" s="15">
        <v>5.9859999999999998</v>
      </c>
      <c r="K283" s="15">
        <v>4.1870000000000003</v>
      </c>
      <c r="P283" s="8">
        <v>148.98464899999999</v>
      </c>
      <c r="Q283" s="8">
        <v>154.08130700000001</v>
      </c>
      <c r="R283" s="8">
        <v>148.92765700000001</v>
      </c>
      <c r="S283" s="8">
        <v>149.744878</v>
      </c>
      <c r="T283" s="8">
        <v>144.41755499999999</v>
      </c>
      <c r="U283" s="8">
        <v>150.68867299999999</v>
      </c>
      <c r="V283" s="8">
        <v>158.50585699999999</v>
      </c>
      <c r="W283" s="8">
        <v>149.96788699999999</v>
      </c>
      <c r="X283" s="8">
        <v>167.21868699999999</v>
      </c>
      <c r="Y283" s="8">
        <v>185.71258800000001</v>
      </c>
      <c r="Z283" s="8">
        <v>145.02757700000001</v>
      </c>
      <c r="AA283" s="8">
        <v>124.92747</v>
      </c>
      <c r="AB283" s="8">
        <v>125.25693699999999</v>
      </c>
      <c r="AJ283" s="2">
        <v>104</v>
      </c>
      <c r="AK283" s="2">
        <v>189.1</v>
      </c>
      <c r="AL283" s="2">
        <v>178.1</v>
      </c>
      <c r="AM283" s="2">
        <v>167.6</v>
      </c>
      <c r="AN283" s="2" t="s">
        <v>773</v>
      </c>
      <c r="AO283" s="2">
        <v>170.8</v>
      </c>
      <c r="AP283" s="2" t="s">
        <v>773</v>
      </c>
      <c r="AQ283" s="2" t="s">
        <v>773</v>
      </c>
      <c r="AR283" s="19">
        <v>0.23541666666666669</v>
      </c>
      <c r="AS283" s="8">
        <f>(5+(39/60))*AO283</f>
        <v>965.0200000000001</v>
      </c>
    </row>
    <row r="284" spans="1:52" x14ac:dyDescent="0.2">
      <c r="A284" s="2">
        <v>275</v>
      </c>
      <c r="B284" s="2">
        <v>269</v>
      </c>
      <c r="C284" s="2">
        <v>1151</v>
      </c>
      <c r="E284" t="s">
        <v>226</v>
      </c>
      <c r="G284" t="s">
        <v>1237</v>
      </c>
      <c r="I284" s="2">
        <v>44.66</v>
      </c>
      <c r="J284" s="15">
        <v>1.595</v>
      </c>
      <c r="K284" s="15">
        <v>1.4430000000000001</v>
      </c>
      <c r="L284" s="4"/>
      <c r="AJ284" s="2">
        <v>41.15</v>
      </c>
      <c r="AK284" s="2">
        <v>43.4</v>
      </c>
      <c r="AL284" s="2">
        <v>45.44</v>
      </c>
      <c r="AM284" s="2">
        <v>44.66</v>
      </c>
      <c r="AN284" s="2" t="s">
        <v>773</v>
      </c>
      <c r="AO284" s="2">
        <v>44.62</v>
      </c>
      <c r="AP284" s="2" t="s">
        <v>773</v>
      </c>
      <c r="AQ284" s="2" t="s">
        <v>773</v>
      </c>
      <c r="AR284" s="19">
        <v>8.4722222222222213E-2</v>
      </c>
      <c r="AS284" s="8">
        <f>(2+(2/60))*AO284</f>
        <v>90.72733333333332</v>
      </c>
    </row>
    <row r="285" spans="1:52" x14ac:dyDescent="0.2">
      <c r="A285" s="2">
        <v>296</v>
      </c>
      <c r="B285" s="2">
        <v>276</v>
      </c>
      <c r="C285" s="2">
        <v>1657</v>
      </c>
      <c r="E285" t="s">
        <v>601</v>
      </c>
      <c r="F285" t="s">
        <v>623</v>
      </c>
      <c r="I285" s="2">
        <v>19.38</v>
      </c>
      <c r="AJ285" s="2">
        <v>28.05</v>
      </c>
      <c r="AK285" s="2" t="s">
        <v>773</v>
      </c>
      <c r="AL285" s="1" t="s">
        <v>773</v>
      </c>
      <c r="AM285" s="14" t="s">
        <v>773</v>
      </c>
      <c r="AN285" s="14" t="s">
        <v>773</v>
      </c>
      <c r="AO285" s="14" t="s">
        <v>773</v>
      </c>
      <c r="AP285" s="14" t="s">
        <v>773</v>
      </c>
      <c r="AQ285" s="2" t="s">
        <v>773</v>
      </c>
      <c r="AR285" s="19">
        <v>0.31805555555555554</v>
      </c>
      <c r="AS285" s="8">
        <f>(7+(38/60))*AJ285</f>
        <v>214.11499999999998</v>
      </c>
    </row>
    <row r="286" spans="1:52" x14ac:dyDescent="0.2">
      <c r="A286" s="2">
        <v>277</v>
      </c>
      <c r="C286" s="2">
        <v>128</v>
      </c>
      <c r="E286" t="s">
        <v>1355</v>
      </c>
      <c r="AJ286" s="2">
        <v>13.05</v>
      </c>
      <c r="AK286" s="2" t="s">
        <v>773</v>
      </c>
      <c r="AL286" s="2" t="s">
        <v>773</v>
      </c>
      <c r="AM286" s="2" t="s">
        <v>773</v>
      </c>
      <c r="AN286" s="2" t="s">
        <v>773</v>
      </c>
      <c r="AO286" s="2" t="s">
        <v>773</v>
      </c>
      <c r="AP286" s="2" t="s">
        <v>773</v>
      </c>
      <c r="AQ286" s="2" t="s">
        <v>773</v>
      </c>
      <c r="AR286" s="19">
        <v>0.19513888888888889</v>
      </c>
      <c r="AS286" s="8">
        <f>(4+(41/60))*AJ286</f>
        <v>61.117500000000007</v>
      </c>
    </row>
    <row r="287" spans="1:52" x14ac:dyDescent="0.2">
      <c r="A287" s="2">
        <v>278</v>
      </c>
      <c r="B287" s="4">
        <v>256</v>
      </c>
      <c r="C287" s="2">
        <v>1319</v>
      </c>
      <c r="E287" t="s">
        <v>364</v>
      </c>
      <c r="G287" t="s">
        <v>540</v>
      </c>
      <c r="AJ287" s="2">
        <v>26.06</v>
      </c>
      <c r="AK287" s="2" t="s">
        <v>773</v>
      </c>
      <c r="AL287" s="2" t="s">
        <v>773</v>
      </c>
      <c r="AM287" s="14" t="s">
        <v>773</v>
      </c>
      <c r="AN287" s="14" t="s">
        <v>773</v>
      </c>
      <c r="AO287" s="14" t="s">
        <v>773</v>
      </c>
      <c r="AP287" s="14" t="s">
        <v>773</v>
      </c>
      <c r="AQ287" s="57" t="s">
        <v>773</v>
      </c>
      <c r="AR287" s="19">
        <v>0.34027777777777779</v>
      </c>
      <c r="AS287" s="8">
        <f>(8+(10/60))*AJ287</f>
        <v>212.8233333333333</v>
      </c>
    </row>
    <row r="288" spans="1:52" x14ac:dyDescent="0.2">
      <c r="A288" s="2">
        <v>279</v>
      </c>
      <c r="B288" s="2">
        <v>361</v>
      </c>
      <c r="C288" s="2">
        <v>270</v>
      </c>
      <c r="E288" t="s">
        <v>311</v>
      </c>
      <c r="I288" s="2">
        <v>147.5</v>
      </c>
      <c r="J288" s="15">
        <v>5.2679999999999998</v>
      </c>
      <c r="K288" s="15">
        <v>3.7149999999999999</v>
      </c>
      <c r="P288" s="8">
        <v>411.07084800000001</v>
      </c>
      <c r="Q288" s="8">
        <v>459.58200399999998</v>
      </c>
      <c r="R288" s="8">
        <v>419.069322</v>
      </c>
      <c r="S288" s="8">
        <v>396.94697400000001</v>
      </c>
      <c r="T288" s="8">
        <v>413.21765900000003</v>
      </c>
      <c r="U288" s="8">
        <v>365.75069100000002</v>
      </c>
      <c r="V288" s="8">
        <v>426.117816</v>
      </c>
      <c r="W288" s="8">
        <v>384.07556899999997</v>
      </c>
      <c r="X288" s="8">
        <v>411.72316499999999</v>
      </c>
      <c r="Y288" s="8">
        <v>468.02974599999999</v>
      </c>
      <c r="Z288" s="8">
        <v>429.69635</v>
      </c>
      <c r="AA288" s="8">
        <v>376.91881999999998</v>
      </c>
      <c r="AB288" s="8">
        <v>432.51700499999998</v>
      </c>
      <c r="AJ288" s="2">
        <v>164.7</v>
      </c>
      <c r="AK288" s="2">
        <v>157</v>
      </c>
      <c r="AL288" s="2">
        <v>133.19999999999999</v>
      </c>
      <c r="AM288" s="2">
        <v>147.5</v>
      </c>
      <c r="AN288" s="14" t="s">
        <v>773</v>
      </c>
      <c r="AO288" s="14" t="s">
        <v>773</v>
      </c>
      <c r="AP288" s="14" t="s">
        <v>773</v>
      </c>
      <c r="AQ288" s="14" t="s">
        <v>773</v>
      </c>
      <c r="AR288" s="19">
        <v>0.17361111111111113</v>
      </c>
      <c r="AS288" s="8">
        <f>(4+(10/60))*AM288</f>
        <v>614.58333333333337</v>
      </c>
    </row>
    <row r="289" spans="1:53" x14ac:dyDescent="0.2">
      <c r="A289" s="2">
        <v>280</v>
      </c>
      <c r="B289" s="2">
        <v>311</v>
      </c>
      <c r="C289" s="2">
        <v>344</v>
      </c>
      <c r="E289" t="s">
        <v>298</v>
      </c>
      <c r="F289" t="s">
        <v>6</v>
      </c>
      <c r="G289" t="s">
        <v>1286</v>
      </c>
      <c r="H289" s="2">
        <v>800</v>
      </c>
      <c r="I289" s="2">
        <v>114.4</v>
      </c>
      <c r="J289" s="15">
        <v>4.0880000000000001</v>
      </c>
      <c r="K289" s="15">
        <v>2.7330000000000001</v>
      </c>
      <c r="AJ289" s="2">
        <v>106.6</v>
      </c>
      <c r="AK289" s="2">
        <v>110.1</v>
      </c>
      <c r="AL289" s="2">
        <v>108.3</v>
      </c>
      <c r="AM289" s="2">
        <v>114.4</v>
      </c>
      <c r="AN289" s="14" t="s">
        <v>773</v>
      </c>
      <c r="AO289" s="14" t="s">
        <v>773</v>
      </c>
      <c r="AP289" s="14" t="s">
        <v>773</v>
      </c>
      <c r="AQ289" s="14" t="s">
        <v>773</v>
      </c>
      <c r="AR289" s="19">
        <v>0.29930555555555555</v>
      </c>
      <c r="AS289" s="8">
        <f>(7+(11/60))*AM289</f>
        <v>821.77333333333343</v>
      </c>
    </row>
    <row r="290" spans="1:53" x14ac:dyDescent="0.2">
      <c r="A290" s="2">
        <v>282</v>
      </c>
      <c r="B290" s="2">
        <v>288</v>
      </c>
      <c r="C290" s="2">
        <v>971</v>
      </c>
      <c r="E290" t="s">
        <v>254</v>
      </c>
      <c r="F290" t="s">
        <v>709</v>
      </c>
      <c r="G290" t="s">
        <v>1272</v>
      </c>
      <c r="H290" s="2">
        <v>10340</v>
      </c>
      <c r="I290" s="2">
        <v>54.58</v>
      </c>
      <c r="J290" s="15">
        <v>1.9490000000000001</v>
      </c>
      <c r="K290" s="15">
        <v>1.575</v>
      </c>
      <c r="AJ290" s="2">
        <v>49.29</v>
      </c>
      <c r="AK290" s="2">
        <v>45.02</v>
      </c>
      <c r="AL290" s="2">
        <v>51.87</v>
      </c>
      <c r="AM290" s="57">
        <v>54.58</v>
      </c>
      <c r="AN290" s="57" t="s">
        <v>773</v>
      </c>
      <c r="AO290" s="57">
        <v>52.91</v>
      </c>
      <c r="AP290" s="57" t="s">
        <v>773</v>
      </c>
      <c r="AQ290" s="57" t="s">
        <v>773</v>
      </c>
      <c r="AR290" s="19">
        <v>0.17222222222222225</v>
      </c>
      <c r="AS290" s="8">
        <f>(4+(8/60))*AO290</f>
        <v>218.69466666666668</v>
      </c>
    </row>
    <row r="291" spans="1:53" x14ac:dyDescent="0.2">
      <c r="A291" s="2">
        <v>302</v>
      </c>
      <c r="B291" s="2">
        <v>307</v>
      </c>
      <c r="C291" s="2">
        <v>1060</v>
      </c>
      <c r="E291" t="s">
        <v>473</v>
      </c>
      <c r="F291" t="s">
        <v>709</v>
      </c>
      <c r="G291" t="s">
        <v>1272</v>
      </c>
      <c r="H291" s="2">
        <v>10340</v>
      </c>
      <c r="AJ291" s="2">
        <v>34.549999999999997</v>
      </c>
      <c r="AK291" s="2" t="s">
        <v>773</v>
      </c>
      <c r="AL291" s="1" t="s">
        <v>773</v>
      </c>
      <c r="AM291" s="14" t="s">
        <v>773</v>
      </c>
      <c r="AN291" s="14" t="s">
        <v>773</v>
      </c>
      <c r="AO291" s="14" t="s">
        <v>773</v>
      </c>
      <c r="AP291" s="57" t="s">
        <v>773</v>
      </c>
      <c r="AQ291" s="57" t="s">
        <v>773</v>
      </c>
      <c r="AR291" s="19">
        <v>0.27777777777777779</v>
      </c>
      <c r="AS291" s="8">
        <f>(6+(40/60))*AJ291</f>
        <v>230.33333333333331</v>
      </c>
    </row>
    <row r="292" spans="1:53" x14ac:dyDescent="0.2">
      <c r="A292" s="2">
        <v>300</v>
      </c>
      <c r="B292" s="2">
        <v>283</v>
      </c>
      <c r="C292" s="2">
        <v>1713</v>
      </c>
      <c r="E292" t="s">
        <v>432</v>
      </c>
      <c r="AJ292" s="2">
        <v>39.65</v>
      </c>
      <c r="AK292" s="2" t="s">
        <v>773</v>
      </c>
      <c r="AL292" s="1" t="s">
        <v>773</v>
      </c>
      <c r="AM292" s="14" t="s">
        <v>773</v>
      </c>
      <c r="AN292" s="14" t="s">
        <v>773</v>
      </c>
      <c r="AO292" s="14" t="s">
        <v>773</v>
      </c>
      <c r="AP292" s="57" t="s">
        <v>773</v>
      </c>
      <c r="AQ292" s="57" t="s">
        <v>773</v>
      </c>
      <c r="AR292" s="19">
        <v>8.5416666666666669E-2</v>
      </c>
      <c r="AS292" s="8">
        <f>(2+(3/60))*AJ292</f>
        <v>81.282499999999985</v>
      </c>
    </row>
    <row r="293" spans="1:53" x14ac:dyDescent="0.2">
      <c r="A293" s="2">
        <v>284</v>
      </c>
      <c r="B293" s="2">
        <v>323</v>
      </c>
      <c r="C293" s="2">
        <v>1015</v>
      </c>
      <c r="E293" t="s">
        <v>287</v>
      </c>
      <c r="F293" t="s">
        <v>694</v>
      </c>
      <c r="H293" s="2">
        <v>9780</v>
      </c>
      <c r="I293" s="2">
        <v>53.09</v>
      </c>
      <c r="J293" s="15">
        <v>1.8959999999999999</v>
      </c>
      <c r="K293" s="15">
        <v>1.18</v>
      </c>
      <c r="AJ293" s="2">
        <v>46.41</v>
      </c>
      <c r="AK293" s="2">
        <v>59.05</v>
      </c>
      <c r="AL293" s="2">
        <v>50.38</v>
      </c>
      <c r="AM293" s="2">
        <v>53.09</v>
      </c>
      <c r="AN293" s="14" t="s">
        <v>773</v>
      </c>
      <c r="AO293" s="14" t="s">
        <v>773</v>
      </c>
      <c r="AP293" s="14" t="s">
        <v>773</v>
      </c>
      <c r="AQ293" s="14" t="s">
        <v>773</v>
      </c>
      <c r="AR293" s="19">
        <v>0.25625000000000003</v>
      </c>
      <c r="AS293" s="8">
        <f>(6+(9/60))*AM293</f>
        <v>326.50350000000003</v>
      </c>
    </row>
    <row r="294" spans="1:53" x14ac:dyDescent="0.2">
      <c r="A294" s="2">
        <v>285</v>
      </c>
      <c r="B294" s="2">
        <v>266</v>
      </c>
      <c r="C294" s="2">
        <v>782</v>
      </c>
      <c r="E294" t="s">
        <v>212</v>
      </c>
      <c r="F294" t="s">
        <v>705</v>
      </c>
      <c r="H294" s="2">
        <v>10870</v>
      </c>
      <c r="I294" s="2">
        <v>62.12</v>
      </c>
      <c r="J294" s="15">
        <v>2.218</v>
      </c>
      <c r="K294" s="15">
        <v>1.8759999999999999</v>
      </c>
      <c r="AJ294" s="2">
        <v>64.319999999999993</v>
      </c>
      <c r="AK294" s="2">
        <v>55.49</v>
      </c>
      <c r="AL294" s="2">
        <v>69.489999999999995</v>
      </c>
      <c r="AM294" s="2">
        <v>62.12</v>
      </c>
      <c r="AN294" s="2" t="s">
        <v>773</v>
      </c>
      <c r="AO294" s="2">
        <v>60.62</v>
      </c>
      <c r="AP294" s="2" t="s">
        <v>773</v>
      </c>
      <c r="AQ294" s="2" t="s">
        <v>773</v>
      </c>
      <c r="AR294" s="19">
        <v>9.5833333333333326E-2</v>
      </c>
      <c r="AS294" s="8">
        <f>(2+(18/60))*AO294</f>
        <v>139.42599999999999</v>
      </c>
    </row>
    <row r="295" spans="1:53" x14ac:dyDescent="0.2">
      <c r="A295" s="2">
        <v>387</v>
      </c>
      <c r="B295" s="2">
        <v>286</v>
      </c>
      <c r="C295" s="2">
        <v>2271</v>
      </c>
      <c r="E295" t="s">
        <v>450</v>
      </c>
      <c r="AJ295" s="2">
        <v>20.38</v>
      </c>
      <c r="AK295" s="2" t="s">
        <v>773</v>
      </c>
      <c r="AL295" s="2" t="s">
        <v>773</v>
      </c>
      <c r="AM295" s="2" t="s">
        <v>773</v>
      </c>
      <c r="AN295" s="2" t="s">
        <v>773</v>
      </c>
      <c r="AO295" s="2" t="s">
        <v>773</v>
      </c>
      <c r="AP295" s="2" t="s">
        <v>773</v>
      </c>
      <c r="AQ295" s="2" t="s">
        <v>773</v>
      </c>
      <c r="AR295" s="19">
        <v>0.16527777777777777</v>
      </c>
      <c r="AS295" s="8">
        <f>(3+(58/60))*AJ295</f>
        <v>80.840666666666664</v>
      </c>
    </row>
    <row r="296" spans="1:53" x14ac:dyDescent="0.2">
      <c r="A296" s="2">
        <v>280</v>
      </c>
      <c r="B296" s="2">
        <v>287</v>
      </c>
      <c r="C296" s="2">
        <v>185</v>
      </c>
      <c r="E296" t="s">
        <v>491</v>
      </c>
      <c r="F296" t="s">
        <v>6</v>
      </c>
      <c r="AJ296" s="1">
        <v>137</v>
      </c>
      <c r="AK296" s="2" t="s">
        <v>773</v>
      </c>
      <c r="AL296" s="2" t="s">
        <v>773</v>
      </c>
      <c r="AM296" s="2" t="s">
        <v>773</v>
      </c>
      <c r="AN296" s="2" t="s">
        <v>773</v>
      </c>
      <c r="AO296" s="2" t="s">
        <v>773</v>
      </c>
      <c r="AP296" s="2" t="s">
        <v>773</v>
      </c>
      <c r="AQ296" s="2" t="s">
        <v>773</v>
      </c>
      <c r="AR296" s="19">
        <v>0.37916666666666665</v>
      </c>
      <c r="AS296" s="8">
        <f>(9+(6/60))*AJ296</f>
        <v>1246.7</v>
      </c>
    </row>
    <row r="297" spans="1:53" x14ac:dyDescent="0.2">
      <c r="A297" s="2">
        <v>276</v>
      </c>
      <c r="B297" s="2">
        <v>288</v>
      </c>
      <c r="C297" s="2">
        <v>245</v>
      </c>
      <c r="E297" t="s">
        <v>165</v>
      </c>
      <c r="F297" t="s">
        <v>1234</v>
      </c>
      <c r="AJ297" s="2">
        <v>110.3</v>
      </c>
      <c r="AK297" s="2" t="s">
        <v>773</v>
      </c>
      <c r="AL297" s="2" t="s">
        <v>773</v>
      </c>
      <c r="AM297" s="2" t="s">
        <v>773</v>
      </c>
      <c r="AN297" s="2" t="s">
        <v>773</v>
      </c>
      <c r="AO297" s="2" t="s">
        <v>773</v>
      </c>
      <c r="AP297" s="2" t="s">
        <v>773</v>
      </c>
      <c r="AQ297" s="2" t="s">
        <v>773</v>
      </c>
      <c r="AR297" s="19">
        <v>0.32361111111111113</v>
      </c>
      <c r="AS297" s="8">
        <f>(7+(46/60))*AJ297</f>
        <v>856.6633333333333</v>
      </c>
    </row>
    <row r="298" spans="1:53" s="3" customFormat="1" x14ac:dyDescent="0.2">
      <c r="A298" s="4">
        <v>289</v>
      </c>
      <c r="B298" s="4">
        <v>800</v>
      </c>
      <c r="C298" s="4">
        <v>278</v>
      </c>
      <c r="D298" s="4"/>
      <c r="E298" s="3" t="s">
        <v>571</v>
      </c>
      <c r="F298" s="3" t="s">
        <v>6</v>
      </c>
      <c r="H298" s="4">
        <v>3000</v>
      </c>
      <c r="I298" s="4">
        <v>164</v>
      </c>
      <c r="J298" s="16">
        <v>5.8570000000000002</v>
      </c>
      <c r="K298" s="16">
        <v>3.2010000000000001</v>
      </c>
      <c r="L298" s="4"/>
      <c r="M298" s="9" t="s">
        <v>16</v>
      </c>
      <c r="N298" s="9"/>
      <c r="O298" s="9"/>
      <c r="P298" s="58">
        <v>208.33199999999999</v>
      </c>
      <c r="Q298" s="58">
        <v>216.1</v>
      </c>
      <c r="R298" s="58">
        <v>214.9</v>
      </c>
      <c r="S298" s="58">
        <v>200.2</v>
      </c>
      <c r="T298" s="58">
        <v>188.5</v>
      </c>
      <c r="U298" s="58">
        <v>196.2</v>
      </c>
      <c r="V298" s="58">
        <v>230.4</v>
      </c>
      <c r="W298" s="58">
        <v>200.66</v>
      </c>
      <c r="X298" s="58">
        <v>217.2</v>
      </c>
      <c r="Y298" s="58">
        <v>197.3</v>
      </c>
      <c r="Z298" s="58">
        <v>227.06</v>
      </c>
      <c r="AA298" s="58">
        <v>212.07</v>
      </c>
      <c r="AB298" s="58">
        <v>210.94</v>
      </c>
      <c r="AC298" s="9"/>
      <c r="AD298" s="9"/>
      <c r="AE298" s="9"/>
      <c r="AF298" s="9"/>
      <c r="AG298" s="9"/>
      <c r="AH298" s="9"/>
      <c r="AI298" s="9"/>
      <c r="AJ298" s="4">
        <v>183.5</v>
      </c>
      <c r="AK298" s="4">
        <v>181.1</v>
      </c>
      <c r="AL298" s="9">
        <v>164</v>
      </c>
      <c r="AM298" s="46" t="s">
        <v>773</v>
      </c>
      <c r="AN298" s="46" t="s">
        <v>773</v>
      </c>
      <c r="AO298" s="46" t="s">
        <v>773</v>
      </c>
      <c r="AP298" s="46" t="s">
        <v>773</v>
      </c>
      <c r="AQ298" s="46" t="s">
        <v>773</v>
      </c>
      <c r="AR298" s="23">
        <v>0.35833333333333334</v>
      </c>
      <c r="AS298" s="47">
        <f>(8+(36/60))*AL298</f>
        <v>1410.3999999999999</v>
      </c>
    </row>
    <row r="299" spans="1:53" x14ac:dyDescent="0.2">
      <c r="A299" s="2">
        <v>355</v>
      </c>
      <c r="B299" s="4">
        <v>290</v>
      </c>
      <c r="C299" s="2">
        <v>2153</v>
      </c>
      <c r="E299" t="s">
        <v>405</v>
      </c>
      <c r="AJ299" s="2">
        <v>25.53</v>
      </c>
      <c r="AK299" s="2" t="s">
        <v>773</v>
      </c>
      <c r="AL299" s="2" t="s">
        <v>773</v>
      </c>
      <c r="AM299" s="2" t="s">
        <v>773</v>
      </c>
      <c r="AN299" s="2" t="s">
        <v>773</v>
      </c>
      <c r="AO299" s="2" t="s">
        <v>773</v>
      </c>
      <c r="AP299" s="2" t="s">
        <v>773</v>
      </c>
      <c r="AQ299" s="2" t="s">
        <v>773</v>
      </c>
      <c r="AR299" s="19">
        <v>0.1076388888888889</v>
      </c>
      <c r="AS299" s="8">
        <f>(2+(35/60))*AJ299</f>
        <v>65.952500000000001</v>
      </c>
    </row>
    <row r="300" spans="1:53" x14ac:dyDescent="0.2">
      <c r="A300" s="2">
        <v>279</v>
      </c>
      <c r="B300" s="2">
        <v>291</v>
      </c>
      <c r="C300" s="2">
        <v>1182</v>
      </c>
      <c r="E300" t="s">
        <v>415</v>
      </c>
      <c r="AJ300" s="2">
        <v>30.27</v>
      </c>
      <c r="AK300" s="2" t="s">
        <v>773</v>
      </c>
      <c r="AL300" s="2" t="s">
        <v>773</v>
      </c>
      <c r="AM300" s="2" t="s">
        <v>773</v>
      </c>
      <c r="AN300" s="2" t="s">
        <v>773</v>
      </c>
      <c r="AO300" s="2" t="s">
        <v>773</v>
      </c>
      <c r="AP300" s="2" t="s">
        <v>773</v>
      </c>
      <c r="AQ300" s="2" t="s">
        <v>773</v>
      </c>
      <c r="AR300" s="19">
        <v>0.20555555555555555</v>
      </c>
      <c r="AS300" s="8">
        <f>(4+(56/60))*AJ300</f>
        <v>149.33199999999999</v>
      </c>
    </row>
    <row r="301" spans="1:53" x14ac:dyDescent="0.2">
      <c r="A301" s="4">
        <v>292</v>
      </c>
      <c r="B301" s="4">
        <v>219</v>
      </c>
      <c r="C301" s="4">
        <v>510</v>
      </c>
      <c r="D301" s="4"/>
      <c r="E301" s="3" t="s">
        <v>291</v>
      </c>
      <c r="F301" t="s">
        <v>6</v>
      </c>
      <c r="G301" t="s">
        <v>1278</v>
      </c>
      <c r="H301" s="2">
        <v>500</v>
      </c>
      <c r="I301" s="2">
        <v>62.5</v>
      </c>
      <c r="J301" s="15">
        <v>2.2320000000000002</v>
      </c>
      <c r="K301" s="15">
        <v>1.266</v>
      </c>
      <c r="AJ301" s="2">
        <v>43.38</v>
      </c>
      <c r="AK301" s="2">
        <v>61.26</v>
      </c>
      <c r="AL301" s="2">
        <v>60.04</v>
      </c>
      <c r="AM301" s="2">
        <v>62.5</v>
      </c>
      <c r="AN301" s="14" t="s">
        <v>773</v>
      </c>
      <c r="AO301" s="14" t="s">
        <v>773</v>
      </c>
      <c r="AP301" s="14" t="s">
        <v>773</v>
      </c>
      <c r="AQ301" s="14" t="s">
        <v>773</v>
      </c>
      <c r="AR301" s="19">
        <v>0.66597222222222219</v>
      </c>
      <c r="AS301" s="8">
        <f>(15+(59/60))*AM301</f>
        <v>998.95833333333326</v>
      </c>
    </row>
    <row r="302" spans="1:53" x14ac:dyDescent="0.2">
      <c r="A302" s="2">
        <v>284</v>
      </c>
      <c r="B302" s="2">
        <v>293</v>
      </c>
      <c r="C302" s="2">
        <v>808</v>
      </c>
      <c r="E302" t="s">
        <v>372</v>
      </c>
      <c r="F302" t="s">
        <v>1234</v>
      </c>
      <c r="K302" s="15"/>
      <c r="AJ302" s="2">
        <v>39.92</v>
      </c>
      <c r="AK302" s="2" t="s">
        <v>773</v>
      </c>
      <c r="AL302" s="2" t="s">
        <v>773</v>
      </c>
      <c r="AM302" s="2" t="s">
        <v>773</v>
      </c>
      <c r="AN302" s="2" t="s">
        <v>773</v>
      </c>
      <c r="AO302" s="2" t="s">
        <v>773</v>
      </c>
      <c r="AP302" s="2" t="s">
        <v>773</v>
      </c>
      <c r="AQ302" s="2" t="s">
        <v>773</v>
      </c>
      <c r="AR302" s="19">
        <v>9.3055555555555558E-2</v>
      </c>
      <c r="AS302" s="8">
        <f>(2+(14/60))*AJ302</f>
        <v>89.154666666666671</v>
      </c>
    </row>
    <row r="303" spans="1:53" x14ac:dyDescent="0.2">
      <c r="A303" s="2">
        <v>295</v>
      </c>
      <c r="B303" s="2">
        <v>390</v>
      </c>
      <c r="C303" s="2">
        <v>694</v>
      </c>
      <c r="E303" t="s">
        <v>258</v>
      </c>
      <c r="F303" t="s">
        <v>7</v>
      </c>
      <c r="G303" t="s">
        <v>1259</v>
      </c>
      <c r="H303" s="2">
        <v>2000000</v>
      </c>
      <c r="I303" s="2">
        <v>89.44</v>
      </c>
      <c r="J303" s="15">
        <v>3.194</v>
      </c>
      <c r="K303" s="15">
        <v>2.359</v>
      </c>
      <c r="AJ303" s="2">
        <v>135.4</v>
      </c>
      <c r="AK303" s="2">
        <v>68.06</v>
      </c>
      <c r="AL303" s="2">
        <v>95.43</v>
      </c>
      <c r="AM303" s="2">
        <v>89.44</v>
      </c>
      <c r="AN303" s="2" t="s">
        <v>773</v>
      </c>
      <c r="AO303" s="2" t="s">
        <v>773</v>
      </c>
      <c r="AP303" s="2" t="s">
        <v>773</v>
      </c>
      <c r="AQ303" s="2" t="s">
        <v>773</v>
      </c>
      <c r="AR303" s="19">
        <v>4.7916666666666663E-2</v>
      </c>
      <c r="AS303" s="8">
        <f>(1+(9/60))*AM303</f>
        <v>102.85599999999999</v>
      </c>
      <c r="BA303" s="11"/>
    </row>
    <row r="304" spans="1:53" x14ac:dyDescent="0.2">
      <c r="A304" s="2">
        <v>307</v>
      </c>
      <c r="B304" s="2">
        <v>296</v>
      </c>
      <c r="C304" s="2">
        <v>1475</v>
      </c>
      <c r="E304" t="s">
        <v>399</v>
      </c>
      <c r="AJ304" s="2">
        <v>30.38</v>
      </c>
      <c r="AK304" s="2" t="s">
        <v>773</v>
      </c>
      <c r="AL304" s="1" t="s">
        <v>773</v>
      </c>
      <c r="AM304" s="14" t="s">
        <v>773</v>
      </c>
      <c r="AN304" s="14" t="s">
        <v>773</v>
      </c>
      <c r="AO304" s="14" t="s">
        <v>773</v>
      </c>
      <c r="AP304" s="14" t="s">
        <v>773</v>
      </c>
      <c r="AQ304" s="14" t="s">
        <v>773</v>
      </c>
      <c r="AR304" s="19">
        <v>0.12708333333333333</v>
      </c>
      <c r="AS304" s="8">
        <f>(3+(3/60))*AJ304</f>
        <v>92.658999999999992</v>
      </c>
    </row>
    <row r="305" spans="1:52" x14ac:dyDescent="0.2">
      <c r="A305" s="2">
        <v>297</v>
      </c>
      <c r="B305" s="2">
        <v>254</v>
      </c>
      <c r="C305" s="2">
        <v>954</v>
      </c>
      <c r="E305" t="s">
        <v>229</v>
      </c>
      <c r="F305" t="s">
        <v>742</v>
      </c>
      <c r="G305" t="s">
        <v>1273</v>
      </c>
      <c r="H305" s="2">
        <v>356000</v>
      </c>
      <c r="I305" s="2">
        <v>39.19</v>
      </c>
      <c r="J305" s="15">
        <v>1.399</v>
      </c>
      <c r="K305" s="15">
        <v>1.1499999999999999</v>
      </c>
      <c r="AJ305" s="2">
        <v>36.17</v>
      </c>
      <c r="AK305" s="2">
        <v>54.98</v>
      </c>
      <c r="AL305" s="2">
        <v>40.04</v>
      </c>
      <c r="AM305" s="2">
        <v>39.19</v>
      </c>
      <c r="AN305" s="2" t="s">
        <v>773</v>
      </c>
      <c r="AO305" s="2">
        <v>37.76</v>
      </c>
      <c r="AP305" s="2" t="s">
        <v>773</v>
      </c>
      <c r="AQ305" s="2" t="s">
        <v>773</v>
      </c>
      <c r="AR305" s="19">
        <v>0.17152777777777775</v>
      </c>
      <c r="AS305" s="8">
        <f>(4+(7/60))*AO305</f>
        <v>155.44533333333331</v>
      </c>
    </row>
    <row r="306" spans="1:52" x14ac:dyDescent="0.2">
      <c r="A306" s="2">
        <v>294</v>
      </c>
      <c r="B306" s="2">
        <v>298</v>
      </c>
      <c r="C306" s="2">
        <v>148</v>
      </c>
      <c r="E306" t="s">
        <v>313</v>
      </c>
      <c r="F306" t="s">
        <v>1234</v>
      </c>
      <c r="K306" s="15"/>
      <c r="AJ306" s="2">
        <v>177.6</v>
      </c>
      <c r="AK306" s="2" t="s">
        <v>773</v>
      </c>
      <c r="AL306" s="2" t="s">
        <v>773</v>
      </c>
      <c r="AM306" s="2" t="s">
        <v>773</v>
      </c>
      <c r="AN306" s="2" t="s">
        <v>773</v>
      </c>
      <c r="AO306" s="2" t="s">
        <v>773</v>
      </c>
      <c r="AP306" s="2" t="s">
        <v>773</v>
      </c>
      <c r="AQ306" s="2" t="s">
        <v>773</v>
      </c>
      <c r="AR306" s="19">
        <v>0.26458333333333334</v>
      </c>
      <c r="AS306" s="8">
        <f>(6+(21/60))*AJ306</f>
        <v>1127.76</v>
      </c>
    </row>
    <row r="307" spans="1:52" x14ac:dyDescent="0.2">
      <c r="A307" s="2">
        <v>344</v>
      </c>
      <c r="B307" s="2">
        <v>301</v>
      </c>
      <c r="C307" s="2">
        <v>1703</v>
      </c>
      <c r="E307" t="s">
        <v>424</v>
      </c>
      <c r="AJ307" s="2">
        <v>21.22</v>
      </c>
      <c r="AK307" s="2" t="s">
        <v>773</v>
      </c>
      <c r="AL307" s="2" t="s">
        <v>773</v>
      </c>
      <c r="AM307" s="2" t="s">
        <v>773</v>
      </c>
      <c r="AN307" s="2" t="s">
        <v>773</v>
      </c>
      <c r="AO307" s="2" t="s">
        <v>773</v>
      </c>
      <c r="AP307" s="2" t="s">
        <v>773</v>
      </c>
      <c r="AQ307" s="2" t="s">
        <v>773</v>
      </c>
      <c r="AR307" s="19">
        <v>0.1875</v>
      </c>
      <c r="AS307" s="8">
        <f>(4+(30/60))*AJ307</f>
        <v>95.49</v>
      </c>
    </row>
    <row r="308" spans="1:52" x14ac:dyDescent="0.2">
      <c r="A308" s="2">
        <v>303</v>
      </c>
      <c r="B308" s="2">
        <v>168</v>
      </c>
      <c r="C308" s="2">
        <v>138</v>
      </c>
      <c r="E308" t="s">
        <v>265</v>
      </c>
      <c r="F308" t="s">
        <v>5</v>
      </c>
      <c r="G308" t="s">
        <v>1267</v>
      </c>
      <c r="H308" s="2">
        <v>0</v>
      </c>
      <c r="I308" s="2">
        <v>186.9</v>
      </c>
      <c r="J308" s="15">
        <v>6.6779999999999999</v>
      </c>
      <c r="K308" s="15">
        <v>3.976</v>
      </c>
      <c r="AJ308" s="2">
        <v>110.6</v>
      </c>
      <c r="AK308" s="2">
        <v>205.2</v>
      </c>
      <c r="AL308" s="2">
        <v>203.7</v>
      </c>
      <c r="AM308" s="2">
        <v>186.9</v>
      </c>
      <c r="AN308" s="14" t="s">
        <v>773</v>
      </c>
      <c r="AO308" s="14" t="s">
        <v>773</v>
      </c>
      <c r="AP308" s="14" t="s">
        <v>773</v>
      </c>
      <c r="AQ308" s="14" t="s">
        <v>773</v>
      </c>
      <c r="AR308" s="19">
        <v>0.30902777777777779</v>
      </c>
      <c r="AS308" s="8">
        <f>(7+(25/60))*AM308</f>
        <v>1386.1750000000002</v>
      </c>
    </row>
    <row r="309" spans="1:52" x14ac:dyDescent="0.2">
      <c r="A309" s="2">
        <v>304</v>
      </c>
      <c r="B309" s="2">
        <v>271</v>
      </c>
      <c r="C309" s="2">
        <v>893</v>
      </c>
      <c r="E309" t="s">
        <v>341</v>
      </c>
      <c r="G309" t="s">
        <v>1313</v>
      </c>
      <c r="I309" s="2">
        <v>42.72</v>
      </c>
      <c r="J309" s="15">
        <v>1.5249999999999999</v>
      </c>
      <c r="K309" s="15">
        <v>1.046</v>
      </c>
      <c r="AJ309" s="2">
        <v>35.68</v>
      </c>
      <c r="AK309" s="2">
        <v>39.880000000000003</v>
      </c>
      <c r="AL309" s="2">
        <v>42.72</v>
      </c>
      <c r="AM309" s="14" t="s">
        <v>773</v>
      </c>
      <c r="AN309" s="14" t="s">
        <v>773</v>
      </c>
      <c r="AO309" s="14" t="s">
        <v>773</v>
      </c>
      <c r="AP309" s="14" t="s">
        <v>773</v>
      </c>
      <c r="AQ309" s="14" t="s">
        <v>773</v>
      </c>
      <c r="AR309" s="19">
        <v>0.28194444444444444</v>
      </c>
      <c r="AS309" s="8">
        <f>(6+(46/60))*AL309</f>
        <v>289.072</v>
      </c>
    </row>
    <row r="310" spans="1:52" x14ac:dyDescent="0.2">
      <c r="A310" s="2">
        <v>312</v>
      </c>
      <c r="B310" s="2">
        <v>305</v>
      </c>
      <c r="C310" s="2">
        <v>1801</v>
      </c>
      <c r="E310" t="s">
        <v>412</v>
      </c>
      <c r="AJ310" s="2">
        <v>22.01</v>
      </c>
      <c r="AK310" s="2" t="s">
        <v>773</v>
      </c>
      <c r="AL310" s="2" t="s">
        <v>773</v>
      </c>
      <c r="AM310" s="2" t="s">
        <v>773</v>
      </c>
      <c r="AN310" s="2" t="s">
        <v>773</v>
      </c>
      <c r="AO310" s="2" t="s">
        <v>773</v>
      </c>
      <c r="AP310" s="2" t="s">
        <v>773</v>
      </c>
      <c r="AQ310" s="2" t="s">
        <v>773</v>
      </c>
      <c r="AR310" s="19">
        <v>0.20902777777777778</v>
      </c>
      <c r="AS310" s="8">
        <f>(5+(1/60))*AJ310</f>
        <v>110.41683333333334</v>
      </c>
    </row>
    <row r="311" spans="1:52" x14ac:dyDescent="0.2">
      <c r="A311" s="2">
        <v>306</v>
      </c>
      <c r="B311" s="2">
        <v>260</v>
      </c>
      <c r="C311" s="2">
        <v>360</v>
      </c>
      <c r="E311" t="s">
        <v>224</v>
      </c>
      <c r="G311" t="s">
        <v>1261</v>
      </c>
      <c r="I311" s="2">
        <v>125.3</v>
      </c>
      <c r="J311" s="15">
        <v>4.4749999999999996</v>
      </c>
      <c r="K311" s="15">
        <v>3.69</v>
      </c>
      <c r="AJ311" s="2">
        <v>125.7</v>
      </c>
      <c r="AK311" s="2">
        <v>144.5</v>
      </c>
      <c r="AL311" s="2">
        <v>136.69999999999999</v>
      </c>
      <c r="AM311" s="2">
        <v>125.3</v>
      </c>
      <c r="AN311" s="2" t="s">
        <v>773</v>
      </c>
      <c r="AO311" s="2">
        <v>124.3</v>
      </c>
      <c r="AP311" s="2" t="s">
        <v>773</v>
      </c>
      <c r="AQ311" s="2" t="s">
        <v>773</v>
      </c>
      <c r="AR311" s="19">
        <v>8.3333333333333329E-2</v>
      </c>
      <c r="AS311" s="8">
        <f>2*AO311</f>
        <v>248.6</v>
      </c>
    </row>
    <row r="312" spans="1:52" x14ac:dyDescent="0.2">
      <c r="A312" s="2">
        <v>308</v>
      </c>
      <c r="B312" s="2">
        <v>309</v>
      </c>
      <c r="C312" s="2">
        <v>1809</v>
      </c>
      <c r="E312" t="s">
        <v>464</v>
      </c>
      <c r="AJ312" s="2">
        <v>20.64</v>
      </c>
      <c r="AK312" s="2" t="s">
        <v>773</v>
      </c>
      <c r="AL312" s="1" t="s">
        <v>773</v>
      </c>
      <c r="AM312" s="14" t="s">
        <v>773</v>
      </c>
      <c r="AN312" s="14" t="s">
        <v>773</v>
      </c>
      <c r="AO312" s="14" t="s">
        <v>773</v>
      </c>
      <c r="AP312" s="14" t="s">
        <v>773</v>
      </c>
      <c r="AQ312" s="14" t="s">
        <v>773</v>
      </c>
      <c r="AR312" s="19">
        <v>0.21180555555555555</v>
      </c>
      <c r="AS312" s="8">
        <f>(5+(5/60))*AJ312</f>
        <v>104.92</v>
      </c>
    </row>
    <row r="313" spans="1:52" x14ac:dyDescent="0.2">
      <c r="A313" s="2">
        <v>369</v>
      </c>
      <c r="B313" s="2">
        <v>310</v>
      </c>
      <c r="C313" s="2">
        <v>264</v>
      </c>
      <c r="E313" t="s">
        <v>1356</v>
      </c>
      <c r="AJ313" s="2">
        <v>218.9</v>
      </c>
      <c r="AK313" s="2" t="s">
        <v>773</v>
      </c>
      <c r="AL313" s="2" t="s">
        <v>773</v>
      </c>
      <c r="AM313" s="2" t="s">
        <v>773</v>
      </c>
      <c r="AN313" s="2" t="s">
        <v>773</v>
      </c>
      <c r="AO313" s="2" t="s">
        <v>773</v>
      </c>
      <c r="AP313" s="2" t="s">
        <v>773</v>
      </c>
      <c r="AQ313" s="2" t="s">
        <v>773</v>
      </c>
      <c r="AR313" s="19">
        <v>5.2083333333333336E-2</v>
      </c>
      <c r="AS313" s="8">
        <f>(1+(15/60))*AJ313</f>
        <v>273.625</v>
      </c>
    </row>
    <row r="314" spans="1:52" x14ac:dyDescent="0.2">
      <c r="A314" s="2">
        <v>311</v>
      </c>
      <c r="B314" s="2">
        <v>233</v>
      </c>
      <c r="C314" s="2">
        <v>1239</v>
      </c>
      <c r="E314" t="s">
        <v>353</v>
      </c>
      <c r="I314" s="2">
        <v>25.02</v>
      </c>
      <c r="J314" s="15">
        <v>0.89369500000000002</v>
      </c>
      <c r="K314" s="15">
        <v>0.45786300000000002</v>
      </c>
      <c r="AJ314" s="2">
        <v>18.77</v>
      </c>
      <c r="AK314" s="2">
        <v>24.74</v>
      </c>
      <c r="AL314" s="2">
        <v>25.02</v>
      </c>
      <c r="AM314" s="14" t="s">
        <v>773</v>
      </c>
      <c r="AN314" s="14" t="s">
        <v>773</v>
      </c>
      <c r="AO314" s="14" t="s">
        <v>773</v>
      </c>
      <c r="AP314" s="14" t="s">
        <v>773</v>
      </c>
      <c r="AQ314" s="57" t="s">
        <v>773</v>
      </c>
      <c r="AR314" s="19">
        <v>0.37916666666666665</v>
      </c>
      <c r="AS314" s="8">
        <f>(9+(6/60))*AL314</f>
        <v>227.68199999999999</v>
      </c>
    </row>
    <row r="315" spans="1:52" s="3" customFormat="1" x14ac:dyDescent="0.2">
      <c r="A315" s="4">
        <v>312</v>
      </c>
      <c r="B315" s="4">
        <v>278</v>
      </c>
      <c r="C315" s="4">
        <v>672</v>
      </c>
      <c r="D315" s="4"/>
      <c r="E315" s="3" t="s">
        <v>247</v>
      </c>
      <c r="G315" s="3" t="s">
        <v>1262</v>
      </c>
      <c r="H315" s="4"/>
      <c r="I315" s="4">
        <v>84.78</v>
      </c>
      <c r="J315" s="16">
        <v>3.028</v>
      </c>
      <c r="K315" s="16">
        <v>2.746</v>
      </c>
      <c r="L315" s="4"/>
      <c r="M315" s="9"/>
      <c r="N315" s="9"/>
      <c r="O315" s="9"/>
      <c r="P315" s="8">
        <v>101.842389</v>
      </c>
      <c r="Q315" s="8">
        <v>109.863049</v>
      </c>
      <c r="R315" s="8">
        <v>95.965585000000004</v>
      </c>
      <c r="S315" s="8">
        <v>108.6049</v>
      </c>
      <c r="T315" s="8">
        <v>111.75902000000001</v>
      </c>
      <c r="U315" s="8">
        <v>113.92931799999999</v>
      </c>
      <c r="V315" s="8">
        <v>122.15822300000001</v>
      </c>
      <c r="W315" s="8">
        <v>112.472414</v>
      </c>
      <c r="X315" s="8">
        <v>129.29927900000001</v>
      </c>
      <c r="Y315" s="8">
        <v>129.44417000000001</v>
      </c>
      <c r="Z315" s="8">
        <v>128.44539599999999</v>
      </c>
      <c r="AA315" s="8">
        <v>117.637316</v>
      </c>
      <c r="AB315" s="8">
        <v>122.977084</v>
      </c>
      <c r="AC315" s="9"/>
      <c r="AD315" s="9"/>
      <c r="AE315" s="9"/>
      <c r="AF315" s="9"/>
      <c r="AG315" s="9"/>
      <c r="AH315" s="9"/>
      <c r="AI315" s="9"/>
      <c r="AJ315" s="4">
        <v>66.84</v>
      </c>
      <c r="AK315" s="4">
        <v>73.7</v>
      </c>
      <c r="AL315" s="4">
        <v>76.319999999999993</v>
      </c>
      <c r="AM315" s="58">
        <v>84.78</v>
      </c>
      <c r="AN315" s="58" t="s">
        <v>773</v>
      </c>
      <c r="AO315" s="58">
        <v>79.16</v>
      </c>
      <c r="AP315" s="58" t="s">
        <v>773</v>
      </c>
      <c r="AQ315" s="58" t="s">
        <v>773</v>
      </c>
      <c r="AR315" s="23">
        <v>6.3888888888888884E-2</v>
      </c>
      <c r="AS315" s="47">
        <f>(1+(32/60))*AO315</f>
        <v>121.37866666666665</v>
      </c>
      <c r="AX315"/>
      <c r="AY315"/>
      <c r="AZ315"/>
    </row>
    <row r="316" spans="1:52" x14ac:dyDescent="0.2">
      <c r="A316" s="2">
        <v>313</v>
      </c>
      <c r="B316" s="2">
        <v>366</v>
      </c>
      <c r="C316" s="2">
        <v>2123</v>
      </c>
      <c r="E316" t="s">
        <v>314</v>
      </c>
      <c r="G316" t="s">
        <v>1342</v>
      </c>
      <c r="I316" s="2">
        <v>30.99</v>
      </c>
      <c r="J316" s="15">
        <v>1.1060000000000001</v>
      </c>
      <c r="K316" s="15">
        <v>0.86647799999999997</v>
      </c>
      <c r="AJ316" s="2">
        <v>27.74</v>
      </c>
      <c r="AK316" s="2">
        <v>26.6</v>
      </c>
      <c r="AL316" s="2">
        <v>34.22</v>
      </c>
      <c r="AM316" s="2">
        <v>30.99</v>
      </c>
      <c r="AN316" s="14" t="s">
        <v>773</v>
      </c>
      <c r="AO316" s="14" t="s">
        <v>773</v>
      </c>
      <c r="AP316" s="14" t="s">
        <v>773</v>
      </c>
      <c r="AQ316" s="14" t="s">
        <v>773</v>
      </c>
      <c r="AR316" s="19">
        <v>0.10694444444444444</v>
      </c>
      <c r="AS316" s="8">
        <f>(2+(34/60))*AM316</f>
        <v>79.540999999999983</v>
      </c>
    </row>
    <row r="317" spans="1:52" x14ac:dyDescent="0.2">
      <c r="A317" s="2">
        <v>306</v>
      </c>
      <c r="B317" s="2">
        <v>314</v>
      </c>
      <c r="C317" s="2">
        <v>1771</v>
      </c>
      <c r="E317" t="s">
        <v>1357</v>
      </c>
      <c r="K317" s="15"/>
      <c r="AJ317" s="2">
        <v>23.29</v>
      </c>
      <c r="AK317" s="2" t="s">
        <v>773</v>
      </c>
      <c r="AL317" s="2" t="s">
        <v>773</v>
      </c>
      <c r="AM317" s="2" t="s">
        <v>773</v>
      </c>
      <c r="AN317" s="14" t="s">
        <v>773</v>
      </c>
      <c r="AO317" s="14" t="s">
        <v>773</v>
      </c>
      <c r="AP317" s="14" t="s">
        <v>773</v>
      </c>
      <c r="AQ317" s="14" t="s">
        <v>773</v>
      </c>
      <c r="AR317" s="19">
        <v>0.22777777777777777</v>
      </c>
      <c r="AS317" s="8">
        <f>(5+(23/60))*AJ317</f>
        <v>125.37783333333334</v>
      </c>
    </row>
    <row r="318" spans="1:52" x14ac:dyDescent="0.2">
      <c r="A318" s="2">
        <v>315</v>
      </c>
      <c r="B318" s="2">
        <v>123</v>
      </c>
      <c r="C318" s="2">
        <v>277</v>
      </c>
      <c r="E318" t="s">
        <v>115</v>
      </c>
      <c r="F318" t="s">
        <v>6</v>
      </c>
      <c r="H318" s="2">
        <v>1000</v>
      </c>
      <c r="I318" s="2">
        <v>153.6</v>
      </c>
      <c r="J318" s="15">
        <v>5.4870000000000001</v>
      </c>
      <c r="K318" s="15">
        <v>3.8359999999999999</v>
      </c>
      <c r="P318" s="58">
        <v>160.93100000000001</v>
      </c>
      <c r="Q318" s="58">
        <v>134.31200000000001</v>
      </c>
      <c r="R318" s="58">
        <v>156.84299999999999</v>
      </c>
      <c r="S318" s="58">
        <v>164.12100000000001</v>
      </c>
      <c r="T318" s="58">
        <v>173</v>
      </c>
      <c r="U318" s="58">
        <v>163.554</v>
      </c>
      <c r="V318" s="58">
        <v>172.108</v>
      </c>
      <c r="W318" s="58">
        <v>181.416</v>
      </c>
      <c r="X318" s="58">
        <v>189.30699999999999</v>
      </c>
      <c r="Y318" s="58">
        <v>205.554</v>
      </c>
      <c r="Z318" s="58">
        <v>214.19499999999999</v>
      </c>
      <c r="AA318" s="58">
        <v>132.816</v>
      </c>
      <c r="AB318" s="58">
        <v>177.167</v>
      </c>
      <c r="AJ318" s="2">
        <v>61.46</v>
      </c>
      <c r="AK318" s="2">
        <v>116.7</v>
      </c>
      <c r="AL318" s="2">
        <v>152.1</v>
      </c>
      <c r="AM318" s="2">
        <v>153.6</v>
      </c>
      <c r="AN318" s="14" t="s">
        <v>773</v>
      </c>
      <c r="AO318" s="2">
        <v>170.8</v>
      </c>
      <c r="AP318" s="2" t="s">
        <v>773</v>
      </c>
      <c r="AQ318" s="2" t="s">
        <v>773</v>
      </c>
      <c r="AR318" s="19">
        <v>0.1361111111111111</v>
      </c>
      <c r="AS318" s="8">
        <f>(3+(16/60))*AO318</f>
        <v>557.94666666666672</v>
      </c>
    </row>
    <row r="319" spans="1:52" x14ac:dyDescent="0.2">
      <c r="A319" s="2">
        <v>288</v>
      </c>
      <c r="B319" s="2">
        <v>316</v>
      </c>
      <c r="C319" s="2">
        <v>562</v>
      </c>
      <c r="E319" t="s">
        <v>451</v>
      </c>
      <c r="F319" t="s">
        <v>579</v>
      </c>
      <c r="AJ319" s="2">
        <v>56.69</v>
      </c>
      <c r="AK319" s="2" t="s">
        <v>773</v>
      </c>
      <c r="AL319" s="2" t="s">
        <v>773</v>
      </c>
      <c r="AM319" s="2" t="s">
        <v>773</v>
      </c>
      <c r="AN319" s="14" t="s">
        <v>773</v>
      </c>
      <c r="AO319" s="14" t="s">
        <v>773</v>
      </c>
      <c r="AP319" s="14" t="s">
        <v>773</v>
      </c>
      <c r="AQ319" s="14" t="s">
        <v>773</v>
      </c>
      <c r="AR319" s="19">
        <v>0.55902777777777779</v>
      </c>
      <c r="AS319" s="8">
        <f>(13+(25/60))*AJ319</f>
        <v>760.59083333333331</v>
      </c>
    </row>
    <row r="320" spans="1:52" x14ac:dyDescent="0.2">
      <c r="A320" s="2">
        <v>497</v>
      </c>
      <c r="B320" s="2">
        <v>317</v>
      </c>
      <c r="C320" s="2">
        <v>2889</v>
      </c>
      <c r="E320" t="s">
        <v>462</v>
      </c>
      <c r="AJ320" s="2">
        <v>20.05</v>
      </c>
      <c r="AK320" s="2" t="s">
        <v>773</v>
      </c>
      <c r="AL320" s="2" t="s">
        <v>773</v>
      </c>
      <c r="AM320" s="2" t="s">
        <v>773</v>
      </c>
      <c r="AN320" s="14" t="s">
        <v>773</v>
      </c>
      <c r="AO320" s="14" t="s">
        <v>773</v>
      </c>
      <c r="AP320" s="14" t="s">
        <v>773</v>
      </c>
      <c r="AQ320" s="14" t="s">
        <v>773</v>
      </c>
      <c r="AR320" s="19">
        <v>8.6805555555555552E-2</v>
      </c>
      <c r="AS320" s="8">
        <f>(2+(5/60))*AJ320</f>
        <v>41.770833333333336</v>
      </c>
    </row>
    <row r="321" spans="1:45" x14ac:dyDescent="0.2">
      <c r="A321" s="2">
        <v>318</v>
      </c>
      <c r="B321" s="2">
        <v>227</v>
      </c>
      <c r="C321" s="2">
        <v>1145</v>
      </c>
      <c r="E321" t="s">
        <v>198</v>
      </c>
      <c r="F321" t="s">
        <v>694</v>
      </c>
      <c r="G321" t="s">
        <v>1269</v>
      </c>
      <c r="H321" s="2">
        <v>9880</v>
      </c>
      <c r="I321" s="2">
        <v>45.05</v>
      </c>
      <c r="J321" s="15">
        <v>1.609</v>
      </c>
      <c r="K321" s="15">
        <v>0.84499199999999997</v>
      </c>
      <c r="AJ321" s="2">
        <v>30.34</v>
      </c>
      <c r="AK321" s="2">
        <v>69.53</v>
      </c>
      <c r="AL321" s="2">
        <v>42.74</v>
      </c>
      <c r="AM321" s="2">
        <v>45.05</v>
      </c>
      <c r="AN321" s="14" t="s">
        <v>773</v>
      </c>
      <c r="AO321" s="2">
        <v>44.32</v>
      </c>
      <c r="AP321" s="14" t="s">
        <v>773</v>
      </c>
      <c r="AQ321" s="14" t="s">
        <v>773</v>
      </c>
      <c r="AR321" s="19">
        <v>0.25416666666666665</v>
      </c>
      <c r="AS321" s="8">
        <f>(6+(6/60))*AO321</f>
        <v>270.35199999999998</v>
      </c>
    </row>
    <row r="322" spans="1:45" x14ac:dyDescent="0.2">
      <c r="A322" s="2">
        <v>319</v>
      </c>
      <c r="B322" s="2">
        <v>313</v>
      </c>
      <c r="C322" s="2">
        <v>1096</v>
      </c>
      <c r="E322" t="s">
        <v>328</v>
      </c>
      <c r="I322" s="2">
        <v>42.62</v>
      </c>
      <c r="J322" s="15">
        <v>1.522</v>
      </c>
      <c r="K322" s="15">
        <v>1.27</v>
      </c>
      <c r="AJ322" s="2">
        <v>35.020000000000003</v>
      </c>
      <c r="AK322" s="2">
        <v>35.22</v>
      </c>
      <c r="AL322" s="2">
        <v>42.62</v>
      </c>
      <c r="AM322" s="14" t="s">
        <v>773</v>
      </c>
      <c r="AN322" s="14" t="s">
        <v>773</v>
      </c>
      <c r="AO322" s="14" t="s">
        <v>773</v>
      </c>
      <c r="AP322" s="14" t="s">
        <v>773</v>
      </c>
      <c r="AQ322" s="14" t="s">
        <v>773</v>
      </c>
      <c r="AR322" s="22" t="s">
        <v>1302</v>
      </c>
      <c r="AS322" s="8">
        <f>(3+(9/60))*AL322</f>
        <v>134.25299999999999</v>
      </c>
    </row>
    <row r="323" spans="1:45" x14ac:dyDescent="0.2">
      <c r="A323" s="2">
        <v>320</v>
      </c>
      <c r="B323" s="2">
        <v>360</v>
      </c>
      <c r="C323" s="2">
        <v>611</v>
      </c>
      <c r="E323" t="s">
        <v>1321</v>
      </c>
      <c r="F323" t="s">
        <v>715</v>
      </c>
      <c r="H323" s="2">
        <v>77190</v>
      </c>
      <c r="I323" s="2">
        <v>45.68</v>
      </c>
      <c r="J323" s="15">
        <v>1.631</v>
      </c>
      <c r="K323" s="15">
        <v>1.224</v>
      </c>
      <c r="AJ323" s="2">
        <v>48.15</v>
      </c>
      <c r="AK323" s="2">
        <v>47.63</v>
      </c>
      <c r="AL323" s="2">
        <v>45.68</v>
      </c>
      <c r="AM323" s="14" t="s">
        <v>773</v>
      </c>
      <c r="AN323" s="14" t="s">
        <v>773</v>
      </c>
      <c r="AO323" s="14" t="s">
        <v>773</v>
      </c>
      <c r="AP323" s="14" t="s">
        <v>773</v>
      </c>
      <c r="AQ323" s="14" t="s">
        <v>773</v>
      </c>
      <c r="AR323" s="19">
        <v>0.2951388888888889</v>
      </c>
      <c r="AS323" s="8">
        <f>(7+(5/60))*AL323</f>
        <v>323.56666666666666</v>
      </c>
    </row>
    <row r="324" spans="1:45" x14ac:dyDescent="0.2">
      <c r="A324" s="2">
        <v>292</v>
      </c>
      <c r="B324" s="2">
        <v>321</v>
      </c>
      <c r="C324" s="2">
        <v>384</v>
      </c>
      <c r="E324" t="s">
        <v>416</v>
      </c>
      <c r="AJ324" s="2">
        <v>155.69999999999999</v>
      </c>
      <c r="AK324" s="2" t="s">
        <v>773</v>
      </c>
      <c r="AL324" s="2" t="s">
        <v>773</v>
      </c>
      <c r="AM324" s="2" t="s">
        <v>773</v>
      </c>
      <c r="AN324" s="14" t="s">
        <v>773</v>
      </c>
      <c r="AO324" s="14" t="s">
        <v>773</v>
      </c>
      <c r="AP324" s="14" t="s">
        <v>773</v>
      </c>
      <c r="AQ324" s="14" t="s">
        <v>773</v>
      </c>
      <c r="AR324" s="19">
        <v>8.3333333333333332E-3</v>
      </c>
      <c r="AS324" s="8">
        <f>((12/60))*AJ324</f>
        <v>31.14</v>
      </c>
    </row>
    <row r="325" spans="1:45" x14ac:dyDescent="0.2">
      <c r="A325" s="2">
        <v>333</v>
      </c>
      <c r="B325" s="2">
        <v>322</v>
      </c>
      <c r="C325" s="2">
        <v>1930</v>
      </c>
      <c r="E325" t="s">
        <v>460</v>
      </c>
      <c r="F325" t="s">
        <v>549</v>
      </c>
      <c r="AJ325" s="2">
        <v>24.8</v>
      </c>
      <c r="AK325" s="2" t="s">
        <v>773</v>
      </c>
      <c r="AL325" s="2" t="s">
        <v>773</v>
      </c>
      <c r="AM325" s="2" t="s">
        <v>773</v>
      </c>
      <c r="AN325" s="14" t="s">
        <v>773</v>
      </c>
      <c r="AO325" s="14" t="s">
        <v>773</v>
      </c>
      <c r="AP325" s="14" t="s">
        <v>773</v>
      </c>
      <c r="AQ325" s="14" t="s">
        <v>773</v>
      </c>
      <c r="AR325" s="19">
        <v>0.1736111111111111</v>
      </c>
      <c r="AS325" s="8">
        <f>(4+(10/60))*AJ325</f>
        <v>103.33333333333334</v>
      </c>
    </row>
    <row r="326" spans="1:45" x14ac:dyDescent="0.2">
      <c r="A326" s="2">
        <v>323</v>
      </c>
      <c r="B326" s="2">
        <v>214</v>
      </c>
      <c r="C326" s="2">
        <v>812</v>
      </c>
      <c r="E326" t="s">
        <v>182</v>
      </c>
      <c r="I326" s="2">
        <v>114.3</v>
      </c>
      <c r="J326" s="15">
        <v>4.085</v>
      </c>
      <c r="K326" s="15">
        <v>3.794</v>
      </c>
      <c r="AJ326" s="2">
        <v>70.92</v>
      </c>
      <c r="AK326" s="2">
        <v>108.4</v>
      </c>
      <c r="AL326" s="2">
        <v>116.5</v>
      </c>
      <c r="AM326" s="2">
        <v>114.3</v>
      </c>
      <c r="AN326" s="14" t="s">
        <v>773</v>
      </c>
      <c r="AO326" s="2">
        <v>117.6</v>
      </c>
      <c r="AP326" s="14" t="s">
        <v>773</v>
      </c>
      <c r="AQ326" s="14" t="s">
        <v>773</v>
      </c>
      <c r="AR326" s="19">
        <v>4.5833333333333337E-2</v>
      </c>
      <c r="AS326" s="8">
        <f>(1+(6/60))*AO326</f>
        <v>129.36000000000001</v>
      </c>
    </row>
    <row r="327" spans="1:45" x14ac:dyDescent="0.2">
      <c r="A327" s="2">
        <v>326</v>
      </c>
      <c r="B327" s="2">
        <v>324</v>
      </c>
      <c r="C327" s="2">
        <v>1903</v>
      </c>
      <c r="E327" t="s">
        <v>1358</v>
      </c>
      <c r="K327" s="15"/>
      <c r="AJ327" s="2">
        <v>19.22</v>
      </c>
      <c r="AK327" s="2" t="s">
        <v>773</v>
      </c>
      <c r="AL327" s="2" t="s">
        <v>773</v>
      </c>
      <c r="AM327" s="2" t="s">
        <v>773</v>
      </c>
      <c r="AN327" s="14" t="s">
        <v>773</v>
      </c>
      <c r="AO327" s="14" t="s">
        <v>773</v>
      </c>
      <c r="AP327" s="14" t="s">
        <v>773</v>
      </c>
      <c r="AQ327" s="14" t="s">
        <v>773</v>
      </c>
      <c r="AR327" s="19">
        <v>0.23819444444444443</v>
      </c>
      <c r="AS327" s="8">
        <f>(5+(43/60))*AJ327</f>
        <v>109.87433333333333</v>
      </c>
    </row>
    <row r="328" spans="1:45" x14ac:dyDescent="0.2">
      <c r="A328" s="2">
        <v>353</v>
      </c>
      <c r="B328" s="2">
        <v>325</v>
      </c>
      <c r="C328" s="2">
        <v>2116</v>
      </c>
      <c r="E328" t="s">
        <v>1359</v>
      </c>
      <c r="K328" s="15"/>
      <c r="AJ328" s="2">
        <v>23.82</v>
      </c>
      <c r="AK328" s="2" t="s">
        <v>773</v>
      </c>
      <c r="AL328" s="2" t="s">
        <v>773</v>
      </c>
      <c r="AM328" s="2" t="s">
        <v>773</v>
      </c>
      <c r="AN328" s="14" t="s">
        <v>773</v>
      </c>
      <c r="AO328" s="14" t="s">
        <v>773</v>
      </c>
      <c r="AP328" s="14" t="s">
        <v>773</v>
      </c>
      <c r="AQ328" s="14" t="s">
        <v>773</v>
      </c>
      <c r="AR328" s="19">
        <v>0.24722222222222223</v>
      </c>
      <c r="AS328" s="8">
        <f>(5+(56/60))*AJ328</f>
        <v>141.33199999999999</v>
      </c>
    </row>
    <row r="329" spans="1:45" s="3" customFormat="1" x14ac:dyDescent="0.2">
      <c r="A329" s="4">
        <v>326</v>
      </c>
      <c r="B329" s="2">
        <v>316</v>
      </c>
      <c r="C329" s="4">
        <v>1221</v>
      </c>
      <c r="D329" s="4"/>
      <c r="E329" s="3" t="s">
        <v>251</v>
      </c>
      <c r="G329" s="3" t="s">
        <v>1271</v>
      </c>
      <c r="H329" s="4"/>
      <c r="I329" s="4">
        <v>49.81</v>
      </c>
      <c r="J329" s="16">
        <v>1.7789999999999999</v>
      </c>
      <c r="K329" s="16">
        <v>1.0920000000000001</v>
      </c>
      <c r="L329" s="4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2">
        <v>50.21</v>
      </c>
      <c r="AK329" s="2">
        <v>46.94</v>
      </c>
      <c r="AL329" s="4">
        <v>44.65</v>
      </c>
      <c r="AM329" s="58">
        <v>49.81</v>
      </c>
      <c r="AN329" s="58" t="s">
        <v>773</v>
      </c>
      <c r="AO329" s="58">
        <v>45.56</v>
      </c>
      <c r="AP329" s="58" t="s">
        <v>773</v>
      </c>
      <c r="AQ329" s="58" t="s">
        <v>773</v>
      </c>
      <c r="AR329" s="23">
        <v>0.19166666666666668</v>
      </c>
      <c r="AS329" s="47">
        <f>(5+(27/60))*AO329</f>
        <v>248.30200000000002</v>
      </c>
    </row>
    <row r="330" spans="1:45" s="3" customFormat="1" x14ac:dyDescent="0.2">
      <c r="A330" s="2">
        <v>345</v>
      </c>
      <c r="B330" s="2">
        <v>327</v>
      </c>
      <c r="C330" s="2">
        <v>135</v>
      </c>
      <c r="D330" s="2"/>
      <c r="E330" t="s">
        <v>1360</v>
      </c>
      <c r="F330" s="3" t="s">
        <v>1234</v>
      </c>
      <c r="H330" s="4"/>
      <c r="I330" s="4"/>
      <c r="J330" s="16"/>
      <c r="K330" s="16"/>
      <c r="L330" s="4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2">
        <v>276.7</v>
      </c>
      <c r="AK330" s="2" t="s">
        <v>773</v>
      </c>
      <c r="AL330" s="2" t="s">
        <v>773</v>
      </c>
      <c r="AM330" s="2" t="s">
        <v>773</v>
      </c>
      <c r="AN330" s="14" t="s">
        <v>773</v>
      </c>
      <c r="AO330" s="14" t="s">
        <v>773</v>
      </c>
      <c r="AP330" s="14" t="s">
        <v>773</v>
      </c>
      <c r="AQ330" s="14" t="s">
        <v>773</v>
      </c>
      <c r="AR330" s="19">
        <v>9.583333333333334E-2</v>
      </c>
      <c r="AS330" s="8">
        <f>(2+(18/60))*AJ330</f>
        <v>636.41</v>
      </c>
    </row>
    <row r="331" spans="1:45" s="3" customFormat="1" x14ac:dyDescent="0.2">
      <c r="A331" s="2">
        <v>321</v>
      </c>
      <c r="B331" s="2">
        <v>330</v>
      </c>
      <c r="C331" s="2">
        <v>757</v>
      </c>
      <c r="D331" s="2"/>
      <c r="E331" t="s">
        <v>1361</v>
      </c>
      <c r="H331" s="4"/>
      <c r="I331" s="4"/>
      <c r="J331" s="16"/>
      <c r="K331" s="16"/>
      <c r="L331" s="4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2">
        <v>60.69</v>
      </c>
      <c r="AK331" s="2" t="s">
        <v>773</v>
      </c>
      <c r="AL331" s="2" t="s">
        <v>773</v>
      </c>
      <c r="AM331" s="2" t="s">
        <v>773</v>
      </c>
      <c r="AN331" s="14" t="s">
        <v>773</v>
      </c>
      <c r="AO331" s="14" t="s">
        <v>773</v>
      </c>
      <c r="AP331" s="14" t="s">
        <v>773</v>
      </c>
      <c r="AQ331" s="14" t="s">
        <v>773</v>
      </c>
      <c r="AR331" s="19">
        <v>0.30208333333333331</v>
      </c>
      <c r="AS331" s="8">
        <f>(7+(15/60))*AJ331</f>
        <v>440.0025</v>
      </c>
    </row>
    <row r="332" spans="1:45" x14ac:dyDescent="0.2">
      <c r="A332" s="2">
        <v>331</v>
      </c>
      <c r="B332" s="2">
        <v>296</v>
      </c>
      <c r="C332" s="2">
        <v>999</v>
      </c>
      <c r="E332" t="s">
        <v>218</v>
      </c>
      <c r="G332" t="s">
        <v>1265</v>
      </c>
      <c r="I332" s="2">
        <v>63.25</v>
      </c>
      <c r="J332" s="15">
        <v>2.2589999999999999</v>
      </c>
      <c r="K332" s="15">
        <v>1.8520000000000001</v>
      </c>
      <c r="AJ332" s="2">
        <v>55.3</v>
      </c>
      <c r="AK332" s="2">
        <v>63.16</v>
      </c>
      <c r="AL332" s="2">
        <v>65.53</v>
      </c>
      <c r="AM332" s="2">
        <v>63.25</v>
      </c>
      <c r="AN332" s="2" t="s">
        <v>773</v>
      </c>
      <c r="AO332" s="2">
        <v>66.97</v>
      </c>
      <c r="AP332" s="2" t="s">
        <v>773</v>
      </c>
      <c r="AQ332" s="2" t="s">
        <v>773</v>
      </c>
      <c r="AR332" s="19">
        <v>0.11180555555555556</v>
      </c>
      <c r="AS332" s="8">
        <f>(2+(41/60))*AO332</f>
        <v>179.70283333333336</v>
      </c>
    </row>
    <row r="333" spans="1:45" x14ac:dyDescent="0.2">
      <c r="A333" s="2">
        <v>332</v>
      </c>
      <c r="B333" s="2">
        <v>329</v>
      </c>
      <c r="C333" s="2">
        <v>1829</v>
      </c>
      <c r="E333" t="s">
        <v>381</v>
      </c>
      <c r="AJ333" s="2">
        <v>24.51</v>
      </c>
      <c r="AK333" s="2" t="s">
        <v>773</v>
      </c>
      <c r="AL333" s="2" t="s">
        <v>773</v>
      </c>
      <c r="AM333" s="14" t="s">
        <v>773</v>
      </c>
      <c r="AN333" s="14" t="s">
        <v>773</v>
      </c>
      <c r="AO333" s="14" t="s">
        <v>773</v>
      </c>
      <c r="AP333" s="14" t="s">
        <v>773</v>
      </c>
      <c r="AQ333" s="57" t="s">
        <v>773</v>
      </c>
      <c r="AR333" s="19">
        <v>0.2</v>
      </c>
      <c r="AS333" s="8">
        <f>(4+(48/60))*AJ333</f>
        <v>117.648</v>
      </c>
    </row>
    <row r="334" spans="1:45" x14ac:dyDescent="0.2">
      <c r="A334" s="2">
        <v>333</v>
      </c>
      <c r="B334" s="2">
        <v>239</v>
      </c>
      <c r="C334" s="2">
        <v>910</v>
      </c>
      <c r="E334" t="s">
        <v>230</v>
      </c>
      <c r="I334" s="2">
        <v>82.42</v>
      </c>
      <c r="J334" s="15">
        <v>2.9430000000000001</v>
      </c>
      <c r="K334" s="15">
        <v>2.4500000000000002</v>
      </c>
      <c r="P334" s="58">
        <v>172.8</v>
      </c>
      <c r="Q334" s="58">
        <v>153.30000000000001</v>
      </c>
      <c r="R334" s="58">
        <v>170.3</v>
      </c>
      <c r="S334" s="58">
        <v>191</v>
      </c>
      <c r="T334" s="58">
        <v>152.9</v>
      </c>
      <c r="U334" s="58">
        <v>158.1</v>
      </c>
      <c r="V334" s="58">
        <v>159.1</v>
      </c>
      <c r="W334" s="58">
        <v>150.1</v>
      </c>
      <c r="X334" s="58">
        <v>177.6</v>
      </c>
      <c r="Y334" s="58">
        <v>173.1</v>
      </c>
      <c r="Z334" s="58">
        <v>184.3</v>
      </c>
      <c r="AA334" s="58">
        <v>174.7</v>
      </c>
      <c r="AB334" s="58">
        <v>197.5</v>
      </c>
      <c r="AJ334" s="2">
        <v>85.74</v>
      </c>
      <c r="AK334" s="2">
        <v>79.8</v>
      </c>
      <c r="AL334" s="2">
        <v>100.8</v>
      </c>
      <c r="AM334" s="2">
        <v>82.42</v>
      </c>
      <c r="AN334" s="2" t="s">
        <v>773</v>
      </c>
      <c r="AO334" s="2">
        <v>78.13</v>
      </c>
      <c r="AP334" s="2" t="s">
        <v>773</v>
      </c>
      <c r="AQ334" s="2" t="s">
        <v>773</v>
      </c>
      <c r="AR334" s="19">
        <v>9.7916666666666666E-2</v>
      </c>
      <c r="AS334" s="8">
        <f>(2+(21/60))*AO334</f>
        <v>183.60550000000001</v>
      </c>
    </row>
    <row r="335" spans="1:45" x14ac:dyDescent="0.2">
      <c r="A335" s="2">
        <v>309</v>
      </c>
      <c r="B335" s="2">
        <v>334</v>
      </c>
      <c r="C335" s="2">
        <v>1684</v>
      </c>
      <c r="E335" t="s">
        <v>599</v>
      </c>
      <c r="F335" t="s">
        <v>600</v>
      </c>
      <c r="AJ335" s="2">
        <v>21.88</v>
      </c>
      <c r="AK335" s="2" t="s">
        <v>773</v>
      </c>
      <c r="AL335" s="2" t="s">
        <v>773</v>
      </c>
      <c r="AM335" s="14" t="s">
        <v>773</v>
      </c>
      <c r="AN335" s="14" t="s">
        <v>773</v>
      </c>
      <c r="AO335" s="14" t="s">
        <v>773</v>
      </c>
      <c r="AP335" s="14" t="s">
        <v>773</v>
      </c>
      <c r="AQ335" s="57" t="s">
        <v>773</v>
      </c>
      <c r="AR335" s="19">
        <v>0.50486111111111109</v>
      </c>
      <c r="AS335" s="8">
        <f>(12+(7/60))*AJ335</f>
        <v>265.11266666666666</v>
      </c>
    </row>
    <row r="336" spans="1:45" x14ac:dyDescent="0.2">
      <c r="A336" s="2">
        <v>329</v>
      </c>
      <c r="B336" s="2">
        <v>335</v>
      </c>
      <c r="C336" s="2">
        <v>1928</v>
      </c>
      <c r="E336" t="s">
        <v>1362</v>
      </c>
      <c r="AJ336" s="2">
        <v>18.29</v>
      </c>
      <c r="AK336" s="2" t="s">
        <v>773</v>
      </c>
      <c r="AL336" s="2" t="s">
        <v>773</v>
      </c>
      <c r="AM336" s="14" t="s">
        <v>773</v>
      </c>
      <c r="AN336" s="14" t="s">
        <v>773</v>
      </c>
      <c r="AO336" s="14" t="s">
        <v>773</v>
      </c>
      <c r="AP336" s="14" t="s">
        <v>773</v>
      </c>
      <c r="AQ336" s="57" t="s">
        <v>773</v>
      </c>
      <c r="AR336" s="19">
        <v>0.20833333333333334</v>
      </c>
      <c r="AS336" s="8">
        <f>(5+(1/60))*AJ336</f>
        <v>91.754833333333323</v>
      </c>
    </row>
    <row r="337" spans="1:52" x14ac:dyDescent="0.2">
      <c r="A337" s="2">
        <v>336</v>
      </c>
      <c r="B337" s="2">
        <v>318</v>
      </c>
      <c r="C337" s="2">
        <v>511</v>
      </c>
      <c r="E337" t="s">
        <v>386</v>
      </c>
      <c r="AJ337" s="2">
        <v>99.37</v>
      </c>
      <c r="AK337" s="2" t="s">
        <v>773</v>
      </c>
      <c r="AL337" s="2" t="s">
        <v>773</v>
      </c>
      <c r="AM337" s="14" t="s">
        <v>773</v>
      </c>
      <c r="AN337" s="14" t="s">
        <v>773</v>
      </c>
      <c r="AO337" s="14" t="s">
        <v>773</v>
      </c>
      <c r="AP337" s="14" t="s">
        <v>773</v>
      </c>
      <c r="AQ337" s="57" t="s">
        <v>773</v>
      </c>
      <c r="AR337" s="19">
        <v>9.3055555555555558E-2</v>
      </c>
      <c r="AS337" s="8">
        <f>(4+(7/60))*AJ337</f>
        <v>409.07316666666662</v>
      </c>
    </row>
    <row r="338" spans="1:52" x14ac:dyDescent="0.2">
      <c r="A338" s="2">
        <v>371</v>
      </c>
      <c r="B338" s="2">
        <v>337</v>
      </c>
      <c r="C338" s="2">
        <v>2244</v>
      </c>
      <c r="E338" t="s">
        <v>454</v>
      </c>
      <c r="AJ338" s="2">
        <v>16.399999999999999</v>
      </c>
      <c r="AK338" s="2" t="s">
        <v>773</v>
      </c>
      <c r="AL338" s="2" t="s">
        <v>773</v>
      </c>
      <c r="AM338" s="14" t="s">
        <v>773</v>
      </c>
      <c r="AN338" s="14" t="s">
        <v>773</v>
      </c>
      <c r="AO338" s="14" t="s">
        <v>773</v>
      </c>
      <c r="AP338" s="14" t="s">
        <v>773</v>
      </c>
      <c r="AQ338" s="57" t="s">
        <v>773</v>
      </c>
      <c r="AR338" s="19">
        <v>0.24513888888888888</v>
      </c>
      <c r="AS338" s="8">
        <f>(5+(53/60))*AJ338</f>
        <v>96.48666666666665</v>
      </c>
    </row>
    <row r="339" spans="1:52" x14ac:dyDescent="0.2">
      <c r="A339" s="2">
        <v>338</v>
      </c>
      <c r="B339" s="2">
        <v>338</v>
      </c>
      <c r="C339" s="2">
        <v>2001</v>
      </c>
      <c r="E339" t="s">
        <v>1363</v>
      </c>
      <c r="AJ339" s="2">
        <v>18.86</v>
      </c>
      <c r="AK339" s="2" t="s">
        <v>773</v>
      </c>
      <c r="AL339" s="2" t="s">
        <v>773</v>
      </c>
      <c r="AM339" s="14" t="s">
        <v>773</v>
      </c>
      <c r="AN339" s="14" t="s">
        <v>773</v>
      </c>
      <c r="AO339" s="14" t="s">
        <v>773</v>
      </c>
      <c r="AP339" s="14" t="s">
        <v>773</v>
      </c>
      <c r="AQ339" s="57" t="s">
        <v>773</v>
      </c>
      <c r="AR339" s="19">
        <v>0.35486111111111113</v>
      </c>
      <c r="AS339" s="8">
        <f>(8+(31/60))*AJ339</f>
        <v>160.62433333333334</v>
      </c>
    </row>
    <row r="340" spans="1:52" x14ac:dyDescent="0.2">
      <c r="A340" s="2">
        <v>339</v>
      </c>
      <c r="B340" s="2">
        <v>388</v>
      </c>
      <c r="E340" t="s">
        <v>402</v>
      </c>
      <c r="AJ340" s="2">
        <v>19.510000000000002</v>
      </c>
      <c r="AK340" s="2" t="s">
        <v>773</v>
      </c>
      <c r="AL340" s="2" t="s">
        <v>773</v>
      </c>
      <c r="AM340" s="14" t="s">
        <v>773</v>
      </c>
      <c r="AN340" s="14" t="s">
        <v>773</v>
      </c>
      <c r="AO340" s="14" t="s">
        <v>773</v>
      </c>
      <c r="AP340" s="14" t="s">
        <v>773</v>
      </c>
      <c r="AQ340" s="57" t="s">
        <v>773</v>
      </c>
      <c r="AR340" s="19">
        <v>0.12777777777777777</v>
      </c>
      <c r="AS340" s="8">
        <f>(8+(31/60))*AJ340</f>
        <v>166.1601666666667</v>
      </c>
    </row>
    <row r="341" spans="1:52" x14ac:dyDescent="0.2">
      <c r="A341" s="2">
        <v>340</v>
      </c>
      <c r="C341" s="2">
        <v>427</v>
      </c>
      <c r="E341" t="s">
        <v>261</v>
      </c>
      <c r="AM341" s="14"/>
      <c r="AN341" s="14"/>
      <c r="AO341" s="14"/>
      <c r="AP341" s="14"/>
      <c r="AQ341" s="51"/>
    </row>
    <row r="342" spans="1:52" x14ac:dyDescent="0.2">
      <c r="A342" s="2">
        <v>341</v>
      </c>
      <c r="B342" s="2">
        <v>492</v>
      </c>
      <c r="E342" t="s">
        <v>395</v>
      </c>
      <c r="AM342" s="14"/>
      <c r="AN342" s="14"/>
      <c r="AO342" s="14"/>
      <c r="AP342" s="14"/>
      <c r="AQ342" s="51"/>
    </row>
    <row r="343" spans="1:52" x14ac:dyDescent="0.2">
      <c r="A343" s="2">
        <v>342</v>
      </c>
      <c r="B343" s="2">
        <v>350</v>
      </c>
      <c r="C343" s="2">
        <v>833</v>
      </c>
      <c r="E343" t="s">
        <v>285</v>
      </c>
      <c r="I343" s="2">
        <v>74.709999999999994</v>
      </c>
      <c r="J343" s="15">
        <v>2.6680000000000001</v>
      </c>
      <c r="K343" s="15">
        <v>1.913</v>
      </c>
      <c r="AJ343" s="2">
        <v>55.87</v>
      </c>
      <c r="AK343" s="2">
        <v>68.290000000000006</v>
      </c>
      <c r="AL343" s="2">
        <v>66.02</v>
      </c>
      <c r="AM343" s="2">
        <v>74.709999999999994</v>
      </c>
      <c r="AN343" s="14" t="s">
        <v>773</v>
      </c>
      <c r="AO343" s="14" t="s">
        <v>773</v>
      </c>
      <c r="AP343" s="14" t="s">
        <v>773</v>
      </c>
      <c r="AQ343" s="14" t="s">
        <v>773</v>
      </c>
      <c r="AR343" s="19">
        <v>0.13055555555555556</v>
      </c>
      <c r="AS343" s="8">
        <f>(3+(8/60))*AM343</f>
        <v>234.09133333333332</v>
      </c>
    </row>
    <row r="344" spans="1:52" x14ac:dyDescent="0.2">
      <c r="A344" s="2">
        <v>343</v>
      </c>
      <c r="B344" s="2">
        <v>500</v>
      </c>
      <c r="C344" s="2">
        <v>13</v>
      </c>
      <c r="E344" t="s">
        <v>494</v>
      </c>
      <c r="F344" t="s">
        <v>564</v>
      </c>
      <c r="H344" s="2">
        <v>50000</v>
      </c>
      <c r="I344" s="2">
        <v>4827</v>
      </c>
      <c r="J344" s="57">
        <v>175.6</v>
      </c>
      <c r="K344" s="57">
        <v>86.99</v>
      </c>
      <c r="P344" s="2">
        <v>340.3</v>
      </c>
      <c r="Q344" s="2">
        <v>286.39999999999998</v>
      </c>
      <c r="R344" s="2">
        <v>346.9</v>
      </c>
      <c r="S344" s="2">
        <v>324.5</v>
      </c>
      <c r="T344" s="2">
        <v>346</v>
      </c>
      <c r="U344" s="2">
        <v>386.9</v>
      </c>
      <c r="V344" s="2">
        <v>224.7</v>
      </c>
      <c r="W344" s="2">
        <v>210.1</v>
      </c>
      <c r="X344" s="2">
        <v>310.2</v>
      </c>
      <c r="Y344" s="2">
        <v>315.39999999999998</v>
      </c>
      <c r="Z344" s="2">
        <v>486.2</v>
      </c>
      <c r="AA344" s="2">
        <v>477.4</v>
      </c>
      <c r="AB344" s="2">
        <v>369.2</v>
      </c>
      <c r="AJ344" s="2">
        <v>2297</v>
      </c>
      <c r="AK344" s="2">
        <v>4270</v>
      </c>
      <c r="AL344" s="2">
        <v>4397</v>
      </c>
      <c r="AM344" s="2">
        <v>4917</v>
      </c>
      <c r="AN344" s="2">
        <v>4827</v>
      </c>
      <c r="AO344" s="2">
        <v>4797</v>
      </c>
      <c r="AP344" s="14"/>
      <c r="AQ344" s="51"/>
      <c r="AR344" s="19">
        <v>0.21180555555555555</v>
      </c>
      <c r="AS344" s="60">
        <f>(5+(5/60))*AO344</f>
        <v>24384.75</v>
      </c>
      <c r="AT344">
        <v>2000</v>
      </c>
      <c r="AX344" t="s">
        <v>1237</v>
      </c>
      <c r="AY344" s="8">
        <f>AS49+AS48+AS58+AS104+AS162+AS135+AS220+AS116+AS137+AS172+AS99+AS349+AS194+AS203</f>
        <v>12277.512833333332</v>
      </c>
      <c r="AZ344" s="49">
        <f t="shared" si="2"/>
        <v>4.9296085777239332E-3</v>
      </c>
    </row>
    <row r="345" spans="1:52" x14ac:dyDescent="0.2">
      <c r="A345" s="2">
        <v>344</v>
      </c>
      <c r="E345" t="s">
        <v>1364</v>
      </c>
      <c r="J345" s="57"/>
      <c r="K345" s="5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J345" s="2"/>
      <c r="AL345" s="2"/>
      <c r="AM345" s="2"/>
      <c r="AN345" s="2"/>
      <c r="AO345" s="2"/>
      <c r="AP345" s="14"/>
      <c r="AQ345" s="51"/>
      <c r="AR345" s="19"/>
      <c r="AS345" s="60"/>
      <c r="AY345" s="8"/>
      <c r="AZ345" s="49"/>
    </row>
    <row r="346" spans="1:52" x14ac:dyDescent="0.2">
      <c r="A346" s="2">
        <v>345</v>
      </c>
      <c r="C346" s="2">
        <v>208</v>
      </c>
      <c r="E346" t="s">
        <v>1365</v>
      </c>
      <c r="J346" s="57"/>
      <c r="K346" s="5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J346" s="2"/>
      <c r="AL346" s="2"/>
      <c r="AM346" s="2"/>
      <c r="AN346" s="2"/>
      <c r="AO346" s="2"/>
      <c r="AP346" s="14"/>
      <c r="AQ346" s="51"/>
      <c r="AR346" s="19"/>
      <c r="AS346" s="60"/>
      <c r="AY346" s="8"/>
      <c r="AZ346" s="49"/>
    </row>
    <row r="347" spans="1:52" x14ac:dyDescent="0.2">
      <c r="A347" s="2">
        <v>346</v>
      </c>
      <c r="E347" t="s">
        <v>1366</v>
      </c>
      <c r="J347" s="57"/>
      <c r="K347" s="5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J347" s="2"/>
      <c r="AL347" s="2"/>
      <c r="AM347" s="2"/>
      <c r="AN347" s="2"/>
      <c r="AO347" s="2"/>
      <c r="AP347" s="14"/>
      <c r="AQ347" s="51"/>
      <c r="AR347" s="19"/>
      <c r="AS347" s="60"/>
      <c r="AY347" s="8"/>
      <c r="AZ347" s="49"/>
    </row>
    <row r="348" spans="1:52" s="3" customFormat="1" x14ac:dyDescent="0.2">
      <c r="A348" s="4">
        <v>347</v>
      </c>
      <c r="B348" s="4">
        <v>435</v>
      </c>
      <c r="C348" s="4"/>
      <c r="D348" s="4"/>
      <c r="E348" s="3" t="s">
        <v>435</v>
      </c>
      <c r="F348" s="3" t="s">
        <v>6</v>
      </c>
      <c r="H348" s="4"/>
      <c r="I348" s="4"/>
      <c r="J348" s="16"/>
      <c r="K348" s="16"/>
      <c r="L348" s="4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4"/>
      <c r="AL348" s="9"/>
      <c r="AM348" s="46"/>
      <c r="AN348" s="46"/>
      <c r="AO348" s="46"/>
      <c r="AP348" s="46"/>
      <c r="AQ348" s="52"/>
    </row>
    <row r="349" spans="1:52" x14ac:dyDescent="0.2">
      <c r="A349" s="2">
        <v>348</v>
      </c>
      <c r="B349" s="2">
        <v>364</v>
      </c>
      <c r="C349" s="2">
        <v>1830</v>
      </c>
      <c r="E349" t="s">
        <v>129</v>
      </c>
      <c r="F349" t="s">
        <v>691</v>
      </c>
      <c r="H349" s="2">
        <v>1000</v>
      </c>
      <c r="I349" s="2">
        <v>54.92</v>
      </c>
      <c r="J349" s="15">
        <v>1.9610000000000001</v>
      </c>
      <c r="K349" s="15">
        <v>1.786</v>
      </c>
      <c r="AJ349" s="2">
        <v>39.450000000000003</v>
      </c>
      <c r="AK349" s="2">
        <v>53.86</v>
      </c>
      <c r="AL349" s="2">
        <v>52.27</v>
      </c>
      <c r="AM349" s="2">
        <v>54.92</v>
      </c>
      <c r="AN349" s="14" t="s">
        <v>773</v>
      </c>
      <c r="AO349" s="2">
        <v>67.97</v>
      </c>
      <c r="AP349" s="2" t="s">
        <v>773</v>
      </c>
      <c r="AQ349" s="2" t="s">
        <v>773</v>
      </c>
      <c r="AR349" s="19">
        <v>3.4027777777777775E-2</v>
      </c>
      <c r="AS349" s="8">
        <f>(1+(33/60))*AO349</f>
        <v>105.3535</v>
      </c>
    </row>
    <row r="350" spans="1:52" x14ac:dyDescent="0.2">
      <c r="A350" s="2">
        <v>349</v>
      </c>
      <c r="B350" s="2">
        <v>413</v>
      </c>
      <c r="C350" s="2">
        <v>200</v>
      </c>
      <c r="E350" t="s">
        <v>413</v>
      </c>
      <c r="AM350" s="14"/>
      <c r="AN350" s="14"/>
      <c r="AO350" s="14"/>
      <c r="AP350" s="14"/>
      <c r="AQ350" s="51"/>
    </row>
    <row r="351" spans="1:52" x14ac:dyDescent="0.2">
      <c r="A351" s="2">
        <v>350</v>
      </c>
      <c r="C351" s="2">
        <v>520</v>
      </c>
      <c r="E351" t="s">
        <v>1367</v>
      </c>
      <c r="AM351" s="14"/>
      <c r="AN351" s="14"/>
      <c r="AO351" s="14"/>
      <c r="AP351" s="14"/>
      <c r="AQ351" s="51"/>
    </row>
    <row r="352" spans="1:52" x14ac:dyDescent="0.2">
      <c r="A352" s="2">
        <v>351</v>
      </c>
      <c r="B352" s="2">
        <v>441</v>
      </c>
      <c r="E352" t="s">
        <v>441</v>
      </c>
      <c r="AM352" s="14"/>
      <c r="AN352" s="14"/>
      <c r="AO352" s="14"/>
      <c r="AP352" s="14"/>
      <c r="AQ352" s="51"/>
    </row>
    <row r="353" spans="1:45" x14ac:dyDescent="0.2">
      <c r="A353" s="2">
        <v>353</v>
      </c>
      <c r="B353" s="2">
        <v>254</v>
      </c>
      <c r="C353" s="2">
        <v>1294</v>
      </c>
      <c r="E353" t="s">
        <v>263</v>
      </c>
      <c r="G353" t="s">
        <v>1260</v>
      </c>
      <c r="I353" s="2">
        <v>40.85</v>
      </c>
      <c r="J353" s="15">
        <v>1.4590000000000001</v>
      </c>
      <c r="K353" s="15">
        <v>1.087</v>
      </c>
      <c r="AJ353" s="2">
        <v>53.61</v>
      </c>
      <c r="AK353" s="2">
        <v>43.54</v>
      </c>
      <c r="AL353" s="2">
        <v>46.17</v>
      </c>
      <c r="AM353" s="2">
        <v>40.85</v>
      </c>
      <c r="AN353" s="14" t="s">
        <v>773</v>
      </c>
      <c r="AO353" s="14" t="s">
        <v>773</v>
      </c>
      <c r="AP353" s="14" t="s">
        <v>773</v>
      </c>
      <c r="AQ353" s="14" t="s">
        <v>773</v>
      </c>
      <c r="AR353" s="19">
        <v>0.10625</v>
      </c>
      <c r="AS353" s="8">
        <f>(2+(44/60))*AM353</f>
        <v>111.65666666666667</v>
      </c>
    </row>
    <row r="354" spans="1:45" x14ac:dyDescent="0.2">
      <c r="A354" s="2">
        <v>356</v>
      </c>
      <c r="B354" s="2">
        <v>477</v>
      </c>
      <c r="E354" t="s">
        <v>481</v>
      </c>
      <c r="AM354" s="14"/>
      <c r="AN354" s="14"/>
      <c r="AO354" s="14"/>
      <c r="AP354" s="14"/>
      <c r="AQ354" s="51"/>
    </row>
    <row r="355" spans="1:45" x14ac:dyDescent="0.2">
      <c r="A355" s="2">
        <v>357</v>
      </c>
      <c r="B355" s="2">
        <v>354</v>
      </c>
      <c r="C355" s="2">
        <v>2086</v>
      </c>
      <c r="E355" t="s">
        <v>312</v>
      </c>
      <c r="G355" t="s">
        <v>1296</v>
      </c>
      <c r="I355" s="2">
        <v>25.26</v>
      </c>
      <c r="J355" s="15">
        <v>0.90221700000000005</v>
      </c>
      <c r="K355" s="15">
        <v>0.75537299999999996</v>
      </c>
      <c r="AJ355" s="2">
        <v>21.31</v>
      </c>
      <c r="AK355" s="2">
        <v>26.2</v>
      </c>
      <c r="AL355" s="2">
        <v>29.84</v>
      </c>
      <c r="AM355" s="2">
        <v>25.26</v>
      </c>
      <c r="AN355" s="14" t="s">
        <v>773</v>
      </c>
      <c r="AO355" s="14" t="s">
        <v>773</v>
      </c>
      <c r="AP355" s="14" t="s">
        <v>773</v>
      </c>
      <c r="AQ355" s="14" t="s">
        <v>773</v>
      </c>
      <c r="AR355" s="19">
        <v>0.17499999999999999</v>
      </c>
      <c r="AS355" s="8">
        <f>(4+(11/60))*AM355</f>
        <v>105.67100000000001</v>
      </c>
    </row>
    <row r="356" spans="1:45" x14ac:dyDescent="0.2">
      <c r="A356" s="2">
        <v>358</v>
      </c>
      <c r="B356" s="2">
        <v>376</v>
      </c>
      <c r="C356" s="2">
        <v>2254</v>
      </c>
      <c r="E356" t="s">
        <v>280</v>
      </c>
      <c r="G356" t="s">
        <v>1274</v>
      </c>
      <c r="I356" s="2">
        <v>23.13</v>
      </c>
      <c r="J356" s="15">
        <v>0.82627600000000001</v>
      </c>
      <c r="K356" s="15">
        <v>0.48430899999999999</v>
      </c>
      <c r="AJ356" s="2">
        <v>26.28</v>
      </c>
      <c r="AK356" s="2">
        <v>36.32</v>
      </c>
      <c r="AL356" s="2">
        <v>35.200000000000003</v>
      </c>
      <c r="AM356" s="2">
        <v>23.13</v>
      </c>
      <c r="AN356" s="14" t="s">
        <v>773</v>
      </c>
      <c r="AO356" s="14" t="s">
        <v>773</v>
      </c>
      <c r="AP356" s="14" t="s">
        <v>773</v>
      </c>
      <c r="AQ356" s="14" t="s">
        <v>773</v>
      </c>
      <c r="AR356" s="19">
        <v>0.19791666666666666</v>
      </c>
      <c r="AS356" s="8">
        <f>(6+(28/60))*AM356</f>
        <v>149.57399999999998</v>
      </c>
    </row>
    <row r="357" spans="1:45" x14ac:dyDescent="0.2">
      <c r="A357" s="2">
        <v>359</v>
      </c>
      <c r="B357" s="2">
        <v>331</v>
      </c>
      <c r="C357" s="2">
        <v>1678</v>
      </c>
      <c r="E357" t="s">
        <v>452</v>
      </c>
      <c r="G357" t="s">
        <v>1319</v>
      </c>
      <c r="I357" s="2">
        <v>23.89</v>
      </c>
      <c r="J357" s="15">
        <v>0.85336299999999998</v>
      </c>
      <c r="K357" s="15">
        <v>0.62627100000000002</v>
      </c>
      <c r="AJ357" s="2">
        <v>21</v>
      </c>
      <c r="AK357" s="2">
        <v>21.26</v>
      </c>
      <c r="AL357" s="2">
        <v>23.89</v>
      </c>
      <c r="AM357" s="2" t="s">
        <v>773</v>
      </c>
      <c r="AN357" s="2" t="s">
        <v>773</v>
      </c>
      <c r="AO357" s="2" t="s">
        <v>773</v>
      </c>
      <c r="AP357" s="2" t="s">
        <v>773</v>
      </c>
      <c r="AQ357" s="2" t="s">
        <v>773</v>
      </c>
      <c r="AR357" s="19">
        <v>0.31041666666666667</v>
      </c>
      <c r="AS357" s="8">
        <f>(7+(57/60))*AL357</f>
        <v>189.9255</v>
      </c>
    </row>
    <row r="358" spans="1:45" x14ac:dyDescent="0.2">
      <c r="A358" s="2">
        <v>360</v>
      </c>
      <c r="B358" s="2">
        <v>284</v>
      </c>
      <c r="C358" s="2">
        <v>900</v>
      </c>
      <c r="E358" t="s">
        <v>336</v>
      </c>
      <c r="F358" t="s">
        <v>540</v>
      </c>
      <c r="I358" s="2">
        <v>54.77</v>
      </c>
      <c r="J358" s="15">
        <v>1.956</v>
      </c>
      <c r="K358" s="16">
        <v>1.486</v>
      </c>
      <c r="AJ358" s="2">
        <v>34.659999999999997</v>
      </c>
      <c r="AK358" s="2">
        <v>33.369999999999997</v>
      </c>
      <c r="AL358" s="2">
        <v>54.77</v>
      </c>
      <c r="AM358" s="14" t="s">
        <v>773</v>
      </c>
      <c r="AN358" s="14" t="s">
        <v>773</v>
      </c>
      <c r="AO358" s="14" t="s">
        <v>773</v>
      </c>
      <c r="AP358" s="14" t="s">
        <v>773</v>
      </c>
      <c r="AQ358" s="14" t="s">
        <v>773</v>
      </c>
      <c r="AR358" s="19">
        <v>0.34791666666666665</v>
      </c>
      <c r="AS358" s="8">
        <f>(8+(21/60))*AL358</f>
        <v>457.3295</v>
      </c>
    </row>
    <row r="359" spans="1:45" x14ac:dyDescent="0.2">
      <c r="A359" s="2">
        <v>361</v>
      </c>
      <c r="B359" s="2">
        <v>423</v>
      </c>
      <c r="E359" t="s">
        <v>447</v>
      </c>
      <c r="F359" t="s">
        <v>540</v>
      </c>
      <c r="AM359" s="14"/>
      <c r="AN359" s="14"/>
      <c r="AO359" s="14"/>
      <c r="AP359" s="14"/>
      <c r="AQ359" s="51"/>
    </row>
    <row r="360" spans="1:45" x14ac:dyDescent="0.2">
      <c r="A360" s="2">
        <v>362</v>
      </c>
      <c r="B360" s="2">
        <v>422</v>
      </c>
      <c r="C360" s="2">
        <v>19</v>
      </c>
      <c r="E360" t="s">
        <v>446</v>
      </c>
      <c r="I360" s="2">
        <v>1093</v>
      </c>
      <c r="J360" s="15">
        <v>39.049999999999997</v>
      </c>
      <c r="K360" s="16">
        <v>15.39</v>
      </c>
      <c r="P360" s="8">
        <v>1189.846532</v>
      </c>
      <c r="Q360" s="8">
        <v>1331.180891</v>
      </c>
      <c r="R360" s="8">
        <v>1489.067466</v>
      </c>
      <c r="S360" s="8">
        <v>576.67145100000005</v>
      </c>
      <c r="T360" s="8">
        <v>1113.6501450000001</v>
      </c>
      <c r="U360" s="8">
        <v>723.16618000000005</v>
      </c>
      <c r="V360" s="8">
        <v>885.76111000000003</v>
      </c>
      <c r="W360" s="8">
        <v>1010.269867</v>
      </c>
      <c r="X360" s="8">
        <v>870.687231</v>
      </c>
      <c r="Y360" s="8">
        <v>800.60578199999998</v>
      </c>
      <c r="Z360" s="8">
        <v>909.76755400000002</v>
      </c>
      <c r="AA360" s="8">
        <v>855.65192200000001</v>
      </c>
      <c r="AB360" s="8">
        <v>867.31711499999994</v>
      </c>
      <c r="AJ360" s="2">
        <v>1483</v>
      </c>
      <c r="AK360" s="2">
        <v>1093</v>
      </c>
      <c r="AL360" s="2">
        <v>1044</v>
      </c>
      <c r="AM360" s="2">
        <v>1093</v>
      </c>
      <c r="AN360" s="14" t="s">
        <v>773</v>
      </c>
      <c r="AO360" s="14" t="s">
        <v>773</v>
      </c>
      <c r="AP360" s="14" t="s">
        <v>773</v>
      </c>
      <c r="AQ360" s="14" t="s">
        <v>773</v>
      </c>
      <c r="AR360" s="19">
        <v>0.66805555555555562</v>
      </c>
      <c r="AS360" s="8">
        <f>(16+(2/60))*AM360</f>
        <v>17524.433333333334</v>
      </c>
    </row>
    <row r="361" spans="1:45" x14ac:dyDescent="0.2">
      <c r="A361" s="2">
        <v>363</v>
      </c>
      <c r="B361" s="2">
        <v>431</v>
      </c>
      <c r="E361" t="s">
        <v>455</v>
      </c>
      <c r="AM361" s="14"/>
      <c r="AN361" s="14"/>
      <c r="AO361" s="14"/>
      <c r="AP361" s="14"/>
      <c r="AQ361" s="51"/>
    </row>
    <row r="362" spans="1:45" x14ac:dyDescent="0.2">
      <c r="A362" s="2">
        <v>364</v>
      </c>
      <c r="C362" s="2">
        <v>868</v>
      </c>
      <c r="E362" t="s">
        <v>1368</v>
      </c>
      <c r="F362" t="s">
        <v>1234</v>
      </c>
      <c r="AM362" s="14"/>
      <c r="AN362" s="14"/>
      <c r="AO362" s="14"/>
      <c r="AP362" s="14"/>
      <c r="AQ362" s="51"/>
    </row>
    <row r="363" spans="1:45" x14ac:dyDescent="0.2">
      <c r="A363" s="2">
        <v>365</v>
      </c>
      <c r="E363" t="s">
        <v>1369</v>
      </c>
      <c r="AM363" s="14"/>
      <c r="AN363" s="14"/>
      <c r="AO363" s="14"/>
      <c r="AP363" s="14"/>
      <c r="AQ363" s="51"/>
    </row>
    <row r="364" spans="1:45" x14ac:dyDescent="0.2">
      <c r="A364" s="2">
        <v>366</v>
      </c>
      <c r="B364" s="2">
        <v>340</v>
      </c>
      <c r="C364" s="2">
        <v>1928</v>
      </c>
      <c r="E364" t="s">
        <v>369</v>
      </c>
      <c r="G364" t="s">
        <v>540</v>
      </c>
      <c r="H364" s="2">
        <v>0</v>
      </c>
      <c r="AJ364" s="2">
        <v>22.68</v>
      </c>
      <c r="AK364" s="2" t="s">
        <v>773</v>
      </c>
      <c r="AL364" s="2" t="s">
        <v>773</v>
      </c>
      <c r="AM364" s="14" t="s">
        <v>773</v>
      </c>
      <c r="AN364" s="14" t="s">
        <v>773</v>
      </c>
      <c r="AO364" s="14" t="s">
        <v>773</v>
      </c>
      <c r="AP364" s="14" t="s">
        <v>773</v>
      </c>
      <c r="AQ364" s="57" t="s">
        <v>773</v>
      </c>
      <c r="AR364" s="19">
        <v>0.20555555555555555</v>
      </c>
      <c r="AS364" s="8">
        <f>(4+(56/60))*AJ364</f>
        <v>111.88800000000001</v>
      </c>
    </row>
    <row r="365" spans="1:45" x14ac:dyDescent="0.2">
      <c r="A365" s="2">
        <v>367</v>
      </c>
      <c r="B365" s="2">
        <v>387</v>
      </c>
      <c r="C365" s="2">
        <v>21</v>
      </c>
      <c r="E365" t="s">
        <v>414</v>
      </c>
      <c r="F365" t="s">
        <v>716</v>
      </c>
      <c r="H365" s="2">
        <v>5260</v>
      </c>
      <c r="I365" s="2">
        <v>898.6</v>
      </c>
      <c r="J365" s="15">
        <v>32.090000000000003</v>
      </c>
      <c r="K365" s="15">
        <v>13.55</v>
      </c>
      <c r="P365" s="8">
        <v>255.47768199999999</v>
      </c>
      <c r="Q365" s="8">
        <v>219.208091</v>
      </c>
      <c r="R365" s="8">
        <v>263.58977800000002</v>
      </c>
      <c r="S365" s="8">
        <v>243.66030900000001</v>
      </c>
      <c r="T365" s="8">
        <v>252.06861000000001</v>
      </c>
      <c r="U365" s="8">
        <v>260.33903500000002</v>
      </c>
      <c r="V365" s="8">
        <v>174.21491900000001</v>
      </c>
      <c r="W365" s="8">
        <v>162.81508199999999</v>
      </c>
      <c r="X365" s="8">
        <v>227.10964999999999</v>
      </c>
      <c r="Y365" s="8">
        <v>229.062363</v>
      </c>
      <c r="Z365" s="8">
        <v>282.15379899999999</v>
      </c>
      <c r="AA365" s="8">
        <v>307.255292</v>
      </c>
      <c r="AB365" s="8">
        <v>286.84138400000001</v>
      </c>
      <c r="AJ365" s="2">
        <v>1162</v>
      </c>
      <c r="AK365" s="2">
        <v>1097</v>
      </c>
      <c r="AL365" s="2">
        <v>1165</v>
      </c>
      <c r="AM365" s="2">
        <v>898.6</v>
      </c>
      <c r="AN365" s="14" t="s">
        <v>773</v>
      </c>
      <c r="AO365" s="14" t="s">
        <v>773</v>
      </c>
      <c r="AP365" s="14" t="s">
        <v>773</v>
      </c>
      <c r="AQ365" s="14" t="s">
        <v>773</v>
      </c>
      <c r="AR365" s="19">
        <v>0.86388888888888893</v>
      </c>
      <c r="AS365" s="8">
        <f>(20+(44/60))*AM365</f>
        <v>18630.973333333335</v>
      </c>
    </row>
    <row r="366" spans="1:45" x14ac:dyDescent="0.2">
      <c r="A366" s="2">
        <v>368</v>
      </c>
      <c r="B366" s="2">
        <v>357</v>
      </c>
      <c r="C366" s="2">
        <v>2110</v>
      </c>
      <c r="E366" t="s">
        <v>376</v>
      </c>
      <c r="AJ366" s="2">
        <v>23.72</v>
      </c>
      <c r="AK366" s="2" t="s">
        <v>773</v>
      </c>
      <c r="AL366" s="2" t="s">
        <v>773</v>
      </c>
      <c r="AM366" s="14" t="s">
        <v>773</v>
      </c>
      <c r="AN366" s="14" t="s">
        <v>773</v>
      </c>
      <c r="AO366" s="14" t="s">
        <v>773</v>
      </c>
      <c r="AP366" s="14" t="s">
        <v>773</v>
      </c>
      <c r="AQ366" s="57" t="s">
        <v>773</v>
      </c>
      <c r="AR366" s="19">
        <v>0.17708333333333334</v>
      </c>
      <c r="AS366" s="8">
        <f>(4+(15/60))*AJ366</f>
        <v>100.81</v>
      </c>
    </row>
    <row r="367" spans="1:45" x14ac:dyDescent="0.2">
      <c r="A367" s="2">
        <v>370</v>
      </c>
      <c r="E367" t="s">
        <v>370</v>
      </c>
      <c r="AJ367" s="2"/>
      <c r="AL367" s="2"/>
      <c r="AM367" s="14"/>
      <c r="AN367" s="14"/>
      <c r="AO367" s="14"/>
      <c r="AP367" s="14"/>
      <c r="AQ367" s="57"/>
      <c r="AR367" s="19"/>
      <c r="AS367" s="8"/>
    </row>
    <row r="368" spans="1:45" x14ac:dyDescent="0.2">
      <c r="A368" s="2">
        <v>371</v>
      </c>
      <c r="E368" t="s">
        <v>1370</v>
      </c>
      <c r="AJ368" s="2"/>
      <c r="AL368" s="2"/>
      <c r="AM368" s="14"/>
      <c r="AN368" s="14"/>
      <c r="AO368" s="14"/>
      <c r="AP368" s="14"/>
      <c r="AQ368" s="57"/>
      <c r="AR368" s="19"/>
      <c r="AS368" s="8"/>
    </row>
    <row r="369" spans="1:45" x14ac:dyDescent="0.2">
      <c r="A369" s="2">
        <v>372</v>
      </c>
      <c r="B369" s="2">
        <v>337</v>
      </c>
      <c r="C369" s="2">
        <v>1942</v>
      </c>
      <c r="E369" t="s">
        <v>382</v>
      </c>
      <c r="F369" t="s">
        <v>714</v>
      </c>
      <c r="H369" s="2">
        <v>2670</v>
      </c>
      <c r="AJ369" s="2">
        <v>23.8</v>
      </c>
      <c r="AK369" s="2" t="s">
        <v>773</v>
      </c>
      <c r="AL369" s="2" t="s">
        <v>773</v>
      </c>
      <c r="AM369" s="14" t="s">
        <v>773</v>
      </c>
      <c r="AN369" s="14" t="s">
        <v>773</v>
      </c>
      <c r="AO369" s="14" t="s">
        <v>773</v>
      </c>
      <c r="AP369" s="14" t="s">
        <v>773</v>
      </c>
      <c r="AQ369" s="57" t="s">
        <v>773</v>
      </c>
      <c r="AR369" s="19">
        <v>0.15069444444444444</v>
      </c>
      <c r="AS369" s="8">
        <f>(3+(37/60))*AJ369</f>
        <v>86.076666666666668</v>
      </c>
    </row>
    <row r="370" spans="1:45" x14ac:dyDescent="0.2">
      <c r="A370" s="2">
        <v>373</v>
      </c>
      <c r="B370" s="2">
        <v>280</v>
      </c>
      <c r="C370" s="2">
        <v>638</v>
      </c>
      <c r="E370" t="s">
        <v>175</v>
      </c>
      <c r="I370" s="2">
        <v>109.4</v>
      </c>
      <c r="J370" s="15">
        <v>3.9079999999999999</v>
      </c>
      <c r="K370" s="15">
        <v>2.097</v>
      </c>
      <c r="AJ370" s="2">
        <v>67.39</v>
      </c>
      <c r="AK370" s="2">
        <v>113.1</v>
      </c>
      <c r="AL370" s="2">
        <v>110.9</v>
      </c>
      <c r="AM370" s="2">
        <v>109.4</v>
      </c>
      <c r="AN370" s="14" t="s">
        <v>773</v>
      </c>
      <c r="AO370" s="2">
        <v>128.9</v>
      </c>
      <c r="AP370" s="14" t="s">
        <v>773</v>
      </c>
      <c r="AQ370" s="14" t="s">
        <v>773</v>
      </c>
      <c r="AR370" s="19">
        <v>0.54722222222222217</v>
      </c>
      <c r="AS370" s="8">
        <f>(13+(8/60))*AO370</f>
        <v>1692.8866666666668</v>
      </c>
    </row>
    <row r="371" spans="1:45" x14ac:dyDescent="0.2">
      <c r="A371" s="2">
        <v>374</v>
      </c>
      <c r="B371" s="2">
        <v>497</v>
      </c>
      <c r="E371" t="s">
        <v>504</v>
      </c>
      <c r="AM371" s="14"/>
      <c r="AN371" s="14"/>
      <c r="AO371" s="14"/>
      <c r="AP371" s="14"/>
      <c r="AQ371" s="51"/>
    </row>
    <row r="372" spans="1:45" x14ac:dyDescent="0.2">
      <c r="A372" s="2">
        <v>375</v>
      </c>
      <c r="E372" t="s">
        <v>1371</v>
      </c>
      <c r="AM372" s="14"/>
      <c r="AN372" s="14"/>
      <c r="AO372" s="14"/>
      <c r="AP372" s="14"/>
      <c r="AQ372" s="51"/>
    </row>
    <row r="373" spans="1:45" x14ac:dyDescent="0.2">
      <c r="A373" s="2">
        <v>376</v>
      </c>
      <c r="C373" s="2">
        <v>655</v>
      </c>
      <c r="E373" t="s">
        <v>1372</v>
      </c>
      <c r="AM373" s="14"/>
      <c r="AN373" s="14"/>
      <c r="AO373" s="14"/>
      <c r="AP373" s="14"/>
      <c r="AQ373" s="51"/>
    </row>
    <row r="374" spans="1:45" x14ac:dyDescent="0.2">
      <c r="A374" s="2">
        <v>377</v>
      </c>
      <c r="B374" s="2">
        <v>442</v>
      </c>
      <c r="E374" t="s">
        <v>442</v>
      </c>
      <c r="AM374" s="14"/>
      <c r="AN374" s="14"/>
      <c r="AO374" s="14"/>
      <c r="AP374" s="14"/>
      <c r="AQ374" s="51"/>
    </row>
    <row r="375" spans="1:45" x14ac:dyDescent="0.2">
      <c r="A375" s="2">
        <v>378</v>
      </c>
      <c r="C375" s="2">
        <v>235</v>
      </c>
      <c r="E375" t="s">
        <v>1373</v>
      </c>
      <c r="AM375" s="14"/>
      <c r="AN375" s="14"/>
      <c r="AO375" s="14"/>
      <c r="AP375" s="14"/>
      <c r="AQ375" s="51"/>
    </row>
    <row r="376" spans="1:45" x14ac:dyDescent="0.2">
      <c r="A376" s="4">
        <v>379</v>
      </c>
      <c r="B376" s="2">
        <v>493</v>
      </c>
      <c r="C376" s="4">
        <v>441</v>
      </c>
      <c r="D376" s="4"/>
      <c r="E376" t="s">
        <v>499</v>
      </c>
      <c r="AM376" s="14"/>
      <c r="AN376" s="14"/>
      <c r="AO376" s="14"/>
      <c r="AP376" s="14"/>
      <c r="AQ376" s="51"/>
    </row>
    <row r="377" spans="1:45" x14ac:dyDescent="0.2">
      <c r="A377" s="2">
        <v>380</v>
      </c>
      <c r="B377" s="2">
        <v>317</v>
      </c>
      <c r="C377" s="2">
        <v>68</v>
      </c>
      <c r="E377" t="s">
        <v>289</v>
      </c>
      <c r="F377" t="s">
        <v>1228</v>
      </c>
      <c r="G377" t="s">
        <v>1281</v>
      </c>
      <c r="I377" s="2">
        <v>656.2</v>
      </c>
      <c r="J377" s="15">
        <v>23.43</v>
      </c>
      <c r="K377" s="15">
        <v>16.88</v>
      </c>
      <c r="AJ377" s="2">
        <v>649</v>
      </c>
      <c r="AK377" s="2">
        <v>772.3</v>
      </c>
      <c r="AL377" s="2">
        <v>635.4</v>
      </c>
      <c r="AM377" s="2">
        <v>656.2</v>
      </c>
      <c r="AN377" s="14" t="s">
        <v>773</v>
      </c>
      <c r="AO377" s="14" t="s">
        <v>773</v>
      </c>
      <c r="AP377" s="14" t="s">
        <v>773</v>
      </c>
      <c r="AQ377" s="14" t="s">
        <v>773</v>
      </c>
      <c r="AR377" s="19">
        <v>0.13402777777777777</v>
      </c>
      <c r="AS377" s="8">
        <f>(3+(13/60))*AM377</f>
        <v>2110.7766666666671</v>
      </c>
    </row>
    <row r="378" spans="1:45" x14ac:dyDescent="0.2">
      <c r="A378" s="2">
        <v>382</v>
      </c>
      <c r="B378" s="2">
        <v>334</v>
      </c>
      <c r="C378" s="2">
        <v>1248</v>
      </c>
      <c r="E378" t="s">
        <v>327</v>
      </c>
      <c r="G378" t="s">
        <v>1333</v>
      </c>
      <c r="AJ378" s="2">
        <v>45.89</v>
      </c>
      <c r="AK378" s="2">
        <v>39.409999999999997</v>
      </c>
      <c r="AL378" s="2">
        <v>35.72</v>
      </c>
      <c r="AM378" s="14" t="s">
        <v>773</v>
      </c>
      <c r="AN378" s="14" t="s">
        <v>773</v>
      </c>
      <c r="AO378" s="14" t="s">
        <v>773</v>
      </c>
      <c r="AP378" s="14" t="s">
        <v>773</v>
      </c>
      <c r="AQ378" s="14" t="s">
        <v>773</v>
      </c>
      <c r="AR378" s="22">
        <v>7.9861111111111105E-2</v>
      </c>
      <c r="AS378" s="8">
        <f>(2+(3/60))*AL378</f>
        <v>73.225999999999985</v>
      </c>
    </row>
    <row r="379" spans="1:45" x14ac:dyDescent="0.2">
      <c r="A379" s="2">
        <v>384</v>
      </c>
      <c r="B379" s="2">
        <v>476</v>
      </c>
      <c r="C379" s="2">
        <v>1855</v>
      </c>
      <c r="E379" t="s">
        <v>172</v>
      </c>
      <c r="F379" t="s">
        <v>6</v>
      </c>
      <c r="G379" t="s">
        <v>1269</v>
      </c>
      <c r="H379" s="2">
        <v>0</v>
      </c>
      <c r="I379" s="2">
        <v>85.97</v>
      </c>
      <c r="J379" s="15">
        <v>2.1579999999999999</v>
      </c>
      <c r="K379" s="15">
        <v>1.6830000000000001</v>
      </c>
      <c r="L379" s="2">
        <v>26.54</v>
      </c>
      <c r="AJ379" s="2">
        <v>31.23</v>
      </c>
      <c r="AK379" s="2">
        <v>66.09</v>
      </c>
      <c r="AL379" s="2">
        <v>27.31</v>
      </c>
      <c r="AM379" s="2">
        <v>14.4</v>
      </c>
      <c r="AN379" s="2" t="s">
        <v>773</v>
      </c>
      <c r="AO379" s="2">
        <v>35.39</v>
      </c>
      <c r="AP379" s="2" t="s">
        <v>773</v>
      </c>
      <c r="AQ379" s="2" t="s">
        <v>773</v>
      </c>
      <c r="AR379" s="22">
        <v>8.1250000000000003E-2</v>
      </c>
      <c r="AS379" s="8">
        <f>(1+(57/60))*AO379</f>
        <v>69.010499999999993</v>
      </c>
    </row>
    <row r="380" spans="1:45" x14ac:dyDescent="0.2">
      <c r="A380" s="2">
        <v>385</v>
      </c>
      <c r="B380" s="2">
        <v>332</v>
      </c>
      <c r="C380" s="2">
        <v>363</v>
      </c>
      <c r="E380" t="s">
        <v>214</v>
      </c>
      <c r="F380" t="s">
        <v>707</v>
      </c>
      <c r="H380" s="2">
        <v>135900</v>
      </c>
      <c r="I380" s="2">
        <v>176.2</v>
      </c>
      <c r="J380" s="15">
        <v>6.2949999999999999</v>
      </c>
      <c r="K380" s="15">
        <v>3.6970000000000001</v>
      </c>
      <c r="P380" s="8">
        <v>314.23970800000001</v>
      </c>
      <c r="Q380" s="8">
        <v>297.83355</v>
      </c>
      <c r="R380" s="8">
        <v>320.92489599999999</v>
      </c>
      <c r="S380" s="8">
        <v>308.83760100000001</v>
      </c>
      <c r="T380" s="8">
        <v>299.797956</v>
      </c>
      <c r="U380" s="8">
        <v>280.05275599999999</v>
      </c>
      <c r="V380" s="8">
        <v>305.595485</v>
      </c>
      <c r="W380" s="8">
        <v>303.83640200000002</v>
      </c>
      <c r="X380" s="8">
        <v>344.703731</v>
      </c>
      <c r="Y380" s="8">
        <v>361.07580799999999</v>
      </c>
      <c r="Z380" s="8">
        <v>416.89001400000001</v>
      </c>
      <c r="AA380" s="8">
        <v>401.40909699999997</v>
      </c>
      <c r="AB380" s="8">
        <v>372.294871</v>
      </c>
      <c r="AJ380" s="2">
        <v>146.1</v>
      </c>
      <c r="AK380" s="2">
        <v>150.4</v>
      </c>
      <c r="AL380" s="2">
        <v>181.7</v>
      </c>
      <c r="AM380" s="2">
        <v>176.2</v>
      </c>
      <c r="AN380" s="2" t="s">
        <v>773</v>
      </c>
      <c r="AO380" s="2">
        <v>180.8</v>
      </c>
      <c r="AP380" s="2" t="s">
        <v>773</v>
      </c>
      <c r="AQ380" s="2" t="s">
        <v>773</v>
      </c>
      <c r="AR380" s="19">
        <v>0.26041666666666669</v>
      </c>
      <c r="AS380" s="8">
        <f>(6+(15/60))*AO380</f>
        <v>1130</v>
      </c>
    </row>
    <row r="381" spans="1:45" x14ac:dyDescent="0.2">
      <c r="A381" s="2">
        <v>386</v>
      </c>
      <c r="B381" s="2">
        <v>363</v>
      </c>
      <c r="C381" s="2">
        <v>726</v>
      </c>
      <c r="E381" t="s">
        <v>302</v>
      </c>
      <c r="G381" t="s">
        <v>1289</v>
      </c>
      <c r="I381" s="2">
        <v>73.86</v>
      </c>
      <c r="J381" s="15">
        <v>2.6379999999999999</v>
      </c>
      <c r="K381" s="15">
        <v>2.2690000000000001</v>
      </c>
      <c r="AJ381" s="2">
        <v>67.08</v>
      </c>
      <c r="AK381" s="2">
        <v>82.86</v>
      </c>
      <c r="AL381" s="2">
        <v>65.430000000000007</v>
      </c>
      <c r="AM381" s="2">
        <v>73.86</v>
      </c>
      <c r="AN381" s="14" t="s">
        <v>773</v>
      </c>
      <c r="AO381" s="14" t="s">
        <v>773</v>
      </c>
      <c r="AP381" s="14" t="s">
        <v>773</v>
      </c>
      <c r="AQ381" s="14" t="s">
        <v>773</v>
      </c>
      <c r="AR381" s="19">
        <v>5.1388888888888894E-2</v>
      </c>
      <c r="AS381" s="8">
        <f>(1+(14/60))*AM381</f>
        <v>91.094000000000008</v>
      </c>
    </row>
    <row r="382" spans="1:45" s="3" customFormat="1" x14ac:dyDescent="0.2">
      <c r="A382" s="4">
        <v>387</v>
      </c>
      <c r="B382" s="4"/>
      <c r="C382" s="4"/>
      <c r="D382" s="4"/>
      <c r="E382" s="3" t="s">
        <v>1446</v>
      </c>
      <c r="F382" s="3" t="s">
        <v>1447</v>
      </c>
      <c r="H382" s="4"/>
      <c r="I382" s="4"/>
      <c r="J382" s="16"/>
      <c r="K382" s="16"/>
      <c r="L382" s="4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4"/>
      <c r="AK382" s="4"/>
      <c r="AL382" s="4"/>
      <c r="AM382" s="4"/>
      <c r="AN382" s="46"/>
      <c r="AO382" s="46"/>
      <c r="AP382" s="46"/>
      <c r="AQ382" s="46"/>
      <c r="AR382" s="23"/>
      <c r="AS382" s="47"/>
    </row>
    <row r="383" spans="1:45" x14ac:dyDescent="0.2">
      <c r="A383" s="2">
        <v>389</v>
      </c>
      <c r="B383" s="4"/>
      <c r="E383" t="s">
        <v>1374</v>
      </c>
      <c r="K383" s="15"/>
      <c r="AJ383" s="2"/>
      <c r="AL383" s="2"/>
      <c r="AM383" s="2"/>
      <c r="AN383" s="14"/>
      <c r="AO383" s="14"/>
      <c r="AP383" s="14"/>
      <c r="AQ383" s="14"/>
      <c r="AR383" s="19"/>
      <c r="AS383" s="8"/>
    </row>
    <row r="384" spans="1:45" x14ac:dyDescent="0.2">
      <c r="A384" s="2">
        <v>391</v>
      </c>
      <c r="B384" s="4"/>
      <c r="E384" t="s">
        <v>1375</v>
      </c>
      <c r="K384" s="15"/>
      <c r="AJ384" s="2"/>
      <c r="AL384" s="2"/>
      <c r="AM384" s="2"/>
      <c r="AN384" s="14"/>
      <c r="AO384" s="14"/>
      <c r="AP384" s="14"/>
      <c r="AQ384" s="14"/>
      <c r="AR384" s="19"/>
      <c r="AS384" s="8"/>
    </row>
    <row r="385" spans="1:45" x14ac:dyDescent="0.2">
      <c r="A385" s="2">
        <v>392</v>
      </c>
      <c r="B385" s="4"/>
      <c r="E385" t="s">
        <v>1376</v>
      </c>
      <c r="K385" s="15"/>
      <c r="AJ385" s="2"/>
      <c r="AL385" s="2"/>
      <c r="AM385" s="2"/>
      <c r="AN385" s="14"/>
      <c r="AO385" s="14"/>
      <c r="AP385" s="14"/>
      <c r="AQ385" s="14"/>
      <c r="AR385" s="19"/>
      <c r="AS385" s="8"/>
    </row>
    <row r="386" spans="1:45" x14ac:dyDescent="0.2">
      <c r="A386" s="2">
        <v>393</v>
      </c>
      <c r="B386" s="2">
        <v>382</v>
      </c>
      <c r="C386" s="2">
        <v>2082</v>
      </c>
      <c r="E386" t="s">
        <v>344</v>
      </c>
      <c r="F386" t="s">
        <v>712</v>
      </c>
      <c r="H386" s="2">
        <v>687</v>
      </c>
      <c r="I386" s="2">
        <v>29.72</v>
      </c>
      <c r="J386" s="15">
        <v>1.0609999999999999</v>
      </c>
      <c r="K386" s="15">
        <v>0.94687699999999997</v>
      </c>
      <c r="AJ386" s="2">
        <v>30.07</v>
      </c>
      <c r="AK386" s="2">
        <v>35.03</v>
      </c>
      <c r="AL386" s="2">
        <v>29.72</v>
      </c>
      <c r="AM386" s="14" t="s">
        <v>773</v>
      </c>
      <c r="AN386" s="14" t="s">
        <v>773</v>
      </c>
      <c r="AO386" s="14" t="s">
        <v>773</v>
      </c>
      <c r="AP386" s="14" t="s">
        <v>773</v>
      </c>
      <c r="AQ386" s="14" t="s">
        <v>773</v>
      </c>
      <c r="AR386" s="19">
        <v>7.8472222222222221E-2</v>
      </c>
      <c r="AS386" s="8">
        <f>(1+(53/60))*AL386</f>
        <v>55.972666666666662</v>
      </c>
    </row>
    <row r="387" spans="1:45" x14ac:dyDescent="0.2">
      <c r="A387" s="2">
        <v>395</v>
      </c>
      <c r="E387" t="s">
        <v>1377</v>
      </c>
      <c r="K387" s="15"/>
      <c r="AJ387" s="2"/>
      <c r="AL387" s="2"/>
      <c r="AM387" s="14"/>
      <c r="AN387" s="14"/>
      <c r="AO387" s="14"/>
      <c r="AP387" s="14"/>
      <c r="AQ387" s="14"/>
      <c r="AR387" s="19"/>
      <c r="AS387" s="8"/>
    </row>
    <row r="388" spans="1:45" x14ac:dyDescent="0.2">
      <c r="A388" s="2">
        <v>397</v>
      </c>
      <c r="C388" s="2">
        <v>465</v>
      </c>
      <c r="E388" t="s">
        <v>1378</v>
      </c>
      <c r="F388" t="s">
        <v>1234</v>
      </c>
      <c r="K388" s="15"/>
      <c r="AJ388" s="2"/>
      <c r="AL388" s="2"/>
      <c r="AM388" s="14"/>
      <c r="AN388" s="14"/>
      <c r="AO388" s="14"/>
      <c r="AP388" s="14"/>
      <c r="AQ388" s="14"/>
      <c r="AR388" s="19"/>
      <c r="AS388" s="8"/>
    </row>
    <row r="389" spans="1:45" x14ac:dyDescent="0.2">
      <c r="A389" s="2">
        <v>398</v>
      </c>
      <c r="E389" t="s">
        <v>1379</v>
      </c>
      <c r="K389" s="15"/>
      <c r="AJ389" s="2"/>
      <c r="AL389" s="2"/>
      <c r="AM389" s="14"/>
      <c r="AN389" s="14"/>
      <c r="AO389" s="14"/>
      <c r="AP389" s="14"/>
      <c r="AQ389" s="14"/>
      <c r="AR389" s="19"/>
      <c r="AS389" s="8"/>
    </row>
    <row r="390" spans="1:45" x14ac:dyDescent="0.2">
      <c r="A390" s="2">
        <v>400</v>
      </c>
      <c r="B390" s="2">
        <v>508</v>
      </c>
      <c r="E390" t="s">
        <v>515</v>
      </c>
      <c r="F390" t="s">
        <v>565</v>
      </c>
      <c r="AM390" s="14"/>
      <c r="AN390" s="14"/>
      <c r="AO390" s="14"/>
      <c r="AP390" s="14"/>
      <c r="AQ390" s="51"/>
    </row>
    <row r="391" spans="1:45" x14ac:dyDescent="0.2">
      <c r="A391" s="2">
        <v>401</v>
      </c>
      <c r="E391" t="s">
        <v>1380</v>
      </c>
      <c r="AM391" s="14"/>
      <c r="AN391" s="14"/>
      <c r="AO391" s="14"/>
      <c r="AP391" s="14"/>
      <c r="AQ391" s="51"/>
    </row>
    <row r="392" spans="1:45" s="3" customFormat="1" x14ac:dyDescent="0.2">
      <c r="A392" s="4">
        <v>402</v>
      </c>
      <c r="B392" s="4">
        <v>1063</v>
      </c>
      <c r="C392" s="4"/>
      <c r="D392" s="4"/>
      <c r="E392" s="3" t="s">
        <v>653</v>
      </c>
      <c r="H392" s="4"/>
      <c r="I392" s="4">
        <v>19.68</v>
      </c>
      <c r="J392" s="16"/>
      <c r="K392" s="16"/>
      <c r="L392" s="4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4"/>
      <c r="AL392" s="9"/>
      <c r="AM392" s="46"/>
      <c r="AN392" s="46"/>
      <c r="AO392" s="46"/>
      <c r="AP392" s="46"/>
      <c r="AQ392" s="52"/>
    </row>
    <row r="393" spans="1:45" s="3" customFormat="1" x14ac:dyDescent="0.2">
      <c r="A393" s="2">
        <v>404</v>
      </c>
      <c r="B393" s="4"/>
      <c r="C393" s="2">
        <v>229</v>
      </c>
      <c r="D393" s="2"/>
      <c r="E393" t="s">
        <v>1381</v>
      </c>
      <c r="H393" s="4"/>
      <c r="I393" s="4"/>
      <c r="J393" s="16"/>
      <c r="K393" s="16"/>
      <c r="L393" s="4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4"/>
      <c r="AL393" s="9"/>
      <c r="AM393" s="46"/>
      <c r="AN393" s="46"/>
      <c r="AO393" s="46"/>
      <c r="AP393" s="46"/>
      <c r="AQ393" s="52"/>
    </row>
    <row r="394" spans="1:45" x14ac:dyDescent="0.2">
      <c r="A394" s="2">
        <v>405</v>
      </c>
      <c r="B394" s="2">
        <v>440</v>
      </c>
      <c r="E394" t="s">
        <v>466</v>
      </c>
      <c r="F394" t="s">
        <v>2</v>
      </c>
      <c r="G394" t="s">
        <v>1382</v>
      </c>
      <c r="AM394" s="14"/>
      <c r="AN394" s="14"/>
      <c r="AO394" s="14"/>
      <c r="AP394" s="14"/>
      <c r="AQ394" s="51"/>
    </row>
    <row r="395" spans="1:45" x14ac:dyDescent="0.2">
      <c r="A395" s="2">
        <v>407</v>
      </c>
      <c r="E395" t="s">
        <v>1383</v>
      </c>
      <c r="AM395" s="14"/>
      <c r="AN395" s="14"/>
      <c r="AO395" s="14"/>
      <c r="AP395" s="14"/>
      <c r="AQ395" s="51"/>
    </row>
    <row r="396" spans="1:45" s="3" customFormat="1" x14ac:dyDescent="0.2">
      <c r="A396" s="4">
        <v>408</v>
      </c>
      <c r="B396" s="4"/>
      <c r="C396" s="4"/>
      <c r="D396" s="4"/>
      <c r="E396" s="3" t="s">
        <v>1384</v>
      </c>
      <c r="H396" s="4"/>
      <c r="I396" s="4"/>
      <c r="J396" s="16"/>
      <c r="K396" s="16"/>
      <c r="L396" s="4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4"/>
      <c r="AL396" s="9"/>
      <c r="AM396" s="46"/>
      <c r="AN396" s="46"/>
      <c r="AO396" s="46"/>
      <c r="AP396" s="46"/>
      <c r="AQ396" s="52"/>
    </row>
    <row r="397" spans="1:45" s="3" customFormat="1" x14ac:dyDescent="0.2">
      <c r="A397" s="4">
        <v>410</v>
      </c>
      <c r="B397" s="4">
        <v>517</v>
      </c>
      <c r="C397" s="4"/>
      <c r="D397" s="4"/>
      <c r="E397" s="3" t="s">
        <v>587</v>
      </c>
      <c r="F397" s="3" t="s">
        <v>624</v>
      </c>
      <c r="H397" s="4"/>
      <c r="I397" s="4">
        <v>32.01</v>
      </c>
      <c r="J397" s="16"/>
      <c r="K397" s="16"/>
      <c r="L397" s="4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4"/>
      <c r="AL397" s="9"/>
      <c r="AM397" s="46"/>
      <c r="AN397" s="46"/>
      <c r="AO397" s="46"/>
      <c r="AP397" s="46"/>
      <c r="AQ397" s="52"/>
    </row>
    <row r="398" spans="1:45" x14ac:dyDescent="0.2">
      <c r="A398" s="2">
        <v>411</v>
      </c>
      <c r="B398" s="2">
        <v>444</v>
      </c>
      <c r="E398" t="s">
        <v>469</v>
      </c>
      <c r="AM398" s="14"/>
      <c r="AN398" s="14"/>
      <c r="AO398" s="14"/>
      <c r="AP398" s="14"/>
      <c r="AQ398" s="51"/>
    </row>
    <row r="399" spans="1:45" x14ac:dyDescent="0.2">
      <c r="A399" s="2">
        <v>412</v>
      </c>
      <c r="B399" s="2">
        <v>487</v>
      </c>
      <c r="E399" t="s">
        <v>492</v>
      </c>
      <c r="AM399" s="14"/>
      <c r="AN399" s="14"/>
      <c r="AO399" s="14"/>
      <c r="AP399" s="14"/>
      <c r="AQ399" s="51"/>
    </row>
    <row r="400" spans="1:45" x14ac:dyDescent="0.2">
      <c r="A400" s="2">
        <v>413</v>
      </c>
      <c r="B400" s="2">
        <v>505</v>
      </c>
      <c r="E400" t="s">
        <v>512</v>
      </c>
      <c r="F400" t="s">
        <v>9</v>
      </c>
      <c r="AM400" s="14"/>
      <c r="AN400" s="14"/>
      <c r="AO400" s="14"/>
      <c r="AP400" s="14"/>
      <c r="AQ400" s="51"/>
    </row>
    <row r="401" spans="1:45" x14ac:dyDescent="0.2">
      <c r="A401" s="2">
        <v>418</v>
      </c>
      <c r="B401" s="2">
        <v>389</v>
      </c>
      <c r="C401" s="2">
        <v>2327</v>
      </c>
      <c r="E401" t="s">
        <v>380</v>
      </c>
      <c r="AJ401" s="2">
        <v>26.38</v>
      </c>
      <c r="AK401" s="2" t="s">
        <v>773</v>
      </c>
      <c r="AL401" s="2" t="s">
        <v>773</v>
      </c>
      <c r="AM401" s="14" t="s">
        <v>773</v>
      </c>
      <c r="AN401" s="14" t="s">
        <v>773</v>
      </c>
      <c r="AO401" s="14" t="s">
        <v>773</v>
      </c>
      <c r="AP401" s="14" t="s">
        <v>773</v>
      </c>
      <c r="AQ401" s="57" t="s">
        <v>773</v>
      </c>
      <c r="AR401" s="19">
        <v>0.23472222222222222</v>
      </c>
      <c r="AS401" s="8">
        <f>(5+(38/60))*AJ401</f>
        <v>148.60733333333332</v>
      </c>
    </row>
    <row r="402" spans="1:45" x14ac:dyDescent="0.2">
      <c r="A402" s="2">
        <v>419</v>
      </c>
      <c r="B402" s="2">
        <v>315</v>
      </c>
      <c r="C402" s="2">
        <v>1714</v>
      </c>
      <c r="E402" t="s">
        <v>329</v>
      </c>
      <c r="F402" t="s">
        <v>6</v>
      </c>
      <c r="G402" s="2" t="s">
        <v>1260</v>
      </c>
      <c r="I402" s="2">
        <v>34.840000000000003</v>
      </c>
      <c r="J402" s="15">
        <v>1.244</v>
      </c>
      <c r="K402" s="15">
        <v>0.64403200000000005</v>
      </c>
      <c r="AJ402" s="2">
        <v>41.37</v>
      </c>
      <c r="AK402" s="2">
        <v>31.33</v>
      </c>
      <c r="AL402" s="2">
        <v>34.840000000000003</v>
      </c>
      <c r="AM402" s="14" t="s">
        <v>773</v>
      </c>
      <c r="AN402" s="14" t="s">
        <v>773</v>
      </c>
      <c r="AO402" s="14" t="s">
        <v>773</v>
      </c>
      <c r="AP402" s="14" t="s">
        <v>773</v>
      </c>
      <c r="AQ402" s="14" t="s">
        <v>773</v>
      </c>
      <c r="AR402" s="22">
        <v>0.21388888888888888</v>
      </c>
      <c r="AS402" s="8">
        <f>(5+(8/60))*AL402</f>
        <v>178.84533333333337</v>
      </c>
    </row>
    <row r="403" spans="1:45" x14ac:dyDescent="0.2">
      <c r="A403" s="2">
        <v>420</v>
      </c>
      <c r="B403" s="2">
        <v>432</v>
      </c>
      <c r="C403" s="2">
        <v>198</v>
      </c>
      <c r="E403" t="s">
        <v>456</v>
      </c>
      <c r="AM403" s="14"/>
      <c r="AN403" s="14"/>
      <c r="AO403" s="14"/>
      <c r="AP403" s="14"/>
      <c r="AQ403" s="51"/>
    </row>
    <row r="404" spans="1:45" x14ac:dyDescent="0.2">
      <c r="A404" s="2">
        <v>425</v>
      </c>
      <c r="B404" s="2">
        <v>668</v>
      </c>
      <c r="E404" t="s">
        <v>662</v>
      </c>
      <c r="I404" s="2">
        <v>18.46</v>
      </c>
      <c r="AM404" s="14"/>
      <c r="AN404" s="14"/>
      <c r="AO404" s="14"/>
      <c r="AP404" s="14"/>
      <c r="AQ404" s="51"/>
    </row>
    <row r="405" spans="1:45" x14ac:dyDescent="0.2">
      <c r="A405" s="2">
        <v>426</v>
      </c>
      <c r="E405" t="s">
        <v>1385</v>
      </c>
      <c r="AM405" s="14"/>
      <c r="AN405" s="14"/>
      <c r="AO405" s="14"/>
      <c r="AP405" s="14"/>
      <c r="AQ405" s="51"/>
    </row>
    <row r="406" spans="1:45" x14ac:dyDescent="0.2">
      <c r="A406" s="2">
        <v>427</v>
      </c>
      <c r="E406" t="s">
        <v>1386</v>
      </c>
      <c r="AM406" s="14"/>
      <c r="AN406" s="14"/>
      <c r="AO406" s="14"/>
      <c r="AP406" s="14"/>
      <c r="AQ406" s="51"/>
    </row>
    <row r="407" spans="1:45" x14ac:dyDescent="0.2">
      <c r="A407" s="2">
        <v>428</v>
      </c>
      <c r="B407" s="2">
        <v>469</v>
      </c>
      <c r="E407" t="s">
        <v>646</v>
      </c>
      <c r="I407" s="2">
        <v>22.95</v>
      </c>
      <c r="AM407" s="14"/>
      <c r="AN407" s="14"/>
      <c r="AO407" s="14"/>
      <c r="AP407" s="14"/>
      <c r="AQ407" s="51"/>
    </row>
    <row r="408" spans="1:45" x14ac:dyDescent="0.2">
      <c r="A408" s="2">
        <v>429</v>
      </c>
      <c r="E408" t="s">
        <v>1387</v>
      </c>
      <c r="AM408" s="14"/>
      <c r="AN408" s="14"/>
      <c r="AO408" s="14"/>
      <c r="AP408" s="14"/>
      <c r="AQ408" s="51"/>
    </row>
    <row r="409" spans="1:45" x14ac:dyDescent="0.2">
      <c r="A409" s="2">
        <v>431</v>
      </c>
      <c r="E409" t="s">
        <v>1388</v>
      </c>
      <c r="AM409" s="14"/>
      <c r="AN409" s="14"/>
      <c r="AO409" s="14"/>
      <c r="AP409" s="14"/>
      <c r="AQ409" s="51"/>
    </row>
    <row r="410" spans="1:45" x14ac:dyDescent="0.2">
      <c r="A410" s="2">
        <v>432</v>
      </c>
      <c r="E410" t="s">
        <v>1389</v>
      </c>
      <c r="AM410" s="14"/>
      <c r="AN410" s="14"/>
      <c r="AO410" s="14"/>
      <c r="AP410" s="14"/>
      <c r="AQ410" s="51"/>
    </row>
    <row r="411" spans="1:45" x14ac:dyDescent="0.2">
      <c r="A411" s="2">
        <v>434</v>
      </c>
      <c r="B411" s="2">
        <v>211</v>
      </c>
      <c r="C411" s="2">
        <v>561</v>
      </c>
      <c r="E411" t="s">
        <v>204</v>
      </c>
      <c r="F411" t="s">
        <v>6</v>
      </c>
      <c r="H411" s="2">
        <v>100</v>
      </c>
      <c r="I411" s="2">
        <v>88</v>
      </c>
      <c r="J411" s="15">
        <v>2.8919999999999999</v>
      </c>
      <c r="K411" s="15">
        <v>0.99697899999999995</v>
      </c>
      <c r="L411" s="2">
        <v>5.68</v>
      </c>
      <c r="AJ411" s="2">
        <v>42.3</v>
      </c>
      <c r="AK411" s="2">
        <v>73.94</v>
      </c>
      <c r="AL411" s="2">
        <v>77.05</v>
      </c>
      <c r="AM411" s="2">
        <v>83.5</v>
      </c>
      <c r="AN411" s="14" t="s">
        <v>773</v>
      </c>
      <c r="AO411" s="2">
        <v>86.48</v>
      </c>
      <c r="AP411" s="14" t="s">
        <v>773</v>
      </c>
      <c r="AQ411" s="14" t="s">
        <v>773</v>
      </c>
      <c r="AR411" s="23">
        <v>0.62569444444444444</v>
      </c>
      <c r="AS411" s="8">
        <f>(15+(1/60))*AO411</f>
        <v>1298.6413333333335</v>
      </c>
    </row>
    <row r="412" spans="1:45" x14ac:dyDescent="0.2">
      <c r="A412" s="2">
        <v>435</v>
      </c>
      <c r="E412" t="s">
        <v>1390</v>
      </c>
      <c r="K412" s="15"/>
      <c r="AJ412" s="2"/>
      <c r="AL412" s="2"/>
      <c r="AM412" s="2"/>
      <c r="AN412" s="14"/>
      <c r="AO412" s="2"/>
      <c r="AP412" s="14"/>
      <c r="AQ412" s="14"/>
      <c r="AR412" s="23"/>
      <c r="AS412" s="8"/>
    </row>
    <row r="413" spans="1:45" x14ac:dyDescent="0.2">
      <c r="A413" s="2">
        <v>437</v>
      </c>
      <c r="B413" s="2">
        <v>387</v>
      </c>
      <c r="C413" s="2">
        <v>681</v>
      </c>
      <c r="E413" t="s">
        <v>401</v>
      </c>
      <c r="F413" t="s">
        <v>715</v>
      </c>
      <c r="H413" s="2">
        <v>77190</v>
      </c>
      <c r="I413" s="2">
        <v>56.96</v>
      </c>
      <c r="J413" s="15">
        <v>2.0339999999999998</v>
      </c>
      <c r="K413" s="15">
        <v>1.73</v>
      </c>
      <c r="AJ413" s="2">
        <v>68.7</v>
      </c>
      <c r="AK413" s="2">
        <v>57.85</v>
      </c>
      <c r="AL413" s="2">
        <v>56.96</v>
      </c>
      <c r="AM413" s="14" t="s">
        <v>773</v>
      </c>
      <c r="AN413" s="14" t="s">
        <v>773</v>
      </c>
      <c r="AO413" s="14" t="s">
        <v>773</v>
      </c>
      <c r="AP413" s="14" t="s">
        <v>773</v>
      </c>
      <c r="AQ413" s="14" t="s">
        <v>773</v>
      </c>
      <c r="AR413" s="19">
        <v>0.10277777777777779</v>
      </c>
      <c r="AS413" s="8">
        <f>(2+(28/60))*AL413</f>
        <v>140.50133333333335</v>
      </c>
    </row>
    <row r="414" spans="1:45" x14ac:dyDescent="0.2">
      <c r="A414" s="2">
        <v>438</v>
      </c>
      <c r="C414" s="2">
        <v>729</v>
      </c>
      <c r="E414" t="s">
        <v>1391</v>
      </c>
      <c r="K414" s="15"/>
      <c r="AJ414" s="2"/>
      <c r="AL414" s="2"/>
      <c r="AM414" s="14"/>
      <c r="AN414" s="14"/>
      <c r="AO414" s="14"/>
      <c r="AP414" s="14"/>
      <c r="AQ414" s="14"/>
      <c r="AR414" s="19"/>
      <c r="AS414" s="8"/>
    </row>
    <row r="415" spans="1:45" x14ac:dyDescent="0.2">
      <c r="A415" s="2">
        <v>439</v>
      </c>
      <c r="B415" s="2">
        <v>408</v>
      </c>
      <c r="C415" s="2">
        <v>1355</v>
      </c>
      <c r="E415" t="s">
        <v>202</v>
      </c>
      <c r="F415" t="s">
        <v>6</v>
      </c>
      <c r="H415" s="2">
        <v>500</v>
      </c>
      <c r="I415" s="2">
        <v>47.42</v>
      </c>
      <c r="J415" s="15">
        <v>1.6930000000000001</v>
      </c>
      <c r="K415" s="15">
        <v>1.226</v>
      </c>
      <c r="AJ415" s="2">
        <v>45.22</v>
      </c>
      <c r="AK415" s="2">
        <v>38.94</v>
      </c>
      <c r="AL415" s="2">
        <v>42.01</v>
      </c>
      <c r="AM415" s="2">
        <v>47.42</v>
      </c>
      <c r="AN415" s="14" t="s">
        <v>773</v>
      </c>
      <c r="AO415" s="2">
        <v>47.54</v>
      </c>
      <c r="AP415" s="14" t="s">
        <v>773</v>
      </c>
      <c r="AQ415" s="14" t="s">
        <v>773</v>
      </c>
      <c r="AR415" s="19">
        <v>0.16875000000000001</v>
      </c>
      <c r="AS415" s="8">
        <f>(4+(9/60))*AO415</f>
        <v>197.29100000000003</v>
      </c>
    </row>
    <row r="416" spans="1:45" x14ac:dyDescent="0.2">
      <c r="A416" s="2">
        <v>442</v>
      </c>
      <c r="B416" s="2">
        <v>437</v>
      </c>
      <c r="E416" t="s">
        <v>437</v>
      </c>
      <c r="AM416" s="14"/>
      <c r="AN416" s="14"/>
      <c r="AO416" s="14"/>
      <c r="AP416" s="14"/>
      <c r="AQ416" s="51"/>
    </row>
    <row r="417" spans="1:45" x14ac:dyDescent="0.2">
      <c r="A417" s="2">
        <v>444</v>
      </c>
      <c r="B417" s="2">
        <v>385</v>
      </c>
      <c r="C417" s="2">
        <v>892</v>
      </c>
      <c r="E417" t="s">
        <v>350</v>
      </c>
      <c r="I417" s="2">
        <v>64.599999999999994</v>
      </c>
      <c r="J417" s="15">
        <v>2.3069999999999999</v>
      </c>
      <c r="K417" s="15">
        <v>1.81</v>
      </c>
      <c r="AJ417" s="2">
        <v>52.38</v>
      </c>
      <c r="AK417" s="2">
        <v>47.01</v>
      </c>
      <c r="AL417" s="2">
        <v>64.599999999999994</v>
      </c>
      <c r="AM417" s="14" t="s">
        <v>773</v>
      </c>
      <c r="AN417" s="14" t="s">
        <v>773</v>
      </c>
      <c r="AO417" s="14" t="s">
        <v>773</v>
      </c>
      <c r="AP417" s="14" t="s">
        <v>773</v>
      </c>
      <c r="AQ417" s="14" t="s">
        <v>773</v>
      </c>
      <c r="AR417" s="19">
        <v>0.14027777777777778</v>
      </c>
      <c r="AS417" s="8">
        <f>(3+(22/60))*AL417</f>
        <v>217.48666666666665</v>
      </c>
    </row>
    <row r="418" spans="1:45" x14ac:dyDescent="0.2">
      <c r="A418" s="2">
        <v>447</v>
      </c>
      <c r="B418" s="2">
        <v>557</v>
      </c>
      <c r="E418" t="s">
        <v>647</v>
      </c>
      <c r="I418" s="2">
        <v>23.29</v>
      </c>
      <c r="AM418" s="14"/>
      <c r="AN418" s="14"/>
      <c r="AO418" s="14"/>
      <c r="AP418" s="14"/>
      <c r="AQ418" s="51"/>
    </row>
    <row r="419" spans="1:45" x14ac:dyDescent="0.2">
      <c r="A419" s="2">
        <v>452</v>
      </c>
      <c r="E419" t="s">
        <v>1392</v>
      </c>
      <c r="AM419" s="14"/>
      <c r="AN419" s="14"/>
      <c r="AO419" s="14"/>
      <c r="AP419" s="14"/>
      <c r="AQ419" s="51"/>
    </row>
    <row r="420" spans="1:45" x14ac:dyDescent="0.2">
      <c r="A420" s="2">
        <v>454</v>
      </c>
      <c r="B420" s="2">
        <v>497</v>
      </c>
      <c r="C420" s="2">
        <v>817</v>
      </c>
      <c r="E420" t="s">
        <v>400</v>
      </c>
      <c r="AM420" s="14"/>
      <c r="AN420" s="14"/>
      <c r="AO420" s="14"/>
      <c r="AP420" s="14"/>
      <c r="AQ420" s="51"/>
    </row>
    <row r="421" spans="1:45" x14ac:dyDescent="0.2">
      <c r="A421" s="2">
        <v>456</v>
      </c>
      <c r="B421" s="2">
        <v>438</v>
      </c>
      <c r="E421" t="s">
        <v>463</v>
      </c>
      <c r="AM421" s="14"/>
      <c r="AN421" s="14"/>
      <c r="AO421" s="14"/>
      <c r="AP421" s="14"/>
      <c r="AQ421" s="51"/>
    </row>
    <row r="422" spans="1:45" x14ac:dyDescent="0.2">
      <c r="A422" s="2">
        <v>457</v>
      </c>
      <c r="E422" t="s">
        <v>1393</v>
      </c>
      <c r="AM422" s="14"/>
      <c r="AN422" s="14"/>
      <c r="AO422" s="14"/>
      <c r="AP422" s="14"/>
      <c r="AQ422" s="51"/>
    </row>
    <row r="423" spans="1:45" x14ac:dyDescent="0.2">
      <c r="A423" s="2">
        <v>460</v>
      </c>
      <c r="B423" s="2">
        <v>478</v>
      </c>
      <c r="E423" t="s">
        <v>482</v>
      </c>
      <c r="AM423" s="14"/>
      <c r="AN423" s="14"/>
      <c r="AO423" s="14"/>
      <c r="AP423" s="14"/>
      <c r="AQ423" s="51"/>
    </row>
    <row r="424" spans="1:45" x14ac:dyDescent="0.2">
      <c r="A424" s="2">
        <v>462</v>
      </c>
      <c r="E424" t="s">
        <v>1394</v>
      </c>
      <c r="AM424" s="14"/>
      <c r="AN424" s="14"/>
      <c r="AO424" s="14"/>
      <c r="AP424" s="14"/>
      <c r="AQ424" s="51"/>
    </row>
    <row r="425" spans="1:45" x14ac:dyDescent="0.2">
      <c r="A425" s="2">
        <v>464</v>
      </c>
      <c r="B425" s="2">
        <v>445</v>
      </c>
      <c r="E425" t="s">
        <v>445</v>
      </c>
      <c r="AM425" s="14"/>
      <c r="AN425" s="14"/>
      <c r="AO425" s="14"/>
      <c r="AP425" s="14"/>
      <c r="AQ425" s="51"/>
    </row>
    <row r="426" spans="1:45" x14ac:dyDescent="0.2">
      <c r="A426" s="2">
        <v>468</v>
      </c>
      <c r="B426" s="2">
        <v>437</v>
      </c>
      <c r="C426" s="2">
        <v>184</v>
      </c>
      <c r="E426" t="s">
        <v>239</v>
      </c>
      <c r="I426" s="2">
        <v>319.5</v>
      </c>
      <c r="J426" s="15">
        <v>11.41</v>
      </c>
      <c r="K426" s="15">
        <v>5.9180000000000001</v>
      </c>
      <c r="P426" s="8">
        <v>858.35530400000005</v>
      </c>
      <c r="Q426" s="8">
        <v>681.65982799999995</v>
      </c>
      <c r="R426" s="8">
        <v>838.44907499999999</v>
      </c>
      <c r="S426" s="8">
        <v>888.58532300000002</v>
      </c>
      <c r="T426" s="8">
        <v>985.49568299999999</v>
      </c>
      <c r="U426" s="8">
        <v>713.12461199999996</v>
      </c>
      <c r="V426" s="8">
        <v>751.45276799999999</v>
      </c>
      <c r="W426" s="8">
        <v>807.07486700000004</v>
      </c>
      <c r="X426" s="8">
        <v>867.68660399999999</v>
      </c>
      <c r="Y426" s="8">
        <v>869.82870700000001</v>
      </c>
      <c r="Z426" s="8">
        <v>813.24412500000005</v>
      </c>
      <c r="AA426" s="8">
        <v>840.60443299999997</v>
      </c>
      <c r="AB426" s="8">
        <v>862.41021999999998</v>
      </c>
      <c r="AJ426" s="2">
        <v>246.2</v>
      </c>
      <c r="AK426" s="2">
        <v>289</v>
      </c>
      <c r="AL426" s="2">
        <v>283.89999999999998</v>
      </c>
      <c r="AM426" s="57">
        <v>319.5</v>
      </c>
      <c r="AN426" s="57" t="s">
        <v>773</v>
      </c>
      <c r="AO426" s="57">
        <v>302.5</v>
      </c>
      <c r="AP426" s="57" t="s">
        <v>773</v>
      </c>
      <c r="AQ426" s="57" t="s">
        <v>773</v>
      </c>
      <c r="AR426" s="19">
        <v>0.22777777777777777</v>
      </c>
      <c r="AS426" s="8">
        <f>(5+(28/60))*AO426</f>
        <v>1653.6666666666667</v>
      </c>
    </row>
    <row r="427" spans="1:45" x14ac:dyDescent="0.2">
      <c r="A427" s="2">
        <v>469</v>
      </c>
      <c r="B427" s="2">
        <v>475</v>
      </c>
      <c r="E427" t="s">
        <v>478</v>
      </c>
      <c r="AM427" s="14"/>
      <c r="AN427" s="14"/>
      <c r="AO427" s="14"/>
      <c r="AP427" s="14"/>
      <c r="AQ427" s="51"/>
    </row>
    <row r="428" spans="1:45" x14ac:dyDescent="0.2">
      <c r="A428" s="2">
        <v>471</v>
      </c>
      <c r="C428" s="2">
        <v>130</v>
      </c>
      <c r="E428" t="s">
        <v>1395</v>
      </c>
      <c r="AM428" s="14"/>
      <c r="AN428" s="14"/>
      <c r="AO428" s="14"/>
      <c r="AP428" s="14"/>
      <c r="AQ428" s="51"/>
    </row>
    <row r="429" spans="1:45" x14ac:dyDescent="0.2">
      <c r="A429" s="2">
        <v>473</v>
      </c>
      <c r="E429" t="s">
        <v>1445</v>
      </c>
      <c r="AM429" s="14"/>
      <c r="AN429" s="14"/>
      <c r="AO429" s="14"/>
      <c r="AP429" s="14"/>
      <c r="AQ429" s="51"/>
    </row>
    <row r="430" spans="1:45" x14ac:dyDescent="0.2">
      <c r="A430" s="2">
        <v>477</v>
      </c>
      <c r="E430" t="s">
        <v>1396</v>
      </c>
      <c r="AM430" s="14"/>
      <c r="AN430" s="14"/>
      <c r="AO430" s="14"/>
      <c r="AP430" s="14"/>
      <c r="AQ430" s="51"/>
    </row>
    <row r="431" spans="1:45" x14ac:dyDescent="0.2">
      <c r="A431" s="2">
        <v>478</v>
      </c>
      <c r="B431" s="2">
        <v>322</v>
      </c>
      <c r="C431" s="2">
        <v>691</v>
      </c>
      <c r="E431" t="s">
        <v>293</v>
      </c>
      <c r="F431" t="s">
        <v>1243</v>
      </c>
      <c r="H431" s="2">
        <v>80000</v>
      </c>
      <c r="I431" s="2">
        <v>74.459999999999994</v>
      </c>
      <c r="J431" s="15">
        <v>2.6589999999999998</v>
      </c>
      <c r="K431" s="15">
        <v>2.2229999999999999</v>
      </c>
      <c r="AJ431" s="2">
        <v>63.1</v>
      </c>
      <c r="AK431" s="2">
        <v>71.34</v>
      </c>
      <c r="AL431" s="2">
        <v>90.39</v>
      </c>
      <c r="AM431" s="2">
        <v>74.459999999999994</v>
      </c>
      <c r="AN431" s="14" t="s">
        <v>773</v>
      </c>
      <c r="AO431" s="14" t="s">
        <v>773</v>
      </c>
      <c r="AP431" s="14" t="s">
        <v>773</v>
      </c>
      <c r="AQ431" s="14" t="s">
        <v>773</v>
      </c>
      <c r="AR431" s="19">
        <v>8.6111111111111124E-2</v>
      </c>
      <c r="AS431" s="8">
        <f>(2+(4/60))*AM431</f>
        <v>153.88400000000001</v>
      </c>
    </row>
    <row r="432" spans="1:45" x14ac:dyDescent="0.2">
      <c r="A432" s="2">
        <v>479</v>
      </c>
      <c r="E432" t="s">
        <v>1397</v>
      </c>
      <c r="K432" s="15"/>
      <c r="AJ432" s="2"/>
      <c r="AL432" s="2"/>
      <c r="AM432" s="2"/>
      <c r="AN432" s="14"/>
      <c r="AO432" s="14"/>
      <c r="AP432" s="14"/>
      <c r="AQ432" s="14"/>
      <c r="AR432" s="19"/>
      <c r="AS432" s="8"/>
    </row>
    <row r="433" spans="1:45" x14ac:dyDescent="0.2">
      <c r="A433" s="2">
        <v>481</v>
      </c>
      <c r="E433" t="s">
        <v>1449</v>
      </c>
      <c r="K433" s="15"/>
      <c r="AJ433" s="2"/>
      <c r="AL433" s="2"/>
      <c r="AM433" s="2"/>
      <c r="AN433" s="14"/>
      <c r="AO433" s="14"/>
      <c r="AP433" s="14"/>
      <c r="AQ433" s="14"/>
      <c r="AR433" s="19"/>
      <c r="AS433" s="8"/>
    </row>
    <row r="434" spans="1:45" x14ac:dyDescent="0.2">
      <c r="A434" s="2">
        <v>481</v>
      </c>
      <c r="E434" t="s">
        <v>1398</v>
      </c>
      <c r="K434" s="15"/>
      <c r="AJ434" s="2"/>
      <c r="AL434" s="2"/>
      <c r="AM434" s="2"/>
      <c r="AN434" s="14"/>
      <c r="AO434" s="14"/>
      <c r="AP434" s="14"/>
      <c r="AQ434" s="14"/>
      <c r="AR434" s="19"/>
      <c r="AS434" s="8"/>
    </row>
    <row r="435" spans="1:45" x14ac:dyDescent="0.2">
      <c r="A435" s="2">
        <v>482</v>
      </c>
      <c r="E435" t="s">
        <v>1399</v>
      </c>
      <c r="K435" s="15"/>
      <c r="AJ435" s="2"/>
      <c r="AL435" s="2"/>
      <c r="AM435" s="2"/>
      <c r="AN435" s="14"/>
      <c r="AO435" s="14"/>
      <c r="AP435" s="14"/>
      <c r="AQ435" s="14"/>
      <c r="AR435" s="19"/>
      <c r="AS435" s="8"/>
    </row>
    <row r="436" spans="1:45" x14ac:dyDescent="0.2">
      <c r="A436" s="4">
        <v>483</v>
      </c>
      <c r="B436" s="4">
        <v>491</v>
      </c>
      <c r="C436" s="4"/>
      <c r="D436" s="4"/>
      <c r="E436" s="3" t="s">
        <v>496</v>
      </c>
      <c r="AM436" s="14"/>
      <c r="AN436" s="14"/>
      <c r="AO436" s="14"/>
      <c r="AP436" s="14"/>
      <c r="AQ436" s="51"/>
    </row>
    <row r="437" spans="1:45" x14ac:dyDescent="0.2">
      <c r="A437" s="2">
        <v>484</v>
      </c>
      <c r="B437" s="2">
        <v>573</v>
      </c>
      <c r="C437" s="2">
        <v>214</v>
      </c>
      <c r="E437" t="s">
        <v>1121</v>
      </c>
      <c r="I437" s="15">
        <v>77.900000000000006</v>
      </c>
      <c r="L437" s="15"/>
      <c r="AM437" s="14"/>
      <c r="AN437" s="14">
        <v>77.900000000000006</v>
      </c>
      <c r="AO437" s="14"/>
      <c r="AP437" s="14"/>
      <c r="AQ437" s="51"/>
      <c r="AR437" s="22">
        <v>0.51597222222222217</v>
      </c>
    </row>
    <row r="438" spans="1:45" x14ac:dyDescent="0.2">
      <c r="A438" s="2">
        <v>487</v>
      </c>
      <c r="B438" s="2">
        <v>471</v>
      </c>
      <c r="C438" s="2">
        <v>2393</v>
      </c>
      <c r="E438" t="s">
        <v>373</v>
      </c>
      <c r="AJ438" s="2">
        <v>25.22</v>
      </c>
      <c r="AK438" s="2" t="s">
        <v>773</v>
      </c>
      <c r="AL438" s="2" t="s">
        <v>773</v>
      </c>
      <c r="AM438" s="14" t="s">
        <v>773</v>
      </c>
      <c r="AN438" s="14" t="s">
        <v>773</v>
      </c>
      <c r="AO438" s="14" t="s">
        <v>773</v>
      </c>
      <c r="AP438" s="14" t="s">
        <v>773</v>
      </c>
      <c r="AQ438" s="57" t="s">
        <v>773</v>
      </c>
      <c r="AR438" s="19">
        <v>0.10972222222222222</v>
      </c>
      <c r="AS438" s="8">
        <f>(2+(38/60))*AJ438</f>
        <v>66.412666666666667</v>
      </c>
    </row>
    <row r="439" spans="1:45" x14ac:dyDescent="0.2">
      <c r="A439" s="2">
        <v>489</v>
      </c>
      <c r="B439" s="2">
        <v>490</v>
      </c>
      <c r="C439" s="2">
        <v>2271</v>
      </c>
      <c r="E439" t="s">
        <v>307</v>
      </c>
      <c r="G439" t="s">
        <v>1269</v>
      </c>
      <c r="I439" s="2">
        <v>34.28</v>
      </c>
      <c r="J439" s="15">
        <v>1.224</v>
      </c>
      <c r="K439" s="15">
        <v>0.930786</v>
      </c>
      <c r="AJ439" s="2">
        <v>30.94</v>
      </c>
      <c r="AK439" s="2">
        <v>31.29</v>
      </c>
      <c r="AL439" s="2">
        <v>33.479999999999997</v>
      </c>
      <c r="AM439" s="2">
        <v>34.28</v>
      </c>
      <c r="AN439" s="14" t="s">
        <v>773</v>
      </c>
      <c r="AO439" s="14" t="s">
        <v>773</v>
      </c>
      <c r="AP439" s="14" t="s">
        <v>773</v>
      </c>
      <c r="AQ439" s="14" t="s">
        <v>773</v>
      </c>
      <c r="AR439" s="19">
        <v>9.0972222222222218E-2</v>
      </c>
      <c r="AS439" s="8">
        <f>(2+(11/60))*AM439</f>
        <v>74.844666666666669</v>
      </c>
    </row>
    <row r="440" spans="1:45" x14ac:dyDescent="0.2">
      <c r="A440" s="2">
        <v>492</v>
      </c>
      <c r="E440" t="s">
        <v>1401</v>
      </c>
      <c r="K440" s="15"/>
      <c r="AJ440" s="2"/>
      <c r="AL440" s="2"/>
      <c r="AM440" s="2"/>
      <c r="AN440" s="14"/>
      <c r="AO440" s="14"/>
      <c r="AP440" s="14"/>
      <c r="AQ440" s="14"/>
      <c r="AR440" s="19"/>
      <c r="AS440" s="8"/>
    </row>
    <row r="441" spans="1:45" x14ac:dyDescent="0.2">
      <c r="A441" s="2">
        <v>493</v>
      </c>
      <c r="B441" s="2">
        <v>416</v>
      </c>
      <c r="C441" s="2">
        <v>1699</v>
      </c>
      <c r="E441" t="s">
        <v>351</v>
      </c>
      <c r="G441" t="s">
        <v>1290</v>
      </c>
      <c r="I441" s="2">
        <v>31.55</v>
      </c>
      <c r="J441" s="15">
        <v>1.127</v>
      </c>
      <c r="K441" s="16">
        <v>1.0129999999999999</v>
      </c>
      <c r="AJ441" s="2">
        <v>39.22</v>
      </c>
      <c r="AK441" s="2">
        <v>39.590000000000003</v>
      </c>
      <c r="AL441" s="2">
        <v>31.55</v>
      </c>
      <c r="AM441" s="14" t="s">
        <v>773</v>
      </c>
      <c r="AN441" s="14" t="s">
        <v>773</v>
      </c>
      <c r="AO441" s="14" t="s">
        <v>773</v>
      </c>
      <c r="AP441" s="14" t="s">
        <v>773</v>
      </c>
      <c r="AQ441" s="14" t="s">
        <v>773</v>
      </c>
      <c r="AR441" s="19">
        <v>3.7499999999999999E-2</v>
      </c>
      <c r="AS441" s="8">
        <f>((54/60))*AL441</f>
        <v>28.395</v>
      </c>
    </row>
    <row r="442" spans="1:45" x14ac:dyDescent="0.2">
      <c r="A442" s="2">
        <v>495</v>
      </c>
      <c r="E442" t="s">
        <v>1402</v>
      </c>
      <c r="AJ442" s="2"/>
      <c r="AL442" s="2"/>
      <c r="AM442" s="14"/>
      <c r="AN442" s="14"/>
      <c r="AO442" s="14"/>
      <c r="AP442" s="14"/>
      <c r="AQ442" s="14"/>
      <c r="AR442" s="19"/>
      <c r="AS442" s="8"/>
    </row>
    <row r="443" spans="1:45" x14ac:dyDescent="0.2">
      <c r="A443" s="2">
        <v>496</v>
      </c>
      <c r="C443" s="2">
        <v>580</v>
      </c>
      <c r="E443" t="s">
        <v>1403</v>
      </c>
      <c r="AJ443" s="2"/>
      <c r="AL443" s="2"/>
      <c r="AM443" s="14"/>
      <c r="AN443" s="14"/>
      <c r="AO443" s="14"/>
      <c r="AP443" s="14"/>
      <c r="AQ443" s="14"/>
      <c r="AR443" s="19"/>
      <c r="AS443" s="8"/>
    </row>
    <row r="444" spans="1:45" x14ac:dyDescent="0.2">
      <c r="A444" s="2">
        <v>497</v>
      </c>
      <c r="E444" t="s">
        <v>1404</v>
      </c>
      <c r="AJ444" s="2"/>
      <c r="AL444" s="2"/>
      <c r="AM444" s="14"/>
      <c r="AN444" s="14"/>
      <c r="AO444" s="14"/>
      <c r="AP444" s="14"/>
      <c r="AQ444" s="14"/>
      <c r="AR444" s="19"/>
      <c r="AS444" s="8"/>
    </row>
    <row r="445" spans="1:45" x14ac:dyDescent="0.2">
      <c r="A445" s="2">
        <v>502</v>
      </c>
      <c r="C445" s="2">
        <v>718</v>
      </c>
      <c r="E445" t="s">
        <v>1405</v>
      </c>
      <c r="F445" t="s">
        <v>7</v>
      </c>
      <c r="AJ445" s="2"/>
      <c r="AL445" s="2"/>
      <c r="AM445" s="14"/>
      <c r="AN445" s="14"/>
      <c r="AO445" s="14"/>
      <c r="AP445" s="14"/>
      <c r="AQ445" s="14"/>
      <c r="AR445" s="19"/>
      <c r="AS445" s="8"/>
    </row>
    <row r="446" spans="1:45" x14ac:dyDescent="0.2">
      <c r="A446" s="2">
        <v>504</v>
      </c>
      <c r="B446" s="2">
        <v>430</v>
      </c>
      <c r="E446" t="s">
        <v>430</v>
      </c>
      <c r="AM446" s="14"/>
      <c r="AN446" s="14"/>
      <c r="AO446" s="14"/>
      <c r="AP446" s="14"/>
      <c r="AQ446" s="51"/>
    </row>
    <row r="447" spans="1:45" x14ac:dyDescent="0.2">
      <c r="A447" s="2">
        <v>505</v>
      </c>
      <c r="E447" t="s">
        <v>1406</v>
      </c>
      <c r="AM447" s="14"/>
      <c r="AN447" s="14"/>
      <c r="AO447" s="14"/>
      <c r="AP447" s="14"/>
      <c r="AQ447" s="51"/>
    </row>
    <row r="448" spans="1:45" x14ac:dyDescent="0.2">
      <c r="A448" s="2">
        <v>507</v>
      </c>
      <c r="E448" t="s">
        <v>1407</v>
      </c>
      <c r="AM448" s="14"/>
      <c r="AN448" s="14"/>
      <c r="AO448" s="14"/>
      <c r="AP448" s="14"/>
      <c r="AQ448" s="51"/>
    </row>
    <row r="449" spans="1:45" x14ac:dyDescent="0.2">
      <c r="A449" s="2">
        <v>519</v>
      </c>
      <c r="C449" s="2">
        <v>934</v>
      </c>
      <c r="E449" t="s">
        <v>1408</v>
      </c>
      <c r="AM449" s="14"/>
      <c r="AN449" s="14"/>
      <c r="AO449" s="14"/>
      <c r="AP449" s="14"/>
      <c r="AQ449" s="51"/>
    </row>
    <row r="450" spans="1:45" x14ac:dyDescent="0.2">
      <c r="A450" s="2">
        <v>521</v>
      </c>
      <c r="B450" s="2">
        <v>511</v>
      </c>
      <c r="C450" s="2">
        <v>2572</v>
      </c>
      <c r="E450" t="s">
        <v>277</v>
      </c>
      <c r="G450" t="s">
        <v>1237</v>
      </c>
      <c r="I450" s="2">
        <v>44.87</v>
      </c>
      <c r="J450" s="15">
        <v>1.6020000000000001</v>
      </c>
      <c r="K450" s="15">
        <v>1.399</v>
      </c>
      <c r="AJ450" s="2">
        <v>27.88</v>
      </c>
      <c r="AK450" s="2">
        <v>38.53</v>
      </c>
      <c r="AL450" s="2">
        <v>42.92</v>
      </c>
      <c r="AM450" s="2">
        <v>44.87</v>
      </c>
      <c r="AN450" s="14" t="s">
        <v>773</v>
      </c>
      <c r="AO450" s="14" t="s">
        <v>773</v>
      </c>
      <c r="AP450" s="14" t="s">
        <v>773</v>
      </c>
      <c r="AQ450" s="14" t="s">
        <v>773</v>
      </c>
      <c r="AR450" s="19">
        <v>6.805555555555555E-2</v>
      </c>
      <c r="AS450" s="8">
        <f>(1+(27/60))*AM450</f>
        <v>65.061499999999995</v>
      </c>
    </row>
    <row r="451" spans="1:45" s="3" customFormat="1" x14ac:dyDescent="0.2">
      <c r="A451" s="4">
        <v>522</v>
      </c>
      <c r="B451" s="2">
        <v>424</v>
      </c>
      <c r="C451" s="4">
        <v>1070</v>
      </c>
      <c r="D451" s="4"/>
      <c r="E451" s="3" t="s">
        <v>323</v>
      </c>
      <c r="F451" s="3" t="s">
        <v>6</v>
      </c>
      <c r="H451" s="4">
        <v>100000</v>
      </c>
      <c r="I451" s="4">
        <v>53.31</v>
      </c>
      <c r="J451" s="16">
        <v>1.9039999999999999</v>
      </c>
      <c r="K451" s="16">
        <v>1.468</v>
      </c>
      <c r="L451" s="4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4">
        <v>42.66</v>
      </c>
      <c r="AK451" s="4">
        <v>45.8</v>
      </c>
      <c r="AL451" s="4">
        <v>54.8</v>
      </c>
      <c r="AM451" s="4">
        <v>53.31</v>
      </c>
      <c r="AN451" s="46" t="s">
        <v>773</v>
      </c>
      <c r="AO451" s="46" t="s">
        <v>773</v>
      </c>
      <c r="AP451" s="46" t="s">
        <v>773</v>
      </c>
      <c r="AQ451" s="46" t="s">
        <v>773</v>
      </c>
      <c r="AR451" s="23">
        <v>7.9861111111111105E-2</v>
      </c>
      <c r="AS451" s="47">
        <f>(1+(55/60))*AM451</f>
        <v>102.17749999999999</v>
      </c>
    </row>
    <row r="452" spans="1:45" x14ac:dyDescent="0.2">
      <c r="A452" s="2">
        <v>523</v>
      </c>
      <c r="B452" s="2">
        <v>493</v>
      </c>
      <c r="C452" s="2">
        <v>646</v>
      </c>
      <c r="E452" t="s">
        <v>396</v>
      </c>
      <c r="AM452" s="14"/>
      <c r="AN452" s="14"/>
      <c r="AO452" s="14"/>
      <c r="AP452" s="14"/>
      <c r="AQ452" s="51"/>
    </row>
    <row r="453" spans="1:45" x14ac:dyDescent="0.2">
      <c r="A453" s="2">
        <v>524</v>
      </c>
      <c r="B453" s="2">
        <v>485</v>
      </c>
      <c r="C453" s="2">
        <v>2963</v>
      </c>
      <c r="E453" t="s">
        <v>384</v>
      </c>
      <c r="AJ453" s="2">
        <v>24.9</v>
      </c>
      <c r="AK453" s="2" t="s">
        <v>773</v>
      </c>
      <c r="AL453" s="2" t="s">
        <v>773</v>
      </c>
      <c r="AM453" s="14" t="s">
        <v>773</v>
      </c>
      <c r="AN453" s="14" t="s">
        <v>773</v>
      </c>
      <c r="AO453" s="14" t="s">
        <v>773</v>
      </c>
      <c r="AP453" s="14" t="s">
        <v>773</v>
      </c>
      <c r="AQ453" s="57" t="s">
        <v>773</v>
      </c>
      <c r="AR453" s="19">
        <v>6.1805555555555558E-2</v>
      </c>
      <c r="AS453" s="8">
        <f>(1+(29/60))*AJ453</f>
        <v>36.935000000000002</v>
      </c>
    </row>
    <row r="454" spans="1:45" x14ac:dyDescent="0.2">
      <c r="A454" s="2">
        <v>526</v>
      </c>
      <c r="B454" s="2">
        <v>514</v>
      </c>
      <c r="C454" s="2">
        <v>1665</v>
      </c>
      <c r="E454" t="s">
        <v>360</v>
      </c>
      <c r="G454" t="s">
        <v>1339</v>
      </c>
      <c r="AJ454" s="2">
        <v>38.82</v>
      </c>
      <c r="AK454" s="2" t="s">
        <v>773</v>
      </c>
      <c r="AL454" s="2" t="s">
        <v>773</v>
      </c>
      <c r="AM454" s="14" t="s">
        <v>773</v>
      </c>
      <c r="AN454" s="14" t="s">
        <v>773</v>
      </c>
      <c r="AO454" s="14" t="s">
        <v>773</v>
      </c>
      <c r="AP454" s="14" t="s">
        <v>773</v>
      </c>
      <c r="AQ454" s="57" t="s">
        <v>773</v>
      </c>
      <c r="AR454" s="19">
        <v>2.7083333333333334E-2</v>
      </c>
      <c r="AS454" s="8">
        <f>(39/60)*AJ454</f>
        <v>25.233000000000001</v>
      </c>
    </row>
    <row r="455" spans="1:45" x14ac:dyDescent="0.2">
      <c r="A455" s="2">
        <v>528</v>
      </c>
      <c r="E455" t="s">
        <v>1451</v>
      </c>
      <c r="AJ455" s="2"/>
      <c r="AL455" s="2"/>
      <c r="AM455" s="14"/>
      <c r="AN455" s="14"/>
      <c r="AO455" s="14"/>
      <c r="AP455" s="14"/>
      <c r="AQ455" s="57"/>
      <c r="AR455" s="19"/>
      <c r="AS455" s="8"/>
    </row>
    <row r="456" spans="1:45" x14ac:dyDescent="0.2">
      <c r="A456" s="2">
        <v>531</v>
      </c>
      <c r="B456" s="2">
        <v>466</v>
      </c>
      <c r="C456" s="2">
        <v>2691</v>
      </c>
      <c r="E456" t="s">
        <v>319</v>
      </c>
      <c r="G456" t="s">
        <v>1237</v>
      </c>
      <c r="I456" s="2">
        <v>30.78</v>
      </c>
      <c r="J456" s="15">
        <v>1.099</v>
      </c>
      <c r="K456" s="15">
        <v>0.90659599999999996</v>
      </c>
      <c r="AJ456" s="2">
        <v>25.87</v>
      </c>
      <c r="AK456" s="2">
        <v>26.61</v>
      </c>
      <c r="AL456" s="2">
        <v>22.63</v>
      </c>
      <c r="AM456" s="2">
        <v>30.78</v>
      </c>
      <c r="AN456" s="14" t="s">
        <v>773</v>
      </c>
      <c r="AO456" s="14" t="s">
        <v>773</v>
      </c>
      <c r="AP456" s="14" t="s">
        <v>773</v>
      </c>
      <c r="AQ456" s="14" t="s">
        <v>773</v>
      </c>
      <c r="AR456" s="19">
        <v>0.11597222222222223</v>
      </c>
      <c r="AS456" s="8">
        <f>(2+(47/60))*AM456</f>
        <v>85.671000000000006</v>
      </c>
    </row>
    <row r="457" spans="1:45" x14ac:dyDescent="0.2">
      <c r="A457" s="2">
        <v>533</v>
      </c>
      <c r="E457" t="s">
        <v>1455</v>
      </c>
      <c r="K457" s="15"/>
      <c r="AJ457" s="2"/>
      <c r="AL457" s="2"/>
      <c r="AM457" s="2"/>
      <c r="AN457" s="14"/>
      <c r="AO457" s="14"/>
      <c r="AP457" s="14"/>
      <c r="AQ457" s="14"/>
      <c r="AR457" s="19"/>
      <c r="AS457" s="8"/>
    </row>
    <row r="458" spans="1:45" x14ac:dyDescent="0.2">
      <c r="A458" s="2">
        <v>534</v>
      </c>
      <c r="E458" t="s">
        <v>1409</v>
      </c>
      <c r="K458" s="15"/>
      <c r="AJ458" s="2"/>
      <c r="AL458" s="2"/>
      <c r="AM458" s="2"/>
      <c r="AN458" s="14"/>
      <c r="AO458" s="14"/>
      <c r="AP458" s="14"/>
      <c r="AQ458" s="14"/>
      <c r="AR458" s="19"/>
      <c r="AS458" s="8"/>
    </row>
    <row r="459" spans="1:45" x14ac:dyDescent="0.2">
      <c r="A459" s="2">
        <v>536</v>
      </c>
      <c r="B459" s="2">
        <v>403</v>
      </c>
      <c r="C459" s="2">
        <v>695</v>
      </c>
      <c r="E459" t="s">
        <v>331</v>
      </c>
      <c r="AJ459" s="2">
        <v>56.5</v>
      </c>
      <c r="AK459" s="2">
        <v>94.89</v>
      </c>
      <c r="AL459" s="2">
        <v>75.13</v>
      </c>
      <c r="AM459" s="14" t="s">
        <v>773</v>
      </c>
      <c r="AN459" s="14" t="s">
        <v>773</v>
      </c>
      <c r="AO459" s="14" t="s">
        <v>773</v>
      </c>
      <c r="AP459" s="14" t="s">
        <v>773</v>
      </c>
      <c r="AQ459" s="14" t="s">
        <v>773</v>
      </c>
      <c r="AR459" s="19">
        <v>0.12013888888888889</v>
      </c>
      <c r="AS459" s="8">
        <f>(2+(53/60))*AL459</f>
        <v>216.62483333333333</v>
      </c>
    </row>
    <row r="460" spans="1:45" x14ac:dyDescent="0.2">
      <c r="A460" s="2">
        <v>537</v>
      </c>
      <c r="E460" t="s">
        <v>1410</v>
      </c>
      <c r="AJ460" s="2"/>
      <c r="AL460" s="2"/>
      <c r="AM460" s="14"/>
      <c r="AN460" s="14"/>
      <c r="AO460" s="14"/>
      <c r="AP460" s="14"/>
      <c r="AQ460" s="14"/>
      <c r="AR460" s="19"/>
      <c r="AS460" s="8"/>
    </row>
    <row r="461" spans="1:45" x14ac:dyDescent="0.2">
      <c r="A461" s="2">
        <v>540</v>
      </c>
      <c r="B461" s="2">
        <v>197</v>
      </c>
      <c r="C461" s="2">
        <v>1039</v>
      </c>
      <c r="E461" t="s">
        <v>255</v>
      </c>
      <c r="I461" s="2">
        <v>21.27</v>
      </c>
      <c r="J461" s="15">
        <v>0.75985400000000003</v>
      </c>
      <c r="K461" s="15">
        <v>0.51430399999999998</v>
      </c>
      <c r="AJ461" s="2">
        <v>10.65</v>
      </c>
      <c r="AK461" s="2">
        <v>28.76</v>
      </c>
      <c r="AL461" s="2">
        <v>47.43</v>
      </c>
      <c r="AM461" s="57">
        <v>21.27</v>
      </c>
      <c r="AN461" s="57" t="s">
        <v>773</v>
      </c>
      <c r="AO461" s="57">
        <v>10</v>
      </c>
      <c r="AP461" s="57" t="s">
        <v>773</v>
      </c>
      <c r="AQ461" s="57" t="s">
        <v>773</v>
      </c>
      <c r="AR461" s="19">
        <v>0.11388888888888889</v>
      </c>
      <c r="AS461" s="8">
        <f>(2+(44/60))*AO461</f>
        <v>27.333333333333336</v>
      </c>
    </row>
    <row r="462" spans="1:45" x14ac:dyDescent="0.2">
      <c r="A462" s="2">
        <v>541</v>
      </c>
      <c r="E462" t="s">
        <v>1411</v>
      </c>
      <c r="K462" s="15"/>
      <c r="AJ462" s="2"/>
      <c r="AL462" s="2"/>
      <c r="AM462" s="57"/>
      <c r="AN462" s="57"/>
      <c r="AO462" s="57"/>
      <c r="AP462" s="57"/>
      <c r="AQ462" s="57"/>
      <c r="AR462" s="19"/>
      <c r="AS462" s="8"/>
    </row>
    <row r="463" spans="1:45" x14ac:dyDescent="0.2">
      <c r="A463" s="2">
        <v>544</v>
      </c>
      <c r="E463" t="s">
        <v>1462</v>
      </c>
      <c r="K463" s="15"/>
      <c r="AJ463" s="2"/>
      <c r="AL463" s="2"/>
      <c r="AM463" s="57"/>
      <c r="AN463" s="57"/>
      <c r="AO463" s="57"/>
      <c r="AP463" s="57"/>
      <c r="AQ463" s="57"/>
      <c r="AR463" s="19"/>
      <c r="AS463" s="8"/>
    </row>
    <row r="464" spans="1:45" x14ac:dyDescent="0.2">
      <c r="A464" s="2">
        <v>546</v>
      </c>
      <c r="B464" s="2">
        <v>447</v>
      </c>
      <c r="C464" s="2">
        <v>807</v>
      </c>
      <c r="E464" t="s">
        <v>262</v>
      </c>
      <c r="I464" s="2">
        <v>97.41</v>
      </c>
      <c r="J464" s="15">
        <v>3.4790000000000001</v>
      </c>
      <c r="K464" s="15">
        <v>3.1579999999999999</v>
      </c>
      <c r="AJ464" s="2">
        <v>76.48</v>
      </c>
      <c r="AK464" s="2">
        <v>96.72</v>
      </c>
      <c r="AL464" s="2">
        <v>95.66</v>
      </c>
      <c r="AM464" s="2">
        <v>97.41</v>
      </c>
      <c r="AN464" s="14" t="s">
        <v>773</v>
      </c>
      <c r="AO464" s="14" t="s">
        <v>773</v>
      </c>
      <c r="AP464" s="14" t="s">
        <v>773</v>
      </c>
      <c r="AQ464" s="14" t="s">
        <v>773</v>
      </c>
      <c r="AR464" s="19">
        <v>6.0416666666666667E-2</v>
      </c>
      <c r="AS464" s="8">
        <f>(1+(27/60))*AM464</f>
        <v>141.24449999999999</v>
      </c>
    </row>
    <row r="465" spans="1:45" x14ac:dyDescent="0.2">
      <c r="A465" s="2">
        <v>549</v>
      </c>
      <c r="E465" t="s">
        <v>1412</v>
      </c>
      <c r="K465" s="15"/>
      <c r="AJ465" s="2"/>
      <c r="AL465" s="2"/>
      <c r="AM465" s="2"/>
      <c r="AN465" s="14"/>
      <c r="AO465" s="14"/>
      <c r="AP465" s="14"/>
      <c r="AQ465" s="14"/>
      <c r="AR465" s="19"/>
      <c r="AS465" s="8"/>
    </row>
    <row r="466" spans="1:45" x14ac:dyDescent="0.2">
      <c r="A466" s="2">
        <v>551</v>
      </c>
      <c r="B466" s="2">
        <v>498</v>
      </c>
      <c r="C466" s="2">
        <v>679</v>
      </c>
      <c r="E466" t="s">
        <v>236</v>
      </c>
      <c r="I466" s="2">
        <v>90.16</v>
      </c>
      <c r="J466" s="15">
        <v>3.22</v>
      </c>
      <c r="K466" s="15">
        <v>2.94</v>
      </c>
      <c r="AJ466" s="2">
        <v>64.11</v>
      </c>
      <c r="AK466" s="2">
        <v>86.95</v>
      </c>
      <c r="AL466" s="2">
        <v>96.28</v>
      </c>
      <c r="AM466" s="2">
        <v>90.16</v>
      </c>
      <c r="AN466" s="2" t="s">
        <v>773</v>
      </c>
      <c r="AO466" s="2">
        <v>103.8</v>
      </c>
      <c r="AP466" s="2" t="s">
        <v>773</v>
      </c>
      <c r="AQ466" s="2" t="s">
        <v>773</v>
      </c>
      <c r="AR466" s="19">
        <v>1.7361111111111112E-2</v>
      </c>
      <c r="AS466" s="8">
        <f>(25/60)*AO466</f>
        <v>43.25</v>
      </c>
    </row>
    <row r="467" spans="1:45" x14ac:dyDescent="0.2">
      <c r="A467" s="2">
        <v>553</v>
      </c>
      <c r="E467" t="s">
        <v>1450</v>
      </c>
      <c r="K467" s="15"/>
      <c r="AJ467" s="2"/>
      <c r="AL467" s="2"/>
      <c r="AM467" s="2"/>
      <c r="AN467" s="2"/>
      <c r="AO467" s="2"/>
      <c r="AP467" s="2"/>
      <c r="AQ467" s="2"/>
      <c r="AR467" s="19"/>
      <c r="AS467" s="8"/>
    </row>
    <row r="468" spans="1:45" x14ac:dyDescent="0.2">
      <c r="A468" s="2">
        <v>558</v>
      </c>
      <c r="E468" t="s">
        <v>501</v>
      </c>
      <c r="K468" s="15"/>
      <c r="AJ468" s="2"/>
      <c r="AL468" s="2"/>
      <c r="AM468" s="2"/>
      <c r="AN468" s="2"/>
      <c r="AO468" s="2"/>
      <c r="AP468" s="2"/>
      <c r="AQ468" s="2"/>
      <c r="AR468" s="19"/>
      <c r="AS468" s="8"/>
    </row>
    <row r="469" spans="1:45" x14ac:dyDescent="0.2">
      <c r="A469" s="2">
        <v>561</v>
      </c>
      <c r="E469" t="s">
        <v>1413</v>
      </c>
      <c r="K469" s="15"/>
      <c r="AJ469" s="2"/>
      <c r="AL469" s="2"/>
      <c r="AM469" s="2"/>
      <c r="AN469" s="2"/>
      <c r="AO469" s="2"/>
      <c r="AP469" s="2"/>
      <c r="AQ469" s="2"/>
      <c r="AR469" s="19"/>
      <c r="AS469" s="8"/>
    </row>
    <row r="470" spans="1:45" x14ac:dyDescent="0.2">
      <c r="A470" s="2">
        <v>562</v>
      </c>
      <c r="B470" s="2">
        <v>148</v>
      </c>
      <c r="C470" s="2">
        <v>737</v>
      </c>
      <c r="E470" t="s">
        <v>174</v>
      </c>
      <c r="F470" t="s">
        <v>6</v>
      </c>
      <c r="G470" t="s">
        <v>1304</v>
      </c>
      <c r="H470" s="2">
        <v>1000</v>
      </c>
      <c r="I470" s="2">
        <v>16.190000000000001</v>
      </c>
      <c r="J470" s="15">
        <v>0.57825300000000002</v>
      </c>
      <c r="K470" s="15">
        <v>0.40984500000000001</v>
      </c>
      <c r="AJ470" s="2">
        <v>9.7639999999999993</v>
      </c>
      <c r="AK470" s="2">
        <v>34.79</v>
      </c>
      <c r="AL470" s="2">
        <v>64.400000000000006</v>
      </c>
      <c r="AM470" s="2">
        <v>16.190000000000001</v>
      </c>
      <c r="AN470" s="14" t="s">
        <v>773</v>
      </c>
      <c r="AO470" s="2">
        <v>9.5009999999999994</v>
      </c>
      <c r="AP470" s="14" t="s">
        <v>773</v>
      </c>
      <c r="AQ470" s="14" t="s">
        <v>773</v>
      </c>
      <c r="AR470" s="19">
        <v>0.11597222222222221</v>
      </c>
      <c r="AS470" s="8">
        <f>(2+(47/60))*AO470</f>
        <v>26.444449999999996</v>
      </c>
    </row>
    <row r="471" spans="1:45" x14ac:dyDescent="0.2">
      <c r="A471" s="2">
        <v>563</v>
      </c>
      <c r="E471" t="s">
        <v>1414</v>
      </c>
      <c r="K471" s="15"/>
      <c r="AJ471" s="2"/>
      <c r="AL471" s="2"/>
      <c r="AM471" s="2"/>
      <c r="AN471" s="14"/>
      <c r="AO471" s="2"/>
      <c r="AP471" s="14"/>
      <c r="AQ471" s="14"/>
      <c r="AR471" s="19"/>
      <c r="AS471" s="8"/>
    </row>
    <row r="472" spans="1:45" x14ac:dyDescent="0.2">
      <c r="A472" s="2">
        <v>564</v>
      </c>
      <c r="E472" t="s">
        <v>1415</v>
      </c>
      <c r="K472" s="15"/>
      <c r="AJ472" s="2"/>
      <c r="AL472" s="2"/>
      <c r="AM472" s="2"/>
      <c r="AN472" s="14"/>
      <c r="AO472" s="2"/>
      <c r="AP472" s="14"/>
      <c r="AQ472" s="14"/>
      <c r="AR472" s="19"/>
      <c r="AS472" s="8"/>
    </row>
    <row r="473" spans="1:45" x14ac:dyDescent="0.2">
      <c r="A473" s="2">
        <v>568</v>
      </c>
      <c r="E473" t="s">
        <v>1416</v>
      </c>
      <c r="K473" s="15"/>
      <c r="AJ473" s="2"/>
      <c r="AL473" s="2"/>
      <c r="AM473" s="2"/>
      <c r="AN473" s="14"/>
      <c r="AO473" s="2"/>
      <c r="AP473" s="14"/>
      <c r="AQ473" s="14"/>
      <c r="AR473" s="19"/>
      <c r="AS473" s="8"/>
    </row>
    <row r="474" spans="1:45" x14ac:dyDescent="0.2">
      <c r="A474" s="2">
        <v>571</v>
      </c>
      <c r="C474" s="2">
        <v>790</v>
      </c>
      <c r="E474" t="s">
        <v>1417</v>
      </c>
      <c r="F474" t="s">
        <v>7</v>
      </c>
      <c r="K474" s="15"/>
      <c r="AJ474" s="2"/>
      <c r="AL474" s="2"/>
      <c r="AM474" s="2"/>
      <c r="AN474" s="14"/>
      <c r="AO474" s="2"/>
      <c r="AP474" s="14"/>
      <c r="AQ474" s="14"/>
      <c r="AR474" s="19"/>
      <c r="AS474" s="8"/>
    </row>
    <row r="475" spans="1:45" s="3" customFormat="1" x14ac:dyDescent="0.2">
      <c r="A475" s="4">
        <v>572</v>
      </c>
      <c r="B475" s="4"/>
      <c r="C475" s="4"/>
      <c r="D475" s="4"/>
      <c r="E475" s="3" t="s">
        <v>1418</v>
      </c>
      <c r="H475" s="4"/>
      <c r="I475" s="4"/>
      <c r="J475" s="16"/>
      <c r="K475" s="16"/>
      <c r="L475" s="4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4"/>
      <c r="AK475" s="4"/>
      <c r="AL475" s="4"/>
      <c r="AM475" s="4"/>
      <c r="AN475" s="46"/>
      <c r="AO475" s="4"/>
      <c r="AP475" s="46"/>
      <c r="AQ475" s="46"/>
      <c r="AR475" s="23"/>
      <c r="AS475" s="47"/>
    </row>
    <row r="476" spans="1:45" x14ac:dyDescent="0.2">
      <c r="A476" s="2">
        <v>574</v>
      </c>
      <c r="E476" t="s">
        <v>1419</v>
      </c>
      <c r="K476" s="15"/>
      <c r="AJ476" s="2"/>
      <c r="AL476" s="2"/>
      <c r="AM476" s="2"/>
      <c r="AN476" s="14"/>
      <c r="AO476" s="2"/>
      <c r="AP476" s="14"/>
      <c r="AQ476" s="14"/>
      <c r="AR476" s="19"/>
      <c r="AS476" s="8"/>
    </row>
    <row r="477" spans="1:45" x14ac:dyDescent="0.2">
      <c r="A477" s="2">
        <v>591</v>
      </c>
      <c r="B477" s="2">
        <v>576</v>
      </c>
      <c r="C477" s="2">
        <v>1424</v>
      </c>
      <c r="E477" t="s">
        <v>361</v>
      </c>
      <c r="G477" t="s">
        <v>1339</v>
      </c>
      <c r="AJ477" s="2">
        <v>50.83</v>
      </c>
      <c r="AK477" s="2" t="s">
        <v>773</v>
      </c>
      <c r="AL477" s="2" t="s">
        <v>773</v>
      </c>
      <c r="AM477" s="14" t="s">
        <v>773</v>
      </c>
      <c r="AN477" s="14" t="s">
        <v>773</v>
      </c>
      <c r="AO477" s="14" t="s">
        <v>773</v>
      </c>
      <c r="AP477" s="14" t="s">
        <v>773</v>
      </c>
      <c r="AQ477" s="57" t="s">
        <v>773</v>
      </c>
      <c r="AR477" s="19">
        <v>3.3333333333333333E-2</v>
      </c>
      <c r="AS477" s="8">
        <f>(48/60)*AJ477</f>
        <v>40.664000000000001</v>
      </c>
    </row>
    <row r="478" spans="1:45" x14ac:dyDescent="0.2">
      <c r="A478" s="2">
        <v>595</v>
      </c>
      <c r="E478" t="s">
        <v>1463</v>
      </c>
      <c r="AJ478" s="2"/>
      <c r="AL478" s="2"/>
      <c r="AM478" s="14"/>
      <c r="AN478" s="14"/>
      <c r="AO478" s="14"/>
      <c r="AP478" s="14"/>
      <c r="AQ478" s="57"/>
      <c r="AR478" s="19"/>
      <c r="AS478" s="8"/>
    </row>
    <row r="479" spans="1:45" x14ac:dyDescent="0.2">
      <c r="A479" s="2">
        <v>597</v>
      </c>
      <c r="E479" t="s">
        <v>1452</v>
      </c>
      <c r="AJ479" s="2"/>
      <c r="AL479" s="2"/>
      <c r="AM479" s="14"/>
      <c r="AN479" s="14"/>
      <c r="AO479" s="14"/>
      <c r="AP479" s="14"/>
      <c r="AQ479" s="57"/>
      <c r="AR479" s="19"/>
      <c r="AS479" s="8"/>
    </row>
    <row r="480" spans="1:45" x14ac:dyDescent="0.2">
      <c r="A480" s="2">
        <v>606</v>
      </c>
      <c r="E480" t="s">
        <v>1453</v>
      </c>
      <c r="AJ480" s="2"/>
      <c r="AL480" s="2"/>
      <c r="AM480" s="14"/>
      <c r="AN480" s="14"/>
      <c r="AO480" s="14"/>
      <c r="AP480" s="14"/>
      <c r="AQ480" s="57"/>
      <c r="AR480" s="19"/>
      <c r="AS480" s="8"/>
    </row>
    <row r="481" spans="1:45" x14ac:dyDescent="0.2">
      <c r="A481" s="2">
        <v>610</v>
      </c>
      <c r="E481" t="s">
        <v>1444</v>
      </c>
      <c r="AJ481" s="2"/>
      <c r="AL481" s="2"/>
      <c r="AM481" s="14"/>
      <c r="AN481" s="14"/>
      <c r="AO481" s="14"/>
      <c r="AP481" s="14"/>
      <c r="AQ481" s="57"/>
      <c r="AR481" s="19"/>
      <c r="AS481" s="8"/>
    </row>
    <row r="482" spans="1:45" x14ac:dyDescent="0.2">
      <c r="A482" s="2">
        <v>620</v>
      </c>
      <c r="E482" t="s">
        <v>1448</v>
      </c>
      <c r="AJ482" s="2"/>
      <c r="AL482" s="2"/>
      <c r="AM482" s="14"/>
      <c r="AN482" s="14"/>
      <c r="AO482" s="14"/>
      <c r="AP482" s="14"/>
      <c r="AQ482" s="57"/>
      <c r="AR482" s="19"/>
      <c r="AS482" s="8"/>
    </row>
    <row r="483" spans="1:45" s="3" customFormat="1" x14ac:dyDescent="0.2">
      <c r="A483" s="4">
        <v>640</v>
      </c>
      <c r="B483" s="4">
        <v>499</v>
      </c>
      <c r="C483" s="4"/>
      <c r="D483" s="4"/>
      <c r="E483" s="3" t="s">
        <v>506</v>
      </c>
      <c r="F483" s="3" t="s">
        <v>6</v>
      </c>
      <c r="H483" s="4">
        <v>265</v>
      </c>
      <c r="I483" s="4"/>
      <c r="J483" s="16"/>
      <c r="K483" s="16"/>
      <c r="L483" s="4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4"/>
      <c r="AL483" s="9"/>
      <c r="AM483" s="46"/>
      <c r="AN483" s="46"/>
      <c r="AO483" s="46"/>
      <c r="AP483" s="46"/>
      <c r="AQ483" s="52"/>
    </row>
    <row r="484" spans="1:45" s="3" customFormat="1" x14ac:dyDescent="0.2">
      <c r="A484" s="4">
        <v>642</v>
      </c>
      <c r="B484" s="4"/>
      <c r="C484" s="4"/>
      <c r="D484" s="4"/>
      <c r="E484" t="s">
        <v>1458</v>
      </c>
      <c r="H484" s="4"/>
      <c r="I484" s="4"/>
      <c r="J484" s="16"/>
      <c r="K484" s="16"/>
      <c r="L484" s="4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4"/>
      <c r="AL484" s="9"/>
      <c r="AM484" s="46"/>
      <c r="AN484" s="46"/>
      <c r="AO484" s="46"/>
      <c r="AP484" s="46"/>
      <c r="AQ484" s="52"/>
    </row>
    <row r="485" spans="1:45" s="3" customFormat="1" x14ac:dyDescent="0.2">
      <c r="A485" s="4">
        <v>644</v>
      </c>
      <c r="B485" s="4"/>
      <c r="C485" s="4"/>
      <c r="D485" s="4"/>
      <c r="E485" s="3" t="s">
        <v>1456</v>
      </c>
      <c r="H485" s="4"/>
      <c r="I485" s="4"/>
      <c r="J485" s="16"/>
      <c r="K485" s="16"/>
      <c r="L485" s="4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4"/>
      <c r="AL485" s="9"/>
      <c r="AM485" s="46"/>
      <c r="AN485" s="46"/>
      <c r="AO485" s="46"/>
      <c r="AP485" s="46"/>
      <c r="AQ485" s="52"/>
    </row>
    <row r="486" spans="1:45" s="3" customFormat="1" x14ac:dyDescent="0.2">
      <c r="A486" s="2">
        <v>653</v>
      </c>
      <c r="B486" s="4"/>
      <c r="C486" s="4"/>
      <c r="D486" s="4"/>
      <c r="E486" t="s">
        <v>1457</v>
      </c>
      <c r="H486" s="4"/>
      <c r="I486" s="4"/>
      <c r="J486" s="16"/>
      <c r="K486" s="16"/>
      <c r="L486" s="4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4"/>
      <c r="AL486" s="9"/>
      <c r="AM486" s="46"/>
      <c r="AN486" s="46"/>
      <c r="AO486" s="46"/>
      <c r="AP486" s="46"/>
      <c r="AQ486" s="52"/>
    </row>
    <row r="487" spans="1:45" s="3" customFormat="1" x14ac:dyDescent="0.2">
      <c r="A487" s="2">
        <v>669</v>
      </c>
      <c r="B487" s="4"/>
      <c r="C487" s="4"/>
      <c r="D487" s="4"/>
      <c r="E487" t="s">
        <v>1461</v>
      </c>
      <c r="H487" s="4"/>
      <c r="I487" s="4"/>
      <c r="J487" s="16"/>
      <c r="K487" s="16"/>
      <c r="L487" s="4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4"/>
      <c r="AL487" s="9"/>
      <c r="AM487" s="46"/>
      <c r="AN487" s="46"/>
      <c r="AO487" s="46"/>
      <c r="AP487" s="46"/>
      <c r="AQ487" s="52"/>
    </row>
    <row r="488" spans="1:45" s="3" customFormat="1" x14ac:dyDescent="0.2">
      <c r="A488" s="2">
        <v>682</v>
      </c>
      <c r="B488" s="4"/>
      <c r="C488" s="2"/>
      <c r="D488" s="2"/>
      <c r="E488" t="s">
        <v>1459</v>
      </c>
      <c r="H488" s="4"/>
      <c r="I488" s="4"/>
      <c r="J488" s="16"/>
      <c r="K488" s="16"/>
      <c r="L488" s="4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4"/>
      <c r="AL488" s="9"/>
      <c r="AM488" s="46"/>
      <c r="AN488" s="46"/>
      <c r="AO488" s="46"/>
      <c r="AP488" s="46"/>
      <c r="AQ488" s="52"/>
    </row>
    <row r="489" spans="1:45" s="3" customFormat="1" x14ac:dyDescent="0.2">
      <c r="A489" s="2">
        <v>706</v>
      </c>
      <c r="B489" s="4"/>
      <c r="C489" s="2"/>
      <c r="D489" s="2"/>
      <c r="E489" t="s">
        <v>1470</v>
      </c>
      <c r="H489" s="4"/>
      <c r="I489" s="4"/>
      <c r="J489" s="16"/>
      <c r="K489" s="16"/>
      <c r="L489" s="4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4"/>
      <c r="AL489" s="9"/>
      <c r="AM489" s="46"/>
      <c r="AN489" s="46"/>
      <c r="AO489" s="46"/>
      <c r="AP489" s="46"/>
      <c r="AQ489" s="52"/>
    </row>
    <row r="490" spans="1:45" s="3" customFormat="1" x14ac:dyDescent="0.2">
      <c r="A490" s="4">
        <v>722</v>
      </c>
      <c r="B490" s="4">
        <v>1256</v>
      </c>
      <c r="C490" s="4">
        <v>714</v>
      </c>
      <c r="D490" s="4"/>
      <c r="E490" s="3" t="s">
        <v>576</v>
      </c>
      <c r="H490" s="4"/>
      <c r="I490" s="4">
        <v>97.66</v>
      </c>
      <c r="J490" s="16"/>
      <c r="K490" s="16"/>
      <c r="L490" s="4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4"/>
      <c r="AL490" s="9"/>
      <c r="AM490" s="46"/>
      <c r="AN490" s="46"/>
      <c r="AO490" s="46"/>
      <c r="AP490" s="46"/>
      <c r="AQ490" s="52"/>
    </row>
    <row r="491" spans="1:45" x14ac:dyDescent="0.2">
      <c r="A491" s="2">
        <v>742</v>
      </c>
      <c r="B491" s="2">
        <v>625</v>
      </c>
      <c r="E491" t="s">
        <v>631</v>
      </c>
      <c r="I491" s="2">
        <v>19.7</v>
      </c>
      <c r="AM491" s="14"/>
      <c r="AN491" s="14"/>
      <c r="AO491" s="14"/>
      <c r="AP491" s="14"/>
      <c r="AQ491" s="51"/>
    </row>
    <row r="492" spans="1:45" s="3" customFormat="1" x14ac:dyDescent="0.2">
      <c r="A492" s="4">
        <v>798</v>
      </c>
      <c r="B492" s="4"/>
      <c r="C492" s="4"/>
      <c r="D492" s="4"/>
      <c r="E492" s="3" t="s">
        <v>1203</v>
      </c>
      <c r="H492" s="4"/>
      <c r="I492" s="4"/>
      <c r="J492" s="16"/>
      <c r="K492" s="16"/>
      <c r="L492" s="4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4"/>
      <c r="AL492" s="9"/>
      <c r="AM492" s="46"/>
      <c r="AN492" s="46"/>
      <c r="AO492" s="46"/>
      <c r="AP492" s="46"/>
      <c r="AQ492" s="52"/>
    </row>
    <row r="493" spans="1:45" s="3" customFormat="1" x14ac:dyDescent="0.2">
      <c r="A493" s="2">
        <v>811</v>
      </c>
      <c r="B493" s="4"/>
      <c r="C493" s="4"/>
      <c r="D493" s="4"/>
      <c r="E493" t="s">
        <v>1473</v>
      </c>
      <c r="H493" s="4"/>
      <c r="I493" s="4"/>
      <c r="J493" s="16"/>
      <c r="K493" s="16"/>
      <c r="L493" s="4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4"/>
      <c r="AL493" s="9"/>
      <c r="AM493" s="46"/>
      <c r="AN493" s="46"/>
      <c r="AO493" s="46"/>
      <c r="AP493" s="46"/>
      <c r="AQ493" s="52"/>
    </row>
    <row r="494" spans="1:45" x14ac:dyDescent="0.2">
      <c r="A494" s="2">
        <v>822</v>
      </c>
      <c r="E494" t="s">
        <v>1460</v>
      </c>
      <c r="K494" s="15"/>
      <c r="AM494" s="14"/>
      <c r="AN494" s="14"/>
      <c r="AO494" s="14"/>
      <c r="AP494" s="14"/>
      <c r="AQ494" s="51"/>
    </row>
    <row r="495" spans="1:45" s="3" customFormat="1" x14ac:dyDescent="0.2">
      <c r="A495" s="4">
        <v>824</v>
      </c>
      <c r="B495" s="2">
        <v>485</v>
      </c>
      <c r="C495" s="4"/>
      <c r="D495" s="4"/>
      <c r="E495" s="3" t="s">
        <v>388</v>
      </c>
      <c r="H495" s="4"/>
      <c r="I495" s="4"/>
      <c r="J495" s="16"/>
      <c r="K495" s="16"/>
      <c r="L495" s="4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4"/>
      <c r="AL495" s="9"/>
      <c r="AM495" s="46"/>
      <c r="AN495" s="46"/>
      <c r="AO495" s="46"/>
      <c r="AP495" s="46"/>
      <c r="AQ495" s="52"/>
    </row>
    <row r="496" spans="1:45" s="3" customFormat="1" x14ac:dyDescent="0.2">
      <c r="A496" s="4">
        <v>858</v>
      </c>
      <c r="B496" s="4">
        <v>745</v>
      </c>
      <c r="C496" s="4"/>
      <c r="D496" s="4"/>
      <c r="E496" s="3" t="s">
        <v>584</v>
      </c>
      <c r="F496" s="3" t="s">
        <v>6</v>
      </c>
      <c r="H496" s="4"/>
      <c r="I496" s="4">
        <v>21.86</v>
      </c>
      <c r="J496" s="16"/>
      <c r="K496" s="16"/>
      <c r="L496" s="4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4"/>
      <c r="AL496" s="9"/>
      <c r="AM496" s="46"/>
      <c r="AN496" s="46"/>
      <c r="AO496" s="46"/>
      <c r="AP496" s="46"/>
      <c r="AQ496" s="52"/>
    </row>
    <row r="497" spans="1:52" s="3" customFormat="1" x14ac:dyDescent="0.2">
      <c r="A497" s="4">
        <v>876</v>
      </c>
      <c r="B497" s="2">
        <v>488</v>
      </c>
      <c r="C497" s="4"/>
      <c r="D497" s="4"/>
      <c r="E497" s="3" t="s">
        <v>391</v>
      </c>
      <c r="H497" s="4"/>
      <c r="I497" s="4"/>
      <c r="J497" s="16"/>
      <c r="K497" s="16"/>
      <c r="L497" s="4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4"/>
      <c r="AL497" s="9"/>
      <c r="AM497" s="46"/>
      <c r="AN497" s="46"/>
      <c r="AO497" s="46"/>
      <c r="AP497" s="46"/>
      <c r="AQ497" s="52"/>
    </row>
    <row r="498" spans="1:52" x14ac:dyDescent="0.2">
      <c r="A498" s="2">
        <v>891</v>
      </c>
      <c r="E498" t="s">
        <v>1472</v>
      </c>
      <c r="K498" s="15"/>
      <c r="AM498" s="14"/>
      <c r="AN498" s="14"/>
      <c r="AO498" s="14"/>
      <c r="AP498" s="14"/>
      <c r="AQ498" s="51"/>
    </row>
    <row r="499" spans="1:52" s="3" customFormat="1" x14ac:dyDescent="0.2">
      <c r="A499" s="4">
        <v>906</v>
      </c>
      <c r="B499" s="4">
        <v>707</v>
      </c>
      <c r="C499" s="4">
        <v>373</v>
      </c>
      <c r="D499" s="4"/>
      <c r="E499" s="3" t="s">
        <v>598</v>
      </c>
      <c r="H499" s="4"/>
      <c r="I499" s="4">
        <v>149</v>
      </c>
      <c r="J499" s="16"/>
      <c r="K499" s="16"/>
      <c r="L499" s="4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2"/>
      <c r="AL499" s="9"/>
      <c r="AM499" s="46"/>
      <c r="AN499" s="46"/>
      <c r="AO499" s="46"/>
      <c r="AP499" s="46"/>
      <c r="AQ499" s="52"/>
    </row>
    <row r="500" spans="1:52" s="3" customFormat="1" x14ac:dyDescent="0.2">
      <c r="A500" s="4">
        <v>910</v>
      </c>
      <c r="B500" s="4"/>
      <c r="C500" s="4"/>
      <c r="D500" s="4"/>
      <c r="E500" s="3" t="s">
        <v>1454</v>
      </c>
      <c r="H500" s="4"/>
      <c r="I500" s="4"/>
      <c r="J500" s="16"/>
      <c r="K500" s="16"/>
      <c r="L500" s="4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2"/>
      <c r="AL500" s="9"/>
      <c r="AM500" s="46"/>
      <c r="AN500" s="46"/>
      <c r="AO500" s="46"/>
      <c r="AP500" s="46"/>
      <c r="AQ500" s="52"/>
    </row>
    <row r="501" spans="1:52" x14ac:dyDescent="0.2">
      <c r="A501" s="2">
        <v>997</v>
      </c>
      <c r="E501" t="s">
        <v>1471</v>
      </c>
      <c r="K501" s="15"/>
      <c r="AM501" s="14"/>
      <c r="AN501" s="14"/>
      <c r="AO501" s="14"/>
      <c r="AP501" s="14"/>
      <c r="AQ501" s="51"/>
    </row>
    <row r="502" spans="1:52" x14ac:dyDescent="0.2">
      <c r="A502" s="2">
        <v>1152</v>
      </c>
      <c r="B502" s="2">
        <v>61</v>
      </c>
      <c r="C502" s="2">
        <v>5477</v>
      </c>
      <c r="E502" t="s">
        <v>69</v>
      </c>
      <c r="F502" t="s">
        <v>6</v>
      </c>
      <c r="H502" s="2">
        <v>500</v>
      </c>
      <c r="I502" s="2">
        <v>181.1</v>
      </c>
      <c r="J502" s="15">
        <v>6.47</v>
      </c>
      <c r="K502" s="15">
        <v>3.0150000000000001</v>
      </c>
      <c r="P502" s="8">
        <v>147.00608700000001</v>
      </c>
      <c r="Q502" s="8">
        <v>146.08440300000001</v>
      </c>
      <c r="R502" s="8">
        <v>151.20167699999999</v>
      </c>
      <c r="S502" s="8">
        <v>146.795852</v>
      </c>
      <c r="T502" s="8">
        <v>172.667125</v>
      </c>
      <c r="U502" s="8">
        <v>19.971360000000001</v>
      </c>
      <c r="V502" s="8">
        <v>142.32711399999999</v>
      </c>
      <c r="W502" s="8">
        <v>140.030303</v>
      </c>
      <c r="X502" s="8">
        <v>196.883747</v>
      </c>
      <c r="Y502" s="8">
        <v>166.41912500000001</v>
      </c>
      <c r="Z502" s="8">
        <v>18.953330000000001</v>
      </c>
      <c r="AA502" s="8">
        <v>18.72428</v>
      </c>
      <c r="AB502" s="8">
        <v>23.106853000000001</v>
      </c>
      <c r="AJ502" s="2">
        <v>11.57</v>
      </c>
      <c r="AK502" s="2">
        <v>165.2</v>
      </c>
      <c r="AL502" s="2">
        <v>169.9</v>
      </c>
      <c r="AM502" s="2">
        <v>181.1</v>
      </c>
      <c r="AN502" s="2" t="s">
        <v>773</v>
      </c>
      <c r="AO502" s="2">
        <v>181.7</v>
      </c>
      <c r="AP502" s="2" t="s">
        <v>773</v>
      </c>
      <c r="AQ502" s="2" t="s">
        <v>773</v>
      </c>
      <c r="AR502" s="19">
        <v>7.8472222222222221E-2</v>
      </c>
      <c r="AS502" s="8">
        <f>(1+(53/60))*AO502</f>
        <v>342.20166666666665</v>
      </c>
    </row>
    <row r="503" spans="1:52" x14ac:dyDescent="0.2">
      <c r="A503" s="2">
        <v>1195</v>
      </c>
      <c r="B503" s="2">
        <v>444</v>
      </c>
      <c r="C503" s="2">
        <v>12</v>
      </c>
      <c r="E503" t="s">
        <v>772</v>
      </c>
      <c r="F503" t="s">
        <v>1205</v>
      </c>
      <c r="H503" s="2">
        <v>20000</v>
      </c>
      <c r="I503" s="2">
        <v>3013</v>
      </c>
      <c r="J503" s="57">
        <v>107.6</v>
      </c>
      <c r="K503" s="57">
        <v>53.1</v>
      </c>
      <c r="P503" s="2">
        <v>2565.6999999999998</v>
      </c>
      <c r="Q503" s="2">
        <v>2521.1</v>
      </c>
      <c r="R503" s="2">
        <v>2674.4</v>
      </c>
      <c r="S503" s="2">
        <v>2093.1999999999998</v>
      </c>
      <c r="T503" s="2">
        <v>3054</v>
      </c>
      <c r="U503" s="2">
        <v>2418.3000000000002</v>
      </c>
      <c r="V503" s="2">
        <v>2869.7</v>
      </c>
      <c r="W503" s="2">
        <v>2770.6</v>
      </c>
      <c r="X503" s="2">
        <v>2780.6</v>
      </c>
      <c r="Y503" s="2">
        <v>2727.1</v>
      </c>
      <c r="Z503" s="2">
        <v>3036.9</v>
      </c>
      <c r="AA503" s="2">
        <v>2853.9</v>
      </c>
      <c r="AB503" s="2">
        <v>3518.2</v>
      </c>
      <c r="AJ503" s="2">
        <v>2468</v>
      </c>
      <c r="AK503" s="2">
        <v>2926</v>
      </c>
      <c r="AL503" s="2">
        <v>2953</v>
      </c>
      <c r="AM503" s="2">
        <v>3013</v>
      </c>
      <c r="AN503" s="2">
        <v>3104</v>
      </c>
      <c r="AO503" s="2">
        <v>3107</v>
      </c>
      <c r="AP503" s="2" t="s">
        <v>773</v>
      </c>
      <c r="AQ503" s="2" t="s">
        <v>773</v>
      </c>
      <c r="AR503" s="19">
        <v>0.38194444444444442</v>
      </c>
      <c r="AS503" s="8">
        <f>(9+(10/60))*AO503</f>
        <v>28480.833333333332</v>
      </c>
      <c r="AT503">
        <v>1997</v>
      </c>
      <c r="AX503" t="s">
        <v>1239</v>
      </c>
      <c r="AY503" s="8">
        <f>AS184</f>
        <v>5511.7333333333336</v>
      </c>
      <c r="AZ503" s="49">
        <f>AY503/$AV$3</f>
        <v>2.2130449617090821E-3</v>
      </c>
    </row>
    <row r="504" spans="1:52" s="3" customFormat="1" x14ac:dyDescent="0.2">
      <c r="A504" s="4">
        <v>1963</v>
      </c>
      <c r="B504" s="4">
        <v>3042</v>
      </c>
      <c r="C504" s="4">
        <v>6354</v>
      </c>
      <c r="D504" s="4"/>
      <c r="E504" s="3" t="s">
        <v>597</v>
      </c>
      <c r="H504" s="4"/>
      <c r="I504" s="4">
        <v>9.9039999999999999</v>
      </c>
      <c r="J504" s="16">
        <v>0.295076</v>
      </c>
      <c r="K504" s="16">
        <v>0.23366999999999999</v>
      </c>
      <c r="L504" s="4">
        <v>4.6609999999999996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76">
        <v>11.16</v>
      </c>
      <c r="AK504" s="76" t="s">
        <v>773</v>
      </c>
      <c r="AL504" s="76" t="s">
        <v>773</v>
      </c>
      <c r="AM504" s="76" t="s">
        <v>773</v>
      </c>
      <c r="AN504" s="76" t="s">
        <v>773</v>
      </c>
      <c r="AO504" s="76" t="s">
        <v>773</v>
      </c>
      <c r="AP504" s="76" t="s">
        <v>773</v>
      </c>
      <c r="AQ504" s="76" t="s">
        <v>773</v>
      </c>
      <c r="AR504" s="48">
        <v>0.10277777777777777</v>
      </c>
      <c r="AS504" s="47">
        <f>(2+(28/60))*AJ504</f>
        <v>27.528000000000002</v>
      </c>
    </row>
    <row r="505" spans="1:52" s="3" customFormat="1" x14ac:dyDescent="0.2">
      <c r="A505" s="4">
        <v>4069</v>
      </c>
      <c r="B505" s="4" t="s">
        <v>773</v>
      </c>
      <c r="C505" s="4">
        <v>17258</v>
      </c>
      <c r="D505" s="4"/>
      <c r="E505" s="3" t="s">
        <v>1474</v>
      </c>
      <c r="H505" s="4"/>
      <c r="I505" s="4"/>
      <c r="J505" s="16"/>
      <c r="K505" s="16"/>
      <c r="L505" s="4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76">
        <v>3.2519999999999998</v>
      </c>
      <c r="AK505" s="76" t="s">
        <v>773</v>
      </c>
      <c r="AL505" s="76" t="s">
        <v>773</v>
      </c>
      <c r="AM505" s="76" t="s">
        <v>773</v>
      </c>
      <c r="AN505" s="76" t="s">
        <v>773</v>
      </c>
      <c r="AO505" s="76" t="s">
        <v>773</v>
      </c>
      <c r="AP505" s="76" t="s">
        <v>773</v>
      </c>
      <c r="AQ505" s="76" t="s">
        <v>773</v>
      </c>
      <c r="AR505" s="48">
        <v>0.1736111111111111</v>
      </c>
      <c r="AS505" s="47">
        <f>(4+(10/60))*AJ505</f>
        <v>13.55</v>
      </c>
    </row>
    <row r="506" spans="1:52" s="3" customFormat="1" x14ac:dyDescent="0.2">
      <c r="A506" s="4">
        <v>4901</v>
      </c>
      <c r="B506" s="4">
        <v>5647</v>
      </c>
      <c r="C506" s="4">
        <v>3716</v>
      </c>
      <c r="D506" s="4"/>
      <c r="E506" s="3" t="s">
        <v>939</v>
      </c>
      <c r="H506" s="4"/>
      <c r="I506" s="63">
        <v>8.4960000000000004</v>
      </c>
      <c r="J506" s="16"/>
      <c r="K506" s="16"/>
      <c r="L506" s="4"/>
      <c r="M506" s="9"/>
      <c r="N506" s="9"/>
      <c r="O506" s="9">
        <f>AL506/AN506-1</f>
        <v>0.37829566854990593</v>
      </c>
      <c r="P506" s="47">
        <v>13.24</v>
      </c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77">
        <v>13.24</v>
      </c>
      <c r="AK506" s="76" t="s">
        <v>773</v>
      </c>
      <c r="AL506" s="76">
        <v>11.71</v>
      </c>
      <c r="AM506" s="76" t="s">
        <v>773</v>
      </c>
      <c r="AN506" s="76">
        <v>8.4960000000000004</v>
      </c>
      <c r="AO506" s="76" t="s">
        <v>773</v>
      </c>
      <c r="AP506" s="76" t="s">
        <v>773</v>
      </c>
      <c r="AQ506" s="76" t="s">
        <v>773</v>
      </c>
      <c r="AR506" s="23">
        <v>0.21388888888888888</v>
      </c>
    </row>
    <row r="507" spans="1:52" s="3" customFormat="1" x14ac:dyDescent="0.2">
      <c r="A507" s="4">
        <v>7108</v>
      </c>
      <c r="B507" s="4">
        <v>4732</v>
      </c>
      <c r="C507" s="4">
        <v>11116</v>
      </c>
      <c r="D507" s="4"/>
      <c r="E507" s="3" t="s">
        <v>870</v>
      </c>
      <c r="H507" s="4"/>
      <c r="I507" s="46">
        <v>6.3339999999999996</v>
      </c>
      <c r="J507" s="16"/>
      <c r="K507" s="16"/>
      <c r="L507" s="1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>
        <v>4.7409999999999997</v>
      </c>
      <c r="AK507" s="2"/>
      <c r="AL507" s="9">
        <v>5.9790000000000001</v>
      </c>
      <c r="AM507" s="46"/>
      <c r="AN507" s="46">
        <v>6.3339999999999996</v>
      </c>
      <c r="AO507" s="46"/>
      <c r="AP507" s="46"/>
      <c r="AQ507" s="52"/>
      <c r="AR507" s="23">
        <v>0.1361111111111111</v>
      </c>
      <c r="AX507"/>
      <c r="AY507"/>
      <c r="AZ507"/>
    </row>
    <row r="508" spans="1:52" s="3" customFormat="1" x14ac:dyDescent="0.2">
      <c r="A508" s="4"/>
      <c r="B508" s="4"/>
      <c r="C508" s="4"/>
      <c r="D508" s="4"/>
      <c r="E508" s="3" t="s">
        <v>1475</v>
      </c>
      <c r="H508" s="4"/>
      <c r="I508" s="4"/>
      <c r="J508" s="16"/>
      <c r="K508" s="16"/>
      <c r="L508" s="4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4"/>
      <c r="AK508" s="4"/>
      <c r="AL508" s="4"/>
      <c r="AM508" s="46"/>
      <c r="AN508" s="46"/>
      <c r="AO508" s="46"/>
      <c r="AP508" s="46"/>
      <c r="AQ508" s="58"/>
      <c r="AR508" s="48"/>
      <c r="AS508" s="47"/>
    </row>
    <row r="509" spans="1:52" s="3" customFormat="1" x14ac:dyDescent="0.2">
      <c r="A509" s="4"/>
      <c r="B509" s="4"/>
      <c r="C509" s="4"/>
      <c r="D509" s="4"/>
      <c r="E509" s="3" t="s">
        <v>1476</v>
      </c>
      <c r="H509" s="4"/>
      <c r="I509" s="4"/>
      <c r="J509" s="16"/>
      <c r="K509" s="16"/>
      <c r="L509" s="4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4"/>
      <c r="AK509" s="4"/>
      <c r="AL509" s="4"/>
      <c r="AM509" s="46"/>
      <c r="AN509" s="46"/>
      <c r="AO509" s="46"/>
      <c r="AP509" s="46"/>
      <c r="AQ509" s="58"/>
      <c r="AR509" s="48"/>
      <c r="AS509" s="47"/>
    </row>
    <row r="510" spans="1:52" x14ac:dyDescent="0.2">
      <c r="A510" s="2">
        <v>1073</v>
      </c>
      <c r="C510" s="2">
        <v>16</v>
      </c>
      <c r="E510" t="s">
        <v>774</v>
      </c>
      <c r="F510" t="s">
        <v>1222</v>
      </c>
      <c r="H510" s="2">
        <v>30900</v>
      </c>
      <c r="I510" s="2">
        <v>1910</v>
      </c>
      <c r="J510" s="57">
        <v>68.23</v>
      </c>
      <c r="K510" s="57">
        <v>29.79</v>
      </c>
      <c r="P510" s="2">
        <v>3410</v>
      </c>
      <c r="Q510" s="2">
        <v>3507</v>
      </c>
      <c r="R510" s="2">
        <v>3407</v>
      </c>
      <c r="S510" s="2">
        <v>3387</v>
      </c>
      <c r="T510" s="2">
        <v>3375</v>
      </c>
      <c r="U510" s="2">
        <v>3513</v>
      </c>
      <c r="V510" s="2">
        <v>3796</v>
      </c>
      <c r="W510" s="2">
        <v>3504</v>
      </c>
      <c r="X510" s="2">
        <v>3469</v>
      </c>
      <c r="Y510" s="2">
        <v>3487</v>
      </c>
      <c r="Z510" s="2">
        <v>3904</v>
      </c>
      <c r="AA510" s="2">
        <v>3514</v>
      </c>
      <c r="AB510" s="2">
        <v>3703</v>
      </c>
      <c r="AJ510" s="2">
        <v>3134</v>
      </c>
      <c r="AK510" s="2">
        <v>1824</v>
      </c>
      <c r="AL510" s="2">
        <v>1823</v>
      </c>
      <c r="AM510" s="2">
        <v>1910</v>
      </c>
      <c r="AN510" s="2" t="s">
        <v>773</v>
      </c>
      <c r="AO510" s="2">
        <v>1892</v>
      </c>
      <c r="AP510" s="2" t="s">
        <v>773</v>
      </c>
      <c r="AQ510" s="2" t="s">
        <v>773</v>
      </c>
      <c r="AR510" s="19">
        <v>0.39374999999999999</v>
      </c>
      <c r="AS510" s="8">
        <f>(9+(27/60))*AO510</f>
        <v>17879.399999999998</v>
      </c>
      <c r="AT510">
        <v>1996</v>
      </c>
    </row>
    <row r="511" spans="1:52" x14ac:dyDescent="0.2">
      <c r="A511" s="2">
        <v>27217</v>
      </c>
      <c r="C511" s="2">
        <v>18</v>
      </c>
      <c r="E511" t="s">
        <v>775</v>
      </c>
      <c r="F511" t="s">
        <v>1245</v>
      </c>
      <c r="H511" s="2">
        <v>140270</v>
      </c>
      <c r="I511" s="2">
        <v>1814</v>
      </c>
      <c r="J511" s="57">
        <v>64.81</v>
      </c>
      <c r="K511" s="57">
        <v>25.37</v>
      </c>
      <c r="P511" s="8">
        <v>352.7</v>
      </c>
      <c r="Q511" s="8">
        <v>405.58</v>
      </c>
      <c r="R511" s="8">
        <v>359.21776</v>
      </c>
      <c r="S511" s="8">
        <v>336.662734</v>
      </c>
      <c r="T511" s="8">
        <v>334.01014600000002</v>
      </c>
      <c r="U511" s="8">
        <v>362.41020300000002</v>
      </c>
      <c r="V511" s="8">
        <v>400.57457499999998</v>
      </c>
      <c r="W511" s="8">
        <v>415.93900600000001</v>
      </c>
      <c r="X511" s="8">
        <v>393.814459</v>
      </c>
      <c r="Y511" s="8">
        <v>441.47230400000001</v>
      </c>
      <c r="Z511" s="8">
        <v>453.35098799999997</v>
      </c>
      <c r="AA511" s="8">
        <v>396.57734299999998</v>
      </c>
      <c r="AB511" s="8">
        <v>414.71050400000001</v>
      </c>
      <c r="AJ511" s="2">
        <v>466.1</v>
      </c>
      <c r="AK511" s="2">
        <v>1840</v>
      </c>
      <c r="AL511" s="2">
        <v>1657</v>
      </c>
      <c r="AM511" s="2">
        <v>1814</v>
      </c>
      <c r="AN511" s="2" t="s">
        <v>773</v>
      </c>
      <c r="AO511" s="2">
        <v>1647</v>
      </c>
      <c r="AP511" s="2" t="s">
        <v>773</v>
      </c>
      <c r="AQ511" s="2" t="s">
        <v>773</v>
      </c>
      <c r="AR511" s="19">
        <v>0.23611111111111113</v>
      </c>
      <c r="AS511" s="8">
        <f>(5+(40/60))*AO511</f>
        <v>9333</v>
      </c>
      <c r="AT511">
        <v>1992</v>
      </c>
    </row>
    <row r="512" spans="1:52" x14ac:dyDescent="0.2">
      <c r="A512" s="2">
        <v>3522</v>
      </c>
      <c r="C512" s="2">
        <v>23</v>
      </c>
      <c r="E512" t="s">
        <v>776</v>
      </c>
      <c r="F512" t="s">
        <v>1246</v>
      </c>
      <c r="H512" s="2">
        <v>1700</v>
      </c>
      <c r="I512" s="2">
        <v>1330</v>
      </c>
      <c r="J512" s="57">
        <v>47.51</v>
      </c>
      <c r="K512" s="57">
        <v>19.87</v>
      </c>
      <c r="P512" s="8">
        <v>671.41321000000005</v>
      </c>
      <c r="Q512" s="8">
        <v>649.72007399999995</v>
      </c>
      <c r="R512" s="8">
        <v>718.26497400000005</v>
      </c>
      <c r="S512" s="8">
        <v>547.792461</v>
      </c>
      <c r="T512" s="8">
        <v>717.00321499999995</v>
      </c>
      <c r="U512" s="8">
        <v>600.88959399999999</v>
      </c>
      <c r="V512" s="8">
        <v>648.36924499999998</v>
      </c>
      <c r="W512" s="8">
        <v>671.44078999999999</v>
      </c>
      <c r="X512" s="8">
        <v>736.42003499999998</v>
      </c>
      <c r="Y512" s="8">
        <v>680.161835</v>
      </c>
      <c r="Z512" s="8">
        <v>785.89646600000003</v>
      </c>
      <c r="AA512" s="8">
        <v>752.09014000000002</v>
      </c>
      <c r="AB512" s="8">
        <v>843.51755200000002</v>
      </c>
      <c r="AJ512" s="2">
        <v>1468</v>
      </c>
      <c r="AK512" s="2">
        <v>1246</v>
      </c>
      <c r="AL512" s="2">
        <v>1278</v>
      </c>
      <c r="AM512" s="2">
        <v>1330</v>
      </c>
      <c r="AN512" s="2" t="s">
        <v>773</v>
      </c>
      <c r="AO512" s="2">
        <v>1343</v>
      </c>
      <c r="AP512" s="2" t="s">
        <v>773</v>
      </c>
      <c r="AQ512" s="2" t="s">
        <v>773</v>
      </c>
      <c r="AR512" s="19">
        <v>0.37083333333333335</v>
      </c>
      <c r="AS512" s="8">
        <f>(8+(54/60))*AO512</f>
        <v>11952.7</v>
      </c>
      <c r="AT512">
        <v>2015</v>
      </c>
    </row>
    <row r="513" spans="1:52" x14ac:dyDescent="0.2">
      <c r="A513" s="2">
        <v>407</v>
      </c>
      <c r="C513" s="2">
        <v>28</v>
      </c>
      <c r="E513" t="s">
        <v>777</v>
      </c>
      <c r="F513" t="s">
        <v>1246</v>
      </c>
      <c r="H513" s="2">
        <v>1700</v>
      </c>
      <c r="I513" s="2">
        <v>1109</v>
      </c>
      <c r="J513" s="57">
        <v>39.619999999999997</v>
      </c>
      <c r="K513" s="57">
        <v>18.62</v>
      </c>
      <c r="P513" s="8">
        <v>1278.553795</v>
      </c>
      <c r="Q513" s="8">
        <v>1202.441161</v>
      </c>
      <c r="R513" s="8">
        <v>1299.942759</v>
      </c>
      <c r="S513" s="8">
        <v>1129.355448</v>
      </c>
      <c r="T513" s="8">
        <v>1486.663939</v>
      </c>
      <c r="U513" s="8">
        <v>1265.4689410000001</v>
      </c>
      <c r="V513" s="8">
        <v>1349.1682920000001</v>
      </c>
      <c r="W513" s="8">
        <v>1488.1335790000001</v>
      </c>
      <c r="X513" s="8">
        <v>1538.3773160000001</v>
      </c>
      <c r="Y513" s="8">
        <v>1560.220599</v>
      </c>
      <c r="Z513" s="8">
        <v>1642.6299200000001</v>
      </c>
      <c r="AA513" s="8">
        <v>1545.5089800000001</v>
      </c>
      <c r="AB513" s="8">
        <v>1512.9513549999999</v>
      </c>
      <c r="AJ513" s="1">
        <v>991</v>
      </c>
      <c r="AK513" s="2">
        <v>1117</v>
      </c>
      <c r="AL513" s="2">
        <v>1085</v>
      </c>
      <c r="AM513" s="2">
        <v>1109</v>
      </c>
      <c r="AN513" s="2" t="s">
        <v>773</v>
      </c>
      <c r="AO513" s="2">
        <v>1162</v>
      </c>
      <c r="AP513" s="2" t="s">
        <v>773</v>
      </c>
      <c r="AQ513" s="2" t="s">
        <v>773</v>
      </c>
      <c r="AR513" s="19">
        <v>0.52500000000000002</v>
      </c>
      <c r="AS513" s="8">
        <f>(12+(36/60))*AO513</f>
        <v>14641.199999999999</v>
      </c>
      <c r="AT513">
        <v>2006</v>
      </c>
    </row>
    <row r="514" spans="1:52" x14ac:dyDescent="0.2">
      <c r="A514" s="2">
        <v>1719</v>
      </c>
      <c r="B514" s="2">
        <v>489</v>
      </c>
      <c r="C514" s="2">
        <v>45</v>
      </c>
      <c r="E514" t="s">
        <v>1226</v>
      </c>
      <c r="F514" t="s">
        <v>1227</v>
      </c>
      <c r="H514" s="2">
        <v>600000</v>
      </c>
      <c r="I514" s="2">
        <v>638.9</v>
      </c>
      <c r="J514" s="15">
        <v>22.82</v>
      </c>
      <c r="K514" s="15">
        <v>17.38</v>
      </c>
      <c r="P514" s="8">
        <v>126.409514</v>
      </c>
      <c r="Q514" s="8">
        <v>107.601553</v>
      </c>
      <c r="R514" s="8">
        <v>127.76248200000001</v>
      </c>
      <c r="S514" s="8">
        <v>126.778386</v>
      </c>
      <c r="T514" s="8">
        <v>123.96180200000001</v>
      </c>
      <c r="U514" s="8">
        <v>128.72501600000001</v>
      </c>
      <c r="V514" s="8">
        <v>92.027028999999999</v>
      </c>
      <c r="W514" s="8">
        <v>86.629988999999995</v>
      </c>
      <c r="X514" s="8">
        <v>119.68752000000001</v>
      </c>
      <c r="Y514" s="8">
        <v>128.90554299999999</v>
      </c>
      <c r="Z514" s="8">
        <v>166.59626800000001</v>
      </c>
      <c r="AA514" s="8">
        <v>178.84894700000001</v>
      </c>
      <c r="AB514" s="8">
        <v>153.530282</v>
      </c>
      <c r="AJ514" s="2">
        <v>416.3</v>
      </c>
      <c r="AK514" s="2">
        <v>723.6</v>
      </c>
      <c r="AL514" s="2">
        <v>737.5</v>
      </c>
      <c r="AM514" s="2">
        <v>638.9</v>
      </c>
      <c r="AN514" s="2" t="s">
        <v>773</v>
      </c>
      <c r="AO514" s="2" t="s">
        <v>773</v>
      </c>
      <c r="AP514" s="2" t="s">
        <v>773</v>
      </c>
      <c r="AQ514" s="2" t="s">
        <v>773</v>
      </c>
      <c r="AR514" s="19">
        <v>0.1451388888888889</v>
      </c>
      <c r="AS514" s="8">
        <f>(3+(29/30))*AM514</f>
        <v>2534.3033333333333</v>
      </c>
    </row>
    <row r="515" spans="1:52" x14ac:dyDescent="0.2">
      <c r="A515" s="2">
        <v>3168</v>
      </c>
      <c r="B515" s="2">
        <v>24237</v>
      </c>
      <c r="C515" s="2">
        <v>53</v>
      </c>
      <c r="E515" t="s">
        <v>1230</v>
      </c>
      <c r="F515" t="s">
        <v>1222</v>
      </c>
      <c r="I515" s="2">
        <v>587.5</v>
      </c>
      <c r="J515" s="15">
        <v>20.98</v>
      </c>
      <c r="K515" s="15">
        <v>10.42</v>
      </c>
      <c r="AJ515" s="2">
        <v>1041</v>
      </c>
      <c r="AK515" s="2">
        <v>582.6</v>
      </c>
      <c r="AL515" s="2">
        <v>576.9</v>
      </c>
      <c r="AM515" s="2">
        <v>587.5</v>
      </c>
      <c r="AN515" s="2" t="s">
        <v>773</v>
      </c>
      <c r="AO515" s="2" t="s">
        <v>773</v>
      </c>
      <c r="AP515" s="2" t="s">
        <v>773</v>
      </c>
      <c r="AQ515" s="2" t="s">
        <v>773</v>
      </c>
      <c r="AR515" s="19">
        <v>0.27986111111111112</v>
      </c>
      <c r="AS515" s="8">
        <f>(6+(43/60))*AM515</f>
        <v>3946.0416666666665</v>
      </c>
    </row>
    <row r="516" spans="1:52" x14ac:dyDescent="0.2">
      <c r="A516" s="2">
        <v>21092</v>
      </c>
      <c r="B516" s="2">
        <v>3282</v>
      </c>
      <c r="C516" s="2">
        <v>33</v>
      </c>
      <c r="E516" t="s">
        <v>1224</v>
      </c>
      <c r="I516" s="2">
        <v>957.5</v>
      </c>
      <c r="J516" s="15">
        <v>34.19</v>
      </c>
      <c r="K516" s="15">
        <v>25.31</v>
      </c>
      <c r="AJ516" s="2">
        <v>310.10000000000002</v>
      </c>
      <c r="AK516" s="2">
        <v>945.5</v>
      </c>
      <c r="AL516" s="2">
        <v>892.8</v>
      </c>
      <c r="AM516" s="2">
        <v>957.5</v>
      </c>
      <c r="AN516" s="2" t="s">
        <v>773</v>
      </c>
      <c r="AO516" s="2" t="s">
        <v>773</v>
      </c>
      <c r="AP516" s="2" t="s">
        <v>773</v>
      </c>
      <c r="AQ516" s="2" t="s">
        <v>773</v>
      </c>
      <c r="AR516" s="19">
        <v>5.6250000000000001E-2</v>
      </c>
      <c r="AS516" s="8">
        <f>(1+(21/60))*AM516</f>
        <v>1292.625</v>
      </c>
    </row>
    <row r="517" spans="1:52" x14ac:dyDescent="0.2">
      <c r="A517" s="2">
        <v>1202</v>
      </c>
      <c r="B517" s="2">
        <v>36</v>
      </c>
      <c r="C517" s="2">
        <v>30</v>
      </c>
      <c r="E517" t="s">
        <v>1225</v>
      </c>
      <c r="I517" s="2">
        <v>1046</v>
      </c>
      <c r="J517" s="15">
        <v>37.369999999999997</v>
      </c>
      <c r="K517" s="15">
        <v>19.16</v>
      </c>
      <c r="AJ517" s="2">
        <v>927.4</v>
      </c>
      <c r="AK517" s="2">
        <v>1008</v>
      </c>
      <c r="AL517" s="2">
        <v>1087</v>
      </c>
      <c r="AM517" s="2">
        <v>1046</v>
      </c>
      <c r="AN517" s="14" t="s">
        <v>773</v>
      </c>
      <c r="AO517" s="2" t="s">
        <v>773</v>
      </c>
      <c r="AP517" s="14" t="s">
        <v>773</v>
      </c>
      <c r="AQ517" s="14" t="s">
        <v>773</v>
      </c>
      <c r="AR517" s="19">
        <v>0.33958333333333335</v>
      </c>
      <c r="AS517" s="8">
        <f>(8+(9/60))*AM517</f>
        <v>8524.9</v>
      </c>
    </row>
    <row r="518" spans="1:52" s="5" customFormat="1" x14ac:dyDescent="0.2">
      <c r="A518" s="6">
        <v>5599</v>
      </c>
      <c r="B518" s="2">
        <v>60</v>
      </c>
      <c r="C518" s="6">
        <v>380</v>
      </c>
      <c r="D518" s="6"/>
      <c r="E518" s="5" t="s">
        <v>124</v>
      </c>
      <c r="F518" s="5" t="s">
        <v>533</v>
      </c>
      <c r="H518" s="6">
        <v>30480</v>
      </c>
      <c r="I518" s="6">
        <v>116.5</v>
      </c>
      <c r="J518" s="17">
        <v>4.1639999999999997</v>
      </c>
      <c r="K518" s="17">
        <v>2.552</v>
      </c>
      <c r="L518" s="6"/>
      <c r="M518" s="7"/>
      <c r="N518" s="7"/>
      <c r="O518" s="7"/>
      <c r="P518" s="8">
        <v>106.192201</v>
      </c>
      <c r="Q518" s="8">
        <v>103.36802900000001</v>
      </c>
      <c r="R518" s="8">
        <v>109.769625</v>
      </c>
      <c r="S518" s="8">
        <v>99.814751999999999</v>
      </c>
      <c r="T518" s="8">
        <v>97.856289000000004</v>
      </c>
      <c r="U518" s="8">
        <v>93.128262000000007</v>
      </c>
      <c r="V518" s="8">
        <v>113.265535</v>
      </c>
      <c r="W518" s="8">
        <v>127.227411</v>
      </c>
      <c r="X518" s="8">
        <v>204.18946299999999</v>
      </c>
      <c r="Y518" s="8">
        <v>222.25219899999999</v>
      </c>
      <c r="Z518" s="8">
        <v>247.26208199999999</v>
      </c>
      <c r="AA518" s="8">
        <v>254.25969000000001</v>
      </c>
      <c r="AB518" s="8">
        <v>264.50171599999999</v>
      </c>
      <c r="AC518" s="7"/>
      <c r="AD518" s="7"/>
      <c r="AE518" s="7"/>
      <c r="AF518" s="7"/>
      <c r="AG518" s="7"/>
      <c r="AH518" s="7"/>
      <c r="AI518" s="7"/>
      <c r="AJ518" s="6">
        <v>8.8810000000000002</v>
      </c>
      <c r="AK518" s="6">
        <v>128.1</v>
      </c>
      <c r="AL518" s="6">
        <v>109.9</v>
      </c>
      <c r="AM518" s="6">
        <v>116.5</v>
      </c>
      <c r="AN518" s="50" t="s">
        <v>773</v>
      </c>
      <c r="AO518" s="6">
        <v>118.7</v>
      </c>
      <c r="AP518" s="6" t="s">
        <v>773</v>
      </c>
      <c r="AQ518" s="6" t="s">
        <v>773</v>
      </c>
      <c r="AR518" s="53">
        <v>0.19097222222222221</v>
      </c>
      <c r="AS518" s="54">
        <f>(4+(35/60))*AO518</f>
        <v>544.04166666666663</v>
      </c>
      <c r="AX518"/>
      <c r="AY518"/>
      <c r="AZ518"/>
    </row>
    <row r="519" spans="1:52" x14ac:dyDescent="0.2">
      <c r="A519" s="2">
        <v>2613</v>
      </c>
      <c r="B519" s="2">
        <v>66</v>
      </c>
      <c r="C519" s="2">
        <v>50</v>
      </c>
      <c r="E519" t="s">
        <v>1231</v>
      </c>
      <c r="F519" t="s">
        <v>2</v>
      </c>
      <c r="G519" t="s">
        <v>1280</v>
      </c>
      <c r="I519" s="2">
        <v>525</v>
      </c>
      <c r="J519" s="15">
        <v>18.75</v>
      </c>
      <c r="K519" s="15">
        <v>11.28</v>
      </c>
      <c r="AJ519" s="2">
        <v>522.29999999999995</v>
      </c>
      <c r="AK519" s="2">
        <v>568.9</v>
      </c>
      <c r="AL519" s="2">
        <v>531.20000000000005</v>
      </c>
      <c r="AM519" s="2">
        <v>525</v>
      </c>
      <c r="AN519" s="14" t="s">
        <v>773</v>
      </c>
      <c r="AO519" s="14" t="s">
        <v>773</v>
      </c>
      <c r="AP519" s="14" t="s">
        <v>773</v>
      </c>
      <c r="AQ519" s="14" t="s">
        <v>773</v>
      </c>
      <c r="AR519" s="19">
        <v>0.2722222222222222</v>
      </c>
      <c r="AS519" s="8">
        <f>(6+(32/60))*AM519</f>
        <v>3430</v>
      </c>
    </row>
    <row r="520" spans="1:52" x14ac:dyDescent="0.2">
      <c r="A520" s="2" t="s">
        <v>773</v>
      </c>
      <c r="C520" s="2">
        <v>57</v>
      </c>
      <c r="E520" t="s">
        <v>1344</v>
      </c>
      <c r="AJ520" s="2">
        <v>451.4</v>
      </c>
      <c r="AK520" s="2" t="s">
        <v>773</v>
      </c>
      <c r="AL520" s="2" t="s">
        <v>773</v>
      </c>
      <c r="AM520" s="14" t="s">
        <v>773</v>
      </c>
      <c r="AN520" s="14" t="s">
        <v>773</v>
      </c>
      <c r="AO520" s="14" t="s">
        <v>773</v>
      </c>
      <c r="AP520" s="14" t="s">
        <v>773</v>
      </c>
      <c r="AQ520" s="57" t="s">
        <v>773</v>
      </c>
      <c r="AR520" s="19">
        <v>0.26597222222222222</v>
      </c>
      <c r="AS520" s="8">
        <f>(4+(7/60))*AJ520</f>
        <v>1858.2633333333331</v>
      </c>
    </row>
    <row r="521" spans="1:52" x14ac:dyDescent="0.2">
      <c r="A521" s="2">
        <v>796</v>
      </c>
      <c r="B521" s="2">
        <v>37</v>
      </c>
      <c r="C521" s="2">
        <v>76</v>
      </c>
      <c r="E521" t="s">
        <v>1229</v>
      </c>
      <c r="F521" t="s">
        <v>6</v>
      </c>
      <c r="H521" s="2">
        <v>5000</v>
      </c>
      <c r="I521" s="2">
        <v>661.3</v>
      </c>
      <c r="J521" s="15">
        <v>23.61</v>
      </c>
      <c r="K521" s="15">
        <v>13.51</v>
      </c>
      <c r="P521" s="8">
        <v>1222.0584429999999</v>
      </c>
      <c r="Q521" s="8">
        <v>1034.9689169999999</v>
      </c>
      <c r="R521" s="8">
        <v>1230.0425069999999</v>
      </c>
      <c r="S521" s="8">
        <v>1261.222771</v>
      </c>
      <c r="T521" s="8">
        <v>1164.42725</v>
      </c>
      <c r="U521" s="8">
        <v>1051.485471</v>
      </c>
      <c r="V521" s="8">
        <v>1079.282913</v>
      </c>
      <c r="W521" s="8">
        <v>1219.8859709999999</v>
      </c>
      <c r="X521" s="8">
        <v>1257.3045549999999</v>
      </c>
      <c r="Y521" s="8">
        <v>1207.938367</v>
      </c>
      <c r="Z521" s="8">
        <v>1246.4357339999999</v>
      </c>
      <c r="AA521" s="8">
        <v>1301.051917</v>
      </c>
      <c r="AB521" s="8">
        <v>1296.8722339999999</v>
      </c>
      <c r="AJ521" s="2">
        <v>783</v>
      </c>
      <c r="AK521" s="2">
        <v>618.1</v>
      </c>
      <c r="AL521" s="2">
        <v>664</v>
      </c>
      <c r="AM521" s="2">
        <v>661.3</v>
      </c>
      <c r="AN521" s="14" t="s">
        <v>773</v>
      </c>
      <c r="AO521" s="14" t="s">
        <v>773</v>
      </c>
      <c r="AP521" s="14" t="s">
        <v>773</v>
      </c>
      <c r="AQ521" s="14" t="s">
        <v>773</v>
      </c>
      <c r="AR521" s="19">
        <v>0.17708333333333334</v>
      </c>
      <c r="AS521" s="8">
        <f>(4+(15/60))*AM521</f>
        <v>2810.5249999999996</v>
      </c>
    </row>
    <row r="522" spans="1:52" x14ac:dyDescent="0.2">
      <c r="A522" s="2">
        <v>2031</v>
      </c>
      <c r="B522" s="2">
        <v>39</v>
      </c>
      <c r="C522" s="2">
        <v>82</v>
      </c>
      <c r="E522" t="s">
        <v>1240</v>
      </c>
      <c r="I522" s="2">
        <v>505</v>
      </c>
      <c r="J522" s="15">
        <v>18.03</v>
      </c>
      <c r="K522" s="15">
        <v>10.56</v>
      </c>
      <c r="AJ522" s="2">
        <v>156.4</v>
      </c>
      <c r="AK522" s="2">
        <v>481.7</v>
      </c>
      <c r="AL522" s="2">
        <v>498.4</v>
      </c>
      <c r="AM522" s="2">
        <v>505</v>
      </c>
      <c r="AN522" s="14" t="s">
        <v>773</v>
      </c>
      <c r="AO522" s="14" t="s">
        <v>773</v>
      </c>
      <c r="AP522" s="14" t="s">
        <v>773</v>
      </c>
      <c r="AQ522" s="14" t="s">
        <v>773</v>
      </c>
      <c r="AR522" s="19">
        <v>3.2638888888888891E-2</v>
      </c>
      <c r="AS522" s="8">
        <f>(47/60)*AM522</f>
        <v>395.58333333333331</v>
      </c>
    </row>
    <row r="523" spans="1:52" x14ac:dyDescent="0.2">
      <c r="A523" s="2">
        <v>738</v>
      </c>
      <c r="B523" s="2">
        <v>57</v>
      </c>
      <c r="C523" s="2">
        <v>101</v>
      </c>
      <c r="E523" s="3" t="s">
        <v>906</v>
      </c>
      <c r="F523" s="3"/>
      <c r="G523" s="3" t="s">
        <v>1257</v>
      </c>
      <c r="I523" s="2">
        <v>223.9</v>
      </c>
      <c r="J523" s="15">
        <v>7.9989999999999997</v>
      </c>
      <c r="K523" s="15">
        <v>4.6280000000000001</v>
      </c>
      <c r="P523" s="8">
        <v>258.37993599999999</v>
      </c>
      <c r="Q523" s="8">
        <v>241.021152</v>
      </c>
      <c r="R523" s="8">
        <v>270.30766599999998</v>
      </c>
      <c r="S523" s="8">
        <v>245.750619</v>
      </c>
      <c r="T523" s="8">
        <v>237.86867599999999</v>
      </c>
      <c r="U523" s="8">
        <v>210.486672</v>
      </c>
      <c r="V523" s="8">
        <v>240.063241</v>
      </c>
      <c r="W523" s="8">
        <v>245.445652</v>
      </c>
      <c r="X523" s="8">
        <v>266.51462299999997</v>
      </c>
      <c r="Y523" s="8">
        <v>266.14104800000001</v>
      </c>
      <c r="Z523" s="8">
        <v>300.90450199999998</v>
      </c>
      <c r="AA523" s="8">
        <v>263.21287899999999</v>
      </c>
      <c r="AB523" s="8">
        <v>251.83457100000001</v>
      </c>
      <c r="AJ523" s="2">
        <v>187</v>
      </c>
      <c r="AK523" s="2">
        <v>205.9</v>
      </c>
      <c r="AL523" s="2">
        <v>217.7</v>
      </c>
      <c r="AM523" s="2">
        <v>223.9</v>
      </c>
      <c r="AN523" s="2" t="s">
        <v>773</v>
      </c>
      <c r="AO523" s="2" t="s">
        <v>773</v>
      </c>
      <c r="AP523" s="2" t="s">
        <v>773</v>
      </c>
      <c r="AQ523" s="2" t="s">
        <v>773</v>
      </c>
      <c r="AR523" s="19">
        <v>0.35138888888888892</v>
      </c>
      <c r="AS523" s="8">
        <f>(8+(26/30))*AM523</f>
        <v>1985.2466666666669</v>
      </c>
    </row>
    <row r="524" spans="1:52" x14ac:dyDescent="0.2">
      <c r="A524" s="2">
        <v>8907</v>
      </c>
      <c r="B524" s="2">
        <v>59</v>
      </c>
      <c r="C524" s="2">
        <v>136</v>
      </c>
      <c r="E524" t="s">
        <v>1288</v>
      </c>
      <c r="I524" s="2">
        <v>157.19999999999999</v>
      </c>
      <c r="J524" s="15">
        <v>5.6150000000000002</v>
      </c>
      <c r="K524" s="15">
        <v>3.49</v>
      </c>
      <c r="P524" s="8">
        <v>38.865037000000001</v>
      </c>
      <c r="Q524" s="8">
        <v>30.654482999999999</v>
      </c>
      <c r="R524" s="8">
        <v>41.941941999999997</v>
      </c>
      <c r="S524" s="8">
        <v>34.580320999999998</v>
      </c>
      <c r="T524" s="8">
        <v>33.132060000000003</v>
      </c>
      <c r="U524" s="8">
        <v>38.281266000000002</v>
      </c>
      <c r="V524" s="8">
        <v>27.968533999999998</v>
      </c>
      <c r="W524" s="8">
        <v>28.621979</v>
      </c>
      <c r="X524" s="8">
        <v>34.349792000000001</v>
      </c>
      <c r="Y524" s="8">
        <v>33.915819999999997</v>
      </c>
      <c r="Z524" s="8">
        <v>40.822899</v>
      </c>
      <c r="AA524" s="8">
        <v>43.749751000000003</v>
      </c>
      <c r="AB524" s="8">
        <v>33.636378000000001</v>
      </c>
      <c r="AJ524" s="2">
        <v>46.14</v>
      </c>
      <c r="AK524" s="2">
        <v>72.66</v>
      </c>
      <c r="AL524" s="2">
        <v>157.19999999999999</v>
      </c>
      <c r="AM524" s="2" t="s">
        <v>773</v>
      </c>
      <c r="AN524" s="2" t="s">
        <v>773</v>
      </c>
      <c r="AO524" s="2" t="s">
        <v>773</v>
      </c>
      <c r="AP524" s="2" t="s">
        <v>773</v>
      </c>
      <c r="AQ524" s="2" t="s">
        <v>773</v>
      </c>
      <c r="AR524" s="19">
        <v>0.31597222222222221</v>
      </c>
      <c r="AS524" s="8">
        <f>(7+(35/60))*AL524</f>
        <v>1192.0999999999999</v>
      </c>
    </row>
    <row r="525" spans="1:52" x14ac:dyDescent="0.2">
      <c r="A525" s="2">
        <v>572</v>
      </c>
      <c r="B525" s="2">
        <v>103</v>
      </c>
      <c r="C525" s="2">
        <v>167</v>
      </c>
      <c r="E525" t="s">
        <v>325</v>
      </c>
      <c r="I525" s="2">
        <v>283.3</v>
      </c>
      <c r="J525" s="15">
        <v>10.11</v>
      </c>
      <c r="K525" s="16">
        <v>9.0280000000000005</v>
      </c>
      <c r="P525" s="8">
        <v>2257.3749520000001</v>
      </c>
      <c r="Q525" s="8">
        <v>1738.694113</v>
      </c>
      <c r="R525" s="8">
        <v>2156.9070390000002</v>
      </c>
      <c r="S525" s="8">
        <v>2388.9022420000001</v>
      </c>
      <c r="T525" s="8">
        <v>2476.4790269999999</v>
      </c>
      <c r="U525" s="8">
        <v>2370.1993160000002</v>
      </c>
      <c r="V525" s="8">
        <v>2307.2208409999998</v>
      </c>
      <c r="W525" s="8">
        <v>2441.173288</v>
      </c>
      <c r="X525" s="8">
        <v>2533.6185599999999</v>
      </c>
      <c r="Y525" s="8">
        <v>2885.704389</v>
      </c>
      <c r="Z525" s="8">
        <v>2555.279372</v>
      </c>
      <c r="AA525" s="8">
        <v>2543.0102280000001</v>
      </c>
      <c r="AB525" s="8">
        <v>2634.3966489999998</v>
      </c>
      <c r="AJ525" s="2">
        <v>364.6</v>
      </c>
      <c r="AK525" s="2">
        <v>428.9</v>
      </c>
      <c r="AL525" s="2">
        <v>283.3</v>
      </c>
      <c r="AM525" s="14" t="s">
        <v>773</v>
      </c>
      <c r="AN525" s="14" t="s">
        <v>773</v>
      </c>
      <c r="AO525" s="14" t="s">
        <v>773</v>
      </c>
      <c r="AP525" s="14" t="s">
        <v>773</v>
      </c>
      <c r="AQ525" s="57" t="s">
        <v>773</v>
      </c>
      <c r="AR525" s="19">
        <v>1.3888888888888888E-2</v>
      </c>
      <c r="AS525" s="8">
        <f>(20/60)*AL525</f>
        <v>94.433333333333337</v>
      </c>
    </row>
    <row r="526" spans="1:52" x14ac:dyDescent="0.2">
      <c r="A526" s="2">
        <v>215</v>
      </c>
      <c r="B526" s="2">
        <v>221</v>
      </c>
      <c r="C526" s="2">
        <v>243</v>
      </c>
      <c r="E526" t="s">
        <v>181</v>
      </c>
      <c r="F526" t="s">
        <v>696</v>
      </c>
      <c r="H526" s="2">
        <v>0</v>
      </c>
      <c r="I526" s="2">
        <v>174</v>
      </c>
      <c r="J526" s="15">
        <v>6.2149999999999999</v>
      </c>
      <c r="K526" s="15">
        <v>2.5489999999999999</v>
      </c>
      <c r="P526" s="8">
        <v>2464.3061750000002</v>
      </c>
      <c r="Q526" s="8">
        <v>1898.371979</v>
      </c>
      <c r="R526" s="8">
        <v>2392.2286389999999</v>
      </c>
      <c r="S526" s="8">
        <v>2856.227359</v>
      </c>
      <c r="T526" s="8">
        <v>2172.723841</v>
      </c>
      <c r="U526" s="8">
        <v>2114.3393209999999</v>
      </c>
      <c r="V526" s="8">
        <v>2251.6762789999998</v>
      </c>
      <c r="W526" s="8">
        <v>1434.9331609999999</v>
      </c>
      <c r="X526" s="8">
        <v>2289.0212689999998</v>
      </c>
      <c r="Y526" s="8">
        <v>3242.0873630000001</v>
      </c>
      <c r="Z526" s="8">
        <v>2395.29612</v>
      </c>
      <c r="AA526" s="8">
        <v>2307.5561910000001</v>
      </c>
      <c r="AB526" s="8">
        <v>2005.8505869999999</v>
      </c>
      <c r="AJ526" s="2">
        <v>0.65076800000000001</v>
      </c>
      <c r="AK526" s="2">
        <v>58.32</v>
      </c>
      <c r="AL526" s="2">
        <v>148.5</v>
      </c>
      <c r="AM526" s="2">
        <v>174</v>
      </c>
      <c r="AN526" s="14" t="s">
        <v>773</v>
      </c>
      <c r="AO526" s="2">
        <v>176.7</v>
      </c>
      <c r="AP526" s="14" t="s">
        <v>773</v>
      </c>
      <c r="AQ526" s="14" t="s">
        <v>773</v>
      </c>
      <c r="AR526" s="19">
        <v>0.76527777777777783</v>
      </c>
      <c r="AS526" s="8">
        <f>(18+(22/60))*AO526</f>
        <v>3245.39</v>
      </c>
    </row>
    <row r="527" spans="1:52" s="3" customFormat="1" x14ac:dyDescent="0.2">
      <c r="A527" s="4">
        <v>491</v>
      </c>
      <c r="B527" s="6">
        <v>696</v>
      </c>
      <c r="C527" s="4">
        <v>261</v>
      </c>
      <c r="D527" s="4"/>
      <c r="E527" s="3" t="s">
        <v>362</v>
      </c>
      <c r="G527" s="3" t="s">
        <v>1340</v>
      </c>
      <c r="H527" s="4"/>
      <c r="I527" s="4"/>
      <c r="J527" s="16"/>
      <c r="K527" s="16"/>
      <c r="L527" s="4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4">
        <v>96.76</v>
      </c>
      <c r="AK527" s="2" t="s">
        <v>773</v>
      </c>
      <c r="AL527" s="2" t="s">
        <v>773</v>
      </c>
      <c r="AM527" s="14" t="s">
        <v>773</v>
      </c>
      <c r="AN527" s="14" t="s">
        <v>773</v>
      </c>
      <c r="AO527" s="14" t="s">
        <v>773</v>
      </c>
      <c r="AP527" s="14" t="s">
        <v>773</v>
      </c>
      <c r="AQ527" s="57" t="s">
        <v>773</v>
      </c>
      <c r="AR527" s="19">
        <v>0.73333333333333328</v>
      </c>
      <c r="AS527" s="8">
        <f>(17+(36/60))*AJ527</f>
        <v>1702.9760000000003</v>
      </c>
    </row>
    <row r="528" spans="1:52" s="3" customFormat="1" x14ac:dyDescent="0.2">
      <c r="A528" s="4"/>
      <c r="B528" s="67"/>
      <c r="C528" s="4">
        <v>266</v>
      </c>
      <c r="D528" s="4"/>
      <c r="E528" s="3" t="s">
        <v>1424</v>
      </c>
      <c r="H528" s="4"/>
      <c r="I528" s="4"/>
      <c r="J528" s="16"/>
      <c r="K528" s="16"/>
      <c r="L528" s="4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4"/>
      <c r="AK528" s="4"/>
      <c r="AL528" s="4"/>
      <c r="AM528" s="46"/>
      <c r="AN528" s="46"/>
      <c r="AO528" s="46"/>
      <c r="AP528" s="46"/>
      <c r="AQ528" s="58"/>
      <c r="AR528" s="23"/>
      <c r="AS528" s="47"/>
    </row>
    <row r="529" spans="1:45" x14ac:dyDescent="0.2">
      <c r="A529" s="2">
        <v>514</v>
      </c>
      <c r="B529" s="2">
        <v>232</v>
      </c>
      <c r="C529" s="2">
        <v>266</v>
      </c>
      <c r="E529" t="s">
        <v>1305</v>
      </c>
      <c r="I529" s="2">
        <v>85.49</v>
      </c>
      <c r="J529" s="15">
        <v>3.0529999999999999</v>
      </c>
      <c r="K529" s="15">
        <v>2.3919999999999999</v>
      </c>
      <c r="P529" s="8">
        <v>87.466854999999995</v>
      </c>
      <c r="Q529" s="8">
        <v>82.430024000000003</v>
      </c>
      <c r="R529" s="8">
        <v>100.277935</v>
      </c>
      <c r="S529" s="8">
        <v>72.691682999999998</v>
      </c>
      <c r="T529" s="8">
        <v>61.535238999999997</v>
      </c>
      <c r="U529" s="8">
        <v>52.510981000000001</v>
      </c>
      <c r="V529" s="8">
        <v>73.661755999999997</v>
      </c>
      <c r="W529" s="8">
        <v>81.647508999999999</v>
      </c>
      <c r="X529" s="8">
        <v>72.832466999999994</v>
      </c>
      <c r="Y529" s="8">
        <v>71.519317999999998</v>
      </c>
      <c r="Z529" s="8">
        <v>72.353177000000002</v>
      </c>
      <c r="AA529" s="8">
        <v>64.438208000000003</v>
      </c>
      <c r="AB529" s="8">
        <v>90.260311000000002</v>
      </c>
      <c r="AJ529" s="2">
        <v>96.26</v>
      </c>
      <c r="AK529" s="2">
        <v>101.2</v>
      </c>
      <c r="AL529" s="2">
        <v>85.49</v>
      </c>
      <c r="AM529" s="2" t="s">
        <v>773</v>
      </c>
      <c r="AN529" s="2" t="s">
        <v>773</v>
      </c>
      <c r="AO529" s="2" t="s">
        <v>773</v>
      </c>
      <c r="AP529" s="2" t="s">
        <v>773</v>
      </c>
      <c r="AQ529" s="2" t="s">
        <v>773</v>
      </c>
      <c r="AR529" s="19">
        <v>0.2638888888888889</v>
      </c>
      <c r="AS529" s="8">
        <f>(6+(20/60))*AL529</f>
        <v>541.43666666666661</v>
      </c>
    </row>
    <row r="530" spans="1:45" x14ac:dyDescent="0.2">
      <c r="C530" s="2">
        <v>300</v>
      </c>
      <c r="E530" t="s">
        <v>1422</v>
      </c>
      <c r="K530" s="15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J530" s="2"/>
      <c r="AL530" s="2"/>
      <c r="AM530" s="2"/>
      <c r="AN530" s="2"/>
      <c r="AO530" s="2"/>
      <c r="AP530" s="2"/>
      <c r="AQ530" s="2"/>
      <c r="AR530" s="19"/>
      <c r="AS530" s="8"/>
    </row>
    <row r="531" spans="1:45" x14ac:dyDescent="0.2">
      <c r="A531" s="2">
        <v>165</v>
      </c>
      <c r="B531" s="2">
        <v>273</v>
      </c>
      <c r="C531" s="2">
        <v>340</v>
      </c>
      <c r="E531" t="s">
        <v>195</v>
      </c>
      <c r="F531" t="s">
        <v>701</v>
      </c>
      <c r="G531" t="s">
        <v>1295</v>
      </c>
      <c r="H531" s="2">
        <v>3000</v>
      </c>
      <c r="I531" s="2">
        <v>40.89</v>
      </c>
      <c r="J531" s="15">
        <v>1.46</v>
      </c>
      <c r="K531" s="15">
        <v>0.75080100000000005</v>
      </c>
      <c r="AJ531" s="2">
        <v>41.06</v>
      </c>
      <c r="AK531" s="2">
        <v>32.44</v>
      </c>
      <c r="AL531" s="2">
        <v>96.34</v>
      </c>
      <c r="AM531" s="2">
        <v>40.89</v>
      </c>
      <c r="AN531" s="14" t="s">
        <v>773</v>
      </c>
      <c r="AO531" s="2">
        <v>52.43</v>
      </c>
      <c r="AP531" s="14" t="s">
        <v>773</v>
      </c>
      <c r="AQ531" s="14" t="s">
        <v>773</v>
      </c>
      <c r="AR531" s="19">
        <v>0.36388888888888887</v>
      </c>
      <c r="AS531" s="8">
        <f>(8+(44/60))*AO531</f>
        <v>457.88866666666661</v>
      </c>
    </row>
    <row r="532" spans="1:45" s="3" customFormat="1" x14ac:dyDescent="0.2">
      <c r="A532" s="4"/>
      <c r="B532" s="4"/>
      <c r="C532" s="4">
        <v>359</v>
      </c>
      <c r="D532" s="4"/>
      <c r="E532" s="3" t="s">
        <v>1425</v>
      </c>
      <c r="H532" s="4"/>
      <c r="I532" s="4"/>
      <c r="J532" s="16"/>
      <c r="K532" s="16"/>
      <c r="L532" s="4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4"/>
      <c r="AK532" s="4"/>
      <c r="AL532" s="4"/>
      <c r="AM532" s="4"/>
      <c r="AN532" s="46"/>
      <c r="AO532" s="4"/>
      <c r="AP532" s="46"/>
      <c r="AQ532" s="46"/>
      <c r="AR532" s="23"/>
      <c r="AS532" s="47"/>
    </row>
    <row r="533" spans="1:45" s="3" customFormat="1" x14ac:dyDescent="0.2">
      <c r="A533" s="4"/>
      <c r="B533" s="4"/>
      <c r="C533" s="4">
        <v>367</v>
      </c>
      <c r="D533" s="4"/>
      <c r="E533" s="3" t="s">
        <v>1426</v>
      </c>
      <c r="H533" s="4"/>
      <c r="I533" s="4"/>
      <c r="J533" s="16"/>
      <c r="K533" s="16"/>
      <c r="L533" s="4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4"/>
      <c r="AK533" s="4"/>
      <c r="AL533" s="4"/>
      <c r="AM533" s="4"/>
      <c r="AN533" s="46"/>
      <c r="AO533" s="4"/>
      <c r="AP533" s="46"/>
      <c r="AQ533" s="46"/>
      <c r="AR533" s="23"/>
      <c r="AS533" s="47"/>
    </row>
    <row r="534" spans="1:45" s="3" customFormat="1" x14ac:dyDescent="0.2">
      <c r="A534" s="4"/>
      <c r="B534" s="4"/>
      <c r="C534" s="4">
        <v>368</v>
      </c>
      <c r="D534" s="4"/>
      <c r="E534" s="3" t="s">
        <v>1427</v>
      </c>
      <c r="H534" s="4"/>
      <c r="I534" s="4"/>
      <c r="J534" s="16"/>
      <c r="K534" s="16"/>
      <c r="L534" s="4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4"/>
      <c r="AK534" s="4"/>
      <c r="AL534" s="4"/>
      <c r="AM534" s="4"/>
      <c r="AN534" s="46"/>
      <c r="AO534" s="4"/>
      <c r="AP534" s="46"/>
      <c r="AQ534" s="46"/>
      <c r="AR534" s="23"/>
      <c r="AS534" s="47"/>
    </row>
    <row r="535" spans="1:45" x14ac:dyDescent="0.2">
      <c r="C535" s="2">
        <v>374</v>
      </c>
      <c r="E535" t="s">
        <v>1423</v>
      </c>
      <c r="K535" s="15"/>
      <c r="AJ535" s="2"/>
      <c r="AL535" s="2"/>
      <c r="AM535" s="2"/>
      <c r="AN535" s="14"/>
      <c r="AO535" s="2"/>
      <c r="AP535" s="14"/>
      <c r="AQ535" s="14"/>
      <c r="AR535" s="19"/>
      <c r="AS535" s="8"/>
    </row>
    <row r="536" spans="1:45" x14ac:dyDescent="0.2">
      <c r="C536" s="2">
        <v>383</v>
      </c>
      <c r="E536" t="s">
        <v>1420</v>
      </c>
      <c r="K536" s="15"/>
      <c r="AJ536" s="2"/>
      <c r="AL536" s="2"/>
      <c r="AM536" s="2"/>
      <c r="AN536" s="14"/>
      <c r="AO536" s="2"/>
      <c r="AP536" s="14"/>
      <c r="AQ536" s="14"/>
      <c r="AR536" s="19"/>
      <c r="AS536" s="8"/>
    </row>
    <row r="537" spans="1:45" x14ac:dyDescent="0.2">
      <c r="C537" s="4">
        <v>395</v>
      </c>
      <c r="D537" s="4"/>
      <c r="E537" s="3" t="s">
        <v>1428</v>
      </c>
      <c r="K537" s="15"/>
      <c r="AJ537" s="2"/>
      <c r="AL537" s="2"/>
      <c r="AM537" s="2"/>
      <c r="AN537" s="14"/>
      <c r="AO537" s="2"/>
      <c r="AP537" s="14"/>
      <c r="AQ537" s="14"/>
      <c r="AR537" s="19"/>
      <c r="AS537" s="8"/>
    </row>
    <row r="538" spans="1:45" x14ac:dyDescent="0.2">
      <c r="A538" s="2">
        <v>185</v>
      </c>
      <c r="B538" s="2">
        <v>397</v>
      </c>
      <c r="C538" s="2">
        <v>402</v>
      </c>
      <c r="E538" t="s">
        <v>211</v>
      </c>
      <c r="F538" t="s">
        <v>704</v>
      </c>
      <c r="G538" t="s">
        <v>1315</v>
      </c>
      <c r="H538" s="2">
        <v>100</v>
      </c>
      <c r="I538" s="2">
        <v>131.4</v>
      </c>
      <c r="J538" s="15">
        <v>4.6929999999999996</v>
      </c>
      <c r="K538" s="15">
        <v>2.5499999999999998</v>
      </c>
      <c r="P538" s="57">
        <v>91.753</v>
      </c>
      <c r="Q538" s="57">
        <v>96.531000000000006</v>
      </c>
      <c r="R538" s="57">
        <v>88.542000000000002</v>
      </c>
      <c r="S538" s="57">
        <v>94.876999999999995</v>
      </c>
      <c r="T538" s="57">
        <v>94.262</v>
      </c>
      <c r="U538" s="57">
        <v>104.8</v>
      </c>
      <c r="V538" s="57">
        <v>113.4</v>
      </c>
      <c r="W538" s="57">
        <v>127</v>
      </c>
      <c r="X538" s="57">
        <v>60.773000000000003</v>
      </c>
      <c r="Y538" s="57">
        <v>79.558000000000007</v>
      </c>
      <c r="Z538" s="57">
        <v>63.726999999999997</v>
      </c>
      <c r="AA538" s="57">
        <v>34.871000000000002</v>
      </c>
      <c r="AB538" s="57">
        <v>14.757999999999999</v>
      </c>
      <c r="AJ538" s="2">
        <v>90.19</v>
      </c>
      <c r="AK538" s="2">
        <v>126.4</v>
      </c>
      <c r="AL538" s="2">
        <v>115.6</v>
      </c>
      <c r="AM538" s="2">
        <v>131.4</v>
      </c>
      <c r="AN538" s="2" t="s">
        <v>773</v>
      </c>
      <c r="AO538" s="2">
        <v>165</v>
      </c>
      <c r="AP538" s="2" t="s">
        <v>773</v>
      </c>
      <c r="AQ538" s="2" t="s">
        <v>773</v>
      </c>
      <c r="AR538" s="19">
        <v>0.24166666666666667</v>
      </c>
      <c r="AS538" s="8">
        <f>(5+(48/60))*AO538</f>
        <v>957</v>
      </c>
    </row>
    <row r="539" spans="1:45" x14ac:dyDescent="0.2">
      <c r="A539" s="2">
        <v>204</v>
      </c>
      <c r="B539" s="2">
        <v>361</v>
      </c>
      <c r="C539" s="2">
        <v>407</v>
      </c>
      <c r="E539" t="s">
        <v>148</v>
      </c>
      <c r="F539" t="s">
        <v>697</v>
      </c>
      <c r="H539" s="2">
        <v>1000</v>
      </c>
      <c r="I539" s="2">
        <v>114.4</v>
      </c>
      <c r="J539" s="15">
        <v>4.0880000000000001</v>
      </c>
      <c r="K539" s="15">
        <v>3.202</v>
      </c>
      <c r="AJ539" s="2">
        <v>0.79500000000000004</v>
      </c>
      <c r="AK539" s="2">
        <v>13.8</v>
      </c>
      <c r="AL539" s="2">
        <v>121.7</v>
      </c>
      <c r="AM539" s="2">
        <v>114.4</v>
      </c>
      <c r="AN539" s="14" t="s">
        <v>773</v>
      </c>
      <c r="AO539" s="2">
        <v>113.1</v>
      </c>
      <c r="AP539" s="14" t="s">
        <v>773</v>
      </c>
      <c r="AQ539" s="14" t="s">
        <v>773</v>
      </c>
      <c r="AR539" s="19">
        <v>0.125</v>
      </c>
      <c r="AS539" s="8">
        <f>3*AO539</f>
        <v>339.29999999999995</v>
      </c>
    </row>
    <row r="540" spans="1:45" x14ac:dyDescent="0.2">
      <c r="A540" s="2">
        <v>6896</v>
      </c>
      <c r="B540" s="2">
        <v>5999</v>
      </c>
      <c r="C540" s="2">
        <v>409</v>
      </c>
      <c r="E540" t="s">
        <v>577</v>
      </c>
      <c r="I540" s="14">
        <v>51.9</v>
      </c>
      <c r="AM540" s="14"/>
      <c r="AN540" s="14">
        <v>51.9</v>
      </c>
      <c r="AO540" s="14"/>
      <c r="AP540" s="14"/>
      <c r="AQ540" s="51"/>
      <c r="AR540" s="19">
        <v>0.38125000000000003</v>
      </c>
    </row>
    <row r="541" spans="1:45" x14ac:dyDescent="0.2">
      <c r="A541" s="2">
        <v>122</v>
      </c>
      <c r="B541" s="2">
        <v>329</v>
      </c>
      <c r="C541" s="2">
        <v>435</v>
      </c>
      <c r="E541" t="s">
        <v>197</v>
      </c>
      <c r="F541" t="s">
        <v>6</v>
      </c>
      <c r="G541" t="s">
        <v>1314</v>
      </c>
      <c r="H541" s="2">
        <v>0</v>
      </c>
      <c r="I541" s="2">
        <v>44.14</v>
      </c>
      <c r="J541" s="15">
        <v>0.82471099999999997</v>
      </c>
      <c r="K541" s="15">
        <v>0.57424699999999995</v>
      </c>
      <c r="L541" s="2">
        <v>12.55</v>
      </c>
      <c r="AJ541" s="2">
        <v>16.760000000000002</v>
      </c>
      <c r="AK541" s="2">
        <v>118.6</v>
      </c>
      <c r="AL541" s="2">
        <v>102.8</v>
      </c>
      <c r="AM541" s="2">
        <v>38.57</v>
      </c>
      <c r="AN541" s="14" t="s">
        <v>773</v>
      </c>
      <c r="AO541" s="2">
        <v>19.78</v>
      </c>
      <c r="AP541" s="14" t="s">
        <v>773</v>
      </c>
      <c r="AQ541" s="14" t="s">
        <v>773</v>
      </c>
      <c r="AR541" s="19">
        <v>0.12013888888888889</v>
      </c>
      <c r="AS541" s="8">
        <f>(2+(53/60))*AO541</f>
        <v>57.032333333333334</v>
      </c>
    </row>
    <row r="542" spans="1:45" x14ac:dyDescent="0.2">
      <c r="A542" s="2">
        <v>475</v>
      </c>
      <c r="B542" s="2">
        <v>362</v>
      </c>
      <c r="C542" s="2">
        <v>495</v>
      </c>
      <c r="E542" t="s">
        <v>304</v>
      </c>
      <c r="I542" s="2">
        <v>113</v>
      </c>
      <c r="J542" s="15">
        <v>4.0380000000000003</v>
      </c>
      <c r="K542" s="15">
        <v>3.5830000000000002</v>
      </c>
      <c r="AJ542" s="2">
        <v>155.30000000000001</v>
      </c>
      <c r="AK542" s="2">
        <v>94.58</v>
      </c>
      <c r="AL542" s="2">
        <v>117.8</v>
      </c>
      <c r="AM542" s="2">
        <v>113</v>
      </c>
      <c r="AN542" s="14" t="s">
        <v>773</v>
      </c>
      <c r="AO542" s="14" t="s">
        <v>773</v>
      </c>
      <c r="AP542" s="14" t="s">
        <v>773</v>
      </c>
      <c r="AQ542" s="14" t="s">
        <v>773</v>
      </c>
      <c r="AR542" s="19">
        <v>2.2222222222222223E-2</v>
      </c>
      <c r="AS542" s="8">
        <f>(32/60)*AM542</f>
        <v>60.266666666666666</v>
      </c>
    </row>
    <row r="543" spans="1:45" x14ac:dyDescent="0.2">
      <c r="C543" s="2">
        <v>583</v>
      </c>
      <c r="E543" t="s">
        <v>1421</v>
      </c>
      <c r="K543" s="15"/>
      <c r="AJ543" s="2"/>
      <c r="AL543" s="2"/>
      <c r="AM543" s="2"/>
      <c r="AN543" s="14"/>
      <c r="AO543" s="14"/>
      <c r="AP543" s="14"/>
      <c r="AQ543" s="14"/>
      <c r="AR543" s="19"/>
      <c r="AS543" s="8"/>
    </row>
    <row r="544" spans="1:45" x14ac:dyDescent="0.2">
      <c r="A544" s="2">
        <v>171</v>
      </c>
      <c r="B544" s="2">
        <v>656</v>
      </c>
      <c r="C544" s="2">
        <v>592</v>
      </c>
      <c r="E544" t="s">
        <v>332</v>
      </c>
      <c r="I544" s="2">
        <v>60.2</v>
      </c>
      <c r="J544" s="15">
        <v>2.15</v>
      </c>
      <c r="K544" s="16">
        <v>1.159</v>
      </c>
      <c r="AJ544" s="2">
        <v>19.77</v>
      </c>
      <c r="AK544" s="2">
        <v>17.62</v>
      </c>
      <c r="AL544" s="2">
        <v>60.2</v>
      </c>
      <c r="AM544" s="2" t="s">
        <v>773</v>
      </c>
      <c r="AN544" s="2" t="s">
        <v>773</v>
      </c>
      <c r="AO544" s="2" t="s">
        <v>773</v>
      </c>
      <c r="AP544" s="2" t="s">
        <v>773</v>
      </c>
      <c r="AQ544" s="2" t="s">
        <v>773</v>
      </c>
      <c r="AR544" s="19">
        <v>0.3347222222222222</v>
      </c>
      <c r="AS544" s="8">
        <f>(8+(2/60))*AL544</f>
        <v>483.60666666666668</v>
      </c>
    </row>
    <row r="545" spans="1:45" x14ac:dyDescent="0.2">
      <c r="C545" s="2">
        <v>596</v>
      </c>
      <c r="E545" t="s">
        <v>1435</v>
      </c>
      <c r="AJ545" s="2"/>
      <c r="AL545" s="2"/>
      <c r="AM545" s="2"/>
      <c r="AN545" s="2"/>
      <c r="AO545" s="2"/>
      <c r="AP545" s="2"/>
      <c r="AQ545" s="2"/>
      <c r="AR545" s="19"/>
      <c r="AS545" s="8"/>
    </row>
    <row r="546" spans="1:45" x14ac:dyDescent="0.2">
      <c r="C546" s="2">
        <v>631</v>
      </c>
      <c r="E546" t="s">
        <v>1431</v>
      </c>
      <c r="AJ546" s="2"/>
      <c r="AL546" s="2"/>
      <c r="AM546" s="2"/>
      <c r="AN546" s="2"/>
      <c r="AO546" s="2"/>
      <c r="AP546" s="2"/>
      <c r="AQ546" s="2"/>
      <c r="AR546" s="19"/>
      <c r="AS546" s="8"/>
    </row>
    <row r="547" spans="1:45" x14ac:dyDescent="0.2">
      <c r="A547" s="2">
        <v>184</v>
      </c>
      <c r="B547" s="4">
        <v>742</v>
      </c>
      <c r="C547" s="2">
        <v>631</v>
      </c>
      <c r="E547" t="s">
        <v>252</v>
      </c>
      <c r="F547" t="s">
        <v>708</v>
      </c>
      <c r="H547" s="2">
        <v>1160</v>
      </c>
      <c r="I547" s="2">
        <v>20.97</v>
      </c>
      <c r="J547" s="15">
        <v>0.74927600000000005</v>
      </c>
      <c r="K547" s="15">
        <v>0.51495400000000002</v>
      </c>
      <c r="AJ547" s="2">
        <v>18.440000000000001</v>
      </c>
      <c r="AK547" s="2">
        <v>17.88</v>
      </c>
      <c r="AL547" s="2">
        <v>56.6</v>
      </c>
      <c r="AM547" s="57">
        <v>20.97</v>
      </c>
      <c r="AN547" s="57" t="s">
        <v>773</v>
      </c>
      <c r="AO547" s="57">
        <v>24.63</v>
      </c>
      <c r="AP547" s="57" t="s">
        <v>773</v>
      </c>
      <c r="AQ547" s="57" t="s">
        <v>773</v>
      </c>
      <c r="AR547" s="19">
        <v>0.45763888888888887</v>
      </c>
      <c r="AS547" s="8">
        <f>(10+(59/60))*AO547</f>
        <v>270.51949999999999</v>
      </c>
    </row>
    <row r="548" spans="1:45" x14ac:dyDescent="0.2">
      <c r="A548" s="2">
        <v>169</v>
      </c>
      <c r="B548" s="2" t="s">
        <v>773</v>
      </c>
      <c r="C548" s="2">
        <v>652</v>
      </c>
      <c r="E548" t="s">
        <v>206</v>
      </c>
      <c r="F548" t="s">
        <v>703</v>
      </c>
      <c r="G548" t="s">
        <v>1283</v>
      </c>
      <c r="H548" s="2">
        <v>3430</v>
      </c>
      <c r="I548" s="2">
        <v>15.65</v>
      </c>
      <c r="J548" s="15">
        <v>0.55903899999999995</v>
      </c>
      <c r="K548" s="15">
        <v>0.33919300000000002</v>
      </c>
      <c r="AJ548" s="2">
        <v>7.7720000000000002</v>
      </c>
      <c r="AK548" s="2">
        <v>30.86</v>
      </c>
      <c r="AL548" s="2">
        <v>60.92</v>
      </c>
      <c r="AM548" s="2">
        <v>15.65</v>
      </c>
      <c r="AN548" s="14" t="s">
        <v>773</v>
      </c>
      <c r="AO548" s="2">
        <v>10.82</v>
      </c>
      <c r="AP548" s="14" t="s">
        <v>773</v>
      </c>
      <c r="AQ548" s="14" t="s">
        <v>773</v>
      </c>
      <c r="AR548" s="19">
        <v>0.35625000000000001</v>
      </c>
      <c r="AS548" s="8">
        <f>(8+(33/60))*AO548</f>
        <v>92.51100000000001</v>
      </c>
    </row>
    <row r="549" spans="1:45" x14ac:dyDescent="0.2">
      <c r="C549" s="2">
        <v>683</v>
      </c>
      <c r="E549" t="s">
        <v>1432</v>
      </c>
      <c r="K549" s="15"/>
      <c r="AJ549" s="2"/>
      <c r="AL549" s="2"/>
      <c r="AM549" s="2"/>
      <c r="AN549" s="14"/>
      <c r="AO549" s="2"/>
      <c r="AP549" s="14"/>
      <c r="AQ549" s="14"/>
      <c r="AR549" s="19"/>
      <c r="AS549" s="8"/>
    </row>
    <row r="550" spans="1:45" x14ac:dyDescent="0.2">
      <c r="C550" s="2">
        <v>695</v>
      </c>
      <c r="E550" t="s">
        <v>1437</v>
      </c>
      <c r="K550" s="15"/>
      <c r="AJ550" s="2"/>
      <c r="AL550" s="2"/>
      <c r="AM550" s="2"/>
      <c r="AN550" s="14"/>
      <c r="AO550" s="2"/>
      <c r="AP550" s="14"/>
      <c r="AQ550" s="14"/>
      <c r="AR550" s="19"/>
      <c r="AS550" s="8"/>
    </row>
    <row r="551" spans="1:45" x14ac:dyDescent="0.2">
      <c r="A551" s="2">
        <v>326</v>
      </c>
      <c r="B551" s="2">
        <v>626</v>
      </c>
      <c r="C551" s="2">
        <v>710</v>
      </c>
      <c r="E551" t="s">
        <v>347</v>
      </c>
      <c r="I551" s="2">
        <v>84.53</v>
      </c>
      <c r="J551" s="15">
        <v>2.504</v>
      </c>
      <c r="K551" s="15">
        <v>2.1749999999999998</v>
      </c>
      <c r="AJ551" s="2">
        <v>39.85</v>
      </c>
      <c r="AK551" s="2">
        <v>55.32</v>
      </c>
      <c r="AL551" s="2">
        <v>70.13</v>
      </c>
      <c r="AM551" s="14" t="s">
        <v>773</v>
      </c>
      <c r="AN551" s="14" t="s">
        <v>773</v>
      </c>
      <c r="AO551" s="14" t="s">
        <v>773</v>
      </c>
      <c r="AP551" s="14" t="s">
        <v>773</v>
      </c>
      <c r="AQ551" s="14" t="s">
        <v>773</v>
      </c>
      <c r="AR551" s="19">
        <v>0.1076388888888889</v>
      </c>
      <c r="AS551" s="8">
        <f>(2+(35/60))*AL551</f>
        <v>181.16916666666665</v>
      </c>
    </row>
    <row r="552" spans="1:45" x14ac:dyDescent="0.2">
      <c r="C552" s="2">
        <v>752</v>
      </c>
      <c r="E552" t="s">
        <v>1434</v>
      </c>
      <c r="K552" s="15"/>
      <c r="AJ552" s="2"/>
      <c r="AL552" s="2"/>
      <c r="AM552" s="14"/>
      <c r="AN552" s="14"/>
      <c r="AO552" s="14"/>
      <c r="AP552" s="14"/>
      <c r="AQ552" s="14"/>
      <c r="AR552" s="19"/>
      <c r="AS552" s="8"/>
    </row>
    <row r="553" spans="1:45" x14ac:dyDescent="0.2">
      <c r="C553" s="2">
        <v>775</v>
      </c>
      <c r="E553" t="s">
        <v>1464</v>
      </c>
      <c r="K553" s="15"/>
      <c r="AJ553" s="2"/>
      <c r="AL553" s="2"/>
      <c r="AM553" s="14"/>
      <c r="AN553" s="14"/>
      <c r="AO553" s="14"/>
      <c r="AP553" s="14"/>
      <c r="AQ553" s="14"/>
      <c r="AR553" s="19"/>
      <c r="AS553" s="8"/>
    </row>
    <row r="554" spans="1:45" x14ac:dyDescent="0.2">
      <c r="C554" s="2">
        <v>791</v>
      </c>
      <c r="E554" t="s">
        <v>1433</v>
      </c>
      <c r="K554" s="15"/>
      <c r="AJ554" s="2"/>
      <c r="AL554" s="2"/>
      <c r="AM554" s="14"/>
      <c r="AN554" s="14"/>
      <c r="AO554" s="14"/>
      <c r="AP554" s="14"/>
      <c r="AQ554" s="14"/>
      <c r="AR554" s="19"/>
      <c r="AS554" s="8"/>
    </row>
    <row r="555" spans="1:45" x14ac:dyDescent="0.2">
      <c r="A555" s="2">
        <v>548</v>
      </c>
      <c r="B555" s="2" t="s">
        <v>773</v>
      </c>
      <c r="C555" s="2">
        <v>799</v>
      </c>
      <c r="E555" t="s">
        <v>356</v>
      </c>
      <c r="F555" t="s">
        <v>1234</v>
      </c>
      <c r="H555" s="2">
        <v>0</v>
      </c>
      <c r="I555" s="2">
        <v>69.55</v>
      </c>
      <c r="J555" s="15">
        <v>2.484</v>
      </c>
      <c r="K555" s="15">
        <v>2.1949999999999998</v>
      </c>
      <c r="AJ555" s="2">
        <v>27.42</v>
      </c>
      <c r="AK555" s="2">
        <v>69.86</v>
      </c>
      <c r="AL555" s="2">
        <v>69.55</v>
      </c>
      <c r="AM555" s="14" t="s">
        <v>773</v>
      </c>
      <c r="AN555" s="14" t="s">
        <v>773</v>
      </c>
      <c r="AO555" s="14" t="s">
        <v>773</v>
      </c>
      <c r="AP555" s="14" t="s">
        <v>773</v>
      </c>
      <c r="AQ555" s="57" t="s">
        <v>773</v>
      </c>
      <c r="AR555" s="19">
        <v>6.805555555555555E-2</v>
      </c>
      <c r="AS555" s="8">
        <f>(1+(38/60))*AL555</f>
        <v>113.59833333333333</v>
      </c>
    </row>
    <row r="556" spans="1:45" s="3" customFormat="1" x14ac:dyDescent="0.2">
      <c r="A556" s="4"/>
      <c r="B556" s="4"/>
      <c r="C556" s="4">
        <v>818</v>
      </c>
      <c r="D556" s="4"/>
      <c r="E556" s="3" t="s">
        <v>1429</v>
      </c>
      <c r="H556" s="4"/>
      <c r="I556" s="4"/>
      <c r="J556" s="16"/>
      <c r="K556" s="16"/>
      <c r="L556" s="4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4"/>
      <c r="AK556" s="4"/>
      <c r="AL556" s="4"/>
      <c r="AM556" s="46"/>
      <c r="AN556" s="46"/>
      <c r="AO556" s="46"/>
      <c r="AP556" s="46"/>
      <c r="AQ556" s="58"/>
      <c r="AR556" s="23"/>
      <c r="AS556" s="47"/>
    </row>
    <row r="557" spans="1:45" s="3" customFormat="1" x14ac:dyDescent="0.2">
      <c r="A557" s="4"/>
      <c r="B557" s="4"/>
      <c r="C557" s="2">
        <v>838</v>
      </c>
      <c r="D557" s="2"/>
      <c r="E557" t="s">
        <v>1468</v>
      </c>
      <c r="H557" s="4"/>
      <c r="I557" s="4"/>
      <c r="J557" s="16"/>
      <c r="K557" s="16"/>
      <c r="L557" s="4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4"/>
      <c r="AK557" s="4"/>
      <c r="AL557" s="4"/>
      <c r="AM557" s="46"/>
      <c r="AN557" s="46"/>
      <c r="AO557" s="46"/>
      <c r="AP557" s="46"/>
      <c r="AQ557" s="58"/>
      <c r="AR557" s="23"/>
      <c r="AS557" s="47"/>
    </row>
    <row r="558" spans="1:45" s="3" customFormat="1" x14ac:dyDescent="0.2">
      <c r="A558" s="4"/>
      <c r="B558" s="4"/>
      <c r="C558" s="4">
        <v>885</v>
      </c>
      <c r="D558" s="4"/>
      <c r="E558" s="3" t="s">
        <v>1436</v>
      </c>
      <c r="H558" s="4"/>
      <c r="I558" s="4"/>
      <c r="J558" s="16"/>
      <c r="K558" s="16"/>
      <c r="L558" s="4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4"/>
      <c r="AK558" s="4"/>
      <c r="AL558" s="4"/>
      <c r="AM558" s="46"/>
      <c r="AN558" s="46"/>
      <c r="AO558" s="46"/>
      <c r="AP558" s="46"/>
      <c r="AQ558" s="58"/>
      <c r="AR558" s="23"/>
      <c r="AS558" s="47"/>
    </row>
    <row r="559" spans="1:45" s="3" customFormat="1" x14ac:dyDescent="0.2">
      <c r="A559" s="4"/>
      <c r="B559" s="4"/>
      <c r="C559" s="2">
        <v>895</v>
      </c>
      <c r="D559" s="2"/>
      <c r="E559" t="s">
        <v>1467</v>
      </c>
      <c r="H559" s="4"/>
      <c r="I559" s="4"/>
      <c r="J559" s="16"/>
      <c r="K559" s="16"/>
      <c r="L559" s="4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4"/>
      <c r="AK559" s="4"/>
      <c r="AL559" s="4"/>
      <c r="AM559" s="46"/>
      <c r="AN559" s="46"/>
      <c r="AO559" s="46"/>
      <c r="AP559" s="46"/>
      <c r="AQ559" s="58"/>
      <c r="AR559" s="23"/>
      <c r="AS559" s="47"/>
    </row>
    <row r="560" spans="1:45" x14ac:dyDescent="0.2">
      <c r="A560" s="2">
        <v>206</v>
      </c>
      <c r="B560" s="2">
        <v>765</v>
      </c>
      <c r="C560" s="2">
        <v>902</v>
      </c>
      <c r="E560" t="s">
        <v>264</v>
      </c>
      <c r="I560" s="2">
        <v>16.64</v>
      </c>
      <c r="J560" s="15">
        <v>0.59441699999999997</v>
      </c>
      <c r="K560" s="15">
        <v>0.44917699999999999</v>
      </c>
      <c r="AJ560" s="2">
        <v>15.03</v>
      </c>
      <c r="AK560" s="2">
        <v>20.25</v>
      </c>
      <c r="AL560" s="2">
        <v>35.54</v>
      </c>
      <c r="AM560" s="2">
        <v>16.64</v>
      </c>
      <c r="AN560" s="14" t="s">
        <v>773</v>
      </c>
      <c r="AO560" s="14" t="s">
        <v>773</v>
      </c>
      <c r="AP560" s="14" t="s">
        <v>773</v>
      </c>
      <c r="AQ560" s="14" t="s">
        <v>773</v>
      </c>
      <c r="AR560" s="19">
        <v>0.21527777777777779</v>
      </c>
      <c r="AS560" s="8">
        <f>(5+(10/60))*AM560</f>
        <v>85.973333333333343</v>
      </c>
    </row>
    <row r="561" spans="1:45" x14ac:dyDescent="0.2">
      <c r="C561" s="2">
        <v>906</v>
      </c>
      <c r="E561" t="s">
        <v>1438</v>
      </c>
      <c r="K561" s="15"/>
      <c r="AJ561" s="2"/>
      <c r="AL561" s="2"/>
      <c r="AM561" s="2"/>
      <c r="AN561" s="14"/>
      <c r="AO561" s="14"/>
      <c r="AP561" s="14"/>
      <c r="AQ561" s="14"/>
      <c r="AR561" s="19"/>
      <c r="AS561" s="8"/>
    </row>
    <row r="562" spans="1:45" x14ac:dyDescent="0.2">
      <c r="C562" s="2">
        <v>918</v>
      </c>
      <c r="E562" t="s">
        <v>1442</v>
      </c>
      <c r="K562" s="15"/>
      <c r="AJ562" s="2"/>
      <c r="AL562" s="2"/>
      <c r="AM562" s="2"/>
      <c r="AN562" s="14"/>
      <c r="AO562" s="14"/>
      <c r="AP562" s="14"/>
      <c r="AQ562" s="14"/>
      <c r="AR562" s="19"/>
      <c r="AS562" s="8"/>
    </row>
    <row r="563" spans="1:45" x14ac:dyDescent="0.2">
      <c r="C563" s="2">
        <v>918</v>
      </c>
      <c r="E563" t="s">
        <v>1465</v>
      </c>
      <c r="K563" s="15"/>
      <c r="AJ563" s="2"/>
      <c r="AL563" s="2"/>
      <c r="AM563" s="2"/>
      <c r="AN563" s="14"/>
      <c r="AO563" s="14"/>
      <c r="AP563" s="14"/>
      <c r="AQ563" s="14"/>
      <c r="AR563" s="19"/>
      <c r="AS563" s="8"/>
    </row>
    <row r="564" spans="1:45" x14ac:dyDescent="0.2">
      <c r="C564" s="2">
        <v>927</v>
      </c>
      <c r="E564" t="s">
        <v>1469</v>
      </c>
      <c r="K564" s="15"/>
      <c r="AJ564" s="2"/>
      <c r="AL564" s="2"/>
      <c r="AM564" s="2"/>
      <c r="AN564" s="14"/>
      <c r="AO564" s="14"/>
      <c r="AP564" s="14"/>
      <c r="AQ564" s="14"/>
      <c r="AR564" s="19"/>
      <c r="AS564" s="8"/>
    </row>
    <row r="565" spans="1:45" x14ac:dyDescent="0.2">
      <c r="C565" s="2">
        <v>945</v>
      </c>
      <c r="E565" t="s">
        <v>1186</v>
      </c>
      <c r="K565" s="15"/>
      <c r="AJ565" s="2"/>
      <c r="AL565" s="2"/>
      <c r="AM565" s="2"/>
      <c r="AN565" s="14"/>
      <c r="AO565" s="14"/>
      <c r="AP565" s="14"/>
      <c r="AQ565" s="14"/>
      <c r="AR565" s="19"/>
      <c r="AS565" s="8"/>
    </row>
    <row r="566" spans="1:45" x14ac:dyDescent="0.2">
      <c r="C566" s="2">
        <v>948</v>
      </c>
      <c r="E566" t="s">
        <v>1439</v>
      </c>
      <c r="K566" s="15"/>
      <c r="AJ566" s="2"/>
      <c r="AL566" s="2"/>
      <c r="AM566" s="2"/>
      <c r="AN566" s="14"/>
      <c r="AO566" s="14"/>
      <c r="AP566" s="14"/>
      <c r="AQ566" s="14"/>
      <c r="AR566" s="19"/>
      <c r="AS566" s="8"/>
    </row>
    <row r="567" spans="1:45" x14ac:dyDescent="0.2">
      <c r="C567" s="2">
        <v>951</v>
      </c>
      <c r="E567" t="s">
        <v>1466</v>
      </c>
      <c r="K567" s="15"/>
      <c r="AJ567" s="2"/>
      <c r="AL567" s="2"/>
      <c r="AM567" s="2"/>
      <c r="AN567" s="14"/>
      <c r="AO567" s="14"/>
      <c r="AP567" s="14"/>
      <c r="AQ567" s="14"/>
      <c r="AR567" s="19"/>
      <c r="AS567" s="8"/>
    </row>
    <row r="568" spans="1:45" x14ac:dyDescent="0.2">
      <c r="C568" s="2">
        <v>967</v>
      </c>
      <c r="E568" t="s">
        <v>1430</v>
      </c>
      <c r="K568" s="15"/>
      <c r="AJ568" s="2"/>
      <c r="AL568" s="2"/>
      <c r="AM568" s="2"/>
      <c r="AN568" s="14"/>
      <c r="AO568" s="14"/>
      <c r="AP568" s="14"/>
      <c r="AQ568" s="14"/>
      <c r="AR568" s="19"/>
      <c r="AS568" s="8"/>
    </row>
    <row r="569" spans="1:45" x14ac:dyDescent="0.2">
      <c r="C569" s="2">
        <v>993</v>
      </c>
      <c r="E569" t="s">
        <v>1441</v>
      </c>
      <c r="K569" s="15"/>
      <c r="AJ569" s="2"/>
      <c r="AL569" s="2"/>
      <c r="AM569" s="2"/>
      <c r="AN569" s="14"/>
      <c r="AO569" s="14"/>
      <c r="AP569" s="14"/>
      <c r="AQ569" s="14"/>
      <c r="AR569" s="19"/>
      <c r="AS569" s="8"/>
    </row>
    <row r="570" spans="1:45" x14ac:dyDescent="0.2">
      <c r="C570" s="2">
        <v>994</v>
      </c>
      <c r="E570" t="s">
        <v>1440</v>
      </c>
      <c r="K570" s="15"/>
      <c r="AJ570" s="2"/>
      <c r="AL570" s="2"/>
      <c r="AM570" s="2"/>
      <c r="AN570" s="14"/>
      <c r="AO570" s="14"/>
      <c r="AP570" s="14"/>
      <c r="AQ570" s="14"/>
      <c r="AR570" s="19"/>
      <c r="AS570" s="8"/>
    </row>
    <row r="571" spans="1:45" x14ac:dyDescent="0.2">
      <c r="C571" s="2">
        <v>998</v>
      </c>
      <c r="E571" t="s">
        <v>1443</v>
      </c>
      <c r="K571" s="15"/>
      <c r="AJ571" s="2"/>
      <c r="AL571" s="2"/>
      <c r="AM571" s="2"/>
      <c r="AN571" s="14"/>
      <c r="AO571" s="14"/>
      <c r="AP571" s="14"/>
      <c r="AQ571" s="14"/>
      <c r="AR571" s="19"/>
      <c r="AS571" s="8"/>
    </row>
    <row r="572" spans="1:45" x14ac:dyDescent="0.2">
      <c r="B572" s="2">
        <v>1226</v>
      </c>
      <c r="E572" t="s">
        <v>1338</v>
      </c>
      <c r="K572" s="15"/>
      <c r="AJ572" s="2">
        <v>30.5</v>
      </c>
      <c r="AL572" s="2"/>
      <c r="AM572" s="2"/>
      <c r="AN572" s="14"/>
      <c r="AO572" s="2"/>
      <c r="AP572" s="14"/>
      <c r="AQ572" s="14"/>
      <c r="AR572" s="19"/>
      <c r="AS572" s="8"/>
    </row>
    <row r="573" spans="1:45" x14ac:dyDescent="0.2">
      <c r="A573" s="2">
        <v>4977</v>
      </c>
      <c r="B573" s="2">
        <v>1038</v>
      </c>
      <c r="C573" s="2">
        <v>1064</v>
      </c>
      <c r="E573" t="s">
        <v>157</v>
      </c>
      <c r="I573" s="2">
        <v>699.7</v>
      </c>
      <c r="J573" s="15">
        <v>24.99</v>
      </c>
      <c r="K573" s="15">
        <v>21.46</v>
      </c>
      <c r="AJ573" s="2">
        <v>33.79</v>
      </c>
      <c r="AK573" s="2">
        <v>47.6</v>
      </c>
      <c r="AL573" s="2">
        <v>58.86</v>
      </c>
      <c r="AM573" s="2">
        <v>699.7</v>
      </c>
      <c r="AN573" s="14" t="s">
        <v>773</v>
      </c>
      <c r="AO573" s="2" t="s">
        <v>773</v>
      </c>
      <c r="AP573" s="14" t="s">
        <v>773</v>
      </c>
      <c r="AQ573" s="14" t="s">
        <v>773</v>
      </c>
      <c r="AR573" s="19">
        <v>5.0694444444444452E-2</v>
      </c>
      <c r="AS573" s="8">
        <f>(1+(13/60))*AM573</f>
        <v>851.30166666666685</v>
      </c>
    </row>
    <row r="574" spans="1:45" s="3" customFormat="1" x14ac:dyDescent="0.2">
      <c r="A574" s="4">
        <v>368</v>
      </c>
      <c r="B574" s="2">
        <v>816</v>
      </c>
      <c r="C574" s="4">
        <v>1132</v>
      </c>
      <c r="D574" s="4"/>
      <c r="E574" s="3" t="s">
        <v>284</v>
      </c>
      <c r="F574" s="3" t="s">
        <v>540</v>
      </c>
      <c r="G574" s="3" t="s">
        <v>1284</v>
      </c>
      <c r="H574" s="4">
        <v>0</v>
      </c>
      <c r="I574" s="4">
        <v>45.02</v>
      </c>
      <c r="J574" s="16">
        <v>1.607</v>
      </c>
      <c r="K574" s="16">
        <v>1.444</v>
      </c>
      <c r="L574" s="4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4">
        <v>23.37</v>
      </c>
      <c r="AK574" s="4">
        <v>42.89</v>
      </c>
      <c r="AL574" s="4">
        <v>52.37</v>
      </c>
      <c r="AM574" s="4">
        <v>45.02</v>
      </c>
      <c r="AN574" s="46" t="s">
        <v>773</v>
      </c>
      <c r="AO574" s="46" t="s">
        <v>773</v>
      </c>
      <c r="AP574" s="46" t="s">
        <v>773</v>
      </c>
      <c r="AQ574" s="46" t="s">
        <v>773</v>
      </c>
      <c r="AR574" s="23">
        <v>7.7083333333333337E-2</v>
      </c>
      <c r="AS574" s="47">
        <f>(1+(51/60))*AM574</f>
        <v>83.287000000000006</v>
      </c>
    </row>
    <row r="575" spans="1:45" x14ac:dyDescent="0.2">
      <c r="A575" s="2">
        <v>372</v>
      </c>
      <c r="B575" s="2">
        <v>38</v>
      </c>
      <c r="C575" s="2">
        <v>1157</v>
      </c>
      <c r="E575" t="s">
        <v>271</v>
      </c>
      <c r="I575" s="2">
        <v>49.78</v>
      </c>
      <c r="J575" s="15">
        <v>1.778</v>
      </c>
      <c r="K575" s="15">
        <v>1.613</v>
      </c>
      <c r="AJ575" s="2">
        <v>26.62</v>
      </c>
      <c r="AK575" s="2">
        <v>60.6</v>
      </c>
      <c r="AL575" s="2">
        <v>50.89</v>
      </c>
      <c r="AM575" s="2">
        <v>49.78</v>
      </c>
      <c r="AN575" s="14" t="s">
        <v>773</v>
      </c>
      <c r="AO575" s="14" t="s">
        <v>773</v>
      </c>
      <c r="AP575" s="14" t="s">
        <v>773</v>
      </c>
      <c r="AQ575" s="14" t="s">
        <v>773</v>
      </c>
      <c r="AR575" s="19">
        <v>5.2777777777777778E-2</v>
      </c>
      <c r="AS575" s="8">
        <f>(1+(16/60))*AM575</f>
        <v>63.054666666666662</v>
      </c>
    </row>
    <row r="576" spans="1:45" x14ac:dyDescent="0.2">
      <c r="A576" s="2">
        <v>650</v>
      </c>
      <c r="B576" s="4">
        <v>1123</v>
      </c>
      <c r="C576" s="2">
        <v>1164</v>
      </c>
      <c r="E576" t="s">
        <v>316</v>
      </c>
      <c r="F576" t="s">
        <v>0</v>
      </c>
      <c r="H576" s="2">
        <v>1000000</v>
      </c>
      <c r="I576" s="2">
        <v>76.150000000000006</v>
      </c>
      <c r="J576" s="15">
        <v>2.7189999999999999</v>
      </c>
      <c r="K576" s="15">
        <v>1.8149999999999999</v>
      </c>
      <c r="AJ576" s="2">
        <v>182.9</v>
      </c>
      <c r="AK576" s="2">
        <v>68.61</v>
      </c>
      <c r="AL576" s="2">
        <v>72.599999999999994</v>
      </c>
      <c r="AM576" s="2">
        <v>76.150000000000006</v>
      </c>
      <c r="AN576" s="14" t="s">
        <v>773</v>
      </c>
      <c r="AO576" s="14" t="s">
        <v>773</v>
      </c>
      <c r="AP576" s="14" t="s">
        <v>773</v>
      </c>
      <c r="AQ576" s="14" t="s">
        <v>773</v>
      </c>
      <c r="AR576" s="19">
        <v>2.0833333333333332E-2</v>
      </c>
      <c r="AS576" s="8">
        <f>AM576*0.5</f>
        <v>38.075000000000003</v>
      </c>
    </row>
    <row r="577" spans="1:45" x14ac:dyDescent="0.2">
      <c r="A577" s="2">
        <v>5298</v>
      </c>
      <c r="B577" s="2">
        <v>1087</v>
      </c>
      <c r="C577" s="2">
        <v>1195</v>
      </c>
      <c r="E577" t="s">
        <v>1266</v>
      </c>
      <c r="K577" s="15"/>
      <c r="L577" s="4"/>
      <c r="AJ577" s="2">
        <v>76.239999999999995</v>
      </c>
      <c r="AK577" s="2">
        <v>36.979999999999997</v>
      </c>
      <c r="AL577" s="2">
        <v>53.91</v>
      </c>
      <c r="AM577" s="2" t="s">
        <v>773</v>
      </c>
      <c r="AN577" s="2" t="s">
        <v>773</v>
      </c>
      <c r="AO577" s="2" t="s">
        <v>773</v>
      </c>
      <c r="AP577" s="2" t="s">
        <v>773</v>
      </c>
      <c r="AQ577" s="2" t="s">
        <v>773</v>
      </c>
      <c r="AR577" s="19">
        <v>7.2916666666666671E-2</v>
      </c>
      <c r="AS577" s="8">
        <f>(1+(45/60))*AL577</f>
        <v>94.342500000000001</v>
      </c>
    </row>
    <row r="578" spans="1:45" x14ac:dyDescent="0.2">
      <c r="A578" s="2">
        <v>582</v>
      </c>
      <c r="B578" s="2" t="s">
        <v>773</v>
      </c>
      <c r="C578" s="2">
        <v>1211</v>
      </c>
      <c r="E578" t="s">
        <v>238</v>
      </c>
      <c r="F578" t="s">
        <v>562</v>
      </c>
      <c r="H578" s="2">
        <v>66370</v>
      </c>
      <c r="I578" s="2">
        <v>53.81</v>
      </c>
      <c r="J578" s="15">
        <v>1.921</v>
      </c>
      <c r="K578" s="15">
        <v>1.4570000000000001</v>
      </c>
      <c r="AJ578" s="2">
        <v>35.1</v>
      </c>
      <c r="AK578" s="2">
        <v>38.89</v>
      </c>
      <c r="AL578" s="2">
        <v>37.61</v>
      </c>
      <c r="AM578" s="57">
        <v>53.81</v>
      </c>
      <c r="AN578" s="57" t="s">
        <v>773</v>
      </c>
      <c r="AO578" s="57">
        <v>78.05</v>
      </c>
      <c r="AP578" s="57" t="s">
        <v>773</v>
      </c>
      <c r="AQ578" s="57" t="s">
        <v>773</v>
      </c>
      <c r="AR578" s="19">
        <v>0.32569444444444445</v>
      </c>
      <c r="AS578" s="8">
        <f>(7+(49/60))*AO578</f>
        <v>610.09083333333331</v>
      </c>
    </row>
    <row r="579" spans="1:45" x14ac:dyDescent="0.2">
      <c r="A579" s="2">
        <v>835</v>
      </c>
      <c r="B579" s="2">
        <v>1303</v>
      </c>
      <c r="C579" s="2">
        <v>2667</v>
      </c>
      <c r="E579" t="s">
        <v>340</v>
      </c>
      <c r="I579" s="2">
        <v>34.44</v>
      </c>
      <c r="J579" s="15">
        <v>1.23</v>
      </c>
      <c r="K579" s="15">
        <v>1.048</v>
      </c>
      <c r="AJ579" s="2">
        <v>25.82</v>
      </c>
      <c r="AK579" s="2">
        <v>37.19</v>
      </c>
      <c r="AL579" s="2">
        <v>34.44</v>
      </c>
      <c r="AM579" s="14" t="s">
        <v>773</v>
      </c>
      <c r="AN579" s="14" t="s">
        <v>773</v>
      </c>
      <c r="AO579" s="14" t="s">
        <v>773</v>
      </c>
      <c r="AP579" s="14" t="s">
        <v>773</v>
      </c>
      <c r="AQ579" s="14" t="s">
        <v>773</v>
      </c>
      <c r="AR579" s="19">
        <v>6.6666666666666666E-2</v>
      </c>
      <c r="AS579" s="8">
        <f>(2+(7/60))*AL579</f>
        <v>72.897999999999996</v>
      </c>
    </row>
    <row r="580" spans="1:45" x14ac:dyDescent="0.2">
      <c r="A580" s="2">
        <v>17357</v>
      </c>
      <c r="B580" s="2">
        <v>291</v>
      </c>
      <c r="C580" s="2">
        <v>57771</v>
      </c>
      <c r="E580" t="s">
        <v>176</v>
      </c>
      <c r="G580" t="s">
        <v>1237</v>
      </c>
      <c r="I580" s="2">
        <v>63.58</v>
      </c>
      <c r="J580" s="15">
        <v>1.6850000000000001</v>
      </c>
      <c r="K580" s="15">
        <v>1.552</v>
      </c>
      <c r="L580" s="2">
        <v>39.81</v>
      </c>
      <c r="AJ580" s="2">
        <v>1.262</v>
      </c>
      <c r="AK580" s="2">
        <v>19.29</v>
      </c>
      <c r="AL580" s="2">
        <v>41.9</v>
      </c>
      <c r="AM580" s="2">
        <v>47.16</v>
      </c>
      <c r="AN580" s="14" t="s">
        <v>773</v>
      </c>
      <c r="AO580" s="2">
        <v>65.3</v>
      </c>
      <c r="AP580" s="14" t="s">
        <v>773</v>
      </c>
      <c r="AQ580" s="14" t="s">
        <v>773</v>
      </c>
      <c r="AR580" s="19">
        <v>3.1944444444444442E-2</v>
      </c>
      <c r="AS580" s="8">
        <f>(1+(13/60))*AO580</f>
        <v>79.448333333333338</v>
      </c>
    </row>
    <row r="581" spans="1:45" x14ac:dyDescent="0.2">
      <c r="A581" s="2">
        <v>1047</v>
      </c>
      <c r="B581" s="4">
        <v>411</v>
      </c>
      <c r="C581" s="2">
        <v>2225</v>
      </c>
      <c r="E581" t="s">
        <v>235</v>
      </c>
      <c r="F581" t="s">
        <v>1234</v>
      </c>
      <c r="G581" t="s">
        <v>1234</v>
      </c>
      <c r="H581" s="2">
        <v>0</v>
      </c>
      <c r="I581" s="2">
        <v>29.85</v>
      </c>
      <c r="J581" s="15">
        <v>1.0660000000000001</v>
      </c>
      <c r="K581" s="15">
        <v>0.95082100000000003</v>
      </c>
      <c r="AJ581" s="2">
        <v>26.06</v>
      </c>
      <c r="AK581" s="2">
        <v>35.19</v>
      </c>
      <c r="AL581" s="2">
        <v>33.67</v>
      </c>
      <c r="AM581" s="2">
        <v>29.85</v>
      </c>
      <c r="AN581" s="2" t="s">
        <v>773</v>
      </c>
      <c r="AO581" s="2">
        <v>34.020000000000003</v>
      </c>
      <c r="AP581" s="2" t="s">
        <v>773</v>
      </c>
      <c r="AQ581" s="2" t="s">
        <v>773</v>
      </c>
      <c r="AR581" s="19">
        <v>6.6666666666666666E-2</v>
      </c>
      <c r="AS581" s="8">
        <f>(1+(36/60))*AO581</f>
        <v>54.432000000000009</v>
      </c>
    </row>
    <row r="582" spans="1:45" x14ac:dyDescent="0.2">
      <c r="A582" s="2">
        <v>2930</v>
      </c>
      <c r="B582" s="2">
        <v>420</v>
      </c>
      <c r="C582" s="2">
        <v>2083</v>
      </c>
      <c r="E582" t="s">
        <v>270</v>
      </c>
      <c r="G582" s="2">
        <v>403</v>
      </c>
      <c r="I582" s="2">
        <v>160.4</v>
      </c>
      <c r="J582" s="15">
        <v>5.73</v>
      </c>
      <c r="K582" s="15">
        <v>3.0960000000000001</v>
      </c>
      <c r="AJ582" s="2">
        <v>57.09</v>
      </c>
      <c r="AK582" s="2">
        <v>41.53</v>
      </c>
      <c r="AL582" s="2">
        <v>59.52</v>
      </c>
      <c r="AM582" s="2">
        <v>160.4</v>
      </c>
      <c r="AN582" s="14" t="s">
        <v>773</v>
      </c>
      <c r="AO582" s="14" t="s">
        <v>773</v>
      </c>
      <c r="AP582" s="14" t="s">
        <v>773</v>
      </c>
      <c r="AQ582" s="14" t="s">
        <v>773</v>
      </c>
      <c r="AR582" s="19">
        <v>6.9444444444444448E-2</v>
      </c>
      <c r="AS582" s="8">
        <f>(1+(46/60))*AM582</f>
        <v>283.37333333333333</v>
      </c>
    </row>
    <row r="583" spans="1:45" x14ac:dyDescent="0.2">
      <c r="A583" s="2">
        <v>1276</v>
      </c>
      <c r="B583" s="2">
        <v>338</v>
      </c>
      <c r="C583" s="2">
        <v>3351</v>
      </c>
      <c r="E583" t="s">
        <v>338</v>
      </c>
      <c r="F583" t="s">
        <v>6</v>
      </c>
      <c r="G583" s="2" t="s">
        <v>1269</v>
      </c>
      <c r="I583" s="2">
        <v>28.76</v>
      </c>
      <c r="J583" s="15">
        <v>1.0269999999999999</v>
      </c>
      <c r="K583" s="16">
        <v>0.74551100000000003</v>
      </c>
      <c r="AJ583" s="2">
        <v>19</v>
      </c>
      <c r="AK583" s="2">
        <v>37.93</v>
      </c>
      <c r="AL583" s="2">
        <v>28.76</v>
      </c>
      <c r="AM583" s="14" t="s">
        <v>773</v>
      </c>
      <c r="AN583" s="14" t="s">
        <v>773</v>
      </c>
      <c r="AO583" s="14" t="s">
        <v>773</v>
      </c>
      <c r="AP583" s="14" t="s">
        <v>773</v>
      </c>
      <c r="AQ583" s="14" t="s">
        <v>773</v>
      </c>
      <c r="AR583" s="19">
        <v>0.11597222222222223</v>
      </c>
      <c r="AS583" s="8">
        <f>(2+(47/60))*AL583</f>
        <v>80.048666666666662</v>
      </c>
    </row>
    <row r="584" spans="1:45" x14ac:dyDescent="0.2">
      <c r="A584" s="2">
        <v>718</v>
      </c>
      <c r="B584" s="2">
        <v>335</v>
      </c>
      <c r="C584" s="2">
        <v>3720</v>
      </c>
      <c r="E584" t="s">
        <v>234</v>
      </c>
      <c r="F584" t="s">
        <v>538</v>
      </c>
      <c r="G584" t="s">
        <v>1269</v>
      </c>
      <c r="H584" s="2">
        <v>178000</v>
      </c>
      <c r="I584" s="2">
        <v>28.6</v>
      </c>
      <c r="J584" s="15">
        <v>1.0209999999999999</v>
      </c>
      <c r="K584" s="15">
        <v>0.74318200000000001</v>
      </c>
      <c r="AJ584" s="2">
        <v>21.4</v>
      </c>
      <c r="AK584" s="2">
        <v>42.37</v>
      </c>
      <c r="AL584" s="2">
        <v>38.380000000000003</v>
      </c>
      <c r="AM584" s="2">
        <v>28.6</v>
      </c>
      <c r="AN584" s="2" t="s">
        <v>773</v>
      </c>
      <c r="AO584" s="2">
        <v>23.54</v>
      </c>
      <c r="AP584" s="2" t="s">
        <v>773</v>
      </c>
      <c r="AQ584" s="2" t="s">
        <v>773</v>
      </c>
      <c r="AR584" s="19">
        <v>9.0972222222222218E-2</v>
      </c>
      <c r="AS584" s="8">
        <f>(2+(11/60))*AO584</f>
        <v>51.395666666666656</v>
      </c>
    </row>
    <row r="585" spans="1:45" x14ac:dyDescent="0.2">
      <c r="A585" s="2">
        <v>795</v>
      </c>
      <c r="B585" s="2">
        <v>336</v>
      </c>
      <c r="C585" s="2">
        <v>4529</v>
      </c>
      <c r="E585" t="s">
        <v>249</v>
      </c>
      <c r="G585" t="s">
        <v>1280</v>
      </c>
      <c r="I585" s="2">
        <v>38.99</v>
      </c>
      <c r="J585" s="15">
        <v>1.3919999999999999</v>
      </c>
      <c r="K585" s="15">
        <v>0.91042699999999999</v>
      </c>
      <c r="AJ585" s="2">
        <v>16.149999999999999</v>
      </c>
      <c r="AK585" s="2">
        <v>36.08</v>
      </c>
      <c r="AL585" s="2">
        <v>33.92</v>
      </c>
      <c r="AM585" s="57">
        <v>38.99</v>
      </c>
      <c r="AN585" s="57" t="s">
        <v>773</v>
      </c>
      <c r="AO585" s="57">
        <v>38.130000000000003</v>
      </c>
      <c r="AP585" s="57" t="s">
        <v>773</v>
      </c>
      <c r="AQ585" s="57" t="s">
        <v>773</v>
      </c>
      <c r="AR585" s="19">
        <v>0.12847222222222224</v>
      </c>
      <c r="AS585" s="8">
        <f>(3+(5/60))*AO585</f>
        <v>117.56750000000001</v>
      </c>
    </row>
    <row r="586" spans="1:45" x14ac:dyDescent="0.2">
      <c r="A586" s="2">
        <v>748</v>
      </c>
      <c r="B586" s="2">
        <v>526</v>
      </c>
      <c r="C586" s="2">
        <v>3490</v>
      </c>
      <c r="E586" t="s">
        <v>343</v>
      </c>
      <c r="F586" t="s">
        <v>6</v>
      </c>
      <c r="G586" t="s">
        <v>1312</v>
      </c>
      <c r="I586" s="2">
        <v>28.32</v>
      </c>
      <c r="J586" s="15">
        <v>1.0109999999999999</v>
      </c>
      <c r="K586" s="15">
        <v>0.47144599999999998</v>
      </c>
      <c r="AJ586" s="2">
        <v>17.79</v>
      </c>
      <c r="AK586" s="2">
        <v>29.15</v>
      </c>
      <c r="AL586" s="2">
        <v>28.32</v>
      </c>
      <c r="AM586" s="14" t="s">
        <v>773</v>
      </c>
      <c r="AN586" s="14" t="s">
        <v>773</v>
      </c>
      <c r="AO586" s="14" t="s">
        <v>773</v>
      </c>
      <c r="AP586" s="14" t="s">
        <v>773</v>
      </c>
      <c r="AQ586" s="14" t="s">
        <v>773</v>
      </c>
      <c r="AR586" s="19">
        <v>0.27500000000000002</v>
      </c>
      <c r="AS586" s="8">
        <f>(6+(36/60))*AL586</f>
        <v>186.91199999999998</v>
      </c>
    </row>
    <row r="587" spans="1:45" x14ac:dyDescent="0.2">
      <c r="A587" s="2">
        <v>450</v>
      </c>
      <c r="B587" s="2">
        <v>325</v>
      </c>
      <c r="C587" s="2">
        <v>2178</v>
      </c>
      <c r="E587" t="s">
        <v>358</v>
      </c>
      <c r="G587" t="s">
        <v>1237</v>
      </c>
      <c r="I587" s="2">
        <v>31.63</v>
      </c>
      <c r="J587" s="15">
        <v>1.129</v>
      </c>
      <c r="K587" s="15">
        <v>0.90152399999999999</v>
      </c>
      <c r="AJ587" s="2">
        <v>31.12</v>
      </c>
      <c r="AK587" s="2">
        <v>27.67</v>
      </c>
      <c r="AL587" s="2">
        <v>31.63</v>
      </c>
      <c r="AM587" s="14" t="s">
        <v>773</v>
      </c>
      <c r="AN587" s="14" t="s">
        <v>773</v>
      </c>
      <c r="AO587" s="14" t="s">
        <v>773</v>
      </c>
      <c r="AP587" s="14" t="s">
        <v>773</v>
      </c>
      <c r="AQ587" s="57" t="s">
        <v>773</v>
      </c>
      <c r="AR587" s="19">
        <v>8.819444444444445E-2</v>
      </c>
      <c r="AS587" s="8">
        <f>(2+(7/60))*AL587</f>
        <v>66.950166666666661</v>
      </c>
    </row>
    <row r="588" spans="1:45" x14ac:dyDescent="0.2">
      <c r="A588" s="2">
        <v>568</v>
      </c>
      <c r="B588" s="4">
        <v>377</v>
      </c>
      <c r="C588" s="2">
        <v>2952</v>
      </c>
      <c r="E588" t="s">
        <v>333</v>
      </c>
      <c r="F588" t="s">
        <v>682</v>
      </c>
      <c r="G588" s="12" t="s">
        <v>1237</v>
      </c>
      <c r="H588" s="2">
        <v>5500</v>
      </c>
      <c r="I588" s="2">
        <v>25.1</v>
      </c>
      <c r="J588" s="15">
        <v>0.896675</v>
      </c>
      <c r="K588" s="15">
        <v>0.72070199999999995</v>
      </c>
      <c r="AJ588" s="2">
        <v>24.31</v>
      </c>
      <c r="AK588" s="2">
        <v>24.46</v>
      </c>
      <c r="AL588" s="2">
        <v>25.1</v>
      </c>
      <c r="AM588" s="14" t="s">
        <v>773</v>
      </c>
      <c r="AN588" s="14" t="s">
        <v>773</v>
      </c>
      <c r="AO588" s="14" t="s">
        <v>773</v>
      </c>
      <c r="AP588" s="14" t="s">
        <v>773</v>
      </c>
      <c r="AQ588" s="57" t="s">
        <v>773</v>
      </c>
      <c r="AR588" s="19">
        <v>6.6666666666666666E-2</v>
      </c>
      <c r="AS588" s="2">
        <f>(1+(36/60))*AL588</f>
        <v>40.160000000000004</v>
      </c>
    </row>
    <row r="589" spans="1:45" x14ac:dyDescent="0.2">
      <c r="A589" s="2">
        <v>777</v>
      </c>
      <c r="B589" s="2">
        <v>826</v>
      </c>
      <c r="C589" s="2">
        <v>3559</v>
      </c>
      <c r="E589" t="s">
        <v>286</v>
      </c>
      <c r="I589" s="2">
        <v>25</v>
      </c>
      <c r="J589" s="15">
        <v>0.89293199999999995</v>
      </c>
      <c r="K589" s="15">
        <v>0.85719400000000001</v>
      </c>
      <c r="AJ589" s="2">
        <v>12.94</v>
      </c>
      <c r="AK589" s="2">
        <v>27.41</v>
      </c>
      <c r="AL589" s="2">
        <v>24.55</v>
      </c>
      <c r="AM589" s="2">
        <v>25</v>
      </c>
      <c r="AN589" s="14" t="s">
        <v>773</v>
      </c>
      <c r="AO589" s="14" t="s">
        <v>773</v>
      </c>
      <c r="AP589" s="14" t="s">
        <v>773</v>
      </c>
      <c r="AQ589" s="14" t="s">
        <v>773</v>
      </c>
      <c r="AR589" s="19">
        <v>2.013888888888889E-2</v>
      </c>
      <c r="AS589" s="8">
        <f>((29/60))*AM589</f>
        <v>12.083333333333334</v>
      </c>
    </row>
    <row r="590" spans="1:45" x14ac:dyDescent="0.2">
      <c r="A590" s="2">
        <v>1185</v>
      </c>
      <c r="B590" s="2">
        <v>398</v>
      </c>
      <c r="C590" s="2">
        <v>3586</v>
      </c>
      <c r="E590" t="s">
        <v>163</v>
      </c>
      <c r="F590" t="s">
        <v>6</v>
      </c>
      <c r="G590" t="s">
        <v>1324</v>
      </c>
      <c r="H590" s="2">
        <v>10000</v>
      </c>
      <c r="I590" s="2">
        <v>97.97</v>
      </c>
      <c r="J590" s="15">
        <v>3.4990000000000001</v>
      </c>
      <c r="K590" s="15">
        <v>2.6240000000000001</v>
      </c>
      <c r="AJ590" s="2">
        <v>25.18</v>
      </c>
      <c r="AK590" s="2">
        <v>47.44</v>
      </c>
      <c r="AL590" s="2">
        <v>20.079999999999998</v>
      </c>
      <c r="AM590" s="2">
        <v>97.97</v>
      </c>
      <c r="AN590" s="14" t="s">
        <v>773</v>
      </c>
      <c r="AO590" s="2">
        <v>132.30000000000001</v>
      </c>
      <c r="AP590" s="14" t="s">
        <v>773</v>
      </c>
      <c r="AQ590" s="14" t="s">
        <v>773</v>
      </c>
      <c r="AR590" s="19">
        <v>7.2916666666666671E-2</v>
      </c>
      <c r="AS590" s="8">
        <f>(1+(45/60))*AO590</f>
        <v>231.52500000000003</v>
      </c>
    </row>
    <row r="591" spans="1:45" x14ac:dyDescent="0.2">
      <c r="A591" s="2">
        <v>754</v>
      </c>
      <c r="B591" s="2">
        <v>374</v>
      </c>
      <c r="C591" s="2">
        <v>3593</v>
      </c>
      <c r="E591" t="s">
        <v>359</v>
      </c>
      <c r="I591" s="2">
        <v>28.02</v>
      </c>
      <c r="J591" s="15">
        <v>1</v>
      </c>
      <c r="K591" s="15">
        <v>0.86579899999999999</v>
      </c>
      <c r="AJ591" s="2">
        <v>19.22</v>
      </c>
      <c r="AK591" s="2">
        <v>33.369999999999997</v>
      </c>
      <c r="AL591" s="2">
        <v>28.02</v>
      </c>
      <c r="AM591" s="14" t="s">
        <v>773</v>
      </c>
      <c r="AN591" s="14" t="s">
        <v>773</v>
      </c>
      <c r="AO591" s="14" t="s">
        <v>773</v>
      </c>
      <c r="AP591" s="14" t="s">
        <v>773</v>
      </c>
      <c r="AQ591" s="57" t="s">
        <v>773</v>
      </c>
      <c r="AR591" s="19">
        <v>8.7499999999999994E-2</v>
      </c>
      <c r="AS591" s="8">
        <f>(2+(6/60))*AL591</f>
        <v>58.841999999999999</v>
      </c>
    </row>
    <row r="592" spans="1:45" x14ac:dyDescent="0.2">
      <c r="A592" s="2">
        <v>2575</v>
      </c>
      <c r="B592" s="2">
        <v>655</v>
      </c>
      <c r="C592" s="2">
        <v>4336</v>
      </c>
      <c r="E592" t="s">
        <v>308</v>
      </c>
      <c r="G592" t="s">
        <v>1293</v>
      </c>
      <c r="I592" s="2">
        <v>111</v>
      </c>
      <c r="J592" s="15">
        <v>3.9660000000000002</v>
      </c>
      <c r="K592" s="15">
        <v>1.728</v>
      </c>
      <c r="AJ592" s="2">
        <v>3.3260000000000001</v>
      </c>
      <c r="AK592" s="2">
        <v>14.39</v>
      </c>
      <c r="AL592" s="2">
        <v>18.39</v>
      </c>
      <c r="AM592" s="2">
        <v>111</v>
      </c>
      <c r="AN592" s="14" t="s">
        <v>773</v>
      </c>
      <c r="AO592" s="14" t="s">
        <v>773</v>
      </c>
      <c r="AP592" s="14" t="s">
        <v>773</v>
      </c>
      <c r="AQ592" s="14" t="s">
        <v>773</v>
      </c>
      <c r="AR592" s="19">
        <v>5.7638888888888892E-2</v>
      </c>
      <c r="AS592" s="8">
        <f>(1+(23/60))*AM592</f>
        <v>153.54999999999998</v>
      </c>
    </row>
    <row r="593" spans="1:45" x14ac:dyDescent="0.2">
      <c r="A593" s="2">
        <v>846</v>
      </c>
      <c r="B593" s="2">
        <v>557</v>
      </c>
      <c r="C593" s="2">
        <v>4439</v>
      </c>
      <c r="E593" t="s">
        <v>299</v>
      </c>
      <c r="G593" t="s">
        <v>1265</v>
      </c>
      <c r="I593" s="2">
        <v>15.37</v>
      </c>
      <c r="J593" s="15">
        <v>0.54905700000000002</v>
      </c>
      <c r="K593" s="15">
        <v>0.50130799999999998</v>
      </c>
      <c r="AJ593" s="2">
        <v>3.0710000000000002</v>
      </c>
      <c r="AK593" s="2">
        <v>2.7629999999999999</v>
      </c>
      <c r="AL593" s="2">
        <v>7.7080000000000002</v>
      </c>
      <c r="AM593" s="2">
        <v>15.37</v>
      </c>
      <c r="AN593" s="14" t="s">
        <v>773</v>
      </c>
      <c r="AO593" s="14" t="s">
        <v>773</v>
      </c>
      <c r="AP593" s="14" t="s">
        <v>773</v>
      </c>
      <c r="AQ593" s="14" t="s">
        <v>773</v>
      </c>
      <c r="AR593" s="19">
        <v>0.13333333333333333</v>
      </c>
      <c r="AS593" s="8">
        <f>(3+(12/60))*AM593</f>
        <v>49.183999999999997</v>
      </c>
    </row>
    <row r="594" spans="1:45" x14ac:dyDescent="0.2">
      <c r="A594" s="2">
        <v>1969</v>
      </c>
      <c r="B594" s="2">
        <v>432</v>
      </c>
      <c r="C594" s="2">
        <v>4912</v>
      </c>
      <c r="E594" t="s">
        <v>200</v>
      </c>
      <c r="G594" t="s">
        <v>1290</v>
      </c>
      <c r="I594" s="2">
        <v>42.07</v>
      </c>
      <c r="J594" s="15">
        <v>1.502</v>
      </c>
      <c r="K594" s="15">
        <v>1.2749999999999999</v>
      </c>
      <c r="AJ594" s="2">
        <v>15.61</v>
      </c>
      <c r="AK594" s="2">
        <v>4.1150000000000002</v>
      </c>
      <c r="AL594" s="2">
        <v>19.37</v>
      </c>
      <c r="AM594" s="2">
        <v>42.07</v>
      </c>
      <c r="AN594" s="14" t="s">
        <v>773</v>
      </c>
      <c r="AO594" s="2">
        <v>40.83</v>
      </c>
      <c r="AP594" s="14" t="s">
        <v>773</v>
      </c>
      <c r="AQ594" s="14" t="s">
        <v>773</v>
      </c>
      <c r="AR594" s="19">
        <v>4.0972222222222222E-2</v>
      </c>
      <c r="AS594" s="8">
        <f>(59/60)*AO594</f>
        <v>40.149499999999996</v>
      </c>
    </row>
    <row r="595" spans="1:45" x14ac:dyDescent="0.2">
      <c r="A595" s="2">
        <v>1100</v>
      </c>
      <c r="B595" s="2">
        <v>465</v>
      </c>
      <c r="C595" s="2">
        <v>5093</v>
      </c>
      <c r="E595" t="s">
        <v>1169</v>
      </c>
      <c r="F595" t="s">
        <v>1318</v>
      </c>
      <c r="I595" s="2">
        <v>12.63</v>
      </c>
      <c r="J595" s="15">
        <v>0.45132499999999998</v>
      </c>
      <c r="K595" s="15">
        <v>0.37930999999999998</v>
      </c>
      <c r="AJ595" s="2">
        <v>11.95</v>
      </c>
      <c r="AK595" s="2">
        <v>7.6360000000000001</v>
      </c>
      <c r="AL595" s="2">
        <v>9.8829999999999991</v>
      </c>
      <c r="AM595" s="2">
        <v>12.63</v>
      </c>
      <c r="AN595" s="14" t="s">
        <v>773</v>
      </c>
      <c r="AO595" s="14" t="s">
        <v>773</v>
      </c>
      <c r="AP595" s="14" t="s">
        <v>773</v>
      </c>
      <c r="AQ595" s="14" t="s">
        <v>773</v>
      </c>
      <c r="AR595" s="19">
        <v>0.16666666666666666</v>
      </c>
      <c r="AS595" s="8">
        <f>(4+(0.01/60))*AM595</f>
        <v>50.522105000000003</v>
      </c>
    </row>
    <row r="596" spans="1:45" s="3" customFormat="1" x14ac:dyDescent="0.2">
      <c r="A596" s="4">
        <v>1883</v>
      </c>
      <c r="B596" s="2">
        <v>505</v>
      </c>
      <c r="C596" s="4">
        <v>5296</v>
      </c>
      <c r="D596" s="4"/>
      <c r="E596" s="3" t="s">
        <v>1120</v>
      </c>
      <c r="G596" s="3" t="s">
        <v>1284</v>
      </c>
      <c r="H596" s="4"/>
      <c r="I596" s="4">
        <v>17.75</v>
      </c>
      <c r="J596" s="16">
        <v>0.63400400000000001</v>
      </c>
      <c r="K596" s="16">
        <v>0.58486199999999999</v>
      </c>
      <c r="L596" s="4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2">
        <v>7.07</v>
      </c>
      <c r="AK596" s="4">
        <v>12.93</v>
      </c>
      <c r="AL596" s="4">
        <v>15.69</v>
      </c>
      <c r="AM596" s="4">
        <v>17.75</v>
      </c>
      <c r="AN596" s="46" t="s">
        <v>773</v>
      </c>
      <c r="AO596" s="46" t="s">
        <v>773</v>
      </c>
      <c r="AP596" s="46" t="s">
        <v>773</v>
      </c>
      <c r="AQ596" s="46" t="s">
        <v>773</v>
      </c>
      <c r="AR596" s="23">
        <v>3.888888888888889E-2</v>
      </c>
      <c r="AS596" s="47">
        <f>((56/60))*AM596</f>
        <v>16.566666666666666</v>
      </c>
    </row>
    <row r="597" spans="1:45" x14ac:dyDescent="0.2">
      <c r="A597" s="2">
        <v>1318</v>
      </c>
      <c r="B597" s="2">
        <v>492</v>
      </c>
      <c r="C597" s="2">
        <v>5892</v>
      </c>
      <c r="E597" t="s">
        <v>273</v>
      </c>
      <c r="I597" s="2">
        <v>18.55</v>
      </c>
      <c r="J597" s="15">
        <v>0.66282799999999997</v>
      </c>
      <c r="K597" s="15">
        <v>0.62997099999999995</v>
      </c>
      <c r="AJ597" s="2">
        <v>6.508</v>
      </c>
      <c r="AK597" s="2">
        <v>12.99</v>
      </c>
      <c r="AL597" s="2">
        <v>15.08</v>
      </c>
      <c r="AM597" s="2">
        <v>18.55</v>
      </c>
      <c r="AN597" s="14" t="s">
        <v>773</v>
      </c>
      <c r="AO597" s="14" t="s">
        <v>773</v>
      </c>
      <c r="AP597" s="14" t="s">
        <v>773</v>
      </c>
      <c r="AQ597" s="14" t="s">
        <v>773</v>
      </c>
      <c r="AR597" s="19">
        <v>3.6805555555555557E-2</v>
      </c>
      <c r="AS597" s="8">
        <f>(53/60)*AM597</f>
        <v>16.385833333333334</v>
      </c>
    </row>
    <row r="598" spans="1:45" s="3" customFormat="1" x14ac:dyDescent="0.2">
      <c r="A598" s="4">
        <v>211956</v>
      </c>
      <c r="B598" s="2">
        <v>451</v>
      </c>
      <c r="C598" s="4">
        <v>8207</v>
      </c>
      <c r="D598" s="4"/>
      <c r="E598" s="3" t="s">
        <v>1119</v>
      </c>
      <c r="G598" s="3" t="s">
        <v>1284</v>
      </c>
      <c r="H598" s="4"/>
      <c r="I598" s="4">
        <v>4.407</v>
      </c>
      <c r="J598" s="16">
        <v>0.15739300000000001</v>
      </c>
      <c r="K598" s="16">
        <v>0.12548799999999999</v>
      </c>
      <c r="L598" s="4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4">
        <v>3.9020000000000001</v>
      </c>
      <c r="AK598" s="4">
        <v>4.0449999999999999</v>
      </c>
      <c r="AL598" s="4">
        <v>4.5629999999999997</v>
      </c>
      <c r="AM598" s="2">
        <v>4.407</v>
      </c>
      <c r="AN598" s="14" t="s">
        <v>773</v>
      </c>
      <c r="AO598" s="14" t="s">
        <v>773</v>
      </c>
      <c r="AP598" s="14" t="s">
        <v>773</v>
      </c>
      <c r="AQ598" s="14" t="s">
        <v>773</v>
      </c>
      <c r="AR598" s="19">
        <v>0.22083333333333333</v>
      </c>
      <c r="AS598" s="8">
        <f>(5+(18/60))*AM598</f>
        <v>23.357099999999999</v>
      </c>
    </row>
    <row r="599" spans="1:45" x14ac:dyDescent="0.2">
      <c r="A599" s="2">
        <v>2558</v>
      </c>
      <c r="B599" s="2">
        <v>565</v>
      </c>
      <c r="C599" s="2">
        <v>8280</v>
      </c>
      <c r="E599" t="s">
        <v>1170</v>
      </c>
      <c r="G599" t="s">
        <v>1318</v>
      </c>
      <c r="I599" s="2">
        <v>10.09</v>
      </c>
      <c r="J599" s="15">
        <v>0.36067199999999999</v>
      </c>
      <c r="K599" s="15">
        <v>0.324965</v>
      </c>
      <c r="AJ599" s="2">
        <v>7.2969999999999997</v>
      </c>
      <c r="AK599" s="2">
        <v>5.95</v>
      </c>
      <c r="AL599" s="2">
        <v>6.6719999999999997</v>
      </c>
      <c r="AM599" s="2">
        <v>10.09</v>
      </c>
      <c r="AN599" s="14" t="s">
        <v>773</v>
      </c>
      <c r="AO599" s="14" t="s">
        <v>773</v>
      </c>
      <c r="AP599" s="14" t="s">
        <v>773</v>
      </c>
      <c r="AQ599" s="14" t="s">
        <v>773</v>
      </c>
      <c r="AR599" s="19">
        <v>0.15</v>
      </c>
      <c r="AS599" s="8">
        <f>(3+(36/60))*AM599</f>
        <v>36.323999999999998</v>
      </c>
    </row>
    <row r="600" spans="1:45" x14ac:dyDescent="0.2">
      <c r="A600" s="2">
        <v>6077</v>
      </c>
      <c r="B600" s="2">
        <v>502</v>
      </c>
      <c r="C600" s="2">
        <v>10229</v>
      </c>
      <c r="E600" t="s">
        <v>309</v>
      </c>
      <c r="G600" t="s">
        <v>1294</v>
      </c>
      <c r="I600" s="2">
        <v>66.45</v>
      </c>
      <c r="J600" s="15">
        <v>2.3730000000000002</v>
      </c>
      <c r="K600" s="15">
        <v>1.198</v>
      </c>
      <c r="AJ600" s="2">
        <v>1.8160000000000001</v>
      </c>
      <c r="AK600" s="2">
        <v>6.38</v>
      </c>
      <c r="AL600" s="2">
        <v>7.859</v>
      </c>
      <c r="AM600" s="2">
        <v>66.45</v>
      </c>
      <c r="AN600" s="14" t="s">
        <v>773</v>
      </c>
      <c r="AO600" s="14" t="s">
        <v>773</v>
      </c>
      <c r="AP600" s="14" t="s">
        <v>773</v>
      </c>
      <c r="AQ600" s="14" t="s">
        <v>773</v>
      </c>
      <c r="AR600" s="19">
        <v>9.4444444444444442E-2</v>
      </c>
      <c r="AS600" s="8">
        <f>(2+(16/60))*AM600</f>
        <v>150.62</v>
      </c>
    </row>
    <row r="601" spans="1:45" x14ac:dyDescent="0.2">
      <c r="A601" s="2">
        <v>59558</v>
      </c>
      <c r="B601" s="2">
        <v>3529</v>
      </c>
      <c r="C601" s="2">
        <v>11936</v>
      </c>
      <c r="E601" t="s">
        <v>1320</v>
      </c>
      <c r="G601" s="2" t="s">
        <v>1341</v>
      </c>
      <c r="I601" s="2">
        <v>3.99</v>
      </c>
      <c r="J601" s="15">
        <v>0.142512</v>
      </c>
      <c r="K601" s="15">
        <v>0.112479</v>
      </c>
      <c r="AJ601" s="2">
        <v>3.8959999999999999</v>
      </c>
      <c r="AK601" s="2">
        <v>4.0380000000000003</v>
      </c>
      <c r="AL601" s="2">
        <v>3.99</v>
      </c>
      <c r="AM601" s="2" t="s">
        <v>773</v>
      </c>
      <c r="AN601" s="14" t="s">
        <v>773</v>
      </c>
      <c r="AO601" s="14" t="s">
        <v>773</v>
      </c>
      <c r="AP601" s="14" t="s">
        <v>773</v>
      </c>
      <c r="AQ601" s="14" t="s">
        <v>773</v>
      </c>
      <c r="AR601" s="19">
        <v>0.3347222222222222</v>
      </c>
      <c r="AS601" s="8">
        <f>(8+(2/60))*AL601</f>
        <v>32.053000000000004</v>
      </c>
    </row>
    <row r="602" spans="1:45" x14ac:dyDescent="0.2">
      <c r="A602" s="2">
        <v>3001</v>
      </c>
      <c r="B602" s="2">
        <v>535</v>
      </c>
      <c r="C602" s="2">
        <v>13457</v>
      </c>
      <c r="E602" s="3" t="s">
        <v>368</v>
      </c>
      <c r="I602" s="2">
        <v>28.96</v>
      </c>
      <c r="J602" s="15">
        <v>0.93873399999999996</v>
      </c>
      <c r="K602" s="16">
        <v>0.86621899999999996</v>
      </c>
      <c r="L602" s="2">
        <v>22.42</v>
      </c>
      <c r="AJ602" s="2">
        <v>3.8769999999999998</v>
      </c>
      <c r="AK602" s="2" t="s">
        <v>773</v>
      </c>
      <c r="AL602" s="2" t="s">
        <v>773</v>
      </c>
      <c r="AM602" s="14" t="s">
        <v>773</v>
      </c>
      <c r="AN602" s="14" t="s">
        <v>773</v>
      </c>
      <c r="AO602" s="14" t="s">
        <v>773</v>
      </c>
      <c r="AP602" s="14" t="s">
        <v>773</v>
      </c>
      <c r="AQ602" s="57" t="s">
        <v>773</v>
      </c>
      <c r="AR602" s="19">
        <v>0.10347222222222222</v>
      </c>
      <c r="AS602" s="8">
        <f>(2+(29/60))*AJ602</f>
        <v>9.6278833333333331</v>
      </c>
    </row>
    <row r="603" spans="1:45" x14ac:dyDescent="0.2">
      <c r="A603" s="2">
        <v>56076</v>
      </c>
      <c r="B603" s="2">
        <v>539</v>
      </c>
      <c r="C603" s="2">
        <v>33091</v>
      </c>
      <c r="E603" t="s">
        <v>179</v>
      </c>
      <c r="F603" t="s">
        <v>696</v>
      </c>
      <c r="G603" t="s">
        <v>1303</v>
      </c>
      <c r="H603" s="2">
        <v>0</v>
      </c>
      <c r="I603" s="2">
        <v>9.8889999999999993</v>
      </c>
      <c r="J603" s="15">
        <v>0.35319600000000001</v>
      </c>
      <c r="K603" s="15">
        <v>0.228269</v>
      </c>
      <c r="AJ603" s="2">
        <v>0.75726700000000002</v>
      </c>
      <c r="AK603" s="2">
        <v>0.81598000000000004</v>
      </c>
      <c r="AL603" s="2">
        <v>4.4790000000000001</v>
      </c>
      <c r="AM603" s="2">
        <v>9.8889999999999993</v>
      </c>
      <c r="AN603" s="14" t="s">
        <v>773</v>
      </c>
      <c r="AO603" s="2">
        <v>112</v>
      </c>
      <c r="AP603" s="14" t="s">
        <v>773</v>
      </c>
      <c r="AQ603" s="14" t="s">
        <v>773</v>
      </c>
      <c r="AR603" s="19">
        <v>1.9444444444444445E-2</v>
      </c>
      <c r="AS603" s="8">
        <f>(28/60)*AL603</f>
        <v>2.0902000000000003</v>
      </c>
    </row>
    <row r="604" spans="1:45" x14ac:dyDescent="0.2">
      <c r="A604" s="2">
        <v>16711</v>
      </c>
      <c r="B604" s="2">
        <v>440</v>
      </c>
      <c r="C604" s="2">
        <v>39125</v>
      </c>
      <c r="E604" t="s">
        <v>1157</v>
      </c>
      <c r="I604" s="2">
        <v>1.506</v>
      </c>
      <c r="J604" s="15">
        <v>5.3804999999999999E-2</v>
      </c>
      <c r="K604" s="15">
        <v>4.5036E-2</v>
      </c>
      <c r="AJ604" s="2">
        <v>1.5369999999999999</v>
      </c>
      <c r="AK604" s="2">
        <v>1.4419999999999999</v>
      </c>
      <c r="AL604" s="2">
        <v>1.506</v>
      </c>
      <c r="AM604" s="14" t="s">
        <v>773</v>
      </c>
      <c r="AN604" s="14" t="s">
        <v>773</v>
      </c>
      <c r="AO604" s="14" t="s">
        <v>773</v>
      </c>
      <c r="AP604" s="14" t="s">
        <v>773</v>
      </c>
      <c r="AQ604" s="14" t="s">
        <v>773</v>
      </c>
      <c r="AR604" s="19">
        <v>0.12222222222222222</v>
      </c>
      <c r="AS604" s="8">
        <f>(2+(56/60))*AL604</f>
        <v>4.4176000000000002</v>
      </c>
    </row>
    <row r="605" spans="1:45" x14ac:dyDescent="0.2">
      <c r="A605" s="2">
        <v>12839</v>
      </c>
      <c r="B605" s="2">
        <v>2065</v>
      </c>
      <c r="C605" s="2">
        <v>40434</v>
      </c>
      <c r="E605" t="s">
        <v>151</v>
      </c>
      <c r="F605" t="s">
        <v>696</v>
      </c>
      <c r="H605" s="2">
        <v>0</v>
      </c>
      <c r="I605" s="2">
        <v>2.952</v>
      </c>
      <c r="J605" s="15">
        <v>0.105463</v>
      </c>
      <c r="K605" s="15">
        <v>9.2238000000000001E-2</v>
      </c>
      <c r="AJ605" s="2">
        <v>0.81640000000000001</v>
      </c>
      <c r="AK605" s="2">
        <v>1.427</v>
      </c>
      <c r="AL605" s="2">
        <v>1.4930000000000001</v>
      </c>
      <c r="AM605" s="2">
        <v>2.952</v>
      </c>
      <c r="AN605" s="14" t="s">
        <v>773</v>
      </c>
      <c r="AO605" s="2">
        <v>8.8130000000000006</v>
      </c>
      <c r="AP605" s="14" t="s">
        <v>773</v>
      </c>
      <c r="AQ605" s="14" t="s">
        <v>773</v>
      </c>
      <c r="AR605" s="19">
        <v>8.3333333333333332E-3</v>
      </c>
      <c r="AS605" s="8">
        <f>(12/60)*AL605</f>
        <v>0.29860000000000003</v>
      </c>
    </row>
    <row r="606" spans="1:45" x14ac:dyDescent="0.2">
      <c r="A606" s="2" t="s">
        <v>773</v>
      </c>
      <c r="B606" s="2">
        <v>1727</v>
      </c>
      <c r="C606" s="2" t="s">
        <v>773</v>
      </c>
      <c r="E606" t="s">
        <v>241</v>
      </c>
      <c r="I606" s="2">
        <v>247.5</v>
      </c>
      <c r="J606" s="15">
        <v>8.8390000000000004</v>
      </c>
      <c r="K606" s="15">
        <v>8.0359999999999996</v>
      </c>
      <c r="AJ606" s="2">
        <v>356.8</v>
      </c>
      <c r="AK606" s="2">
        <v>276.10000000000002</v>
      </c>
      <c r="AL606" s="2">
        <v>244.7</v>
      </c>
      <c r="AM606" s="57">
        <v>247.5</v>
      </c>
      <c r="AN606" s="57" t="s">
        <v>773</v>
      </c>
      <c r="AO606" s="57">
        <v>259.5</v>
      </c>
      <c r="AP606" s="57" t="s">
        <v>773</v>
      </c>
      <c r="AQ606" s="57" t="s">
        <v>773</v>
      </c>
      <c r="AR606" s="19">
        <v>2.0833333333333332E-2</v>
      </c>
      <c r="AS606" s="8">
        <f>(30/60)*AL606</f>
        <v>122.35</v>
      </c>
    </row>
    <row r="607" spans="1:45" x14ac:dyDescent="0.2">
      <c r="A607" s="2">
        <v>687</v>
      </c>
      <c r="B607" s="4">
        <v>4741</v>
      </c>
      <c r="C607" s="2">
        <v>1283</v>
      </c>
      <c r="E607" t="s">
        <v>377</v>
      </c>
      <c r="AJ607" s="2">
        <v>29.92</v>
      </c>
      <c r="AK607" s="2" t="s">
        <v>773</v>
      </c>
      <c r="AL607" s="2" t="s">
        <v>773</v>
      </c>
      <c r="AM607" s="14" t="s">
        <v>773</v>
      </c>
      <c r="AN607" s="14" t="s">
        <v>773</v>
      </c>
      <c r="AO607" s="14" t="s">
        <v>773</v>
      </c>
      <c r="AP607" s="14" t="s">
        <v>773</v>
      </c>
      <c r="AQ607" s="57" t="s">
        <v>773</v>
      </c>
      <c r="AR607" s="19">
        <v>0.21805555555555556</v>
      </c>
      <c r="AS607" s="8">
        <f>(5+(14/60))*AJ607</f>
        <v>156.58133333333333</v>
      </c>
    </row>
    <row r="608" spans="1:45" x14ac:dyDescent="0.2">
      <c r="A608" s="2">
        <v>620</v>
      </c>
      <c r="B608" s="2" t="s">
        <v>773</v>
      </c>
      <c r="C608" s="2">
        <v>1950</v>
      </c>
      <c r="E608" t="s">
        <v>383</v>
      </c>
      <c r="AJ608" s="2">
        <v>28.34</v>
      </c>
      <c r="AK608" s="2" t="s">
        <v>773</v>
      </c>
      <c r="AL608" s="2" t="s">
        <v>773</v>
      </c>
      <c r="AM608" s="14" t="s">
        <v>773</v>
      </c>
      <c r="AN608" s="14" t="s">
        <v>773</v>
      </c>
      <c r="AO608" s="14" t="s">
        <v>773</v>
      </c>
      <c r="AP608" s="14" t="s">
        <v>773</v>
      </c>
      <c r="AQ608" s="57" t="s">
        <v>773</v>
      </c>
      <c r="AR608" s="19">
        <v>0.12430555555555556</v>
      </c>
      <c r="AS608" s="8">
        <f>(2+(59/60))*AJ608</f>
        <v>84.547666666666672</v>
      </c>
    </row>
    <row r="609" spans="1:45" x14ac:dyDescent="0.2">
      <c r="A609" s="2" t="s">
        <v>773</v>
      </c>
      <c r="B609" s="2">
        <v>399</v>
      </c>
      <c r="C609" s="2">
        <v>2810</v>
      </c>
      <c r="E609" t="s">
        <v>1343</v>
      </c>
      <c r="AJ609" s="2">
        <v>22.34</v>
      </c>
      <c r="AK609" s="2" t="s">
        <v>773</v>
      </c>
      <c r="AL609" s="2" t="s">
        <v>773</v>
      </c>
      <c r="AM609" s="14" t="s">
        <v>773</v>
      </c>
      <c r="AN609" s="14" t="s">
        <v>773</v>
      </c>
      <c r="AO609" s="14" t="s">
        <v>773</v>
      </c>
      <c r="AP609" s="14" t="s">
        <v>773</v>
      </c>
      <c r="AQ609" s="57" t="s">
        <v>773</v>
      </c>
      <c r="AR609" s="19">
        <v>0.13750000000000001</v>
      </c>
      <c r="AS609" s="8">
        <f>(3+(18/60))*AJ609</f>
        <v>73.721999999999994</v>
      </c>
    </row>
    <row r="610" spans="1:45" x14ac:dyDescent="0.2">
      <c r="A610" s="2">
        <v>883</v>
      </c>
      <c r="B610" s="2">
        <v>398</v>
      </c>
      <c r="C610" s="2">
        <v>3231</v>
      </c>
      <c r="E610" t="s">
        <v>366</v>
      </c>
      <c r="F610" t="s">
        <v>581</v>
      </c>
      <c r="AJ610" s="2">
        <v>24.36</v>
      </c>
      <c r="AK610" s="2" t="s">
        <v>773</v>
      </c>
      <c r="AL610" s="2" t="s">
        <v>773</v>
      </c>
      <c r="AM610" s="14" t="s">
        <v>773</v>
      </c>
      <c r="AN610" s="14" t="s">
        <v>773</v>
      </c>
      <c r="AO610" s="14" t="s">
        <v>773</v>
      </c>
      <c r="AP610" s="14" t="s">
        <v>773</v>
      </c>
      <c r="AQ610" s="57" t="s">
        <v>773</v>
      </c>
      <c r="AR610" s="19">
        <v>3.4722222222222224E-2</v>
      </c>
      <c r="AS610" s="8">
        <f>(50/60)*AJ610</f>
        <v>20.3</v>
      </c>
    </row>
    <row r="611" spans="1:45" x14ac:dyDescent="0.2">
      <c r="A611" s="2">
        <v>1159</v>
      </c>
      <c r="B611" s="2">
        <v>402</v>
      </c>
      <c r="C611" s="2">
        <v>4591</v>
      </c>
      <c r="E611" t="s">
        <v>378</v>
      </c>
      <c r="AJ611" s="2">
        <v>12.27</v>
      </c>
      <c r="AK611" s="2" t="s">
        <v>773</v>
      </c>
      <c r="AL611" s="2" t="s">
        <v>773</v>
      </c>
      <c r="AM611" s="14" t="s">
        <v>773</v>
      </c>
      <c r="AN611" s="14" t="s">
        <v>773</v>
      </c>
      <c r="AO611" s="14" t="s">
        <v>773</v>
      </c>
      <c r="AP611" s="14" t="s">
        <v>773</v>
      </c>
      <c r="AQ611" s="57" t="s">
        <v>773</v>
      </c>
      <c r="AR611" s="19">
        <v>0.15277777777777779</v>
      </c>
      <c r="AS611" s="8">
        <f>(3+(40/60))*AJ611</f>
        <v>44.989999999999995</v>
      </c>
    </row>
    <row r="612" spans="1:45" x14ac:dyDescent="0.2">
      <c r="A612" s="2">
        <v>837</v>
      </c>
      <c r="B612" s="2">
        <v>395</v>
      </c>
      <c r="C612" s="2">
        <v>4878</v>
      </c>
      <c r="E612" t="s">
        <v>375</v>
      </c>
      <c r="AJ612" s="2">
        <v>13.39</v>
      </c>
      <c r="AK612" s="2" t="s">
        <v>773</v>
      </c>
      <c r="AL612" s="2" t="s">
        <v>773</v>
      </c>
      <c r="AM612" s="14" t="s">
        <v>773</v>
      </c>
      <c r="AN612" s="14" t="s">
        <v>773</v>
      </c>
      <c r="AO612" s="14" t="s">
        <v>773</v>
      </c>
      <c r="AP612" s="14" t="s">
        <v>773</v>
      </c>
      <c r="AQ612" s="57" t="s">
        <v>773</v>
      </c>
      <c r="AR612" s="19">
        <v>0.10347222222222222</v>
      </c>
      <c r="AS612" s="8">
        <f>(2+(29/60))*AJ612</f>
        <v>33.251833333333337</v>
      </c>
    </row>
    <row r="613" spans="1:45" x14ac:dyDescent="0.2">
      <c r="A613" s="2">
        <v>1004</v>
      </c>
      <c r="B613" s="2">
        <v>479</v>
      </c>
      <c r="C613" s="2">
        <v>5173</v>
      </c>
      <c r="E613" t="s">
        <v>385</v>
      </c>
      <c r="AJ613" s="2">
        <v>12.61</v>
      </c>
      <c r="AK613" s="2" t="s">
        <v>773</v>
      </c>
      <c r="AL613" s="2" t="s">
        <v>773</v>
      </c>
      <c r="AM613" s="14" t="s">
        <v>773</v>
      </c>
      <c r="AN613" s="14" t="s">
        <v>773</v>
      </c>
      <c r="AO613" s="14" t="s">
        <v>773</v>
      </c>
      <c r="AP613" s="14" t="s">
        <v>773</v>
      </c>
      <c r="AQ613" s="57" t="s">
        <v>773</v>
      </c>
      <c r="AR613" s="19">
        <v>0.17152777777777778</v>
      </c>
      <c r="AS613" s="8">
        <f>(4+(7/60))*AJ613</f>
        <v>51.911166666666659</v>
      </c>
    </row>
    <row r="614" spans="1:45" x14ac:dyDescent="0.2">
      <c r="A614" s="2">
        <v>486</v>
      </c>
      <c r="B614" s="2">
        <v>480</v>
      </c>
      <c r="E614" t="s">
        <v>389</v>
      </c>
      <c r="AM614" s="14"/>
      <c r="AN614" s="14"/>
      <c r="AO614" s="14"/>
      <c r="AP614" s="14"/>
      <c r="AQ614" s="51"/>
    </row>
    <row r="615" spans="1:45" x14ac:dyDescent="0.2">
      <c r="A615" s="2">
        <v>487</v>
      </c>
      <c r="B615" s="2">
        <v>481</v>
      </c>
      <c r="E615" t="s">
        <v>390</v>
      </c>
      <c r="F615" t="s">
        <v>6</v>
      </c>
      <c r="AM615" s="14"/>
      <c r="AN615" s="14"/>
      <c r="AO615" s="14"/>
      <c r="AP615" s="14"/>
      <c r="AQ615" s="51"/>
    </row>
    <row r="616" spans="1:45" x14ac:dyDescent="0.2">
      <c r="A616" s="2">
        <v>489</v>
      </c>
      <c r="B616" s="2">
        <v>478</v>
      </c>
      <c r="E616" t="s">
        <v>392</v>
      </c>
      <c r="AM616" s="14"/>
      <c r="AN616" s="14"/>
      <c r="AO616" s="14"/>
      <c r="AP616" s="14"/>
      <c r="AQ616" s="51"/>
    </row>
    <row r="617" spans="1:45" x14ac:dyDescent="0.2">
      <c r="A617" s="2">
        <v>490</v>
      </c>
      <c r="B617" s="2">
        <v>406</v>
      </c>
      <c r="E617" t="s">
        <v>393</v>
      </c>
      <c r="AM617" s="14"/>
      <c r="AN617" s="14"/>
      <c r="AO617" s="14"/>
      <c r="AP617" s="14"/>
      <c r="AQ617" s="51"/>
    </row>
    <row r="618" spans="1:45" x14ac:dyDescent="0.2">
      <c r="A618" s="2">
        <f>A452+1</f>
        <v>524</v>
      </c>
      <c r="B618" s="2">
        <v>476</v>
      </c>
      <c r="E618" t="s">
        <v>397</v>
      </c>
      <c r="AM618" s="14"/>
      <c r="AN618" s="14"/>
      <c r="AO618" s="14"/>
      <c r="AP618" s="14"/>
      <c r="AQ618" s="51"/>
    </row>
    <row r="619" spans="1:45" x14ac:dyDescent="0.2">
      <c r="A619" s="2">
        <v>495</v>
      </c>
      <c r="B619" s="2">
        <v>473</v>
      </c>
      <c r="E619" t="s">
        <v>398</v>
      </c>
      <c r="AM619" s="14"/>
      <c r="AN619" s="14"/>
      <c r="AO619" s="14"/>
      <c r="AP619" s="14"/>
      <c r="AQ619" s="51"/>
    </row>
    <row r="620" spans="1:45" x14ac:dyDescent="0.2">
      <c r="A620" s="2">
        <f>A340+1</f>
        <v>340</v>
      </c>
      <c r="B620" s="2">
        <v>487</v>
      </c>
      <c r="E620" t="s">
        <v>404</v>
      </c>
      <c r="AM620" s="14"/>
      <c r="AN620" s="14"/>
      <c r="AO620" s="14"/>
      <c r="AP620" s="14"/>
      <c r="AQ620" s="51"/>
    </row>
    <row r="621" spans="1:45" x14ac:dyDescent="0.2">
      <c r="A621" s="2">
        <v>392</v>
      </c>
      <c r="B621" s="2">
        <v>490</v>
      </c>
      <c r="E621" t="s">
        <v>407</v>
      </c>
      <c r="AM621" s="14"/>
      <c r="AN621" s="14"/>
      <c r="AO621" s="14"/>
      <c r="AP621" s="14"/>
      <c r="AQ621" s="51"/>
    </row>
    <row r="622" spans="1:45" x14ac:dyDescent="0.2">
      <c r="A622" s="2">
        <f t="shared" ref="A622:A624" si="3">A621+1</f>
        <v>393</v>
      </c>
      <c r="B622" s="2">
        <v>491</v>
      </c>
      <c r="E622" t="s">
        <v>408</v>
      </c>
      <c r="AM622" s="14"/>
      <c r="AN622" s="14"/>
      <c r="AO622" s="14"/>
      <c r="AP622" s="14"/>
      <c r="AQ622" s="51"/>
    </row>
    <row r="623" spans="1:45" x14ac:dyDescent="0.2">
      <c r="A623" s="2">
        <f t="shared" si="3"/>
        <v>394</v>
      </c>
      <c r="B623" s="2">
        <v>492</v>
      </c>
      <c r="E623" t="s">
        <v>409</v>
      </c>
      <c r="AM623" s="14"/>
      <c r="AN623" s="14"/>
      <c r="AO623" s="14"/>
      <c r="AP623" s="14"/>
      <c r="AQ623" s="51"/>
    </row>
    <row r="624" spans="1:45" x14ac:dyDescent="0.2">
      <c r="A624" s="2">
        <f t="shared" si="3"/>
        <v>395</v>
      </c>
      <c r="B624" s="2">
        <v>493</v>
      </c>
      <c r="E624" t="s">
        <v>410</v>
      </c>
      <c r="AM624" s="14"/>
      <c r="AN624" s="14"/>
      <c r="AO624" s="14"/>
      <c r="AP624" s="14"/>
      <c r="AQ624" s="51"/>
    </row>
    <row r="625" spans="1:43" x14ac:dyDescent="0.2">
      <c r="E625" t="s">
        <v>1158</v>
      </c>
      <c r="AM625" s="14"/>
      <c r="AN625" s="14"/>
      <c r="AO625" s="14"/>
      <c r="AP625" s="14"/>
      <c r="AQ625" s="51"/>
    </row>
    <row r="626" spans="1:43" x14ac:dyDescent="0.2">
      <c r="A626" s="2">
        <v>396</v>
      </c>
      <c r="E626" t="s">
        <v>411</v>
      </c>
      <c r="AM626" s="14"/>
      <c r="AN626" s="14"/>
      <c r="AO626" s="14"/>
      <c r="AP626" s="14"/>
      <c r="AQ626" s="51"/>
    </row>
    <row r="627" spans="1:43" x14ac:dyDescent="0.2">
      <c r="A627" s="2">
        <v>417</v>
      </c>
      <c r="E627" t="s">
        <v>417</v>
      </c>
      <c r="AM627" s="14"/>
      <c r="AN627" s="14"/>
      <c r="AO627" s="14"/>
      <c r="AP627" s="14"/>
      <c r="AQ627" s="51"/>
    </row>
    <row r="628" spans="1:43" x14ac:dyDescent="0.2">
      <c r="A628" s="2">
        <f t="shared" ref="A628:A641" si="4">A627+1</f>
        <v>418</v>
      </c>
      <c r="E628" t="s">
        <v>418</v>
      </c>
      <c r="AM628" s="14"/>
      <c r="AN628" s="14"/>
      <c r="AO628" s="14"/>
      <c r="AP628" s="14"/>
      <c r="AQ628" s="51"/>
    </row>
    <row r="629" spans="1:43" x14ac:dyDescent="0.2">
      <c r="A629" s="2">
        <f t="shared" si="4"/>
        <v>419</v>
      </c>
      <c r="E629" t="s">
        <v>419</v>
      </c>
      <c r="AM629" s="14"/>
      <c r="AN629" s="14"/>
      <c r="AO629" s="14"/>
      <c r="AP629" s="14"/>
      <c r="AQ629" s="51"/>
    </row>
    <row r="630" spans="1:43" x14ac:dyDescent="0.2">
      <c r="A630" s="2">
        <v>420</v>
      </c>
      <c r="E630" t="s">
        <v>420</v>
      </c>
      <c r="AM630" s="14"/>
      <c r="AN630" s="14"/>
      <c r="AO630" s="14"/>
      <c r="AP630" s="14"/>
      <c r="AQ630" s="51"/>
    </row>
    <row r="631" spans="1:43" x14ac:dyDescent="0.2">
      <c r="A631" s="2">
        <v>422</v>
      </c>
      <c r="E631" t="s">
        <v>422</v>
      </c>
      <c r="AM631" s="14"/>
      <c r="AN631" s="14"/>
      <c r="AO631" s="14"/>
      <c r="AP631" s="14"/>
      <c r="AQ631" s="51"/>
    </row>
    <row r="632" spans="1:43" x14ac:dyDescent="0.2">
      <c r="A632" s="2">
        <v>423</v>
      </c>
      <c r="E632" t="s">
        <v>423</v>
      </c>
      <c r="AM632" s="14"/>
      <c r="AN632" s="14"/>
      <c r="AO632" s="14"/>
      <c r="AP632" s="14"/>
      <c r="AQ632" s="51"/>
    </row>
    <row r="633" spans="1:43" x14ac:dyDescent="0.2">
      <c r="A633" s="2">
        <v>426</v>
      </c>
      <c r="E633" t="s">
        <v>426</v>
      </c>
      <c r="AM633" s="14"/>
      <c r="AN633" s="14"/>
      <c r="AO633" s="14"/>
      <c r="AP633" s="14"/>
      <c r="AQ633" s="51"/>
    </row>
    <row r="634" spans="1:43" x14ac:dyDescent="0.2">
      <c r="A634" s="2">
        <v>428</v>
      </c>
      <c r="E634" t="s">
        <v>428</v>
      </c>
      <c r="AM634" s="14"/>
      <c r="AN634" s="14"/>
      <c r="AO634" s="14"/>
      <c r="AP634" s="14"/>
      <c r="AQ634" s="51"/>
    </row>
    <row r="635" spans="1:43" x14ac:dyDescent="0.2">
      <c r="A635" s="2">
        <v>429</v>
      </c>
      <c r="E635" t="s">
        <v>429</v>
      </c>
      <c r="AM635" s="14"/>
      <c r="AN635" s="14"/>
      <c r="AO635" s="14"/>
      <c r="AP635" s="14"/>
      <c r="AQ635" s="51"/>
    </row>
    <row r="636" spans="1:43" x14ac:dyDescent="0.2">
      <c r="A636" s="2">
        <v>431</v>
      </c>
      <c r="E636" t="s">
        <v>431</v>
      </c>
      <c r="AM636" s="14"/>
      <c r="AN636" s="14"/>
      <c r="AO636" s="14"/>
      <c r="AP636" s="14"/>
      <c r="AQ636" s="51"/>
    </row>
    <row r="637" spans="1:43" x14ac:dyDescent="0.2">
      <c r="A637" s="2">
        <v>433</v>
      </c>
      <c r="E637" t="s">
        <v>433</v>
      </c>
      <c r="AM637" s="14"/>
      <c r="AN637" s="14"/>
      <c r="AO637" s="14"/>
      <c r="AP637" s="14"/>
      <c r="AQ637" s="51"/>
    </row>
    <row r="638" spans="1:43" x14ac:dyDescent="0.2">
      <c r="A638" s="2">
        <v>434</v>
      </c>
      <c r="E638" t="s">
        <v>434</v>
      </c>
      <c r="AM638" s="14"/>
      <c r="AN638" s="14"/>
      <c r="AO638" s="14"/>
      <c r="AP638" s="14"/>
      <c r="AQ638" s="51"/>
    </row>
    <row r="639" spans="1:43" x14ac:dyDescent="0.2">
      <c r="A639" s="2">
        <v>436</v>
      </c>
      <c r="E639" t="s">
        <v>436</v>
      </c>
      <c r="F639" t="s">
        <v>6</v>
      </c>
      <c r="AM639" s="14"/>
      <c r="AN639" s="14"/>
      <c r="AO639" s="14"/>
      <c r="AP639" s="14"/>
      <c r="AQ639" s="51"/>
    </row>
    <row r="640" spans="1:43" x14ac:dyDescent="0.2">
      <c r="A640" s="2">
        <v>438</v>
      </c>
      <c r="E640" t="s">
        <v>438</v>
      </c>
      <c r="F640" t="s">
        <v>717</v>
      </c>
      <c r="AM640" s="14"/>
      <c r="AN640" s="14"/>
      <c r="AO640" s="14"/>
      <c r="AP640" s="14"/>
      <c r="AQ640" s="51"/>
    </row>
    <row r="641" spans="1:43" x14ac:dyDescent="0.2">
      <c r="A641" s="2">
        <f t="shared" si="4"/>
        <v>439</v>
      </c>
      <c r="E641" t="s">
        <v>439</v>
      </c>
      <c r="AM641" s="14"/>
      <c r="AN641" s="14"/>
      <c r="AO641" s="14"/>
      <c r="AP641" s="14"/>
      <c r="AQ641" s="51"/>
    </row>
    <row r="642" spans="1:43" x14ac:dyDescent="0.2">
      <c r="A642" s="2">
        <v>440</v>
      </c>
      <c r="E642" t="s">
        <v>440</v>
      </c>
      <c r="AM642" s="14"/>
      <c r="AN642" s="14"/>
      <c r="AO642" s="14"/>
      <c r="AP642" s="14"/>
      <c r="AQ642" s="51"/>
    </row>
    <row r="643" spans="1:43" x14ac:dyDescent="0.2">
      <c r="A643" s="2">
        <v>444</v>
      </c>
      <c r="E643" t="s">
        <v>444</v>
      </c>
      <c r="AM643" s="14"/>
      <c r="AN643" s="14"/>
      <c r="AO643" s="14"/>
      <c r="AP643" s="14"/>
      <c r="AQ643" s="51"/>
    </row>
    <row r="644" spans="1:43" x14ac:dyDescent="0.2">
      <c r="A644" s="2">
        <v>424</v>
      </c>
      <c r="E644" t="s">
        <v>448</v>
      </c>
      <c r="F644" t="s">
        <v>6</v>
      </c>
      <c r="AM644" s="14"/>
      <c r="AN644" s="14"/>
      <c r="AO644" s="14"/>
      <c r="AP644" s="14"/>
      <c r="AQ644" s="51"/>
    </row>
    <row r="645" spans="1:43" x14ac:dyDescent="0.2">
      <c r="A645" s="2">
        <v>425</v>
      </c>
      <c r="E645" t="s">
        <v>449</v>
      </c>
      <c r="AM645" s="14"/>
      <c r="AN645" s="14"/>
      <c r="AO645" s="14"/>
      <c r="AP645" s="14"/>
      <c r="AQ645" s="51"/>
    </row>
    <row r="646" spans="1:43" x14ac:dyDescent="0.2">
      <c r="A646" s="2">
        <v>429</v>
      </c>
      <c r="E646" t="s">
        <v>453</v>
      </c>
      <c r="AM646" s="14"/>
      <c r="AN646" s="14"/>
      <c r="AO646" s="14"/>
      <c r="AP646" s="14"/>
      <c r="AQ646" s="51"/>
    </row>
    <row r="647" spans="1:43" x14ac:dyDescent="0.2">
      <c r="A647" s="2">
        <v>433</v>
      </c>
      <c r="E647" t="s">
        <v>458</v>
      </c>
      <c r="AM647" s="14"/>
      <c r="AN647" s="14"/>
      <c r="AO647" s="14"/>
      <c r="AP647" s="14"/>
      <c r="AQ647" s="51"/>
    </row>
    <row r="648" spans="1:43" x14ac:dyDescent="0.2">
      <c r="A648" s="2">
        <v>434</v>
      </c>
      <c r="E648" t="s">
        <v>459</v>
      </c>
      <c r="AM648" s="14"/>
      <c r="AN648" s="14"/>
      <c r="AO648" s="14"/>
      <c r="AP648" s="14"/>
      <c r="AQ648" s="51"/>
    </row>
    <row r="649" spans="1:43" x14ac:dyDescent="0.2">
      <c r="A649" s="2">
        <v>436</v>
      </c>
      <c r="E649" t="s">
        <v>461</v>
      </c>
      <c r="AM649" s="14"/>
      <c r="AN649" s="14"/>
      <c r="AO649" s="14"/>
      <c r="AP649" s="14"/>
      <c r="AQ649" s="51"/>
    </row>
    <row r="650" spans="1:43" x14ac:dyDescent="0.2">
      <c r="A650" s="2">
        <v>441</v>
      </c>
      <c r="E650" t="s">
        <v>467</v>
      </c>
      <c r="AM650" s="14"/>
      <c r="AN650" s="14"/>
      <c r="AO650" s="14"/>
      <c r="AP650" s="14"/>
      <c r="AQ650" s="51"/>
    </row>
    <row r="651" spans="1:43" x14ac:dyDescent="0.2">
      <c r="A651" s="2">
        <v>443</v>
      </c>
      <c r="E651" s="3" t="s">
        <v>468</v>
      </c>
      <c r="AM651" s="14"/>
      <c r="AN651" s="14"/>
      <c r="AO651" s="14"/>
      <c r="AP651" s="14"/>
      <c r="AQ651" s="51"/>
    </row>
    <row r="652" spans="1:43" x14ac:dyDescent="0.2">
      <c r="A652" s="2">
        <v>445</v>
      </c>
      <c r="E652" t="s">
        <v>470</v>
      </c>
      <c r="AM652" s="14"/>
      <c r="AN652" s="14"/>
      <c r="AO652" s="14"/>
      <c r="AP652" s="14"/>
      <c r="AQ652" s="51"/>
    </row>
    <row r="653" spans="1:43" x14ac:dyDescent="0.2">
      <c r="A653" s="2">
        <v>472</v>
      </c>
      <c r="E653" t="s">
        <v>475</v>
      </c>
      <c r="AM653" s="14"/>
      <c r="AN653" s="14"/>
      <c r="AO653" s="14"/>
      <c r="AP653" s="14"/>
      <c r="AQ653" s="51"/>
    </row>
    <row r="654" spans="1:43" x14ac:dyDescent="0.2">
      <c r="A654" s="2">
        <v>473</v>
      </c>
      <c r="E654" t="s">
        <v>476</v>
      </c>
      <c r="F654" t="s">
        <v>7</v>
      </c>
      <c r="AM654" s="14"/>
      <c r="AN654" s="14"/>
      <c r="AO654" s="14"/>
      <c r="AP654" s="14"/>
      <c r="AQ654" s="51"/>
    </row>
    <row r="655" spans="1:43" x14ac:dyDescent="0.2">
      <c r="A655" s="2">
        <v>476</v>
      </c>
      <c r="E655" t="s">
        <v>480</v>
      </c>
      <c r="AM655" s="14"/>
      <c r="AN655" s="14"/>
      <c r="AO655" s="14"/>
      <c r="AP655" s="14"/>
      <c r="AQ655" s="51"/>
    </row>
    <row r="656" spans="1:43" x14ac:dyDescent="0.2">
      <c r="A656" s="2">
        <v>480</v>
      </c>
      <c r="E656" t="s">
        <v>484</v>
      </c>
      <c r="AM656" s="14"/>
      <c r="AN656" s="14"/>
      <c r="AO656" s="14"/>
      <c r="AP656" s="14"/>
      <c r="AQ656" s="51"/>
    </row>
    <row r="657" spans="1:43" x14ac:dyDescent="0.2">
      <c r="A657" s="2">
        <f t="shared" ref="A657:A676" si="5">A656+1</f>
        <v>481</v>
      </c>
      <c r="E657" t="s">
        <v>486</v>
      </c>
      <c r="AM657" s="14"/>
      <c r="AN657" s="14"/>
      <c r="AO657" s="14"/>
      <c r="AP657" s="14"/>
      <c r="AQ657" s="51"/>
    </row>
    <row r="658" spans="1:43" x14ac:dyDescent="0.2">
      <c r="A658" s="2">
        <f t="shared" si="5"/>
        <v>482</v>
      </c>
      <c r="E658" t="s">
        <v>487</v>
      </c>
      <c r="AM658" s="14"/>
      <c r="AN658" s="14"/>
      <c r="AO658" s="14"/>
      <c r="AP658" s="14"/>
      <c r="AQ658" s="51"/>
    </row>
    <row r="659" spans="1:43" x14ac:dyDescent="0.2">
      <c r="A659" s="2">
        <f t="shared" si="5"/>
        <v>483</v>
      </c>
      <c r="B659" s="2">
        <v>471</v>
      </c>
      <c r="E659" s="3" t="s">
        <v>488</v>
      </c>
      <c r="AM659" s="14"/>
      <c r="AN659" s="14"/>
      <c r="AO659" s="14"/>
      <c r="AP659" s="14"/>
      <c r="AQ659" s="51"/>
    </row>
    <row r="660" spans="1:43" x14ac:dyDescent="0.2">
      <c r="A660" s="2">
        <f t="shared" si="5"/>
        <v>484</v>
      </c>
      <c r="E660" t="s">
        <v>489</v>
      </c>
      <c r="AM660" s="14"/>
      <c r="AN660" s="14"/>
      <c r="AO660" s="14"/>
      <c r="AP660" s="14"/>
      <c r="AQ660" s="51"/>
    </row>
    <row r="661" spans="1:43" x14ac:dyDescent="0.2">
      <c r="A661" s="2">
        <v>485</v>
      </c>
      <c r="E661" t="s">
        <v>490</v>
      </c>
      <c r="F661" t="s">
        <v>6</v>
      </c>
      <c r="H661" s="2">
        <v>8000</v>
      </c>
      <c r="AM661" s="14"/>
      <c r="AN661" s="14"/>
      <c r="AO661" s="14"/>
      <c r="AP661" s="14"/>
      <c r="AQ661" s="51"/>
    </row>
    <row r="662" spans="1:43" x14ac:dyDescent="0.2">
      <c r="E662" t="s">
        <v>1002</v>
      </c>
      <c r="AM662" s="14"/>
      <c r="AN662" s="14"/>
      <c r="AO662" s="14"/>
      <c r="AP662" s="14"/>
      <c r="AQ662" s="51"/>
    </row>
    <row r="663" spans="1:43" x14ac:dyDescent="0.2">
      <c r="A663" s="4">
        <v>488</v>
      </c>
      <c r="C663" s="4"/>
      <c r="D663" s="4"/>
      <c r="E663" s="3" t="s">
        <v>493</v>
      </c>
      <c r="AM663" s="14"/>
      <c r="AN663" s="14"/>
      <c r="AO663" s="14"/>
      <c r="AP663" s="14"/>
      <c r="AQ663" s="51"/>
    </row>
    <row r="664" spans="1:43" x14ac:dyDescent="0.2">
      <c r="A664" s="2">
        <v>490</v>
      </c>
      <c r="E664" t="s">
        <v>495</v>
      </c>
      <c r="AM664" s="14"/>
      <c r="AN664" s="14"/>
      <c r="AO664" s="14"/>
      <c r="AP664" s="14"/>
      <c r="AQ664" s="51"/>
    </row>
    <row r="665" spans="1:43" x14ac:dyDescent="0.2">
      <c r="A665" s="2">
        <v>492</v>
      </c>
      <c r="E665" t="s">
        <v>498</v>
      </c>
      <c r="AM665" s="14"/>
      <c r="AN665" s="14"/>
      <c r="AO665" s="14"/>
      <c r="AP665" s="14"/>
      <c r="AQ665" s="51"/>
    </row>
    <row r="666" spans="1:43" x14ac:dyDescent="0.2">
      <c r="A666" s="2">
        <v>495</v>
      </c>
      <c r="E666" t="s">
        <v>502</v>
      </c>
      <c r="AM666" s="14"/>
      <c r="AN666" s="14"/>
      <c r="AO666" s="14"/>
      <c r="AP666" s="14"/>
      <c r="AQ666" s="51"/>
    </row>
    <row r="667" spans="1:43" x14ac:dyDescent="0.2">
      <c r="A667" s="2">
        <v>496</v>
      </c>
      <c r="E667" t="s">
        <v>503</v>
      </c>
      <c r="AM667" s="14"/>
      <c r="AN667" s="14"/>
      <c r="AO667" s="14"/>
      <c r="AP667" s="14"/>
      <c r="AQ667" s="51"/>
    </row>
    <row r="668" spans="1:43" x14ac:dyDescent="0.2">
      <c r="A668" s="2">
        <v>500</v>
      </c>
      <c r="E668" t="s">
        <v>507</v>
      </c>
      <c r="AM668" s="14"/>
      <c r="AN668" s="14"/>
      <c r="AO668" s="14"/>
      <c r="AP668" s="14"/>
      <c r="AQ668" s="51"/>
    </row>
    <row r="669" spans="1:43" x14ac:dyDescent="0.2">
      <c r="A669" s="2">
        <f t="shared" si="5"/>
        <v>501</v>
      </c>
      <c r="B669" s="4"/>
      <c r="E669" t="s">
        <v>508</v>
      </c>
      <c r="AM669" s="14"/>
      <c r="AN669" s="14"/>
      <c r="AO669" s="14"/>
      <c r="AP669" s="14"/>
      <c r="AQ669" s="51"/>
    </row>
    <row r="670" spans="1:43" x14ac:dyDescent="0.2">
      <c r="A670" s="2">
        <f t="shared" si="5"/>
        <v>502</v>
      </c>
      <c r="E670" t="s">
        <v>509</v>
      </c>
      <c r="AM670" s="14"/>
      <c r="AN670" s="14"/>
      <c r="AO670" s="14"/>
      <c r="AP670" s="14"/>
      <c r="AQ670" s="51"/>
    </row>
    <row r="671" spans="1:43" x14ac:dyDescent="0.2">
      <c r="A671" s="2">
        <f t="shared" si="5"/>
        <v>503</v>
      </c>
      <c r="B671" s="4"/>
      <c r="C671" s="2">
        <v>60</v>
      </c>
      <c r="E671" t="s">
        <v>510</v>
      </c>
      <c r="AM671" s="14"/>
      <c r="AN671" s="14"/>
      <c r="AO671" s="14"/>
      <c r="AP671" s="14"/>
      <c r="AQ671" s="51"/>
    </row>
    <row r="672" spans="1:43" x14ac:dyDescent="0.2">
      <c r="A672" s="2">
        <v>504</v>
      </c>
      <c r="E672" t="s">
        <v>511</v>
      </c>
      <c r="AM672" s="14"/>
      <c r="AN672" s="14"/>
      <c r="AO672" s="14"/>
      <c r="AP672" s="14"/>
      <c r="AQ672" s="51"/>
    </row>
    <row r="673" spans="1:44" x14ac:dyDescent="0.2">
      <c r="A673" s="2">
        <v>506</v>
      </c>
      <c r="E673" t="s">
        <v>513</v>
      </c>
      <c r="AM673" s="14"/>
      <c r="AN673" s="14"/>
      <c r="AO673" s="14"/>
      <c r="AP673" s="14"/>
      <c r="AQ673" s="51"/>
    </row>
    <row r="674" spans="1:44" x14ac:dyDescent="0.2">
      <c r="A674" s="2">
        <v>507</v>
      </c>
      <c r="E674" t="s">
        <v>514</v>
      </c>
      <c r="AM674" s="14"/>
      <c r="AN674" s="14"/>
      <c r="AO674" s="14"/>
      <c r="AP674" s="14"/>
      <c r="AQ674" s="51"/>
    </row>
    <row r="675" spans="1:44" x14ac:dyDescent="0.2">
      <c r="A675" s="2">
        <v>509</v>
      </c>
      <c r="E675" s="3" t="s">
        <v>516</v>
      </c>
      <c r="AM675" s="14"/>
      <c r="AN675" s="14"/>
      <c r="AO675" s="14"/>
      <c r="AP675" s="14"/>
      <c r="AQ675" s="51"/>
    </row>
    <row r="676" spans="1:44" x14ac:dyDescent="0.2">
      <c r="A676" s="2">
        <f t="shared" si="5"/>
        <v>510</v>
      </c>
      <c r="E676" t="s">
        <v>517</v>
      </c>
      <c r="AM676" s="14"/>
      <c r="AN676" s="14"/>
      <c r="AO676" s="14"/>
      <c r="AP676" s="14"/>
      <c r="AQ676" s="51"/>
    </row>
    <row r="677" spans="1:44" x14ac:dyDescent="0.2">
      <c r="A677" s="2">
        <v>489</v>
      </c>
      <c r="E677" t="s">
        <v>622</v>
      </c>
      <c r="F677" t="s">
        <v>621</v>
      </c>
      <c r="I677" s="2">
        <v>23.18</v>
      </c>
      <c r="AM677" s="14"/>
      <c r="AN677" s="14"/>
      <c r="AO677" s="14"/>
      <c r="AP677" s="14"/>
      <c r="AQ677" s="51"/>
    </row>
    <row r="678" spans="1:44" x14ac:dyDescent="0.2">
      <c r="A678" s="2">
        <v>524</v>
      </c>
      <c r="C678" s="2">
        <v>233</v>
      </c>
      <c r="E678" t="s">
        <v>1063</v>
      </c>
      <c r="I678" s="15">
        <v>142.30000000000001</v>
      </c>
      <c r="L678" s="15"/>
      <c r="AM678" s="14"/>
      <c r="AN678" s="14">
        <v>142.30000000000001</v>
      </c>
      <c r="AO678" s="14"/>
      <c r="AP678" s="14"/>
      <c r="AQ678" s="51"/>
      <c r="AR678" s="19">
        <v>0.22013888888888888</v>
      </c>
    </row>
    <row r="679" spans="1:44" x14ac:dyDescent="0.2">
      <c r="A679" s="2">
        <v>587</v>
      </c>
      <c r="E679" t="s">
        <v>617</v>
      </c>
      <c r="I679" s="2">
        <v>48.41</v>
      </c>
      <c r="AM679" s="14"/>
      <c r="AN679" s="14"/>
      <c r="AO679" s="14"/>
      <c r="AP679" s="14"/>
      <c r="AQ679" s="51"/>
    </row>
    <row r="680" spans="1:44" x14ac:dyDescent="0.2">
      <c r="A680" s="2">
        <v>599</v>
      </c>
      <c r="C680" s="2">
        <v>255</v>
      </c>
      <c r="E680" t="s">
        <v>941</v>
      </c>
      <c r="F680" t="s">
        <v>546</v>
      </c>
      <c r="I680" s="15">
        <v>75.209999999999994</v>
      </c>
      <c r="L680" s="15"/>
      <c r="AM680" s="14"/>
      <c r="AN680" s="14">
        <v>75.209999999999994</v>
      </c>
      <c r="AO680" s="14"/>
      <c r="AP680" s="14"/>
      <c r="AQ680" s="51"/>
      <c r="AR680" s="19">
        <v>0.62847222222222221</v>
      </c>
    </row>
    <row r="681" spans="1:44" x14ac:dyDescent="0.2">
      <c r="E681" t="s">
        <v>1003</v>
      </c>
      <c r="AM681" s="14"/>
      <c r="AN681" s="14"/>
      <c r="AO681" s="14"/>
      <c r="AP681" s="14"/>
      <c r="AQ681" s="51"/>
    </row>
    <row r="682" spans="1:44" x14ac:dyDescent="0.2">
      <c r="E682" t="s">
        <v>1004</v>
      </c>
      <c r="AM682" s="14"/>
      <c r="AN682" s="14"/>
      <c r="AO682" s="14"/>
      <c r="AP682" s="14"/>
      <c r="AQ682" s="51"/>
    </row>
    <row r="683" spans="1:44" x14ac:dyDescent="0.2">
      <c r="A683" s="2">
        <v>601</v>
      </c>
      <c r="E683" t="s">
        <v>718</v>
      </c>
      <c r="F683" t="s">
        <v>719</v>
      </c>
      <c r="H683" s="2">
        <v>10000</v>
      </c>
      <c r="I683" s="2">
        <v>16.29</v>
      </c>
      <c r="AM683" s="14"/>
      <c r="AN683" s="14"/>
      <c r="AO683" s="14"/>
      <c r="AP683" s="14"/>
      <c r="AQ683" s="51"/>
    </row>
    <row r="684" spans="1:44" x14ac:dyDescent="0.2">
      <c r="E684" t="s">
        <v>840</v>
      </c>
      <c r="AM684" s="14"/>
      <c r="AN684" s="14"/>
      <c r="AO684" s="14"/>
      <c r="AP684" s="14"/>
      <c r="AQ684" s="51"/>
    </row>
    <row r="685" spans="1:44" x14ac:dyDescent="0.2">
      <c r="B685" s="2">
        <v>233</v>
      </c>
      <c r="E685" t="s">
        <v>841</v>
      </c>
      <c r="AM685" s="14"/>
      <c r="AN685" s="14"/>
      <c r="AO685" s="14"/>
      <c r="AP685" s="14"/>
      <c r="AQ685" s="51"/>
    </row>
    <row r="686" spans="1:44" x14ac:dyDescent="0.2">
      <c r="E686" t="s">
        <v>842</v>
      </c>
      <c r="AM686" s="14"/>
      <c r="AN686" s="14"/>
      <c r="AO686" s="14"/>
      <c r="AP686" s="14"/>
      <c r="AQ686" s="51"/>
    </row>
    <row r="687" spans="1:44" x14ac:dyDescent="0.2">
      <c r="A687" s="2">
        <v>691</v>
      </c>
      <c r="E687" t="s">
        <v>592</v>
      </c>
      <c r="I687" s="2">
        <v>24.11</v>
      </c>
      <c r="AM687" s="14"/>
      <c r="AN687" s="14"/>
      <c r="AO687" s="14"/>
      <c r="AP687" s="14"/>
      <c r="AQ687" s="51"/>
    </row>
    <row r="688" spans="1:44" x14ac:dyDescent="0.2">
      <c r="A688" s="2">
        <v>720</v>
      </c>
      <c r="E688" t="s">
        <v>627</v>
      </c>
      <c r="I688" s="2">
        <v>126.9</v>
      </c>
      <c r="AM688" s="14"/>
      <c r="AN688" s="14"/>
      <c r="AO688" s="14"/>
      <c r="AP688" s="14"/>
      <c r="AQ688" s="51"/>
    </row>
    <row r="689" spans="1:44" x14ac:dyDescent="0.2">
      <c r="A689" s="2">
        <v>729</v>
      </c>
      <c r="B689" s="2">
        <v>599</v>
      </c>
      <c r="E689" t="s">
        <v>625</v>
      </c>
      <c r="I689" s="2">
        <v>18.29</v>
      </c>
      <c r="AM689" s="14"/>
      <c r="AN689" s="14"/>
      <c r="AO689" s="14"/>
      <c r="AP689" s="14"/>
      <c r="AQ689" s="51"/>
    </row>
    <row r="690" spans="1:44" x14ac:dyDescent="0.2">
      <c r="A690" s="2">
        <v>737</v>
      </c>
      <c r="E690" t="s">
        <v>660</v>
      </c>
      <c r="I690" s="2">
        <v>28.83</v>
      </c>
      <c r="AM690" s="14"/>
      <c r="AN690" s="14"/>
      <c r="AO690" s="14"/>
      <c r="AP690" s="14"/>
      <c r="AQ690" s="51"/>
    </row>
    <row r="691" spans="1:44" x14ac:dyDescent="0.2">
      <c r="A691" s="2">
        <v>739</v>
      </c>
      <c r="C691" s="2">
        <v>1883</v>
      </c>
      <c r="E691" t="s">
        <v>661</v>
      </c>
      <c r="F691" t="s">
        <v>778</v>
      </c>
      <c r="H691" s="2">
        <v>750000</v>
      </c>
      <c r="I691" s="2">
        <v>22.08</v>
      </c>
      <c r="AM691" s="14"/>
      <c r="AN691" s="14">
        <v>20.48</v>
      </c>
      <c r="AO691" s="14"/>
      <c r="AP691" s="14"/>
      <c r="AQ691" s="51"/>
      <c r="AR691" s="19">
        <v>0.15694444444444444</v>
      </c>
    </row>
    <row r="692" spans="1:44" x14ac:dyDescent="0.2">
      <c r="A692" s="2">
        <v>804</v>
      </c>
      <c r="E692" t="s">
        <v>620</v>
      </c>
      <c r="F692" t="s">
        <v>621</v>
      </c>
      <c r="I692" s="2">
        <v>87.23</v>
      </c>
      <c r="AM692" s="14"/>
      <c r="AN692" s="14"/>
      <c r="AO692" s="14"/>
      <c r="AP692" s="14"/>
      <c r="AQ692" s="51"/>
    </row>
    <row r="693" spans="1:44" x14ac:dyDescent="0.2">
      <c r="A693" s="2">
        <v>855</v>
      </c>
      <c r="E693" t="s">
        <v>659</v>
      </c>
      <c r="I693" s="2">
        <v>18.73</v>
      </c>
      <c r="AM693" s="14"/>
      <c r="AN693" s="14"/>
      <c r="AO693" s="14"/>
      <c r="AP693" s="14"/>
      <c r="AQ693" s="51"/>
    </row>
    <row r="694" spans="1:44" x14ac:dyDescent="0.2">
      <c r="A694" s="2">
        <v>903</v>
      </c>
      <c r="E694" t="s">
        <v>644</v>
      </c>
      <c r="I694" s="2">
        <v>22.7</v>
      </c>
      <c r="AM694" s="14"/>
      <c r="AN694" s="14"/>
      <c r="AO694" s="14"/>
      <c r="AP694" s="14"/>
      <c r="AQ694" s="51"/>
    </row>
    <row r="695" spans="1:44" x14ac:dyDescent="0.2">
      <c r="A695" s="2">
        <v>928</v>
      </c>
      <c r="C695" s="2">
        <v>545</v>
      </c>
      <c r="E695" t="s">
        <v>1161</v>
      </c>
      <c r="I695" s="15">
        <v>84.84</v>
      </c>
      <c r="L695" s="15"/>
      <c r="AM695" s="14"/>
      <c r="AN695" s="14">
        <v>84.84</v>
      </c>
      <c r="AO695" s="14"/>
      <c r="AP695" s="14"/>
      <c r="AQ695" s="51"/>
      <c r="AR695" s="19">
        <v>0.1423611111111111</v>
      </c>
    </row>
    <row r="696" spans="1:44" x14ac:dyDescent="0.2">
      <c r="A696" s="2">
        <v>946</v>
      </c>
      <c r="E696" t="s">
        <v>643</v>
      </c>
      <c r="I696" s="2">
        <v>14.63</v>
      </c>
      <c r="AM696" s="14"/>
      <c r="AN696" s="14"/>
      <c r="AO696" s="14"/>
      <c r="AP696" s="14"/>
      <c r="AQ696" s="51"/>
    </row>
    <row r="697" spans="1:44" x14ac:dyDescent="0.2">
      <c r="A697" s="2">
        <v>1004</v>
      </c>
      <c r="E697" t="s">
        <v>580</v>
      </c>
      <c r="I697" s="2">
        <v>32</v>
      </c>
      <c r="AM697" s="14"/>
      <c r="AN697" s="14"/>
      <c r="AO697" s="14"/>
      <c r="AP697" s="14"/>
      <c r="AQ697" s="51"/>
    </row>
    <row r="698" spans="1:44" x14ac:dyDescent="0.2">
      <c r="A698" s="2">
        <v>1017</v>
      </c>
      <c r="B698" s="4"/>
      <c r="E698" t="s">
        <v>665</v>
      </c>
      <c r="I698" s="2">
        <v>18.64</v>
      </c>
      <c r="AM698" s="14"/>
      <c r="AN698" s="14"/>
      <c r="AO698" s="14"/>
      <c r="AP698" s="14"/>
      <c r="AQ698" s="51"/>
    </row>
    <row r="699" spans="1:44" x14ac:dyDescent="0.2">
      <c r="A699" s="2">
        <v>1018</v>
      </c>
      <c r="C699" s="2">
        <v>1418</v>
      </c>
      <c r="E699" t="s">
        <v>1082</v>
      </c>
      <c r="I699" s="15">
        <v>36.590000000000003</v>
      </c>
      <c r="L699" s="15"/>
      <c r="AM699" s="14"/>
      <c r="AN699" s="14">
        <v>36.590000000000003</v>
      </c>
      <c r="AO699" s="14"/>
      <c r="AP699" s="14"/>
      <c r="AQ699" s="51"/>
      <c r="AR699" s="19">
        <v>0.37777777777777777</v>
      </c>
    </row>
    <row r="700" spans="1:44" x14ac:dyDescent="0.2">
      <c r="A700" s="2">
        <v>1020</v>
      </c>
      <c r="E700" t="s">
        <v>575</v>
      </c>
      <c r="I700" s="2">
        <v>18.77</v>
      </c>
      <c r="J700" s="15">
        <v>0.52566199999999996</v>
      </c>
      <c r="K700" s="16">
        <v>0.42083700000000002</v>
      </c>
      <c r="L700" s="2">
        <v>9.3979999999999997</v>
      </c>
      <c r="AM700" s="14"/>
      <c r="AN700" s="14"/>
      <c r="AO700" s="14"/>
      <c r="AP700" s="14"/>
      <c r="AQ700" s="51"/>
      <c r="AR700" s="20" t="s">
        <v>753</v>
      </c>
    </row>
    <row r="701" spans="1:44" x14ac:dyDescent="0.2">
      <c r="A701" s="2">
        <v>1057</v>
      </c>
      <c r="E701" t="s">
        <v>618</v>
      </c>
      <c r="I701" s="2">
        <v>37.200000000000003</v>
      </c>
      <c r="AM701" s="14"/>
      <c r="AN701" s="14"/>
      <c r="AO701" s="14"/>
      <c r="AP701" s="14"/>
      <c r="AQ701" s="51"/>
    </row>
    <row r="702" spans="1:44" x14ac:dyDescent="0.2">
      <c r="B702" s="4"/>
      <c r="E702" t="s">
        <v>1192</v>
      </c>
      <c r="AM702" s="14"/>
      <c r="AN702" s="14"/>
      <c r="AO702" s="14"/>
      <c r="AP702" s="14"/>
      <c r="AQ702" s="51"/>
    </row>
    <row r="703" spans="1:44" x14ac:dyDescent="0.2">
      <c r="A703" s="2">
        <v>1058</v>
      </c>
      <c r="B703" s="2">
        <v>784</v>
      </c>
      <c r="E703" t="s">
        <v>727</v>
      </c>
      <c r="I703" s="2">
        <v>18.8</v>
      </c>
      <c r="AM703" s="14"/>
      <c r="AN703" s="14"/>
      <c r="AO703" s="14"/>
      <c r="AP703" s="14"/>
      <c r="AQ703" s="51"/>
    </row>
    <row r="704" spans="1:44" x14ac:dyDescent="0.2">
      <c r="A704" s="2">
        <v>1066</v>
      </c>
      <c r="C704" s="2">
        <v>191</v>
      </c>
      <c r="E704" t="s">
        <v>1062</v>
      </c>
      <c r="I704" s="15">
        <v>192.4</v>
      </c>
      <c r="L704" s="15"/>
      <c r="AM704" s="14"/>
      <c r="AN704" s="14">
        <v>192.4</v>
      </c>
      <c r="AO704" s="14"/>
      <c r="AP704" s="14"/>
      <c r="AQ704" s="51"/>
      <c r="AR704" s="19">
        <v>0.17500000000000002</v>
      </c>
    </row>
    <row r="705" spans="1:44" x14ac:dyDescent="0.2">
      <c r="A705" s="2">
        <v>1069</v>
      </c>
      <c r="E705" t="s">
        <v>725</v>
      </c>
      <c r="I705" s="2">
        <v>22.74</v>
      </c>
      <c r="J705" s="15">
        <v>0.74942299999999995</v>
      </c>
      <c r="K705" s="16">
        <v>0.68430000000000002</v>
      </c>
      <c r="L705" s="2">
        <v>16.010000000000002</v>
      </c>
      <c r="AM705" s="14"/>
      <c r="AN705" s="14"/>
      <c r="AO705" s="14"/>
      <c r="AP705" s="14"/>
      <c r="AQ705" s="51"/>
      <c r="AR705" s="19">
        <v>4.5833333333333337E-2</v>
      </c>
    </row>
    <row r="706" spans="1:44" x14ac:dyDescent="0.2">
      <c r="A706" s="2">
        <v>1125</v>
      </c>
      <c r="B706" s="2">
        <v>928</v>
      </c>
      <c r="E706" t="s">
        <v>720</v>
      </c>
      <c r="I706" s="2">
        <v>38.51</v>
      </c>
      <c r="AM706" s="14"/>
      <c r="AN706" s="14"/>
      <c r="AO706" s="14"/>
      <c r="AP706" s="14"/>
      <c r="AQ706" s="51"/>
    </row>
    <row r="707" spans="1:44" x14ac:dyDescent="0.2">
      <c r="A707" s="2">
        <v>1146</v>
      </c>
      <c r="C707" s="2">
        <v>819</v>
      </c>
      <c r="E707" t="s">
        <v>1094</v>
      </c>
      <c r="I707" s="15">
        <v>55.55</v>
      </c>
      <c r="L707" s="15"/>
      <c r="AM707" s="14"/>
      <c r="AN707" s="14">
        <v>55.55</v>
      </c>
      <c r="AO707" s="14"/>
      <c r="AP707" s="14"/>
      <c r="AQ707" s="51"/>
      <c r="AR707" s="19">
        <v>0.15902777777777777</v>
      </c>
    </row>
    <row r="708" spans="1:44" x14ac:dyDescent="0.2">
      <c r="E708" t="s">
        <v>1202</v>
      </c>
      <c r="I708" s="15"/>
      <c r="L708" s="15"/>
      <c r="AM708" s="14"/>
      <c r="AN708" s="14"/>
      <c r="AO708" s="14"/>
      <c r="AP708" s="14"/>
      <c r="AQ708" s="51"/>
      <c r="AR708" s="19"/>
    </row>
    <row r="709" spans="1:44" x14ac:dyDescent="0.2">
      <c r="E709" t="s">
        <v>1203</v>
      </c>
      <c r="I709" s="15"/>
      <c r="L709" s="15"/>
      <c r="AM709" s="14"/>
      <c r="AN709" s="14"/>
      <c r="AO709" s="14"/>
      <c r="AP709" s="14"/>
      <c r="AQ709" s="51"/>
      <c r="AR709" s="19"/>
    </row>
    <row r="710" spans="1:44" x14ac:dyDescent="0.2">
      <c r="A710" s="2">
        <v>1172</v>
      </c>
      <c r="B710" s="2">
        <v>1018</v>
      </c>
      <c r="E710" t="s">
        <v>812</v>
      </c>
      <c r="I710" s="2">
        <v>19.43</v>
      </c>
      <c r="O710" s="1">
        <f>AL710/AN710-1</f>
        <v>-0.46011322696860524</v>
      </c>
      <c r="AL710" s="1">
        <v>10.49</v>
      </c>
      <c r="AM710" s="14"/>
      <c r="AN710" s="14">
        <v>19.43</v>
      </c>
      <c r="AO710" s="14"/>
      <c r="AP710" s="14"/>
      <c r="AQ710" s="51"/>
      <c r="AR710" s="45" t="s">
        <v>813</v>
      </c>
    </row>
    <row r="711" spans="1:44" x14ac:dyDescent="0.2">
      <c r="E711" t="s">
        <v>1185</v>
      </c>
      <c r="AM711" s="14"/>
      <c r="AN711" s="14"/>
      <c r="AO711" s="14"/>
      <c r="AP711" s="14"/>
      <c r="AQ711" s="51"/>
      <c r="AR711" s="45"/>
    </row>
    <row r="712" spans="1:44" x14ac:dyDescent="0.2">
      <c r="A712" s="2">
        <v>1180</v>
      </c>
      <c r="E712" t="s">
        <v>667</v>
      </c>
      <c r="I712" s="2">
        <v>19.940000000000001</v>
      </c>
      <c r="AM712" s="14"/>
      <c r="AN712" s="14"/>
      <c r="AO712" s="14"/>
      <c r="AP712" s="14"/>
      <c r="AQ712" s="51"/>
    </row>
    <row r="713" spans="1:44" x14ac:dyDescent="0.2">
      <c r="A713" s="2">
        <v>1213</v>
      </c>
      <c r="C713" s="2">
        <v>1574</v>
      </c>
      <c r="E713" t="s">
        <v>1154</v>
      </c>
      <c r="I713" s="15">
        <v>46.71</v>
      </c>
      <c r="L713" s="15"/>
      <c r="AM713" s="14"/>
      <c r="AN713" s="14">
        <v>46.71</v>
      </c>
      <c r="AO713" s="14"/>
      <c r="AP713" s="14"/>
      <c r="AQ713" s="51"/>
      <c r="AR713" s="19">
        <v>5.0694444444444452E-2</v>
      </c>
    </row>
    <row r="714" spans="1:44" x14ac:dyDescent="0.2">
      <c r="A714" s="2">
        <v>1285</v>
      </c>
      <c r="C714" s="2">
        <v>2140</v>
      </c>
      <c r="E714" t="s">
        <v>1149</v>
      </c>
      <c r="I714" s="15">
        <v>32.049999999999997</v>
      </c>
      <c r="L714" s="15"/>
      <c r="AM714" s="14"/>
      <c r="AN714" s="14">
        <v>32.049999999999997</v>
      </c>
      <c r="AO714" s="14"/>
      <c r="AP714" s="14"/>
      <c r="AQ714" s="51"/>
      <c r="AR714" s="19">
        <v>0.11944444444444445</v>
      </c>
    </row>
    <row r="715" spans="1:44" x14ac:dyDescent="0.2">
      <c r="A715" s="2">
        <v>1315</v>
      </c>
      <c r="B715" s="2">
        <v>1066</v>
      </c>
      <c r="E715" t="s">
        <v>728</v>
      </c>
      <c r="I715" s="2">
        <v>23.57</v>
      </c>
      <c r="AM715" s="14"/>
      <c r="AN715" s="14"/>
      <c r="AO715" s="14"/>
      <c r="AP715" s="14"/>
      <c r="AQ715" s="51"/>
    </row>
    <row r="716" spans="1:44" x14ac:dyDescent="0.2">
      <c r="A716" s="2">
        <v>1334</v>
      </c>
      <c r="E716" t="s">
        <v>650</v>
      </c>
      <c r="I716" s="2">
        <v>15.56</v>
      </c>
      <c r="AM716" s="14"/>
      <c r="AN716" s="14"/>
      <c r="AO716" s="14"/>
      <c r="AP716" s="14"/>
      <c r="AQ716" s="51"/>
    </row>
    <row r="717" spans="1:44" x14ac:dyDescent="0.2">
      <c r="A717" s="2">
        <v>1353</v>
      </c>
      <c r="E717" t="s">
        <v>666</v>
      </c>
      <c r="I717" s="2">
        <v>24.04</v>
      </c>
      <c r="AM717" s="14"/>
      <c r="AN717" s="14"/>
      <c r="AO717" s="14"/>
      <c r="AP717" s="14"/>
      <c r="AQ717" s="51"/>
    </row>
    <row r="718" spans="1:44" x14ac:dyDescent="0.2">
      <c r="A718" s="2">
        <v>1369</v>
      </c>
      <c r="B718" s="2">
        <v>1146</v>
      </c>
      <c r="E718" t="s">
        <v>658</v>
      </c>
      <c r="I718" s="2">
        <v>19.04</v>
      </c>
      <c r="AM718" s="14"/>
      <c r="AN718" s="14"/>
      <c r="AO718" s="14"/>
      <c r="AP718" s="14"/>
      <c r="AQ718" s="51"/>
    </row>
    <row r="719" spans="1:44" x14ac:dyDescent="0.2">
      <c r="A719" s="2">
        <v>1385</v>
      </c>
      <c r="E719" t="s">
        <v>732</v>
      </c>
      <c r="I719" s="2">
        <v>28.49</v>
      </c>
      <c r="AM719" s="14"/>
      <c r="AN719" s="14"/>
      <c r="AO719" s="14"/>
      <c r="AP719" s="14"/>
      <c r="AQ719" s="51"/>
    </row>
    <row r="720" spans="1:44" x14ac:dyDescent="0.2">
      <c r="E720" t="s">
        <v>1122</v>
      </c>
      <c r="AM720" s="14"/>
      <c r="AN720" s="14"/>
      <c r="AO720" s="14"/>
      <c r="AP720" s="14"/>
      <c r="AQ720" s="51"/>
    </row>
    <row r="721" spans="1:52" x14ac:dyDescent="0.2">
      <c r="A721" s="2">
        <v>1413</v>
      </c>
      <c r="E721" t="s">
        <v>672</v>
      </c>
      <c r="F721" t="s">
        <v>5</v>
      </c>
      <c r="I721" s="2">
        <v>11.14</v>
      </c>
      <c r="AM721" s="14"/>
      <c r="AN721" s="14"/>
      <c r="AO721" s="14"/>
      <c r="AP721" s="14"/>
      <c r="AQ721" s="51"/>
    </row>
    <row r="722" spans="1:52" x14ac:dyDescent="0.2">
      <c r="A722" s="2">
        <v>1442</v>
      </c>
      <c r="E722" t="s">
        <v>649</v>
      </c>
      <c r="I722" s="2">
        <v>15.9</v>
      </c>
      <c r="AM722" s="14"/>
      <c r="AN722" s="14"/>
      <c r="AO722" s="14"/>
      <c r="AP722" s="14"/>
      <c r="AQ722" s="51"/>
    </row>
    <row r="723" spans="1:52" x14ac:dyDescent="0.2">
      <c r="A723" s="2">
        <v>1448</v>
      </c>
      <c r="E723" t="s">
        <v>730</v>
      </c>
      <c r="I723" s="2">
        <v>7.6420000000000003</v>
      </c>
      <c r="AM723" s="14"/>
      <c r="AN723" s="14"/>
      <c r="AO723" s="14"/>
      <c r="AP723" s="14"/>
      <c r="AQ723" s="51"/>
    </row>
    <row r="724" spans="1:52" x14ac:dyDescent="0.2">
      <c r="B724" s="2">
        <v>1213</v>
      </c>
      <c r="E724" t="s">
        <v>970</v>
      </c>
      <c r="AK724" s="4"/>
      <c r="AM724" s="14"/>
      <c r="AN724" s="14"/>
      <c r="AO724" s="14"/>
      <c r="AP724" s="14"/>
      <c r="AQ724" s="51"/>
    </row>
    <row r="725" spans="1:52" x14ac:dyDescent="0.2">
      <c r="A725" s="2">
        <v>1452</v>
      </c>
      <c r="E725" t="s">
        <v>655</v>
      </c>
      <c r="I725" s="2">
        <v>9.1170000000000009</v>
      </c>
      <c r="AM725" s="14"/>
      <c r="AN725" s="14"/>
      <c r="AO725" s="14"/>
      <c r="AP725" s="14"/>
      <c r="AQ725" s="51"/>
    </row>
    <row r="726" spans="1:52" s="3" customFormat="1" x14ac:dyDescent="0.2">
      <c r="A726" s="4">
        <v>1472</v>
      </c>
      <c r="B726" s="2">
        <v>2140</v>
      </c>
      <c r="C726" s="4"/>
      <c r="D726" s="4"/>
      <c r="E726" s="3" t="s">
        <v>570</v>
      </c>
      <c r="H726" s="4"/>
      <c r="I726" s="4"/>
      <c r="J726" s="16"/>
      <c r="K726" s="16"/>
      <c r="L726" s="4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2"/>
      <c r="AL726" s="9"/>
      <c r="AM726" s="46"/>
      <c r="AN726" s="46"/>
      <c r="AO726" s="46"/>
      <c r="AP726" s="46"/>
      <c r="AQ726" s="52"/>
      <c r="AX726"/>
      <c r="AY726"/>
      <c r="AZ726"/>
    </row>
    <row r="727" spans="1:52" x14ac:dyDescent="0.2">
      <c r="A727" s="2">
        <v>1370</v>
      </c>
      <c r="E727" t="s">
        <v>589</v>
      </c>
      <c r="F727" t="s">
        <v>6</v>
      </c>
      <c r="I727" s="2">
        <v>20.04</v>
      </c>
      <c r="J727" s="15">
        <v>0.67822000000000005</v>
      </c>
      <c r="K727" s="16">
        <v>0.599553</v>
      </c>
      <c r="L727" s="2">
        <v>8.0830000000000002</v>
      </c>
      <c r="AM727" s="14"/>
      <c r="AN727" s="14"/>
      <c r="AO727" s="14"/>
      <c r="AP727" s="14"/>
      <c r="AQ727" s="51"/>
      <c r="AR727" s="20" t="s">
        <v>752</v>
      </c>
      <c r="AX727" s="3"/>
      <c r="AY727" s="3"/>
      <c r="AZ727" s="3"/>
    </row>
    <row r="728" spans="1:52" x14ac:dyDescent="0.2">
      <c r="A728" s="2">
        <v>1551</v>
      </c>
      <c r="E728" t="s">
        <v>630</v>
      </c>
      <c r="I728" s="2">
        <v>11.8</v>
      </c>
      <c r="AM728" s="14"/>
      <c r="AN728" s="14"/>
      <c r="AO728" s="14"/>
      <c r="AP728" s="14"/>
      <c r="AQ728" s="51"/>
    </row>
    <row r="729" spans="1:52" x14ac:dyDescent="0.2">
      <c r="A729" s="2">
        <v>1572</v>
      </c>
      <c r="C729" s="2">
        <v>1023</v>
      </c>
      <c r="E729" t="s">
        <v>1071</v>
      </c>
      <c r="I729" s="2">
        <v>48.22</v>
      </c>
      <c r="AM729" s="14"/>
      <c r="AN729" s="14">
        <v>48.22</v>
      </c>
      <c r="AO729" s="14"/>
      <c r="AP729" s="14"/>
      <c r="AQ729" s="51"/>
      <c r="AR729" s="19">
        <v>0.25625000000000003</v>
      </c>
    </row>
    <row r="730" spans="1:52" x14ac:dyDescent="0.2">
      <c r="A730" s="2">
        <v>1609</v>
      </c>
      <c r="E730" t="s">
        <v>645</v>
      </c>
      <c r="I730" s="2">
        <v>14.72</v>
      </c>
      <c r="AM730" s="14"/>
      <c r="AN730" s="14"/>
      <c r="AO730" s="14"/>
      <c r="AP730" s="14"/>
      <c r="AQ730" s="51"/>
    </row>
    <row r="731" spans="1:52" x14ac:dyDescent="0.2">
      <c r="A731" s="2">
        <v>1611</v>
      </c>
      <c r="E731" t="s">
        <v>668</v>
      </c>
      <c r="I731" s="2">
        <v>14.64</v>
      </c>
      <c r="AM731" s="14"/>
      <c r="AN731" s="14"/>
      <c r="AO731" s="14"/>
      <c r="AP731" s="14"/>
      <c r="AQ731" s="51"/>
    </row>
    <row r="732" spans="1:52" x14ac:dyDescent="0.2">
      <c r="A732" s="2">
        <v>1633</v>
      </c>
      <c r="E732" t="s">
        <v>754</v>
      </c>
      <c r="I732" s="2">
        <v>10.41</v>
      </c>
      <c r="J732" s="15">
        <v>0.38325799999999999</v>
      </c>
      <c r="K732" s="16">
        <v>0.36001499999999997</v>
      </c>
      <c r="L732" s="2">
        <v>8.4350000000000005</v>
      </c>
      <c r="AM732" s="14"/>
      <c r="AN732" s="14"/>
      <c r="AO732" s="14"/>
      <c r="AP732" s="14"/>
      <c r="AQ732" s="51"/>
      <c r="AR732" s="19">
        <v>9.1666666666666674E-2</v>
      </c>
    </row>
    <row r="733" spans="1:52" x14ac:dyDescent="0.2">
      <c r="A733" s="2">
        <v>1652</v>
      </c>
      <c r="E733" t="s">
        <v>628</v>
      </c>
      <c r="I733" s="2">
        <v>17.239999999999998</v>
      </c>
      <c r="AM733" s="14"/>
      <c r="AN733" s="14"/>
      <c r="AO733" s="14"/>
      <c r="AP733" s="14"/>
      <c r="AQ733" s="51"/>
    </row>
    <row r="734" spans="1:52" x14ac:dyDescent="0.2">
      <c r="A734" s="2">
        <v>1655</v>
      </c>
      <c r="E734" t="s">
        <v>648</v>
      </c>
      <c r="I734" s="2">
        <v>28.27</v>
      </c>
      <c r="AM734" s="14"/>
      <c r="AN734" s="14"/>
      <c r="AO734" s="14"/>
      <c r="AP734" s="14"/>
      <c r="AQ734" s="51"/>
    </row>
    <row r="735" spans="1:52" x14ac:dyDescent="0.2">
      <c r="A735" s="2">
        <v>1669</v>
      </c>
      <c r="E735" t="s">
        <v>642</v>
      </c>
      <c r="I735" s="2">
        <v>52</v>
      </c>
      <c r="AM735" s="14"/>
      <c r="AN735" s="14"/>
      <c r="AO735" s="14"/>
      <c r="AP735" s="14"/>
      <c r="AQ735" s="51"/>
    </row>
    <row r="736" spans="1:52" x14ac:dyDescent="0.2">
      <c r="A736" s="2">
        <v>1727</v>
      </c>
      <c r="E736" t="s">
        <v>733</v>
      </c>
      <c r="I736" s="2">
        <v>21.92</v>
      </c>
      <c r="AM736" s="14"/>
      <c r="AN736" s="14"/>
      <c r="AO736" s="14"/>
      <c r="AP736" s="14"/>
      <c r="AQ736" s="51"/>
    </row>
    <row r="737" spans="1:52" x14ac:dyDescent="0.2">
      <c r="A737" s="2">
        <v>1761</v>
      </c>
      <c r="C737" s="2">
        <v>8299</v>
      </c>
      <c r="E737" t="s">
        <v>1105</v>
      </c>
      <c r="I737" s="15">
        <v>8.484</v>
      </c>
      <c r="L737" s="15"/>
      <c r="AM737" s="14"/>
      <c r="AN737" s="14">
        <v>8.484</v>
      </c>
      <c r="AO737" s="14"/>
      <c r="AP737" s="14"/>
      <c r="AQ737" s="51"/>
      <c r="AR737" s="22">
        <v>9.2361111111111116E-2</v>
      </c>
    </row>
    <row r="738" spans="1:52" x14ac:dyDescent="0.2">
      <c r="A738" s="2">
        <v>1770</v>
      </c>
      <c r="B738" s="4"/>
      <c r="C738" s="2">
        <v>4023</v>
      </c>
      <c r="E738" t="s">
        <v>1153</v>
      </c>
      <c r="I738" s="15">
        <v>16.22</v>
      </c>
      <c r="L738" s="15"/>
      <c r="AM738" s="14"/>
      <c r="AN738" s="14">
        <v>16.22</v>
      </c>
      <c r="AO738" s="14"/>
      <c r="AP738" s="14"/>
      <c r="AQ738" s="51"/>
      <c r="AR738" s="19">
        <v>0.10069444444444443</v>
      </c>
    </row>
    <row r="739" spans="1:52" x14ac:dyDescent="0.2">
      <c r="A739" s="2">
        <v>1804</v>
      </c>
      <c r="E739" t="s">
        <v>593</v>
      </c>
      <c r="I739" s="2">
        <v>6.01</v>
      </c>
      <c r="AM739" s="14"/>
      <c r="AN739" s="14"/>
      <c r="AO739" s="14"/>
      <c r="AP739" s="14"/>
      <c r="AQ739" s="51"/>
    </row>
    <row r="740" spans="1:52" x14ac:dyDescent="0.2">
      <c r="A740" s="2">
        <v>1829</v>
      </c>
      <c r="E740" t="s">
        <v>619</v>
      </c>
      <c r="F740" t="s">
        <v>621</v>
      </c>
      <c r="I740" s="2">
        <v>14.19</v>
      </c>
      <c r="AK740" s="4"/>
      <c r="AM740" s="14"/>
      <c r="AN740" s="14"/>
      <c r="AO740" s="14"/>
      <c r="AP740" s="14"/>
      <c r="AQ740" s="51"/>
    </row>
    <row r="741" spans="1:52" x14ac:dyDescent="0.2">
      <c r="A741" s="2">
        <v>1857</v>
      </c>
      <c r="B741" s="2">
        <v>1572</v>
      </c>
      <c r="E741" t="s">
        <v>843</v>
      </c>
      <c r="I741" s="2">
        <v>25.69</v>
      </c>
      <c r="AM741" s="14"/>
      <c r="AN741" s="14">
        <v>25.69</v>
      </c>
      <c r="AO741" s="14"/>
      <c r="AP741" s="14"/>
      <c r="AQ741" s="51"/>
      <c r="AR741" s="19">
        <v>0.28194444444444444</v>
      </c>
    </row>
    <row r="742" spans="1:52" s="3" customFormat="1" x14ac:dyDescent="0.2">
      <c r="A742" s="4">
        <v>1880</v>
      </c>
      <c r="B742" s="2"/>
      <c r="C742" s="4"/>
      <c r="D742" s="4"/>
      <c r="E742" s="3" t="s">
        <v>671</v>
      </c>
      <c r="H742" s="4"/>
      <c r="I742" s="4">
        <v>13.54</v>
      </c>
      <c r="J742" s="16">
        <v>0.39598</v>
      </c>
      <c r="K742" s="16">
        <v>0.29293400000000003</v>
      </c>
      <c r="L742" s="4">
        <v>5.3620000000000001</v>
      </c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2"/>
      <c r="AL742" s="9"/>
      <c r="AM742" s="46"/>
      <c r="AN742" s="46"/>
      <c r="AO742" s="46"/>
      <c r="AP742" s="46"/>
      <c r="AQ742" s="52"/>
      <c r="AR742" s="21" t="s">
        <v>751</v>
      </c>
      <c r="AX742"/>
      <c r="AY742"/>
      <c r="AZ742"/>
    </row>
    <row r="743" spans="1:52" x14ac:dyDescent="0.2">
      <c r="E743" t="s">
        <v>1097</v>
      </c>
      <c r="AM743" s="14"/>
      <c r="AN743" s="14"/>
      <c r="AO743" s="14"/>
      <c r="AP743" s="14"/>
      <c r="AQ743" s="51"/>
      <c r="AX743" s="3"/>
      <c r="AY743" s="3"/>
      <c r="AZ743" s="3"/>
    </row>
    <row r="744" spans="1:52" x14ac:dyDescent="0.2">
      <c r="E744" t="s">
        <v>1165</v>
      </c>
      <c r="AM744" s="14"/>
      <c r="AN744" s="14"/>
      <c r="AO744" s="14"/>
      <c r="AP744" s="14"/>
      <c r="AQ744" s="51"/>
    </row>
    <row r="745" spans="1:52" x14ac:dyDescent="0.2">
      <c r="E745" t="s">
        <v>1136</v>
      </c>
      <c r="AM745" s="14"/>
      <c r="AN745" s="14"/>
      <c r="AO745" s="14"/>
      <c r="AP745" s="14"/>
      <c r="AQ745" s="51"/>
    </row>
    <row r="746" spans="1:52" x14ac:dyDescent="0.2">
      <c r="E746" t="s">
        <v>1166</v>
      </c>
      <c r="AM746" s="14"/>
      <c r="AN746" s="14"/>
      <c r="AO746" s="14"/>
      <c r="AP746" s="14"/>
      <c r="AQ746" s="51"/>
    </row>
    <row r="747" spans="1:52" x14ac:dyDescent="0.2">
      <c r="E747" t="s">
        <v>1098</v>
      </c>
      <c r="AM747" s="14"/>
      <c r="AN747" s="14"/>
      <c r="AO747" s="14"/>
      <c r="AP747" s="14"/>
      <c r="AQ747" s="51"/>
    </row>
    <row r="748" spans="1:52" x14ac:dyDescent="0.2">
      <c r="A748" s="2">
        <v>1890</v>
      </c>
      <c r="E748" t="s">
        <v>596</v>
      </c>
      <c r="I748" s="2">
        <v>13.39</v>
      </c>
      <c r="AM748" s="14"/>
      <c r="AN748" s="14"/>
      <c r="AO748" s="14"/>
      <c r="AP748" s="14"/>
      <c r="AQ748" s="51"/>
    </row>
    <row r="749" spans="1:52" x14ac:dyDescent="0.2">
      <c r="A749" s="2">
        <v>1901</v>
      </c>
      <c r="B749" s="2">
        <v>1761</v>
      </c>
      <c r="C749" s="2">
        <v>5065</v>
      </c>
      <c r="E749" t="s">
        <v>1140</v>
      </c>
      <c r="I749" s="14">
        <v>12.56</v>
      </c>
      <c r="AM749" s="14"/>
      <c r="AN749" s="14">
        <v>12.56</v>
      </c>
      <c r="AO749" s="14"/>
      <c r="AP749" s="14"/>
      <c r="AQ749" s="51"/>
      <c r="AR749" s="19">
        <v>0.14583333333333334</v>
      </c>
    </row>
    <row r="750" spans="1:52" x14ac:dyDescent="0.2">
      <c r="A750" s="2">
        <v>2015</v>
      </c>
      <c r="B750" s="2">
        <v>1770</v>
      </c>
      <c r="E750" t="s">
        <v>585</v>
      </c>
      <c r="I750" s="2">
        <v>10.199999999999999</v>
      </c>
      <c r="AM750" s="14"/>
      <c r="AN750" s="14"/>
      <c r="AO750" s="14"/>
      <c r="AP750" s="14"/>
      <c r="AQ750" s="51"/>
    </row>
    <row r="751" spans="1:52" x14ac:dyDescent="0.2">
      <c r="A751" s="2">
        <v>2033</v>
      </c>
      <c r="C751" s="2">
        <v>1349</v>
      </c>
      <c r="E751" t="s">
        <v>1118</v>
      </c>
      <c r="I751" s="15">
        <v>47.59</v>
      </c>
      <c r="L751" s="15"/>
      <c r="AM751" s="14"/>
      <c r="AN751" s="14">
        <v>47.59</v>
      </c>
      <c r="AO751" s="14"/>
      <c r="AP751" s="14"/>
      <c r="AQ751" s="51"/>
      <c r="AR751" s="22">
        <v>7.1527777777777787E-2</v>
      </c>
    </row>
    <row r="752" spans="1:52" x14ac:dyDescent="0.2">
      <c r="E752" t="s">
        <v>1194</v>
      </c>
      <c r="I752" s="15"/>
      <c r="L752" s="15"/>
      <c r="AM752" s="14"/>
      <c r="AN752" s="14"/>
      <c r="AO752" s="14"/>
      <c r="AP752" s="14"/>
      <c r="AQ752" s="51"/>
      <c r="AR752" s="22"/>
    </row>
    <row r="753" spans="1:44" x14ac:dyDescent="0.2">
      <c r="A753" s="2">
        <v>2042</v>
      </c>
      <c r="E753" t="s">
        <v>651</v>
      </c>
      <c r="I753" s="2">
        <v>12.13</v>
      </c>
      <c r="AM753" s="14"/>
      <c r="AN753" s="14"/>
      <c r="AO753" s="14"/>
      <c r="AP753" s="14"/>
      <c r="AQ753" s="51"/>
    </row>
    <row r="754" spans="1:44" x14ac:dyDescent="0.2">
      <c r="A754" s="2">
        <v>2070</v>
      </c>
      <c r="B754" s="4"/>
      <c r="C754" s="2">
        <v>6054</v>
      </c>
      <c r="E754" t="s">
        <v>1139</v>
      </c>
      <c r="I754" s="2">
        <v>7.875</v>
      </c>
      <c r="AM754" s="14"/>
      <c r="AN754" s="14">
        <v>7.875</v>
      </c>
      <c r="AO754" s="14"/>
      <c r="AP754" s="14"/>
      <c r="AQ754" s="51"/>
      <c r="AR754" s="19">
        <v>0.13055555555555556</v>
      </c>
    </row>
    <row r="755" spans="1:44" x14ac:dyDescent="0.2">
      <c r="A755" s="2">
        <v>2079</v>
      </c>
      <c r="E755" t="s">
        <v>609</v>
      </c>
      <c r="I755" s="2">
        <v>12.233000000000001</v>
      </c>
      <c r="AM755" s="14"/>
      <c r="AN755" s="14"/>
      <c r="AO755" s="14"/>
      <c r="AP755" s="14"/>
      <c r="AQ755" s="51"/>
    </row>
    <row r="756" spans="1:44" x14ac:dyDescent="0.2">
      <c r="E756" t="s">
        <v>749</v>
      </c>
      <c r="I756" s="2">
        <v>95.92</v>
      </c>
      <c r="J756" s="15">
        <v>2.9209999999999998</v>
      </c>
      <c r="K756" s="16">
        <v>2.2290000000000001</v>
      </c>
      <c r="L756" s="2">
        <v>35.29</v>
      </c>
      <c r="AM756" s="14"/>
      <c r="AN756" s="14"/>
      <c r="AO756" s="14"/>
      <c r="AP756" s="14"/>
      <c r="AQ756" s="51"/>
    </row>
    <row r="757" spans="1:44" x14ac:dyDescent="0.2">
      <c r="A757" s="2">
        <v>2097</v>
      </c>
      <c r="C757" s="2">
        <v>1790</v>
      </c>
      <c r="E757" t="s">
        <v>779</v>
      </c>
      <c r="I757" s="2">
        <v>26.76</v>
      </c>
      <c r="AM757" s="14"/>
      <c r="AN757" s="14">
        <v>26.76</v>
      </c>
      <c r="AO757" s="14"/>
      <c r="AP757" s="14"/>
      <c r="AQ757" s="51"/>
      <c r="AR757" s="19">
        <v>0.15833333333333333</v>
      </c>
    </row>
    <row r="758" spans="1:44" x14ac:dyDescent="0.2">
      <c r="E758" t="s">
        <v>1155</v>
      </c>
      <c r="AM758" s="14"/>
      <c r="AN758" s="14"/>
      <c r="AO758" s="14"/>
      <c r="AP758" s="14"/>
      <c r="AQ758" s="51"/>
      <c r="AR758" s="19"/>
    </row>
    <row r="759" spans="1:44" x14ac:dyDescent="0.2">
      <c r="E759" t="s">
        <v>1156</v>
      </c>
      <c r="AM759" s="14"/>
      <c r="AN759" s="14"/>
      <c r="AO759" s="14"/>
      <c r="AP759" s="14"/>
      <c r="AQ759" s="51"/>
      <c r="AR759" s="19"/>
    </row>
    <row r="760" spans="1:44" x14ac:dyDescent="0.2">
      <c r="E760" t="s">
        <v>973</v>
      </c>
      <c r="AM760" s="14"/>
      <c r="AN760" s="14"/>
      <c r="AO760" s="14"/>
      <c r="AP760" s="14"/>
      <c r="AQ760" s="51"/>
      <c r="AR760" s="19"/>
    </row>
    <row r="761" spans="1:44" x14ac:dyDescent="0.2">
      <c r="A761" s="2">
        <v>2104</v>
      </c>
      <c r="B761" s="2">
        <v>1901</v>
      </c>
      <c r="E761" t="s">
        <v>731</v>
      </c>
      <c r="I761" s="2">
        <v>12.04</v>
      </c>
      <c r="J761" s="15">
        <v>0.42155100000000001</v>
      </c>
      <c r="K761" s="16">
        <v>0.38603999999999999</v>
      </c>
      <c r="L761" s="2">
        <v>8.5220000000000002</v>
      </c>
      <c r="AM761" s="14"/>
      <c r="AN761" s="14"/>
      <c r="AO761" s="14"/>
      <c r="AP761" s="14"/>
      <c r="AQ761" s="51"/>
      <c r="AR761" s="20" t="s">
        <v>750</v>
      </c>
    </row>
    <row r="762" spans="1:44" x14ac:dyDescent="0.2">
      <c r="A762" s="2">
        <v>2160</v>
      </c>
      <c r="E762" t="s">
        <v>760</v>
      </c>
      <c r="I762" s="2">
        <v>48.78</v>
      </c>
      <c r="J762" s="15">
        <v>1.589</v>
      </c>
      <c r="K762" s="16">
        <v>1.27</v>
      </c>
      <c r="L762" s="2">
        <v>24.1</v>
      </c>
      <c r="AM762" s="14"/>
      <c r="AN762" s="14"/>
      <c r="AO762" s="14"/>
      <c r="AP762" s="14"/>
      <c r="AQ762" s="51"/>
      <c r="AR762" s="22">
        <v>0.16041666666666668</v>
      </c>
    </row>
    <row r="763" spans="1:44" x14ac:dyDescent="0.2">
      <c r="A763" s="2">
        <v>2201</v>
      </c>
      <c r="B763" s="2">
        <v>2033</v>
      </c>
      <c r="C763" s="2">
        <v>7629</v>
      </c>
      <c r="E763" t="s">
        <v>1006</v>
      </c>
      <c r="I763" s="15">
        <v>8.2710000000000008</v>
      </c>
      <c r="L763" s="15"/>
      <c r="AM763" s="14"/>
      <c r="AN763" s="14">
        <v>8.2710000000000008</v>
      </c>
      <c r="AO763" s="14"/>
      <c r="AP763" s="14"/>
      <c r="AQ763" s="51"/>
      <c r="AR763" s="19">
        <v>0.3576388888888889</v>
      </c>
    </row>
    <row r="764" spans="1:44" x14ac:dyDescent="0.2">
      <c r="A764" s="2">
        <v>2226</v>
      </c>
      <c r="E764" t="s">
        <v>604</v>
      </c>
      <c r="I764" s="2">
        <v>4.218</v>
      </c>
      <c r="AM764" s="14"/>
      <c r="AN764" s="14"/>
      <c r="AO764" s="14"/>
      <c r="AP764" s="14"/>
      <c r="AQ764" s="51"/>
    </row>
    <row r="765" spans="1:44" x14ac:dyDescent="0.2">
      <c r="E765" t="s">
        <v>974</v>
      </c>
      <c r="AM765" s="14"/>
      <c r="AN765" s="14"/>
      <c r="AO765" s="14"/>
      <c r="AP765" s="14"/>
      <c r="AQ765" s="51"/>
    </row>
    <row r="766" spans="1:44" x14ac:dyDescent="0.2">
      <c r="A766" s="2">
        <v>2236</v>
      </c>
      <c r="B766" s="2">
        <v>2070</v>
      </c>
      <c r="E766" t="s">
        <v>664</v>
      </c>
      <c r="AM766" s="14"/>
      <c r="AN766" s="14"/>
      <c r="AO766" s="14"/>
      <c r="AP766" s="14"/>
      <c r="AQ766" s="51"/>
    </row>
    <row r="767" spans="1:44" x14ac:dyDescent="0.2">
      <c r="A767" s="2">
        <v>2300</v>
      </c>
      <c r="E767" t="s">
        <v>756</v>
      </c>
      <c r="I767" s="2">
        <v>10.84</v>
      </c>
      <c r="J767" s="15">
        <v>0.378438</v>
      </c>
      <c r="K767" s="16">
        <v>0.34661900000000001</v>
      </c>
      <c r="L767" s="2">
        <v>7.774</v>
      </c>
      <c r="AM767" s="14"/>
      <c r="AN767" s="14"/>
      <c r="AO767" s="14"/>
      <c r="AP767" s="14"/>
      <c r="AQ767" s="51"/>
      <c r="AR767" s="19">
        <v>4.6527777777777779E-2</v>
      </c>
    </row>
    <row r="768" spans="1:44" x14ac:dyDescent="0.2">
      <c r="A768" s="2">
        <v>2349</v>
      </c>
      <c r="E768" t="s">
        <v>724</v>
      </c>
      <c r="I768" s="2">
        <v>13.03</v>
      </c>
      <c r="AM768" s="14"/>
      <c r="AN768" s="14"/>
      <c r="AO768" s="14"/>
      <c r="AP768" s="14"/>
      <c r="AQ768" s="51"/>
    </row>
    <row r="769" spans="1:44" x14ac:dyDescent="0.2">
      <c r="A769" s="2">
        <v>2463</v>
      </c>
      <c r="B769" s="2">
        <v>2097</v>
      </c>
      <c r="E769" t="s">
        <v>674</v>
      </c>
      <c r="I769" s="2">
        <v>10.17</v>
      </c>
      <c r="AM769" s="14"/>
      <c r="AN769" s="14"/>
      <c r="AO769" s="14"/>
      <c r="AP769" s="14"/>
      <c r="AQ769" s="51"/>
    </row>
    <row r="770" spans="1:44" x14ac:dyDescent="0.2">
      <c r="E770" t="s">
        <v>1020</v>
      </c>
      <c r="AM770" s="14"/>
      <c r="AN770" s="14"/>
      <c r="AO770" s="14"/>
      <c r="AP770" s="14"/>
      <c r="AQ770" s="51"/>
    </row>
    <row r="771" spans="1:44" x14ac:dyDescent="0.2">
      <c r="E771" t="s">
        <v>1021</v>
      </c>
      <c r="AM771" s="14"/>
      <c r="AN771" s="14"/>
      <c r="AO771" s="14"/>
      <c r="AP771" s="14"/>
      <c r="AQ771" s="51"/>
    </row>
    <row r="772" spans="1:44" x14ac:dyDescent="0.2">
      <c r="E772" t="s">
        <v>1022</v>
      </c>
      <c r="AM772" s="14"/>
      <c r="AN772" s="14"/>
      <c r="AO772" s="14"/>
      <c r="AP772" s="14"/>
      <c r="AQ772" s="51"/>
    </row>
    <row r="773" spans="1:44" x14ac:dyDescent="0.2">
      <c r="A773" s="2">
        <v>2466</v>
      </c>
      <c r="E773" t="s">
        <v>758</v>
      </c>
      <c r="I773" s="2">
        <v>20.74</v>
      </c>
      <c r="J773" s="15">
        <v>0.66327000000000003</v>
      </c>
      <c r="K773" s="16">
        <v>0.315384</v>
      </c>
      <c r="L773" s="2">
        <v>4.5330000000000004</v>
      </c>
      <c r="AM773" s="14"/>
      <c r="AN773" s="14"/>
      <c r="AO773" s="14"/>
      <c r="AP773" s="14"/>
      <c r="AQ773" s="51"/>
      <c r="AR773" s="19">
        <v>0.125</v>
      </c>
    </row>
    <row r="774" spans="1:44" x14ac:dyDescent="0.2">
      <c r="E774" t="s">
        <v>996</v>
      </c>
      <c r="AM774" s="14"/>
      <c r="AN774" s="14"/>
      <c r="AO774" s="14"/>
      <c r="AP774" s="14"/>
      <c r="AQ774" s="51"/>
      <c r="AR774" s="19"/>
    </row>
    <row r="775" spans="1:44" x14ac:dyDescent="0.2">
      <c r="A775" s="2">
        <v>2543</v>
      </c>
      <c r="B775" s="2">
        <v>2201</v>
      </c>
      <c r="C775" s="2">
        <v>7900</v>
      </c>
      <c r="E775" t="s">
        <v>821</v>
      </c>
      <c r="I775" s="2">
        <v>6.0490000000000004</v>
      </c>
      <c r="AM775" s="14"/>
      <c r="AN775" s="14">
        <v>6.0490000000000004</v>
      </c>
      <c r="AO775" s="14"/>
      <c r="AP775" s="14"/>
      <c r="AQ775" s="51"/>
      <c r="AR775" s="19">
        <v>0.11319444444444444</v>
      </c>
    </row>
    <row r="776" spans="1:44" x14ac:dyDescent="0.2">
      <c r="A776" s="2">
        <v>2628</v>
      </c>
      <c r="E776" t="s">
        <v>572</v>
      </c>
      <c r="F776" t="s">
        <v>6</v>
      </c>
      <c r="AM776" s="14"/>
      <c r="AN776" s="14"/>
      <c r="AO776" s="14"/>
      <c r="AP776" s="14"/>
      <c r="AQ776" s="51"/>
    </row>
    <row r="777" spans="1:44" x14ac:dyDescent="0.2">
      <c r="E777" t="s">
        <v>1186</v>
      </c>
      <c r="AM777" s="14"/>
      <c r="AN777" s="14"/>
      <c r="AO777" s="14"/>
      <c r="AP777" s="14"/>
      <c r="AQ777" s="51"/>
    </row>
    <row r="778" spans="1:44" x14ac:dyDescent="0.2">
      <c r="A778" s="2">
        <v>2645</v>
      </c>
      <c r="C778" s="2">
        <v>9596</v>
      </c>
      <c r="E778" t="s">
        <v>757</v>
      </c>
      <c r="I778" s="2">
        <v>4.62</v>
      </c>
      <c r="J778" s="15">
        <v>0.17097499999999999</v>
      </c>
      <c r="K778" s="16">
        <v>0.159524</v>
      </c>
      <c r="L778" s="2">
        <v>3.391</v>
      </c>
      <c r="AM778" s="14"/>
      <c r="AN778" s="14">
        <v>6.6059999999999999</v>
      </c>
      <c r="AO778" s="14"/>
      <c r="AP778" s="14"/>
      <c r="AQ778" s="51"/>
      <c r="AR778" s="19">
        <v>5.5555555555555552E-2</v>
      </c>
    </row>
    <row r="779" spans="1:44" x14ac:dyDescent="0.2">
      <c r="A779" s="2">
        <v>2659</v>
      </c>
      <c r="C779" s="2">
        <v>5914</v>
      </c>
      <c r="E779" t="s">
        <v>1007</v>
      </c>
      <c r="I779" s="15">
        <v>8.8539999999999992</v>
      </c>
      <c r="L779" s="15"/>
      <c r="AM779" s="14"/>
      <c r="AN779" s="14">
        <v>8.8539999999999992</v>
      </c>
      <c r="AO779" s="14"/>
      <c r="AP779" s="14"/>
      <c r="AQ779" s="51"/>
      <c r="AR779" s="19">
        <v>0.22500000000000001</v>
      </c>
    </row>
    <row r="780" spans="1:44" x14ac:dyDescent="0.2">
      <c r="A780" s="2">
        <v>2689</v>
      </c>
      <c r="C780" s="2">
        <v>2212</v>
      </c>
      <c r="E780" t="s">
        <v>1072</v>
      </c>
      <c r="I780" s="15">
        <v>21.17</v>
      </c>
      <c r="L780" s="15"/>
      <c r="AM780" s="14"/>
      <c r="AN780" s="14">
        <v>21.17</v>
      </c>
      <c r="AO780" s="14"/>
      <c r="AP780" s="14"/>
      <c r="AQ780" s="51"/>
      <c r="AR780" s="19">
        <v>0.17916666666666667</v>
      </c>
    </row>
    <row r="781" spans="1:44" x14ac:dyDescent="0.2">
      <c r="E781" t="s">
        <v>1091</v>
      </c>
      <c r="I781" s="15"/>
      <c r="L781" s="15"/>
      <c r="AM781" s="14"/>
      <c r="AN781" s="14"/>
      <c r="AO781" s="14"/>
      <c r="AP781" s="14"/>
      <c r="AQ781" s="51"/>
      <c r="AR781" s="19"/>
    </row>
    <row r="782" spans="1:44" x14ac:dyDescent="0.2">
      <c r="E782" t="s">
        <v>1092</v>
      </c>
      <c r="I782" s="15"/>
      <c r="L782" s="15"/>
      <c r="AM782" s="14"/>
      <c r="AN782" s="14"/>
      <c r="AO782" s="14"/>
      <c r="AP782" s="14"/>
      <c r="AQ782" s="51"/>
      <c r="AR782" s="19"/>
    </row>
    <row r="783" spans="1:44" x14ac:dyDescent="0.2">
      <c r="A783" s="2">
        <v>2738</v>
      </c>
      <c r="E783" t="s">
        <v>663</v>
      </c>
      <c r="I783" s="2">
        <v>4.9560000000000004</v>
      </c>
      <c r="AM783" s="14"/>
      <c r="AN783" s="14"/>
      <c r="AO783" s="14"/>
      <c r="AP783" s="14"/>
      <c r="AQ783" s="51"/>
    </row>
    <row r="784" spans="1:44" x14ac:dyDescent="0.2">
      <c r="E784" t="s">
        <v>1016</v>
      </c>
      <c r="AM784" s="14"/>
      <c r="AN784" s="14"/>
      <c r="AO784" s="14"/>
      <c r="AP784" s="14"/>
      <c r="AQ784" s="51"/>
    </row>
    <row r="785" spans="1:44" x14ac:dyDescent="0.2">
      <c r="A785" s="2">
        <v>2821</v>
      </c>
      <c r="C785" s="2">
        <v>14058</v>
      </c>
      <c r="E785" t="s">
        <v>1077</v>
      </c>
      <c r="I785" s="15">
        <v>4.9009999999999998</v>
      </c>
      <c r="L785" s="15"/>
      <c r="AM785" s="14"/>
      <c r="AN785" s="14">
        <v>4.9009999999999998</v>
      </c>
      <c r="AO785" s="14"/>
      <c r="AP785" s="14"/>
      <c r="AQ785" s="51"/>
      <c r="AR785" s="19">
        <v>0.10277777777777779</v>
      </c>
    </row>
    <row r="786" spans="1:44" x14ac:dyDescent="0.2">
      <c r="A786" s="2">
        <v>2825</v>
      </c>
      <c r="C786" s="2">
        <v>1787</v>
      </c>
      <c r="E786" t="s">
        <v>1171</v>
      </c>
      <c r="I786" s="15">
        <v>29.52</v>
      </c>
      <c r="L786" s="15"/>
      <c r="AM786" s="14"/>
      <c r="AN786" s="14">
        <v>29.52</v>
      </c>
      <c r="AO786" s="14"/>
      <c r="AP786" s="14"/>
      <c r="AQ786" s="51"/>
      <c r="AR786" s="19">
        <v>0.13472222222222222</v>
      </c>
    </row>
    <row r="787" spans="1:44" x14ac:dyDescent="0.2">
      <c r="A787" s="2">
        <v>2843</v>
      </c>
      <c r="B787" s="2">
        <v>2543</v>
      </c>
      <c r="E787" t="s">
        <v>637</v>
      </c>
      <c r="I787" s="2">
        <v>16.63</v>
      </c>
      <c r="AM787" s="14"/>
      <c r="AN787" s="14"/>
      <c r="AO787" s="14"/>
      <c r="AP787" s="14"/>
      <c r="AQ787" s="51"/>
    </row>
    <row r="788" spans="1:44" x14ac:dyDescent="0.2">
      <c r="A788" s="2">
        <v>2870</v>
      </c>
      <c r="E788" t="s">
        <v>656</v>
      </c>
      <c r="I788" s="2">
        <v>4.1989999999999998</v>
      </c>
      <c r="AM788" s="14"/>
      <c r="AN788" s="14"/>
      <c r="AO788" s="14"/>
      <c r="AP788" s="14"/>
      <c r="AQ788" s="51"/>
    </row>
    <row r="789" spans="1:44" x14ac:dyDescent="0.2">
      <c r="A789" s="2">
        <v>2912</v>
      </c>
      <c r="E789" t="s">
        <v>613</v>
      </c>
      <c r="I789" s="2">
        <v>6.2709999999999999</v>
      </c>
      <c r="AM789" s="14"/>
      <c r="AN789" s="14"/>
      <c r="AO789" s="14"/>
      <c r="AP789" s="14"/>
      <c r="AQ789" s="51"/>
    </row>
    <row r="790" spans="1:44" x14ac:dyDescent="0.2">
      <c r="A790" s="2">
        <v>2917</v>
      </c>
      <c r="B790" s="2">
        <v>3791</v>
      </c>
      <c r="C790" s="2">
        <v>10870</v>
      </c>
      <c r="E790" t="s">
        <v>638</v>
      </c>
      <c r="I790" s="14">
        <v>5.625</v>
      </c>
      <c r="J790" s="15">
        <v>0.152084</v>
      </c>
      <c r="K790" s="16">
        <v>0.14216699999999999</v>
      </c>
      <c r="L790" s="2">
        <v>4.2009999999999996</v>
      </c>
      <c r="AM790" s="14"/>
      <c r="AN790" s="14">
        <v>7.2060000000000004</v>
      </c>
      <c r="AO790" s="14"/>
      <c r="AP790" s="14"/>
      <c r="AQ790" s="51"/>
      <c r="AR790" s="19">
        <v>3.888888888888889E-2</v>
      </c>
    </row>
    <row r="791" spans="1:44" x14ac:dyDescent="0.2">
      <c r="A791" s="2">
        <v>2917</v>
      </c>
      <c r="B791" s="2">
        <v>2659</v>
      </c>
      <c r="E791" t="s">
        <v>669</v>
      </c>
      <c r="AM791" s="14"/>
      <c r="AN791" s="14"/>
      <c r="AO791" s="14"/>
      <c r="AP791" s="14"/>
      <c r="AQ791" s="51"/>
    </row>
    <row r="792" spans="1:44" x14ac:dyDescent="0.2">
      <c r="A792" s="2">
        <v>2935</v>
      </c>
      <c r="B792" s="2">
        <v>2689</v>
      </c>
      <c r="E792" t="s">
        <v>825</v>
      </c>
      <c r="I792" s="2">
        <v>4.1040000000000001</v>
      </c>
      <c r="AM792" s="14"/>
      <c r="AN792" s="14">
        <v>4.1040000000000001</v>
      </c>
      <c r="AO792" s="14"/>
      <c r="AP792" s="14"/>
      <c r="AQ792" s="51"/>
      <c r="AR792" s="19">
        <v>0.13541666666666666</v>
      </c>
    </row>
    <row r="793" spans="1:44" x14ac:dyDescent="0.2">
      <c r="A793" s="2">
        <v>2960</v>
      </c>
      <c r="C793" s="2">
        <v>3699</v>
      </c>
      <c r="E793" t="s">
        <v>1100</v>
      </c>
      <c r="I793" s="15">
        <v>17.18</v>
      </c>
      <c r="L793" s="15"/>
      <c r="AM793" s="14"/>
      <c r="AN793" s="14">
        <v>17.18</v>
      </c>
      <c r="AO793" s="14"/>
      <c r="AP793" s="14"/>
      <c r="AQ793" s="51"/>
      <c r="AR793" s="19">
        <v>0.10555555555555556</v>
      </c>
    </row>
    <row r="794" spans="1:44" x14ac:dyDescent="0.2">
      <c r="A794" s="2">
        <v>3020</v>
      </c>
      <c r="C794" s="2">
        <v>2553</v>
      </c>
      <c r="E794" t="s">
        <v>1070</v>
      </c>
      <c r="I794" s="15">
        <v>21.35</v>
      </c>
      <c r="L794" s="15"/>
      <c r="AM794" s="14"/>
      <c r="AN794" s="14">
        <v>21.35</v>
      </c>
      <c r="AO794" s="14"/>
      <c r="AP794" s="14"/>
      <c r="AQ794" s="51"/>
      <c r="AR794" s="19">
        <v>0.12361111111111112</v>
      </c>
    </row>
    <row r="795" spans="1:44" x14ac:dyDescent="0.2">
      <c r="A795" s="2">
        <v>3024</v>
      </c>
      <c r="C795" s="2">
        <v>1585</v>
      </c>
      <c r="E795" t="s">
        <v>969</v>
      </c>
      <c r="I795" s="15">
        <v>42.88</v>
      </c>
      <c r="L795" s="15"/>
      <c r="AM795" s="14"/>
      <c r="AN795" s="14">
        <v>42.88</v>
      </c>
      <c r="AO795" s="14"/>
      <c r="AP795" s="14"/>
      <c r="AQ795" s="51"/>
      <c r="AR795" s="19">
        <v>0.17500000000000002</v>
      </c>
    </row>
    <row r="796" spans="1:44" x14ac:dyDescent="0.2">
      <c r="A796" s="2">
        <v>3031</v>
      </c>
      <c r="C796" s="2">
        <v>6297</v>
      </c>
      <c r="E796" t="s">
        <v>1163</v>
      </c>
      <c r="I796" s="15">
        <v>12.89</v>
      </c>
      <c r="L796" s="15"/>
      <c r="AM796" s="14"/>
      <c r="AN796" s="14">
        <v>12.89</v>
      </c>
      <c r="AO796" s="14"/>
      <c r="AP796" s="14"/>
      <c r="AQ796" s="51"/>
      <c r="AR796" s="19">
        <v>9.9999999999999992E-2</v>
      </c>
    </row>
    <row r="797" spans="1:44" x14ac:dyDescent="0.2">
      <c r="A797" s="2">
        <v>3107</v>
      </c>
      <c r="B797" s="2">
        <v>2825</v>
      </c>
      <c r="E797" t="s">
        <v>726</v>
      </c>
      <c r="I797" s="2">
        <v>10.51</v>
      </c>
      <c r="AM797" s="14"/>
      <c r="AN797" s="14"/>
      <c r="AO797" s="14"/>
      <c r="AP797" s="14"/>
      <c r="AQ797" s="51"/>
    </row>
    <row r="798" spans="1:44" x14ac:dyDescent="0.2">
      <c r="A798" s="2">
        <v>3289</v>
      </c>
      <c r="C798" s="2">
        <v>1678</v>
      </c>
      <c r="E798" t="s">
        <v>1058</v>
      </c>
      <c r="I798" s="15">
        <v>31.26</v>
      </c>
      <c r="L798" s="15"/>
      <c r="AM798" s="14"/>
      <c r="AN798" s="14">
        <v>31.26</v>
      </c>
      <c r="AO798" s="14"/>
      <c r="AP798" s="14"/>
      <c r="AQ798" s="51"/>
      <c r="AR798" s="19">
        <v>0.21041666666666667</v>
      </c>
    </row>
    <row r="799" spans="1:44" x14ac:dyDescent="0.2">
      <c r="A799" s="2">
        <v>3330</v>
      </c>
      <c r="E799" t="s">
        <v>633</v>
      </c>
      <c r="I799" s="2">
        <v>15.97</v>
      </c>
      <c r="AM799" s="14"/>
      <c r="AN799" s="14"/>
      <c r="AO799" s="14"/>
      <c r="AP799" s="14"/>
      <c r="AQ799" s="51"/>
    </row>
    <row r="800" spans="1:44" x14ac:dyDescent="0.2">
      <c r="A800" s="2">
        <v>3480</v>
      </c>
      <c r="C800" s="2">
        <v>845</v>
      </c>
      <c r="E800" t="s">
        <v>1061</v>
      </c>
      <c r="I800" s="2">
        <v>41.26</v>
      </c>
      <c r="AM800" s="14"/>
      <c r="AN800" s="14">
        <v>41.26</v>
      </c>
      <c r="AO800" s="14"/>
      <c r="AP800" s="14"/>
      <c r="AQ800" s="51"/>
      <c r="AR800" s="19">
        <v>0.3125</v>
      </c>
    </row>
    <row r="801" spans="1:44" x14ac:dyDescent="0.2">
      <c r="A801" s="2">
        <v>3528</v>
      </c>
      <c r="B801" s="2">
        <v>5084</v>
      </c>
      <c r="C801" s="2">
        <v>7786</v>
      </c>
      <c r="E801" t="s">
        <v>591</v>
      </c>
      <c r="I801" s="2">
        <v>6.3090000000000002</v>
      </c>
      <c r="AL801" s="1">
        <v>5.9550000000000001</v>
      </c>
      <c r="AM801" s="14"/>
      <c r="AN801" s="14">
        <v>6.64</v>
      </c>
      <c r="AO801" s="14"/>
      <c r="AP801" s="14"/>
      <c r="AQ801" s="51"/>
      <c r="AR801" s="19">
        <v>0.15</v>
      </c>
    </row>
    <row r="802" spans="1:44" x14ac:dyDescent="0.2">
      <c r="A802" s="2">
        <v>3616</v>
      </c>
      <c r="E802" t="s">
        <v>652</v>
      </c>
      <c r="I802" s="2">
        <v>22.9</v>
      </c>
      <c r="AM802" s="14"/>
      <c r="AN802" s="14"/>
      <c r="AO802" s="14"/>
      <c r="AP802" s="14"/>
      <c r="AQ802" s="51"/>
    </row>
    <row r="803" spans="1:44" x14ac:dyDescent="0.2">
      <c r="A803" s="2">
        <v>3637</v>
      </c>
      <c r="E803" t="s">
        <v>588</v>
      </c>
      <c r="AM803" s="14"/>
      <c r="AN803" s="14"/>
      <c r="AO803" s="14"/>
      <c r="AP803" s="14"/>
      <c r="AQ803" s="51"/>
    </row>
    <row r="804" spans="1:44" x14ac:dyDescent="0.2">
      <c r="A804" s="2">
        <v>3647</v>
      </c>
      <c r="B804" s="2">
        <v>2960</v>
      </c>
      <c r="C804" s="2">
        <v>2672</v>
      </c>
      <c r="E804" t="s">
        <v>1179</v>
      </c>
      <c r="I804" s="15">
        <v>18.670000000000002</v>
      </c>
      <c r="K804" s="15"/>
      <c r="L804" s="15"/>
      <c r="AM804" s="14"/>
      <c r="AN804" s="14">
        <v>18.670000000000002</v>
      </c>
      <c r="AO804" s="14"/>
      <c r="AP804" s="14"/>
      <c r="AQ804" s="51"/>
      <c r="AR804" s="19">
        <v>0.1111111111111111</v>
      </c>
    </row>
    <row r="805" spans="1:44" x14ac:dyDescent="0.2">
      <c r="A805" s="2">
        <v>3716</v>
      </c>
      <c r="B805" s="2">
        <v>3020</v>
      </c>
      <c r="C805" s="2">
        <v>3362</v>
      </c>
      <c r="E805" t="s">
        <v>960</v>
      </c>
      <c r="I805" s="15">
        <v>15.57</v>
      </c>
      <c r="L805" s="15"/>
      <c r="AM805" s="14"/>
      <c r="AN805" s="14">
        <v>15.57</v>
      </c>
      <c r="AO805" s="14"/>
      <c r="AP805" s="14"/>
      <c r="AQ805" s="51"/>
      <c r="AR805" s="19">
        <v>0.12986111111111112</v>
      </c>
    </row>
    <row r="806" spans="1:44" x14ac:dyDescent="0.2">
      <c r="A806" s="2">
        <v>3747</v>
      </c>
      <c r="B806" s="2">
        <v>3024</v>
      </c>
      <c r="E806" t="s">
        <v>654</v>
      </c>
      <c r="I806" s="2">
        <v>5.5439999999999996</v>
      </c>
      <c r="AM806" s="14"/>
      <c r="AN806" s="14"/>
      <c r="AO806" s="14"/>
      <c r="AP806" s="14"/>
      <c r="AQ806" s="51"/>
    </row>
    <row r="807" spans="1:44" x14ac:dyDescent="0.2">
      <c r="B807" s="2">
        <v>3031</v>
      </c>
      <c r="E807" t="s">
        <v>1065</v>
      </c>
      <c r="AM807" s="14"/>
      <c r="AN807" s="14"/>
      <c r="AO807" s="14"/>
      <c r="AP807" s="14"/>
      <c r="AQ807" s="51"/>
    </row>
    <row r="808" spans="1:44" x14ac:dyDescent="0.2">
      <c r="A808" s="2">
        <v>640970</v>
      </c>
      <c r="C808" s="2">
        <v>2060936</v>
      </c>
      <c r="E808" t="s">
        <v>1214</v>
      </c>
      <c r="AL808" s="1">
        <v>1.8814000000000001E-2</v>
      </c>
      <c r="AM808" s="14"/>
      <c r="AN808" s="14"/>
      <c r="AO808" s="14"/>
      <c r="AP808" s="14"/>
      <c r="AQ808" s="51"/>
    </row>
    <row r="809" spans="1:44" x14ac:dyDescent="0.2">
      <c r="E809" t="s">
        <v>1215</v>
      </c>
      <c r="AM809" s="14"/>
      <c r="AN809" s="14"/>
      <c r="AO809" s="14"/>
      <c r="AP809" s="14"/>
      <c r="AQ809" s="51"/>
    </row>
    <row r="810" spans="1:44" x14ac:dyDescent="0.2">
      <c r="B810" s="2">
        <v>3289</v>
      </c>
      <c r="E810" t="s">
        <v>1216</v>
      </c>
      <c r="AM810" s="14"/>
      <c r="AN810" s="14"/>
      <c r="AO810" s="14"/>
      <c r="AP810" s="14"/>
      <c r="AQ810" s="51"/>
    </row>
    <row r="811" spans="1:44" x14ac:dyDescent="0.2">
      <c r="A811" s="2">
        <v>3813</v>
      </c>
      <c r="C811" s="2">
        <v>2358</v>
      </c>
      <c r="E811" t="s">
        <v>612</v>
      </c>
      <c r="I811" s="14">
        <v>20.74</v>
      </c>
      <c r="AM811" s="14"/>
      <c r="AN811" s="14">
        <v>20.74</v>
      </c>
      <c r="AO811" s="14"/>
      <c r="AP811" s="14"/>
      <c r="AQ811" s="51"/>
      <c r="AR811" s="19">
        <v>0.17500000000000002</v>
      </c>
    </row>
    <row r="812" spans="1:44" x14ac:dyDescent="0.2">
      <c r="A812" s="2">
        <v>3876</v>
      </c>
      <c r="B812" s="2">
        <v>3480</v>
      </c>
      <c r="C812" s="2">
        <v>10805</v>
      </c>
      <c r="E812" t="s">
        <v>1008</v>
      </c>
      <c r="I812" s="14">
        <v>5.085</v>
      </c>
      <c r="L812" s="15"/>
      <c r="AM812" s="14"/>
      <c r="AN812" s="14">
        <v>5.085</v>
      </c>
      <c r="AO812" s="14"/>
      <c r="AP812" s="14"/>
      <c r="AQ812" s="51"/>
      <c r="AR812" s="19">
        <v>0.35902777777777778</v>
      </c>
    </row>
    <row r="813" spans="1:44" x14ac:dyDescent="0.2">
      <c r="A813" s="2">
        <v>4131</v>
      </c>
      <c r="B813" s="2">
        <v>4091</v>
      </c>
      <c r="C813" s="2">
        <v>2102</v>
      </c>
      <c r="E813" t="s">
        <v>1168</v>
      </c>
      <c r="I813" s="14">
        <v>19.2</v>
      </c>
      <c r="L813" s="15"/>
      <c r="AM813" s="14"/>
      <c r="AN813" s="14">
        <v>19.2</v>
      </c>
      <c r="AO813" s="14"/>
      <c r="AP813" s="14"/>
      <c r="AQ813" s="51"/>
      <c r="AR813" s="19">
        <v>0.38194444444444442</v>
      </c>
    </row>
    <row r="814" spans="1:44" x14ac:dyDescent="0.2">
      <c r="A814" s="2">
        <v>4194</v>
      </c>
      <c r="C814" s="2">
        <v>22404</v>
      </c>
      <c r="E814" t="s">
        <v>1200</v>
      </c>
      <c r="I814" s="14">
        <v>2.6480000000000001</v>
      </c>
      <c r="L814" s="15"/>
      <c r="AM814" s="14"/>
      <c r="AN814" s="14">
        <v>2.6480000000000001</v>
      </c>
      <c r="AO814" s="14"/>
      <c r="AP814" s="14"/>
      <c r="AQ814" s="51"/>
      <c r="AR814" s="22">
        <v>0.31736111111111115</v>
      </c>
    </row>
    <row r="815" spans="1:44" x14ac:dyDescent="0.2">
      <c r="A815" s="2">
        <v>4235</v>
      </c>
      <c r="C815" s="2">
        <v>22544</v>
      </c>
      <c r="E815" t="s">
        <v>1060</v>
      </c>
      <c r="I815" s="14">
        <v>2.645</v>
      </c>
      <c r="L815" s="15"/>
      <c r="AM815" s="14"/>
      <c r="AN815" s="14">
        <v>2.645</v>
      </c>
      <c r="AO815" s="14"/>
      <c r="AP815" s="14"/>
      <c r="AQ815" s="51"/>
      <c r="AR815" s="19">
        <v>0.31736111111111115</v>
      </c>
    </row>
    <row r="816" spans="1:44" x14ac:dyDescent="0.2">
      <c r="A816" s="2">
        <v>4266</v>
      </c>
      <c r="B816" s="2">
        <v>3647</v>
      </c>
      <c r="C816" s="2">
        <v>2400</v>
      </c>
      <c r="E816" t="s">
        <v>907</v>
      </c>
      <c r="I816" s="14">
        <v>21.07</v>
      </c>
      <c r="O816" s="1">
        <f>AL816/AN816-1</f>
        <v>0.8058851447555766</v>
      </c>
      <c r="AL816" s="15">
        <v>38.049999999999997</v>
      </c>
      <c r="AM816" s="15"/>
      <c r="AN816" s="15">
        <v>21.07</v>
      </c>
      <c r="AO816" s="14"/>
      <c r="AP816" s="14"/>
      <c r="AQ816" s="51"/>
      <c r="AR816" s="19">
        <v>0.33333333333333331</v>
      </c>
    </row>
    <row r="817" spans="1:52" x14ac:dyDescent="0.2">
      <c r="A817" s="2">
        <v>4304</v>
      </c>
      <c r="B817" s="2">
        <v>3716</v>
      </c>
      <c r="C817" s="2">
        <v>12099</v>
      </c>
      <c r="E817" t="s">
        <v>1196</v>
      </c>
      <c r="I817" s="14">
        <v>7.0010000000000003</v>
      </c>
      <c r="L817" s="15"/>
      <c r="AM817" s="14"/>
      <c r="AN817" s="14">
        <v>7.0010000000000003</v>
      </c>
      <c r="AO817" s="14"/>
      <c r="AP817" s="14"/>
      <c r="AQ817" s="51"/>
      <c r="AR817" s="19">
        <v>3.6111111111111115E-2</v>
      </c>
    </row>
    <row r="818" spans="1:52" x14ac:dyDescent="0.2">
      <c r="A818" s="2">
        <v>4341</v>
      </c>
      <c r="C818" s="2">
        <v>14925</v>
      </c>
      <c r="E818" t="s">
        <v>865</v>
      </c>
      <c r="I818" s="14">
        <v>4.2469999999999999</v>
      </c>
      <c r="L818" s="15"/>
      <c r="AM818" s="14"/>
      <c r="AN818" s="14">
        <v>4.2469999999999999</v>
      </c>
      <c r="AO818" s="14"/>
      <c r="AP818" s="14"/>
      <c r="AQ818" s="51"/>
      <c r="AR818" s="22">
        <v>0.27152777777777776</v>
      </c>
    </row>
    <row r="819" spans="1:52" x14ac:dyDescent="0.2">
      <c r="A819" s="2">
        <v>4367</v>
      </c>
      <c r="C819" s="2">
        <v>3083</v>
      </c>
      <c r="E819" t="s">
        <v>1027</v>
      </c>
      <c r="I819" s="14">
        <v>11.35</v>
      </c>
      <c r="AM819" s="14"/>
      <c r="AN819" s="14">
        <v>11.35</v>
      </c>
      <c r="AO819" s="14"/>
      <c r="AP819" s="14"/>
      <c r="AQ819" s="51"/>
      <c r="AR819" s="19">
        <v>0.20277777777777781</v>
      </c>
    </row>
    <row r="820" spans="1:52" x14ac:dyDescent="0.2">
      <c r="A820" s="2">
        <v>4383</v>
      </c>
      <c r="C820" s="2">
        <v>5861</v>
      </c>
      <c r="E820" t="s">
        <v>1151</v>
      </c>
      <c r="I820" s="14">
        <v>13.09</v>
      </c>
      <c r="L820" s="15"/>
      <c r="AM820" s="14"/>
      <c r="AN820" s="14">
        <v>13.09</v>
      </c>
      <c r="AO820" s="14"/>
      <c r="AP820" s="14"/>
      <c r="AQ820" s="51"/>
      <c r="AR820" s="19">
        <v>0.10972222222222222</v>
      </c>
    </row>
    <row r="821" spans="1:52" x14ac:dyDescent="0.2">
      <c r="A821" s="2">
        <v>4464</v>
      </c>
      <c r="C821" s="2">
        <v>1649</v>
      </c>
      <c r="E821" t="s">
        <v>1051</v>
      </c>
      <c r="I821" s="14">
        <v>24.74</v>
      </c>
      <c r="L821" s="15"/>
      <c r="AM821" s="14"/>
      <c r="AN821" s="14">
        <v>24.74</v>
      </c>
      <c r="AO821" s="14"/>
      <c r="AP821" s="14"/>
      <c r="AQ821" s="51"/>
      <c r="AR821" s="19">
        <v>0.21944444444444444</v>
      </c>
    </row>
    <row r="822" spans="1:52" x14ac:dyDescent="0.2">
      <c r="A822" s="2">
        <v>4563</v>
      </c>
      <c r="C822" s="2">
        <v>3636</v>
      </c>
      <c r="E822" t="s">
        <v>1175</v>
      </c>
      <c r="I822" s="14">
        <v>22.43</v>
      </c>
      <c r="K822" s="15"/>
      <c r="L822" s="15"/>
      <c r="AK822" s="4"/>
      <c r="AM822" s="14"/>
      <c r="AN822" s="14">
        <v>22.43</v>
      </c>
      <c r="AO822" s="14"/>
      <c r="AP822" s="14"/>
      <c r="AQ822" s="51"/>
      <c r="AR822" s="19">
        <v>0.13333333333333333</v>
      </c>
    </row>
    <row r="823" spans="1:52" x14ac:dyDescent="0.2">
      <c r="A823" s="2">
        <v>4604</v>
      </c>
      <c r="B823" s="2">
        <v>3955</v>
      </c>
      <c r="C823" s="2">
        <v>3524</v>
      </c>
      <c r="E823" t="s">
        <v>1183</v>
      </c>
      <c r="I823" s="14">
        <v>19.38</v>
      </c>
      <c r="L823" s="15"/>
      <c r="AM823" s="14"/>
      <c r="AN823" s="14">
        <v>19.38</v>
      </c>
      <c r="AO823" s="14"/>
      <c r="AP823" s="14"/>
      <c r="AQ823" s="51"/>
      <c r="AR823" s="22">
        <v>9.6527777777777768E-2</v>
      </c>
    </row>
    <row r="824" spans="1:52" x14ac:dyDescent="0.2">
      <c r="A824" s="2">
        <v>4869</v>
      </c>
      <c r="B824" s="2">
        <v>4131</v>
      </c>
      <c r="C824" s="2">
        <v>12656</v>
      </c>
      <c r="E824" t="s">
        <v>636</v>
      </c>
      <c r="I824" s="14">
        <v>6.0430000000000001</v>
      </c>
      <c r="AM824" s="14"/>
      <c r="AN824" s="14">
        <v>5.6760000000000002</v>
      </c>
      <c r="AO824" s="14"/>
      <c r="AP824" s="14"/>
      <c r="AQ824" s="51"/>
      <c r="AR824" s="19">
        <v>5.0694444444444452E-2</v>
      </c>
      <c r="AX824" s="3"/>
      <c r="AY824" s="3"/>
      <c r="AZ824" s="3"/>
    </row>
    <row r="825" spans="1:52" x14ac:dyDescent="0.2">
      <c r="A825" s="2">
        <v>5043</v>
      </c>
      <c r="B825" s="2">
        <v>4194</v>
      </c>
      <c r="C825" s="2">
        <v>13640</v>
      </c>
      <c r="E825" t="s">
        <v>629</v>
      </c>
      <c r="I825" s="14">
        <v>6.782</v>
      </c>
      <c r="AM825" s="14"/>
      <c r="AN825" s="14">
        <v>5.8659999999999997</v>
      </c>
      <c r="AO825" s="14"/>
      <c r="AP825" s="14"/>
      <c r="AQ825" s="51"/>
      <c r="AR825" s="19">
        <v>2.9861111111111113E-2</v>
      </c>
    </row>
    <row r="826" spans="1:52" x14ac:dyDescent="0.2">
      <c r="A826" s="2">
        <v>5070</v>
      </c>
      <c r="B826" s="2">
        <v>4235</v>
      </c>
      <c r="C826" s="2">
        <v>8828</v>
      </c>
      <c r="E826" s="3" t="s">
        <v>826</v>
      </c>
      <c r="I826" s="14">
        <v>4.9059999999999997</v>
      </c>
      <c r="O826" s="1">
        <f>AL826/AN826-1</f>
        <v>1.1239298817774155</v>
      </c>
      <c r="AL826" s="1">
        <v>10.42</v>
      </c>
      <c r="AM826" s="14"/>
      <c r="AN826" s="14">
        <v>4.9059999999999997</v>
      </c>
      <c r="AO826" s="14"/>
      <c r="AP826" s="14"/>
      <c r="AQ826" s="51"/>
      <c r="AR826" s="19">
        <v>0.6</v>
      </c>
    </row>
    <row r="827" spans="1:52" x14ac:dyDescent="0.2">
      <c r="A827" s="2">
        <v>5080</v>
      </c>
      <c r="B827" s="2">
        <v>4266</v>
      </c>
      <c r="C827" s="2">
        <v>3988</v>
      </c>
      <c r="E827" t="s">
        <v>603</v>
      </c>
      <c r="I827" s="14">
        <v>15.7</v>
      </c>
      <c r="AM827" s="14"/>
      <c r="AN827" s="14">
        <v>12.54</v>
      </c>
      <c r="AO827" s="14"/>
      <c r="AP827" s="14"/>
      <c r="AQ827" s="51"/>
      <c r="AR827" s="19">
        <v>0.27916666666666667</v>
      </c>
    </row>
    <row r="828" spans="1:52" x14ac:dyDescent="0.2">
      <c r="A828" s="2">
        <v>5139</v>
      </c>
      <c r="B828" s="2">
        <v>4304</v>
      </c>
      <c r="C828" s="2">
        <v>3954</v>
      </c>
      <c r="E828" t="s">
        <v>1152</v>
      </c>
      <c r="I828" s="14">
        <v>17.43</v>
      </c>
      <c r="L828" s="15"/>
      <c r="AM828" s="14"/>
      <c r="AN828" s="14">
        <v>17.43</v>
      </c>
      <c r="AO828" s="14"/>
      <c r="AP828" s="14"/>
      <c r="AQ828" s="51"/>
      <c r="AR828" s="19">
        <v>0.14305555555555557</v>
      </c>
    </row>
    <row r="829" spans="1:52" x14ac:dyDescent="0.2">
      <c r="A829" s="2">
        <v>5150</v>
      </c>
      <c r="B829" s="2">
        <v>4341</v>
      </c>
      <c r="C829" s="2">
        <v>8821</v>
      </c>
      <c r="E829" t="s">
        <v>616</v>
      </c>
      <c r="I829" s="14">
        <v>5.8819999999999997</v>
      </c>
      <c r="L829" s="15"/>
      <c r="AM829" s="14"/>
      <c r="AN829" s="14">
        <v>5.7850000000000001</v>
      </c>
      <c r="AO829" s="14"/>
      <c r="AP829" s="14"/>
      <c r="AQ829" s="51"/>
      <c r="AR829" s="23">
        <v>0.15694444444444444</v>
      </c>
    </row>
    <row r="830" spans="1:52" x14ac:dyDescent="0.2">
      <c r="A830" s="2">
        <v>5189</v>
      </c>
      <c r="B830" s="2">
        <v>4367</v>
      </c>
      <c r="C830" s="2">
        <v>7105</v>
      </c>
      <c r="E830" t="s">
        <v>626</v>
      </c>
      <c r="I830" s="2">
        <v>14.71</v>
      </c>
      <c r="AM830" s="14"/>
      <c r="AN830" s="14">
        <v>10.48</v>
      </c>
      <c r="AO830" s="14"/>
      <c r="AP830" s="14"/>
      <c r="AQ830" s="51"/>
      <c r="AR830" s="19">
        <v>0.12569444444444444</v>
      </c>
    </row>
    <row r="831" spans="1:52" x14ac:dyDescent="0.2">
      <c r="A831" s="2">
        <v>5323</v>
      </c>
      <c r="B831" s="2">
        <v>4383</v>
      </c>
      <c r="C831" s="2">
        <v>12542</v>
      </c>
      <c r="E831" t="s">
        <v>586</v>
      </c>
      <c r="I831" s="2">
        <v>8.8710000000000004</v>
      </c>
      <c r="AM831" s="14"/>
      <c r="AN831" s="14">
        <v>7.12</v>
      </c>
      <c r="AO831" s="14"/>
      <c r="AP831" s="14"/>
      <c r="AQ831" s="51"/>
      <c r="AR831" s="19">
        <v>5.8333333333333327E-2</v>
      </c>
    </row>
    <row r="832" spans="1:52" x14ac:dyDescent="0.2">
      <c r="A832" s="2">
        <v>5425</v>
      </c>
      <c r="B832" s="2">
        <v>4464</v>
      </c>
      <c r="C832" s="2">
        <v>6465</v>
      </c>
      <c r="E832" t="s">
        <v>962</v>
      </c>
      <c r="I832" s="15">
        <v>7.3879999999999999</v>
      </c>
      <c r="L832" s="15"/>
      <c r="AM832" s="14"/>
      <c r="AN832" s="14">
        <v>7.3879999999999999</v>
      </c>
      <c r="AO832" s="14"/>
      <c r="AP832" s="14"/>
      <c r="AQ832" s="51"/>
      <c r="AR832" s="19">
        <v>0.14375000000000002</v>
      </c>
    </row>
    <row r="833" spans="1:52" x14ac:dyDescent="0.2">
      <c r="A833" s="2">
        <v>5463</v>
      </c>
      <c r="B833" s="2">
        <v>4563</v>
      </c>
      <c r="C833" s="2">
        <v>14432</v>
      </c>
      <c r="E833" t="s">
        <v>1193</v>
      </c>
      <c r="I833" s="15">
        <v>5.7910000000000004</v>
      </c>
      <c r="L833" s="15"/>
      <c r="AK833" s="4"/>
      <c r="AM833" s="14"/>
      <c r="AN833" s="14">
        <v>5.7910000000000004</v>
      </c>
      <c r="AO833" s="14"/>
      <c r="AP833" s="14"/>
      <c r="AQ833" s="51"/>
      <c r="AR833" s="22">
        <v>3.7499999999999999E-2</v>
      </c>
    </row>
    <row r="834" spans="1:52" x14ac:dyDescent="0.2">
      <c r="A834" s="2">
        <v>5510</v>
      </c>
      <c r="B834" s="2">
        <v>4604</v>
      </c>
      <c r="C834" s="2">
        <v>16922</v>
      </c>
      <c r="E834" t="s">
        <v>1075</v>
      </c>
      <c r="I834" s="15">
        <v>2.5379999999999998</v>
      </c>
      <c r="L834" s="15"/>
      <c r="AM834" s="14"/>
      <c r="AN834" s="14">
        <v>2.5379999999999998</v>
      </c>
      <c r="AO834" s="14"/>
      <c r="AP834" s="14"/>
      <c r="AQ834" s="51"/>
      <c r="AR834" s="22">
        <v>0.1451388888888889</v>
      </c>
    </row>
    <row r="835" spans="1:52" s="3" customFormat="1" x14ac:dyDescent="0.2">
      <c r="A835" s="4">
        <v>5604</v>
      </c>
      <c r="B835" s="4">
        <v>4732</v>
      </c>
      <c r="C835" s="4">
        <v>14177</v>
      </c>
      <c r="D835" s="4"/>
      <c r="E835" s="3" t="s">
        <v>872</v>
      </c>
      <c r="H835" s="4"/>
      <c r="I835" s="16">
        <v>4.1509999999999998</v>
      </c>
      <c r="J835" s="16"/>
      <c r="K835" s="16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2"/>
      <c r="AL835" s="9">
        <v>4.6580000000000004</v>
      </c>
      <c r="AM835" s="46"/>
      <c r="AN835" s="46">
        <v>4.1509999999999998</v>
      </c>
      <c r="AO835" s="46"/>
      <c r="AP835" s="46"/>
      <c r="AQ835" s="52"/>
      <c r="AR835" s="23">
        <v>0.20416666666666669</v>
      </c>
      <c r="AX835"/>
      <c r="AY835"/>
      <c r="AZ835"/>
    </row>
    <row r="836" spans="1:52" x14ac:dyDescent="0.2">
      <c r="A836" s="2">
        <v>5645</v>
      </c>
      <c r="B836" s="2">
        <v>5033</v>
      </c>
      <c r="C836" s="2">
        <v>1698</v>
      </c>
      <c r="E836" t="s">
        <v>964</v>
      </c>
      <c r="I836" s="15">
        <v>14.64</v>
      </c>
      <c r="L836" s="15"/>
      <c r="AM836" s="14"/>
      <c r="AN836" s="14">
        <v>14.64</v>
      </c>
      <c r="AO836" s="14"/>
      <c r="AP836" s="14"/>
      <c r="AQ836" s="51"/>
      <c r="AR836" s="19">
        <v>0.79166666666666663</v>
      </c>
      <c r="AX836" s="3"/>
      <c r="AY836" s="3"/>
      <c r="AZ836" s="3"/>
    </row>
    <row r="837" spans="1:52" x14ac:dyDescent="0.2">
      <c r="A837" s="2">
        <v>5703</v>
      </c>
      <c r="B837" s="2">
        <v>5070</v>
      </c>
      <c r="C837" s="2">
        <v>29203</v>
      </c>
      <c r="E837" t="s">
        <v>1113</v>
      </c>
      <c r="I837" s="15">
        <v>1.9330000000000001</v>
      </c>
      <c r="L837" s="15"/>
      <c r="AM837" s="14"/>
      <c r="AN837" s="14">
        <v>1.9330000000000001</v>
      </c>
      <c r="AO837" s="14"/>
      <c r="AP837" s="14"/>
      <c r="AQ837" s="51"/>
      <c r="AR837" s="22">
        <v>0.62361111111111112</v>
      </c>
    </row>
    <row r="838" spans="1:52" x14ac:dyDescent="0.2">
      <c r="A838" s="2">
        <v>5777</v>
      </c>
      <c r="B838" s="2">
        <v>4009</v>
      </c>
      <c r="C838" s="2">
        <v>9537</v>
      </c>
      <c r="E838" t="s">
        <v>1188</v>
      </c>
      <c r="I838" s="2">
        <v>5.5259999999999998</v>
      </c>
      <c r="AM838" s="14"/>
      <c r="AN838" s="14">
        <v>5.5259999999999998</v>
      </c>
      <c r="AO838" s="14"/>
      <c r="AP838" s="14"/>
      <c r="AQ838" s="51"/>
      <c r="AR838" s="19">
        <v>0.12291666666666667</v>
      </c>
    </row>
    <row r="839" spans="1:52" x14ac:dyDescent="0.2">
      <c r="A839" s="2">
        <v>5858</v>
      </c>
      <c r="B839" s="2">
        <v>5139</v>
      </c>
      <c r="C839" s="2">
        <v>17076</v>
      </c>
      <c r="E839" t="s">
        <v>1074</v>
      </c>
      <c r="I839" s="2">
        <v>4.8769999999999998</v>
      </c>
      <c r="AM839" s="14"/>
      <c r="AN839" s="14">
        <v>4.8769999999999998</v>
      </c>
      <c r="AO839" s="14"/>
      <c r="AP839" s="14"/>
      <c r="AQ839" s="51"/>
      <c r="AR839" s="19">
        <v>3.4722222222222224E-2</v>
      </c>
    </row>
    <row r="840" spans="1:52" x14ac:dyDescent="0.2">
      <c r="A840" s="2">
        <v>5999</v>
      </c>
      <c r="B840" s="2">
        <v>5998</v>
      </c>
      <c r="C840" s="2">
        <v>7110</v>
      </c>
      <c r="E840" t="s">
        <v>1187</v>
      </c>
      <c r="I840" s="15">
        <v>6.74</v>
      </c>
      <c r="L840" s="15"/>
      <c r="AM840" s="14"/>
      <c r="AN840" s="14">
        <v>6.74</v>
      </c>
      <c r="AO840" s="14"/>
      <c r="AP840" s="14"/>
      <c r="AQ840" s="51"/>
      <c r="AR840" s="19">
        <v>0.3430555555555555</v>
      </c>
    </row>
    <row r="841" spans="1:52" x14ac:dyDescent="0.2">
      <c r="A841" s="2">
        <v>6027</v>
      </c>
      <c r="B841" s="2">
        <v>5074</v>
      </c>
      <c r="C841" s="2">
        <v>24304</v>
      </c>
      <c r="E841" t="s">
        <v>673</v>
      </c>
      <c r="I841" s="15">
        <v>1.831</v>
      </c>
      <c r="L841" s="15"/>
      <c r="AM841" s="14"/>
      <c r="AN841" s="14">
        <v>1.81</v>
      </c>
      <c r="AO841" s="14"/>
      <c r="AP841" s="14"/>
      <c r="AQ841" s="51"/>
      <c r="AR841" s="19">
        <v>0.23750000000000002</v>
      </c>
    </row>
    <row r="842" spans="1:52" x14ac:dyDescent="0.2">
      <c r="A842" s="2">
        <v>6113</v>
      </c>
      <c r="B842" s="2">
        <v>4509</v>
      </c>
      <c r="C842" s="2">
        <v>8894</v>
      </c>
      <c r="E842" t="s">
        <v>1131</v>
      </c>
      <c r="I842" s="15">
        <v>6.1139999999999999</v>
      </c>
      <c r="L842" s="15"/>
      <c r="AM842" s="14"/>
      <c r="AN842" s="14">
        <v>6.1139999999999999</v>
      </c>
      <c r="AO842" s="14"/>
      <c r="AP842" s="14"/>
      <c r="AQ842" s="51"/>
      <c r="AR842" s="19">
        <v>0.17291666666666669</v>
      </c>
    </row>
    <row r="843" spans="1:52" x14ac:dyDescent="0.2">
      <c r="A843" s="2">
        <v>6141</v>
      </c>
      <c r="B843" s="2">
        <v>5425</v>
      </c>
      <c r="C843" s="2">
        <v>3411</v>
      </c>
      <c r="E843" t="s">
        <v>1031</v>
      </c>
      <c r="I843" s="15">
        <v>13.84</v>
      </c>
      <c r="L843" s="15"/>
      <c r="AM843" s="14"/>
      <c r="AN843" s="14">
        <v>13.84</v>
      </c>
      <c r="AO843" s="14"/>
      <c r="AP843" s="14"/>
      <c r="AQ843" s="51"/>
      <c r="AR843" s="19">
        <v>0.39861111111111108</v>
      </c>
    </row>
    <row r="844" spans="1:52" x14ac:dyDescent="0.2">
      <c r="A844" s="2">
        <v>6170</v>
      </c>
      <c r="B844" s="2">
        <v>5463</v>
      </c>
      <c r="C844" s="2">
        <v>11165</v>
      </c>
      <c r="E844" t="s">
        <v>781</v>
      </c>
      <c r="I844" s="15">
        <v>2.931</v>
      </c>
      <c r="L844" s="15"/>
      <c r="AK844" s="4"/>
      <c r="AM844" s="14"/>
      <c r="AN844" s="14">
        <v>2.931</v>
      </c>
      <c r="AO844" s="14"/>
      <c r="AP844" s="14"/>
      <c r="AQ844" s="51"/>
      <c r="AR844" s="23">
        <v>0.47291666666666665</v>
      </c>
    </row>
    <row r="845" spans="1:52" x14ac:dyDescent="0.2">
      <c r="A845" s="2">
        <v>6198</v>
      </c>
      <c r="B845" s="2">
        <v>5510</v>
      </c>
      <c r="C845" s="2">
        <v>2660</v>
      </c>
      <c r="E845" t="s">
        <v>1052</v>
      </c>
      <c r="I845" s="15">
        <v>16.399999999999999</v>
      </c>
      <c r="L845" s="15"/>
      <c r="AM845" s="14"/>
      <c r="AN845" s="14">
        <v>16.399999999999999</v>
      </c>
      <c r="AO845" s="14"/>
      <c r="AP845" s="14"/>
      <c r="AQ845" s="51"/>
      <c r="AR845" s="19">
        <v>0.14444444444444446</v>
      </c>
    </row>
    <row r="846" spans="1:52" x14ac:dyDescent="0.2">
      <c r="A846" s="4">
        <v>6256</v>
      </c>
      <c r="B846" s="4">
        <v>5604</v>
      </c>
      <c r="C846" s="4">
        <v>16594</v>
      </c>
      <c r="D846" s="4"/>
      <c r="E846" s="3" t="s">
        <v>640</v>
      </c>
      <c r="H846" s="4"/>
      <c r="I846" s="16">
        <v>5.806</v>
      </c>
      <c r="J846" s="16">
        <v>0.17149500000000001</v>
      </c>
      <c r="K846" s="16">
        <v>0.15160899999999999</v>
      </c>
      <c r="L846" s="16">
        <v>3.6989999999999998</v>
      </c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L846" s="9"/>
      <c r="AM846" s="46"/>
      <c r="AN846" s="46">
        <v>4.806</v>
      </c>
      <c r="AO846" s="46"/>
      <c r="AP846" s="46"/>
      <c r="AQ846" s="52"/>
      <c r="AR846" s="19">
        <v>6.5972222222222224E-2</v>
      </c>
    </row>
    <row r="847" spans="1:52" x14ac:dyDescent="0.2">
      <c r="A847" s="2">
        <v>6257</v>
      </c>
      <c r="B847" s="2">
        <v>5645</v>
      </c>
      <c r="C847" s="2">
        <v>3809</v>
      </c>
      <c r="E847" t="s">
        <v>1095</v>
      </c>
      <c r="I847" s="15">
        <v>16.55</v>
      </c>
      <c r="L847" s="15"/>
      <c r="AM847" s="14"/>
      <c r="AN847" s="14">
        <v>16.55</v>
      </c>
      <c r="AO847" s="14"/>
      <c r="AP847" s="14"/>
      <c r="AQ847" s="51"/>
      <c r="AR847" s="19">
        <v>0.125</v>
      </c>
    </row>
    <row r="848" spans="1:52" x14ac:dyDescent="0.2">
      <c r="A848" s="2">
        <v>6404</v>
      </c>
      <c r="B848" s="2">
        <v>5608</v>
      </c>
      <c r="C848" s="2">
        <v>8888</v>
      </c>
      <c r="E848" t="s">
        <v>1028</v>
      </c>
      <c r="I848" s="15">
        <v>4.827</v>
      </c>
      <c r="L848" s="15"/>
      <c r="AM848" s="14"/>
      <c r="AN848" s="14">
        <v>4.827</v>
      </c>
      <c r="AO848" s="14"/>
      <c r="AP848" s="14"/>
      <c r="AQ848" s="51"/>
      <c r="AR848" s="22">
        <v>0.21527777777777779</v>
      </c>
    </row>
    <row r="849" spans="1:44" x14ac:dyDescent="0.2">
      <c r="A849" s="2">
        <v>6716</v>
      </c>
      <c r="B849" s="2">
        <v>5703</v>
      </c>
      <c r="C849" s="2">
        <v>24350</v>
      </c>
      <c r="E849" t="s">
        <v>1087</v>
      </c>
      <c r="I849" s="2">
        <v>2.6560000000000001</v>
      </c>
      <c r="AM849" s="14"/>
      <c r="AN849" s="14">
        <v>2.6560000000000001</v>
      </c>
      <c r="AO849" s="14"/>
      <c r="AP849" s="14"/>
      <c r="AQ849" s="51"/>
      <c r="AR849" s="19">
        <v>9.375E-2</v>
      </c>
    </row>
    <row r="850" spans="1:44" x14ac:dyDescent="0.2">
      <c r="A850" s="2">
        <v>6799</v>
      </c>
      <c r="B850" s="2">
        <v>5777</v>
      </c>
      <c r="C850" s="2">
        <v>29058</v>
      </c>
      <c r="E850" t="s">
        <v>755</v>
      </c>
      <c r="I850" s="15">
        <v>2.2930000000000001</v>
      </c>
      <c r="J850" s="15">
        <v>7.3075000000000001E-2</v>
      </c>
      <c r="K850" s="15">
        <v>6.7874000000000004E-2</v>
      </c>
      <c r="L850" s="15">
        <v>1.782</v>
      </c>
      <c r="AM850" s="14"/>
      <c r="AN850" s="14">
        <v>1.8029999999999999</v>
      </c>
      <c r="AO850" s="14"/>
      <c r="AP850" s="14"/>
      <c r="AQ850" s="51"/>
      <c r="AR850" s="19">
        <v>9.7222222222222224E-2</v>
      </c>
    </row>
    <row r="851" spans="1:44" x14ac:dyDescent="0.2">
      <c r="A851" s="2">
        <v>6895</v>
      </c>
      <c r="B851" s="2">
        <v>5858</v>
      </c>
      <c r="C851" s="2">
        <v>14286</v>
      </c>
      <c r="E851" t="s">
        <v>903</v>
      </c>
      <c r="I851" s="15">
        <v>3.855</v>
      </c>
      <c r="L851" s="15"/>
      <c r="O851" s="1">
        <f>AL851/AN851-1</f>
        <v>-0.23579766536964974</v>
      </c>
      <c r="AL851" s="1">
        <v>2.9460000000000002</v>
      </c>
      <c r="AM851" s="14"/>
      <c r="AN851" s="14">
        <v>3.855</v>
      </c>
      <c r="AO851" s="14"/>
      <c r="AP851" s="14"/>
      <c r="AQ851" s="51"/>
      <c r="AR851" s="19">
        <v>0.26458333333333334</v>
      </c>
    </row>
    <row r="852" spans="1:44" x14ac:dyDescent="0.2">
      <c r="A852" s="2">
        <v>6912</v>
      </c>
      <c r="B852" s="2">
        <v>7610</v>
      </c>
      <c r="C852" s="2">
        <v>5253</v>
      </c>
      <c r="E852" t="s">
        <v>1135</v>
      </c>
      <c r="I852" s="15">
        <v>15.51</v>
      </c>
      <c r="L852" s="15"/>
      <c r="AM852" s="14"/>
      <c r="AN852" s="14">
        <v>15.51</v>
      </c>
      <c r="AO852" s="14"/>
      <c r="AP852" s="14"/>
      <c r="AQ852" s="51"/>
      <c r="AR852" s="22">
        <v>0.10555555555555556</v>
      </c>
    </row>
    <row r="853" spans="1:44" x14ac:dyDescent="0.2">
      <c r="A853" s="2">
        <v>7013</v>
      </c>
      <c r="B853" s="2">
        <v>6113</v>
      </c>
      <c r="C853" s="2">
        <v>1733</v>
      </c>
      <c r="E853" t="s">
        <v>1050</v>
      </c>
      <c r="I853" s="15">
        <v>34.51</v>
      </c>
      <c r="L853" s="15"/>
      <c r="AM853" s="14"/>
      <c r="AN853" s="14">
        <v>34.51</v>
      </c>
      <c r="AO853" s="14"/>
      <c r="AP853" s="14"/>
      <c r="AQ853" s="51"/>
      <c r="AR853" s="19">
        <v>0.18124999999999999</v>
      </c>
    </row>
    <row r="854" spans="1:44" x14ac:dyDescent="0.2">
      <c r="A854" s="2">
        <v>7021</v>
      </c>
      <c r="B854" s="2">
        <v>6141</v>
      </c>
      <c r="C854" s="2">
        <v>7754</v>
      </c>
      <c r="E854" t="s">
        <v>1029</v>
      </c>
      <c r="I854" s="15">
        <v>7.726</v>
      </c>
      <c r="L854" s="15"/>
      <c r="AM854" s="14"/>
      <c r="AN854" s="14">
        <v>7.726</v>
      </c>
      <c r="AO854" s="14"/>
      <c r="AP854" s="14"/>
      <c r="AQ854" s="51"/>
      <c r="AR854" s="19">
        <v>0.1451388888888889</v>
      </c>
    </row>
    <row r="855" spans="1:44" x14ac:dyDescent="0.2">
      <c r="A855" s="2">
        <v>7130</v>
      </c>
      <c r="B855" s="2">
        <v>6170</v>
      </c>
      <c r="C855" s="2">
        <v>8217</v>
      </c>
      <c r="E855" t="s">
        <v>905</v>
      </c>
      <c r="I855" s="15">
        <v>10.01</v>
      </c>
      <c r="L855" s="15"/>
      <c r="AM855" s="14"/>
      <c r="AN855" s="14">
        <v>10.01</v>
      </c>
      <c r="AO855" s="14"/>
      <c r="AP855" s="14"/>
      <c r="AQ855" s="51"/>
      <c r="AR855" s="19">
        <v>8.2638888888888887E-2</v>
      </c>
    </row>
    <row r="856" spans="1:44" x14ac:dyDescent="0.2">
      <c r="A856" s="2">
        <v>7153</v>
      </c>
      <c r="B856" s="2">
        <v>6198</v>
      </c>
      <c r="C856" s="2">
        <v>22279</v>
      </c>
      <c r="E856" t="s">
        <v>729</v>
      </c>
      <c r="I856" s="15">
        <v>2.4820000000000002</v>
      </c>
      <c r="L856" s="15"/>
      <c r="AM856" s="14"/>
      <c r="AN856" s="14">
        <v>2.669</v>
      </c>
      <c r="AO856" s="14"/>
      <c r="AP856" s="14"/>
      <c r="AQ856" s="51"/>
      <c r="AR856" s="19">
        <v>4.5833333333333337E-2</v>
      </c>
    </row>
    <row r="857" spans="1:44" x14ac:dyDescent="0.2">
      <c r="A857" s="2">
        <v>7210</v>
      </c>
      <c r="B857" s="4">
        <v>5820</v>
      </c>
      <c r="C857" s="2">
        <v>17590</v>
      </c>
      <c r="E857" t="s">
        <v>1138</v>
      </c>
      <c r="I857" s="2">
        <v>3.1070000000000002</v>
      </c>
      <c r="AM857" s="14"/>
      <c r="AN857" s="14">
        <v>3.1070000000000002</v>
      </c>
      <c r="AO857" s="14"/>
      <c r="AP857" s="14"/>
      <c r="AQ857" s="51"/>
      <c r="AR857" s="19">
        <v>0.12986111111111112</v>
      </c>
    </row>
    <row r="858" spans="1:44" x14ac:dyDescent="0.2">
      <c r="A858" s="2">
        <v>7228</v>
      </c>
      <c r="B858" s="2">
        <v>6257</v>
      </c>
      <c r="C858" s="2">
        <v>27896</v>
      </c>
      <c r="E858" t="s">
        <v>594</v>
      </c>
      <c r="I858" s="15">
        <v>2.5379999999999998</v>
      </c>
      <c r="L858" s="15"/>
      <c r="AM858" s="14"/>
      <c r="AN858" s="14">
        <v>2.5379999999999998</v>
      </c>
      <c r="AO858" s="14"/>
      <c r="AP858" s="14"/>
      <c r="AQ858" s="51"/>
      <c r="AR858" s="19">
        <v>6.1805555555555558E-2</v>
      </c>
    </row>
    <row r="859" spans="1:44" x14ac:dyDescent="0.2">
      <c r="A859" s="2">
        <v>7403</v>
      </c>
      <c r="B859" s="2">
        <v>6404</v>
      </c>
      <c r="C859" s="2">
        <v>9255</v>
      </c>
      <c r="E859" t="s">
        <v>759</v>
      </c>
      <c r="I859" s="15">
        <v>6.0629999999999997</v>
      </c>
      <c r="J859" s="15">
        <v>0.18499499999999999</v>
      </c>
      <c r="K859" s="16">
        <v>0.16447500000000001</v>
      </c>
      <c r="L859" s="15">
        <v>4.218</v>
      </c>
      <c r="AM859" s="14"/>
      <c r="AN859" s="14">
        <v>6.0330000000000004</v>
      </c>
      <c r="AO859" s="14"/>
      <c r="AP859" s="14"/>
      <c r="AQ859" s="51"/>
      <c r="AR859" s="19">
        <v>0.1111111111111111</v>
      </c>
    </row>
    <row r="860" spans="1:44" x14ac:dyDescent="0.2">
      <c r="A860" s="2">
        <v>7491</v>
      </c>
      <c r="B860" s="2">
        <v>6716</v>
      </c>
      <c r="C860" s="2">
        <v>5868</v>
      </c>
      <c r="E860" t="s">
        <v>1172</v>
      </c>
      <c r="I860" s="15">
        <v>12</v>
      </c>
      <c r="L860" s="15"/>
      <c r="AM860" s="14"/>
      <c r="AN860" s="14">
        <v>12</v>
      </c>
      <c r="AO860" s="14"/>
      <c r="AP860" s="14"/>
      <c r="AQ860" s="51"/>
      <c r="AR860" s="22">
        <v>0.13263888888888889</v>
      </c>
    </row>
    <row r="861" spans="1:44" x14ac:dyDescent="0.2">
      <c r="A861" s="2">
        <v>7562</v>
      </c>
      <c r="B861" s="2">
        <v>5863</v>
      </c>
      <c r="C861" s="2">
        <v>5647</v>
      </c>
      <c r="E861" t="s">
        <v>895</v>
      </c>
      <c r="I861" s="15">
        <v>7.4489999999999998</v>
      </c>
      <c r="L861" s="15"/>
      <c r="AM861" s="14"/>
      <c r="AN861" s="14">
        <v>7.4489999999999998</v>
      </c>
      <c r="AO861" s="14"/>
      <c r="AP861" s="14"/>
      <c r="AQ861" s="51"/>
      <c r="AR861" s="19">
        <v>0.3527777777777778</v>
      </c>
    </row>
    <row r="862" spans="1:44" x14ac:dyDescent="0.2">
      <c r="A862" s="2">
        <v>7642</v>
      </c>
      <c r="B862" s="2">
        <v>6895</v>
      </c>
      <c r="C862" s="2">
        <v>17012</v>
      </c>
      <c r="E862" t="s">
        <v>1173</v>
      </c>
      <c r="I862" s="15">
        <v>3.7810000000000001</v>
      </c>
      <c r="K862" s="15"/>
      <c r="L862" s="15"/>
      <c r="AM862" s="14"/>
      <c r="AN862" s="14">
        <v>3.7810000000000001</v>
      </c>
      <c r="AO862" s="14"/>
      <c r="AP862" s="14"/>
      <c r="AQ862" s="51"/>
      <c r="AR862" s="19">
        <v>0.10416666666666667</v>
      </c>
    </row>
    <row r="863" spans="1:44" x14ac:dyDescent="0.2">
      <c r="A863" s="2">
        <v>7661</v>
      </c>
      <c r="B863" s="2">
        <v>5508</v>
      </c>
      <c r="C863" s="2">
        <v>38552</v>
      </c>
      <c r="E863" t="s">
        <v>1054</v>
      </c>
      <c r="I863" s="15">
        <v>1.0660000000000001</v>
      </c>
      <c r="L863" s="15"/>
      <c r="AM863" s="14"/>
      <c r="AN863" s="14">
        <v>1.0660000000000001</v>
      </c>
      <c r="AO863" s="14"/>
      <c r="AP863" s="14"/>
      <c r="AQ863" s="51"/>
      <c r="AR863" s="19">
        <v>0.26527777777777778</v>
      </c>
    </row>
    <row r="864" spans="1:44" x14ac:dyDescent="0.2">
      <c r="A864" s="2">
        <v>7668</v>
      </c>
      <c r="B864" s="2">
        <v>6912</v>
      </c>
      <c r="C864" s="2">
        <v>7121</v>
      </c>
      <c r="E864" t="s">
        <v>761</v>
      </c>
      <c r="I864" s="15">
        <v>13.4</v>
      </c>
      <c r="J864" s="15">
        <v>0.42543599999999998</v>
      </c>
      <c r="K864" s="15">
        <v>0.29056500000000002</v>
      </c>
      <c r="L864" s="15">
        <v>4.6760000000000002</v>
      </c>
      <c r="AM864" s="14"/>
      <c r="AN864" s="14">
        <v>10.65</v>
      </c>
      <c r="AO864" s="14"/>
      <c r="AP864" s="14"/>
      <c r="AQ864" s="51"/>
      <c r="AR864" s="23">
        <v>0.11666666666666665</v>
      </c>
    </row>
    <row r="865" spans="1:52" x14ac:dyDescent="0.2">
      <c r="A865" s="2">
        <v>7671</v>
      </c>
      <c r="B865" s="2">
        <v>7013</v>
      </c>
      <c r="C865" s="2">
        <v>5150</v>
      </c>
      <c r="E865" t="s">
        <v>968</v>
      </c>
      <c r="I865" s="15">
        <v>8.8940000000000001</v>
      </c>
      <c r="L865" s="15"/>
      <c r="AL865" s="1">
        <v>9.5510000000000002</v>
      </c>
      <c r="AM865" s="14"/>
      <c r="AN865" s="14">
        <v>8.8940000000000001</v>
      </c>
      <c r="AO865" s="14"/>
      <c r="AP865" s="14"/>
      <c r="AQ865" s="51"/>
      <c r="AR865" s="19">
        <v>0.3</v>
      </c>
    </row>
    <row r="866" spans="1:52" x14ac:dyDescent="0.2">
      <c r="A866" s="2">
        <v>7745</v>
      </c>
      <c r="B866" s="2">
        <v>7021</v>
      </c>
      <c r="C866" s="2">
        <v>10668</v>
      </c>
      <c r="E866" t="s">
        <v>657</v>
      </c>
      <c r="I866" s="15">
        <v>7.0739999999999998</v>
      </c>
      <c r="L866" s="15"/>
      <c r="AM866" s="14"/>
      <c r="AN866" s="14">
        <v>7.0739999999999998</v>
      </c>
      <c r="AO866" s="14"/>
      <c r="AP866" s="14"/>
      <c r="AQ866" s="51"/>
      <c r="AR866" s="19">
        <v>8.0555555555555561E-2</v>
      </c>
    </row>
    <row r="867" spans="1:52" x14ac:dyDescent="0.2">
      <c r="A867" s="2">
        <v>7846</v>
      </c>
      <c r="B867" s="2">
        <v>7130</v>
      </c>
      <c r="C867" s="2">
        <v>41002</v>
      </c>
      <c r="E867" t="s">
        <v>1088</v>
      </c>
      <c r="I867" s="15">
        <v>1.605</v>
      </c>
      <c r="L867" s="15"/>
      <c r="AM867" s="14"/>
      <c r="AN867" s="14">
        <v>1.605</v>
      </c>
      <c r="AO867" s="14"/>
      <c r="AP867" s="14"/>
      <c r="AQ867" s="51"/>
      <c r="AR867" s="19">
        <v>6.25E-2</v>
      </c>
    </row>
    <row r="868" spans="1:52" x14ac:dyDescent="0.2">
      <c r="A868" s="2">
        <v>7980</v>
      </c>
      <c r="B868" s="2">
        <v>7588</v>
      </c>
      <c r="C868" s="2">
        <v>2123</v>
      </c>
      <c r="E868" t="s">
        <v>1147</v>
      </c>
      <c r="I868" s="15">
        <v>23.6</v>
      </c>
      <c r="L868" s="15"/>
      <c r="AM868" s="14"/>
      <c r="AN868" s="14">
        <v>23.6</v>
      </c>
      <c r="AO868" s="14"/>
      <c r="AP868" s="14"/>
      <c r="AQ868" s="51"/>
      <c r="AR868" s="19">
        <v>0.15347222222222223</v>
      </c>
    </row>
    <row r="869" spans="1:52" s="3" customFormat="1" x14ac:dyDescent="0.2">
      <c r="A869" s="2">
        <v>8028</v>
      </c>
      <c r="B869" s="2">
        <v>7210</v>
      </c>
      <c r="C869" s="2">
        <v>26838</v>
      </c>
      <c r="D869" s="2"/>
      <c r="E869" t="s">
        <v>634</v>
      </c>
      <c r="F869"/>
      <c r="G869"/>
      <c r="H869" s="2"/>
      <c r="I869" s="15">
        <v>3.1070000000000002</v>
      </c>
      <c r="J869" s="15"/>
      <c r="K869" s="16"/>
      <c r="L869" s="1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2"/>
      <c r="AL869" s="1"/>
      <c r="AM869" s="14"/>
      <c r="AN869" s="14">
        <v>2.766</v>
      </c>
      <c r="AO869" s="14"/>
      <c r="AP869" s="14"/>
      <c r="AQ869" s="51"/>
      <c r="AR869" s="19">
        <v>9.3055555555555558E-2</v>
      </c>
      <c r="AX869"/>
      <c r="AY869"/>
      <c r="AZ869"/>
    </row>
    <row r="870" spans="1:52" x14ac:dyDescent="0.2">
      <c r="A870" s="2">
        <v>8366</v>
      </c>
      <c r="B870" s="2">
        <v>9935</v>
      </c>
      <c r="C870" s="2">
        <v>35031</v>
      </c>
      <c r="E870" t="s">
        <v>578</v>
      </c>
      <c r="I870" s="15">
        <v>2.3620000000000001</v>
      </c>
      <c r="J870" s="15">
        <v>7.4180999999999997E-2</v>
      </c>
      <c r="K870" s="16">
        <v>6.5727999999999995E-2</v>
      </c>
      <c r="L870" s="15">
        <v>1.6220000000000001</v>
      </c>
      <c r="AM870" s="14"/>
      <c r="AN870" s="14">
        <v>2.3490000000000002</v>
      </c>
      <c r="AO870" s="14"/>
      <c r="AP870" s="14"/>
      <c r="AQ870" s="51"/>
      <c r="AR870" s="20" t="s">
        <v>748</v>
      </c>
      <c r="AX870" s="3"/>
      <c r="AY870" s="3"/>
      <c r="AZ870" s="3"/>
    </row>
    <row r="871" spans="1:52" x14ac:dyDescent="0.2">
      <c r="A871" s="2">
        <v>8582</v>
      </c>
      <c r="B871" s="2">
        <v>8340</v>
      </c>
      <c r="C871" s="2">
        <v>38849</v>
      </c>
      <c r="E871" t="s">
        <v>1144</v>
      </c>
      <c r="I871" s="15">
        <v>1.966</v>
      </c>
      <c r="L871" s="15"/>
      <c r="AM871" s="14"/>
      <c r="AN871" s="14">
        <v>1.966</v>
      </c>
      <c r="AO871" s="14"/>
      <c r="AP871" s="14"/>
      <c r="AQ871" s="51"/>
      <c r="AR871" s="19">
        <v>5.4166666666666669E-2</v>
      </c>
    </row>
    <row r="872" spans="1:52" x14ac:dyDescent="0.2">
      <c r="A872" s="2">
        <v>8631</v>
      </c>
      <c r="B872" s="2">
        <v>7491</v>
      </c>
      <c r="C872" s="2">
        <v>31315</v>
      </c>
      <c r="E872" t="s">
        <v>831</v>
      </c>
      <c r="I872" s="15">
        <v>2.2080000000000002</v>
      </c>
      <c r="L872" s="15"/>
      <c r="AM872" s="14"/>
      <c r="AN872" s="14">
        <v>2.246</v>
      </c>
      <c r="AO872" s="14"/>
      <c r="AP872" s="14"/>
      <c r="AQ872" s="51"/>
      <c r="AR872" s="19">
        <v>7.2222222222222229E-2</v>
      </c>
    </row>
    <row r="873" spans="1:52" x14ac:dyDescent="0.2">
      <c r="A873" s="2">
        <v>8669</v>
      </c>
      <c r="B873" s="2">
        <v>7562</v>
      </c>
      <c r="C873" s="2">
        <v>14637</v>
      </c>
      <c r="E873" t="s">
        <v>1124</v>
      </c>
      <c r="I873" s="15">
        <v>3.3119999999999998</v>
      </c>
      <c r="L873" s="15"/>
      <c r="AM873" s="14"/>
      <c r="AN873" s="14">
        <v>3.3119999999999998</v>
      </c>
      <c r="AO873" s="14"/>
      <c r="AP873" s="14"/>
      <c r="AQ873" s="51"/>
      <c r="AR873" s="19">
        <v>0.22291666666666665</v>
      </c>
    </row>
    <row r="874" spans="1:52" x14ac:dyDescent="0.2">
      <c r="A874" s="2">
        <v>8767</v>
      </c>
      <c r="B874" s="2">
        <v>7642</v>
      </c>
      <c r="C874" s="2">
        <v>3343</v>
      </c>
      <c r="E874" t="s">
        <v>1176</v>
      </c>
      <c r="I874" s="2">
        <v>17.809999999999999</v>
      </c>
      <c r="AM874" s="14"/>
      <c r="AN874" s="14">
        <v>17.809999999999999</v>
      </c>
      <c r="AO874" s="14"/>
      <c r="AP874" s="14"/>
      <c r="AQ874" s="51"/>
      <c r="AR874" s="19">
        <v>0.23819444444444446</v>
      </c>
    </row>
    <row r="875" spans="1:52" x14ac:dyDescent="0.2">
      <c r="A875" s="2">
        <v>8783</v>
      </c>
      <c r="B875" s="2">
        <v>7661</v>
      </c>
      <c r="C875" s="2">
        <v>11452</v>
      </c>
      <c r="E875" t="s">
        <v>942</v>
      </c>
      <c r="I875" s="15">
        <v>5.3419999999999996</v>
      </c>
      <c r="L875" s="15"/>
      <c r="AM875" s="14"/>
      <c r="AN875" s="14">
        <v>5.3419999999999996</v>
      </c>
      <c r="AO875" s="14"/>
      <c r="AP875" s="14"/>
      <c r="AQ875" s="51"/>
      <c r="AR875" s="19">
        <v>0.10833333333333334</v>
      </c>
    </row>
    <row r="876" spans="1:52" x14ac:dyDescent="0.2">
      <c r="A876" s="2">
        <v>8940</v>
      </c>
      <c r="B876" s="2">
        <v>6316</v>
      </c>
      <c r="C876" s="2">
        <v>19229</v>
      </c>
      <c r="E876" t="s">
        <v>762</v>
      </c>
      <c r="I876" s="15">
        <v>4.5880000000000001</v>
      </c>
      <c r="J876" s="15">
        <v>0.14110700000000001</v>
      </c>
      <c r="K876" s="16">
        <v>0.123987</v>
      </c>
      <c r="L876" s="15">
        <v>2.968</v>
      </c>
      <c r="AM876" s="14"/>
      <c r="AN876" s="14">
        <v>3.51</v>
      </c>
      <c r="AO876" s="14"/>
      <c r="AP876" s="14"/>
      <c r="AQ876" s="51"/>
      <c r="AR876" s="19">
        <v>8.3333333333333329E-2</v>
      </c>
    </row>
    <row r="877" spans="1:52" x14ac:dyDescent="0.2">
      <c r="A877" s="2">
        <v>9065</v>
      </c>
      <c r="B877" s="2">
        <v>7671</v>
      </c>
      <c r="C877" s="2">
        <v>6336</v>
      </c>
      <c r="E877" t="s">
        <v>1189</v>
      </c>
      <c r="I877" s="15">
        <v>9.0410000000000004</v>
      </c>
      <c r="L877" s="15"/>
      <c r="AM877" s="14"/>
      <c r="AN877" s="14">
        <v>9.0410000000000004</v>
      </c>
      <c r="AO877" s="14"/>
      <c r="AP877" s="14"/>
      <c r="AQ877" s="51"/>
      <c r="AR877" s="22">
        <v>0.13749999999999998</v>
      </c>
    </row>
    <row r="878" spans="1:52" x14ac:dyDescent="0.2">
      <c r="A878" s="2">
        <v>9109</v>
      </c>
      <c r="B878" s="2">
        <v>6758</v>
      </c>
      <c r="C878" s="2">
        <v>41148</v>
      </c>
      <c r="E878" t="s">
        <v>610</v>
      </c>
      <c r="I878" s="15">
        <v>2.012</v>
      </c>
      <c r="L878" s="15"/>
      <c r="AM878" s="14"/>
      <c r="AN878" s="14">
        <v>1.841</v>
      </c>
      <c r="AO878" s="14"/>
      <c r="AP878" s="14"/>
      <c r="AQ878" s="51"/>
      <c r="AR878" s="19">
        <v>5.9722222222222225E-2</v>
      </c>
    </row>
    <row r="879" spans="1:52" x14ac:dyDescent="0.2">
      <c r="A879" s="2">
        <v>9617</v>
      </c>
      <c r="B879" s="2">
        <v>7846</v>
      </c>
      <c r="C879" s="2">
        <v>6386</v>
      </c>
      <c r="E879" t="s">
        <v>1198</v>
      </c>
      <c r="I879" s="15">
        <v>4.4560000000000004</v>
      </c>
      <c r="L879" s="15"/>
      <c r="AM879" s="14"/>
      <c r="AN879" s="14">
        <v>4.4560000000000004</v>
      </c>
      <c r="AO879" s="14"/>
      <c r="AP879" s="14"/>
      <c r="AQ879" s="51"/>
      <c r="AR879" s="22">
        <v>0.3527777777777778</v>
      </c>
    </row>
    <row r="880" spans="1:52" x14ac:dyDescent="0.2">
      <c r="A880" s="2">
        <v>9665</v>
      </c>
      <c r="B880" s="2">
        <v>7980</v>
      </c>
      <c r="C880" s="2">
        <v>24725</v>
      </c>
      <c r="E880" t="s">
        <v>1167</v>
      </c>
      <c r="I880" s="15">
        <v>3.206</v>
      </c>
      <c r="L880" s="15"/>
      <c r="AM880" s="14"/>
      <c r="AN880" s="14">
        <v>3.206</v>
      </c>
      <c r="AO880" s="14"/>
      <c r="AP880" s="14"/>
      <c r="AQ880" s="51"/>
      <c r="AR880" s="19">
        <v>3.1944444444444449E-2</v>
      </c>
    </row>
    <row r="881" spans="1:44" x14ac:dyDescent="0.2">
      <c r="A881" s="2">
        <v>9816</v>
      </c>
      <c r="B881" s="2">
        <v>6614</v>
      </c>
      <c r="C881" s="2">
        <v>9102</v>
      </c>
      <c r="E881" t="s">
        <v>1159</v>
      </c>
      <c r="I881" s="15">
        <v>6.2169999999999996</v>
      </c>
      <c r="L881" s="15"/>
      <c r="AM881" s="14"/>
      <c r="AN881" s="14">
        <v>6.2169999999999996</v>
      </c>
      <c r="AO881" s="14"/>
      <c r="AP881" s="14"/>
      <c r="AQ881" s="51"/>
      <c r="AR881" s="19">
        <v>0.18333333333333335</v>
      </c>
    </row>
    <row r="882" spans="1:44" x14ac:dyDescent="0.2">
      <c r="A882" s="2">
        <v>10295</v>
      </c>
      <c r="B882" s="2">
        <v>9194</v>
      </c>
      <c r="C882" s="2">
        <v>21176</v>
      </c>
      <c r="E882" t="s">
        <v>1005</v>
      </c>
      <c r="I882" s="15">
        <v>2.5070000000000001</v>
      </c>
      <c r="L882" s="15"/>
      <c r="AM882" s="14"/>
      <c r="AN882" s="14">
        <v>2.5070000000000001</v>
      </c>
      <c r="AO882" s="14"/>
      <c r="AP882" s="14"/>
      <c r="AQ882" s="51"/>
      <c r="AR882" s="19">
        <v>0.27291666666666664</v>
      </c>
    </row>
    <row r="883" spans="1:44" x14ac:dyDescent="0.2">
      <c r="A883" s="2">
        <v>10674</v>
      </c>
      <c r="B883" s="2">
        <v>8582</v>
      </c>
      <c r="C883" s="2">
        <v>4619</v>
      </c>
      <c r="E883" t="s">
        <v>1064</v>
      </c>
      <c r="I883" s="15">
        <v>12.01</v>
      </c>
      <c r="L883" s="15"/>
      <c r="AM883" s="14"/>
      <c r="AN883" s="14">
        <v>12.01</v>
      </c>
      <c r="AO883" s="14"/>
      <c r="AP883" s="14"/>
      <c r="AQ883" s="51"/>
      <c r="AR883" s="19">
        <v>0.23819444444444446</v>
      </c>
    </row>
    <row r="884" spans="1:44" x14ac:dyDescent="0.2">
      <c r="A884" s="2">
        <v>10700</v>
      </c>
      <c r="B884" s="2">
        <v>8978</v>
      </c>
      <c r="C884" s="2">
        <v>13857</v>
      </c>
      <c r="E884" t="s">
        <v>829</v>
      </c>
      <c r="I884" s="15">
        <v>3.9180000000000001</v>
      </c>
      <c r="L884" s="15"/>
      <c r="AM884" s="14"/>
      <c r="AN884" s="14">
        <v>3.9180000000000001</v>
      </c>
      <c r="AO884" s="14"/>
      <c r="AP884" s="14"/>
      <c r="AQ884" s="51"/>
      <c r="AR884" s="22">
        <v>0.1673611111111111</v>
      </c>
    </row>
    <row r="885" spans="1:44" x14ac:dyDescent="0.2">
      <c r="A885" s="2">
        <v>10904</v>
      </c>
      <c r="B885" s="2">
        <v>8669</v>
      </c>
      <c r="C885" s="2">
        <v>27127</v>
      </c>
      <c r="E885" t="s">
        <v>1184</v>
      </c>
      <c r="I885" s="15">
        <v>2.8220000000000001</v>
      </c>
      <c r="L885" s="15"/>
      <c r="AM885" s="14"/>
      <c r="AN885" s="14">
        <v>2.8220000000000001</v>
      </c>
      <c r="AO885" s="14"/>
      <c r="AP885" s="14"/>
      <c r="AQ885" s="51"/>
      <c r="AR885" s="22">
        <v>9.2361111111111116E-2</v>
      </c>
    </row>
    <row r="886" spans="1:44" x14ac:dyDescent="0.2">
      <c r="A886" s="2">
        <v>10990</v>
      </c>
      <c r="B886" s="2">
        <v>8767</v>
      </c>
      <c r="C886" s="2">
        <v>3168</v>
      </c>
      <c r="E886" t="s">
        <v>886</v>
      </c>
      <c r="I886" s="15">
        <v>13.41</v>
      </c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L886" s="15"/>
      <c r="AM886" s="14"/>
      <c r="AN886" s="14">
        <v>13.41</v>
      </c>
      <c r="AO886" s="14"/>
      <c r="AP886" s="14"/>
      <c r="AQ886" s="51"/>
      <c r="AR886" s="22">
        <v>0.16458333333333333</v>
      </c>
    </row>
    <row r="887" spans="1:44" x14ac:dyDescent="0.2">
      <c r="A887" s="2">
        <v>11096</v>
      </c>
      <c r="B887" s="2">
        <v>8783</v>
      </c>
      <c r="C887" s="2">
        <v>6703</v>
      </c>
      <c r="E887" t="s">
        <v>1190</v>
      </c>
      <c r="I887" s="15">
        <v>8.2750000000000004</v>
      </c>
      <c r="L887" s="15"/>
      <c r="AM887" s="14"/>
      <c r="AN887" s="14">
        <v>8.2750000000000004</v>
      </c>
      <c r="AO887" s="14"/>
      <c r="AP887" s="14"/>
      <c r="AQ887" s="51"/>
      <c r="AR887" s="22">
        <v>0.11666666666666665</v>
      </c>
    </row>
    <row r="888" spans="1:44" x14ac:dyDescent="0.2">
      <c r="A888" s="2">
        <v>11325</v>
      </c>
      <c r="B888" s="2">
        <v>7649</v>
      </c>
      <c r="C888" s="2">
        <v>48965</v>
      </c>
      <c r="E888" t="s">
        <v>1084</v>
      </c>
      <c r="I888" s="15">
        <v>1.4730000000000001</v>
      </c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L888" s="15"/>
      <c r="AM888" s="14"/>
      <c r="AN888" s="14">
        <v>1.4730000000000001</v>
      </c>
      <c r="AO888" s="14"/>
      <c r="AP888" s="14"/>
      <c r="AQ888" s="51"/>
      <c r="AR888" s="19">
        <v>4.4444444444444446E-2</v>
      </c>
    </row>
    <row r="889" spans="1:44" x14ac:dyDescent="0.2">
      <c r="A889" s="2">
        <v>11700</v>
      </c>
      <c r="B889" s="2">
        <v>9065</v>
      </c>
      <c r="C889" s="2">
        <v>8510</v>
      </c>
      <c r="E889" t="s">
        <v>1053</v>
      </c>
      <c r="I889" s="15">
        <v>7.6769999999999996</v>
      </c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L889" s="15"/>
      <c r="AM889" s="14"/>
      <c r="AN889" s="14">
        <v>7.6769999999999996</v>
      </c>
      <c r="AO889" s="14"/>
      <c r="AP889" s="14"/>
      <c r="AQ889" s="51"/>
      <c r="AR889" s="19">
        <v>0.14791666666666667</v>
      </c>
    </row>
    <row r="890" spans="1:44" x14ac:dyDescent="0.2">
      <c r="A890" s="2">
        <v>11772</v>
      </c>
      <c r="B890" s="2">
        <v>9045</v>
      </c>
      <c r="C890" s="2">
        <v>24530</v>
      </c>
      <c r="E890" t="s">
        <v>1108</v>
      </c>
      <c r="I890" s="15">
        <v>3.1259999999999999</v>
      </c>
      <c r="L890" s="15"/>
      <c r="AM890" s="14"/>
      <c r="AN890" s="14">
        <v>3.1259999999999999</v>
      </c>
      <c r="AO890" s="14"/>
      <c r="AP890" s="14"/>
      <c r="AQ890" s="51"/>
      <c r="AR890" s="22">
        <v>0.18819444444444444</v>
      </c>
    </row>
    <row r="891" spans="1:44" x14ac:dyDescent="0.2">
      <c r="A891" s="2">
        <v>11817</v>
      </c>
      <c r="B891" s="2">
        <v>9617</v>
      </c>
      <c r="C891" s="2">
        <v>56121</v>
      </c>
      <c r="E891" t="s">
        <v>1086</v>
      </c>
      <c r="I891" s="15">
        <v>1.1080000000000001</v>
      </c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L891" s="15"/>
      <c r="AM891" s="14"/>
      <c r="AN891" s="14">
        <v>1.1080000000000001</v>
      </c>
      <c r="AO891" s="14"/>
      <c r="AP891" s="14"/>
      <c r="AQ891" s="51"/>
      <c r="AR891" s="19">
        <v>9.3055555555555558E-2</v>
      </c>
    </row>
    <row r="892" spans="1:44" x14ac:dyDescent="0.2">
      <c r="A892" s="2">
        <v>11897</v>
      </c>
      <c r="B892" s="2">
        <v>9665</v>
      </c>
      <c r="C892" s="2">
        <v>16867</v>
      </c>
      <c r="E892" t="s">
        <v>639</v>
      </c>
      <c r="I892" s="15">
        <v>4.7699999999999996</v>
      </c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L892" s="15"/>
      <c r="AM892" s="14"/>
      <c r="AN892" s="14">
        <v>4.7699999999999996</v>
      </c>
      <c r="AO892" s="14"/>
      <c r="AP892" s="14"/>
      <c r="AQ892" s="51"/>
      <c r="AR892" s="19">
        <v>5.6944444444444443E-2</v>
      </c>
    </row>
    <row r="893" spans="1:44" x14ac:dyDescent="0.2">
      <c r="A893" s="2">
        <v>12049</v>
      </c>
      <c r="B893" s="2">
        <v>9816</v>
      </c>
      <c r="C893" s="2">
        <v>11065</v>
      </c>
      <c r="E893" t="s">
        <v>605</v>
      </c>
      <c r="I893" s="15">
        <v>5.976</v>
      </c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L893" s="15"/>
      <c r="AM893" s="14"/>
      <c r="AN893" s="14">
        <v>5.29</v>
      </c>
      <c r="AO893" s="14"/>
      <c r="AP893" s="14"/>
      <c r="AQ893" s="51"/>
      <c r="AR893" s="19">
        <v>0.30486111111111108</v>
      </c>
    </row>
    <row r="894" spans="1:44" x14ac:dyDescent="0.2">
      <c r="A894" s="2">
        <v>12099</v>
      </c>
      <c r="B894" s="2">
        <v>10295</v>
      </c>
      <c r="C894" s="2">
        <v>11039</v>
      </c>
      <c r="E894" t="s">
        <v>1106</v>
      </c>
      <c r="I894" s="15">
        <v>5.157</v>
      </c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L894" s="15"/>
      <c r="AM894" s="14"/>
      <c r="AN894" s="14">
        <v>5.157</v>
      </c>
      <c r="AO894" s="14"/>
      <c r="AP894" s="14"/>
      <c r="AQ894" s="51"/>
      <c r="AR894" s="19">
        <v>0.10833333333333334</v>
      </c>
    </row>
    <row r="895" spans="1:44" x14ac:dyDescent="0.2">
      <c r="A895" s="2">
        <v>12473</v>
      </c>
      <c r="B895" s="2">
        <v>10674</v>
      </c>
      <c r="C895" s="2">
        <v>63519</v>
      </c>
      <c r="E895" t="s">
        <v>1078</v>
      </c>
      <c r="I895" s="15">
        <v>0.980263</v>
      </c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L895" s="15"/>
      <c r="AM895" s="14"/>
      <c r="AN895" s="14">
        <v>0.980263</v>
      </c>
      <c r="AO895" s="14"/>
      <c r="AP895" s="14"/>
      <c r="AQ895" s="51"/>
      <c r="AR895" s="19">
        <v>9.5833333333333326E-2</v>
      </c>
    </row>
    <row r="896" spans="1:44" x14ac:dyDescent="0.2">
      <c r="A896" s="2">
        <v>12579</v>
      </c>
      <c r="B896" s="2">
        <v>10700</v>
      </c>
      <c r="C896" s="2">
        <v>9719</v>
      </c>
      <c r="E896" t="s">
        <v>1132</v>
      </c>
      <c r="I896" s="15">
        <v>4.9779999999999998</v>
      </c>
      <c r="L896" s="15"/>
      <c r="O896" s="1">
        <f>AL896/AN896-1</f>
        <v>-0.33969465648854957</v>
      </c>
      <c r="AL896" s="1">
        <v>3.2869999999999999</v>
      </c>
      <c r="AM896" s="14"/>
      <c r="AN896" s="14">
        <v>4.9779999999999998</v>
      </c>
      <c r="AO896" s="14"/>
      <c r="AP896" s="14"/>
      <c r="AQ896" s="51"/>
      <c r="AR896" s="19">
        <v>0.17222222222222225</v>
      </c>
    </row>
    <row r="897" spans="1:52" x14ac:dyDescent="0.2">
      <c r="A897" s="2">
        <v>12657</v>
      </c>
      <c r="B897" s="2">
        <v>10904</v>
      </c>
      <c r="C897" s="2">
        <v>26060</v>
      </c>
      <c r="E897" t="s">
        <v>1123</v>
      </c>
      <c r="I897" s="15">
        <v>2.524</v>
      </c>
      <c r="L897" s="15"/>
      <c r="AM897" s="14"/>
      <c r="AN897" s="14">
        <v>2.524</v>
      </c>
      <c r="AO897" s="14"/>
      <c r="AP897" s="14"/>
      <c r="AQ897" s="51"/>
      <c r="AR897" s="22">
        <v>8.5416666666666655E-2</v>
      </c>
    </row>
    <row r="898" spans="1:52" x14ac:dyDescent="0.2">
      <c r="A898" s="2">
        <v>12766</v>
      </c>
      <c r="B898" s="2">
        <v>10990</v>
      </c>
      <c r="C898" s="2">
        <v>11058</v>
      </c>
      <c r="E898" t="s">
        <v>1195</v>
      </c>
      <c r="I898" s="15">
        <v>7.9269999999999996</v>
      </c>
      <c r="L898" s="15"/>
      <c r="AM898" s="14"/>
      <c r="AN898" s="14">
        <v>7.9269999999999996</v>
      </c>
      <c r="AO898" s="14"/>
      <c r="AP898" s="14"/>
      <c r="AQ898" s="51"/>
      <c r="AR898" s="22">
        <v>0.11319444444444444</v>
      </c>
    </row>
    <row r="899" spans="1:52" x14ac:dyDescent="0.2">
      <c r="A899" s="2">
        <v>12774</v>
      </c>
      <c r="B899" s="2">
        <v>11096</v>
      </c>
      <c r="C899" s="2">
        <v>64372</v>
      </c>
      <c r="E899" t="s">
        <v>1059</v>
      </c>
      <c r="I899" s="15">
        <v>0.67284100000000002</v>
      </c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L899" s="15"/>
      <c r="AM899" s="14"/>
      <c r="AN899" s="14">
        <v>0.67284100000000002</v>
      </c>
      <c r="AO899" s="14"/>
      <c r="AP899" s="14"/>
      <c r="AQ899" s="51"/>
      <c r="AR899" s="19">
        <v>0.20138888888888887</v>
      </c>
    </row>
    <row r="900" spans="1:52" x14ac:dyDescent="0.2">
      <c r="A900" s="2">
        <v>12812</v>
      </c>
      <c r="B900" s="2">
        <v>11325</v>
      </c>
      <c r="C900" s="2">
        <v>10412</v>
      </c>
      <c r="E900" t="s">
        <v>904</v>
      </c>
      <c r="I900" s="15">
        <v>7.125</v>
      </c>
      <c r="L900" s="15"/>
      <c r="AM900" s="14"/>
      <c r="AN900" s="14">
        <v>7.125</v>
      </c>
      <c r="AO900" s="14"/>
      <c r="AP900" s="14"/>
      <c r="AQ900" s="51"/>
      <c r="AR900" s="19">
        <v>0.1125</v>
      </c>
    </row>
    <row r="901" spans="1:52" x14ac:dyDescent="0.2">
      <c r="A901" s="2">
        <v>12841</v>
      </c>
      <c r="B901" s="2">
        <v>11700</v>
      </c>
      <c r="C901" s="2">
        <v>20256</v>
      </c>
      <c r="E901" t="s">
        <v>641</v>
      </c>
      <c r="I901" s="15">
        <v>5.694</v>
      </c>
      <c r="L901" s="15"/>
      <c r="AM901" s="14"/>
      <c r="AN901" s="14">
        <v>3.956</v>
      </c>
      <c r="AO901" s="14"/>
      <c r="AP901" s="14"/>
      <c r="AQ901" s="51"/>
      <c r="AR901" s="19">
        <v>8.0555555555555561E-2</v>
      </c>
    </row>
    <row r="902" spans="1:52" x14ac:dyDescent="0.2">
      <c r="A902" s="2">
        <v>12847</v>
      </c>
      <c r="B902" s="2">
        <v>11772</v>
      </c>
      <c r="C902" s="2">
        <v>8078</v>
      </c>
      <c r="E902" t="s">
        <v>830</v>
      </c>
      <c r="I902" s="15">
        <v>5.6790000000000003</v>
      </c>
      <c r="L902" s="15"/>
      <c r="O902" s="1">
        <f>AL902/AN902-1</f>
        <v>0.10829371368198615</v>
      </c>
      <c r="AK902" s="4"/>
      <c r="AL902" s="1">
        <v>6.2939999999999996</v>
      </c>
      <c r="AM902" s="14"/>
      <c r="AN902" s="14">
        <v>5.6790000000000003</v>
      </c>
      <c r="AO902" s="14"/>
      <c r="AP902" s="14"/>
      <c r="AQ902" s="51"/>
      <c r="AR902" s="19">
        <v>0.16666666666666666</v>
      </c>
    </row>
    <row r="903" spans="1:52" x14ac:dyDescent="0.2">
      <c r="A903" s="2">
        <v>13113</v>
      </c>
      <c r="B903" s="2">
        <v>11817</v>
      </c>
      <c r="C903" s="2">
        <v>31790</v>
      </c>
      <c r="E903" t="s">
        <v>1001</v>
      </c>
      <c r="I903" s="15">
        <v>1.8819999999999999</v>
      </c>
      <c r="K903" s="15"/>
      <c r="L903" s="15"/>
      <c r="AM903" s="14"/>
      <c r="AN903" s="14">
        <v>1.8819999999999999</v>
      </c>
      <c r="AO903" s="14"/>
      <c r="AP903" s="14"/>
      <c r="AQ903" s="51"/>
      <c r="AR903" s="23">
        <v>6.458333333333334E-2</v>
      </c>
    </row>
    <row r="904" spans="1:52" s="3" customFormat="1" x14ac:dyDescent="0.2">
      <c r="A904" s="4">
        <v>13139</v>
      </c>
      <c r="B904" s="2">
        <v>11140</v>
      </c>
      <c r="C904" s="4">
        <v>20953</v>
      </c>
      <c r="D904" s="4"/>
      <c r="E904" s="3" t="s">
        <v>1023</v>
      </c>
      <c r="H904" s="4"/>
      <c r="I904" s="16">
        <v>3.5779999999999998</v>
      </c>
      <c r="J904" s="16"/>
      <c r="K904" s="16"/>
      <c r="L904" s="16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2"/>
      <c r="AL904" s="9"/>
      <c r="AM904" s="46"/>
      <c r="AN904" s="46">
        <v>3.5779999999999998</v>
      </c>
      <c r="AO904" s="46"/>
      <c r="AP904" s="46"/>
      <c r="AQ904" s="52"/>
      <c r="AR904" s="23">
        <v>8.5416666666666655E-2</v>
      </c>
      <c r="AX904"/>
      <c r="AY904"/>
      <c r="AZ904"/>
    </row>
    <row r="905" spans="1:52" x14ac:dyDescent="0.2">
      <c r="A905" s="2">
        <v>13198</v>
      </c>
      <c r="B905" s="2">
        <v>11657</v>
      </c>
      <c r="C905" s="2">
        <v>37641</v>
      </c>
      <c r="E905" t="s">
        <v>582</v>
      </c>
      <c r="I905" s="15">
        <v>1.506</v>
      </c>
      <c r="L905" s="15"/>
      <c r="AM905" s="14"/>
      <c r="AN905" s="14">
        <v>1.5669999999999999</v>
      </c>
      <c r="AO905" s="14"/>
      <c r="AP905" s="14"/>
      <c r="AQ905" s="51"/>
      <c r="AR905" s="19">
        <v>0.15208333333333332</v>
      </c>
      <c r="AX905" s="3"/>
      <c r="AY905" s="3"/>
      <c r="AZ905" s="3"/>
    </row>
    <row r="906" spans="1:52" x14ac:dyDescent="0.2">
      <c r="A906" s="2">
        <v>13684</v>
      </c>
      <c r="B906" s="2">
        <v>12099</v>
      </c>
      <c r="C906" s="2">
        <v>70506</v>
      </c>
      <c r="E906" t="s">
        <v>614</v>
      </c>
      <c r="I906" s="15">
        <v>0.91088999999999998</v>
      </c>
      <c r="L906" s="15"/>
      <c r="AM906" s="14"/>
      <c r="AN906" s="14">
        <v>0.85121400000000003</v>
      </c>
      <c r="AO906" s="14"/>
      <c r="AP906" s="14"/>
      <c r="AQ906" s="51"/>
      <c r="AR906" s="19">
        <v>5.6944444444444443E-2</v>
      </c>
    </row>
    <row r="907" spans="1:52" x14ac:dyDescent="0.2">
      <c r="A907" s="2">
        <v>13982</v>
      </c>
      <c r="B907" s="2">
        <v>12473</v>
      </c>
      <c r="C907" s="2">
        <v>42731</v>
      </c>
      <c r="E907" t="s">
        <v>882</v>
      </c>
      <c r="I907" s="15">
        <v>1.8180000000000001</v>
      </c>
      <c r="L907" s="15"/>
      <c r="AM907" s="14"/>
      <c r="AN907" s="14">
        <v>1.8180000000000001</v>
      </c>
      <c r="AO907" s="14"/>
      <c r="AP907" s="14"/>
      <c r="AQ907" s="51"/>
      <c r="AR907" s="19">
        <v>3.4722222222222224E-2</v>
      </c>
    </row>
    <row r="908" spans="1:52" x14ac:dyDescent="0.2">
      <c r="A908" s="2">
        <v>14138</v>
      </c>
      <c r="B908" s="2">
        <v>12579</v>
      </c>
      <c r="C908" s="2">
        <v>21731</v>
      </c>
      <c r="E908" t="s">
        <v>1162</v>
      </c>
      <c r="I908" s="15">
        <v>3.4180000000000001</v>
      </c>
      <c r="L908" s="15"/>
      <c r="AM908" s="14"/>
      <c r="AN908" s="14">
        <v>3.4180000000000001</v>
      </c>
      <c r="AO908" s="14"/>
      <c r="AP908" s="14"/>
      <c r="AQ908" s="51"/>
      <c r="AR908" s="19">
        <v>9.2361111111111116E-2</v>
      </c>
    </row>
    <row r="909" spans="1:52" x14ac:dyDescent="0.2">
      <c r="A909" s="2">
        <v>14198</v>
      </c>
      <c r="B909" s="2">
        <v>12657</v>
      </c>
      <c r="C909" s="2">
        <v>79439</v>
      </c>
      <c r="E909" t="s">
        <v>1047</v>
      </c>
      <c r="I909" s="15">
        <v>0.71810799999999997</v>
      </c>
      <c r="L909" s="15"/>
      <c r="AM909" s="14"/>
      <c r="AN909" s="14">
        <v>0.71810799999999997</v>
      </c>
      <c r="AO909" s="14"/>
      <c r="AP909" s="14"/>
      <c r="AQ909" s="51"/>
      <c r="AR909" s="19">
        <v>9.8611111111111108E-2</v>
      </c>
    </row>
    <row r="910" spans="1:52" x14ac:dyDescent="0.2">
      <c r="A910" s="2">
        <v>14201</v>
      </c>
      <c r="B910" s="2">
        <v>12766</v>
      </c>
      <c r="C910" s="2">
        <v>29468</v>
      </c>
      <c r="E910" t="s">
        <v>873</v>
      </c>
      <c r="I910" s="15">
        <v>2.0150000000000001</v>
      </c>
      <c r="L910" s="15"/>
      <c r="AK910" s="4"/>
      <c r="AM910" s="14"/>
      <c r="AN910" s="14">
        <v>2.0150000000000001</v>
      </c>
      <c r="AO910" s="14"/>
      <c r="AP910" s="14"/>
      <c r="AQ910" s="51"/>
      <c r="AR910" s="19">
        <v>0.22638888888888889</v>
      </c>
    </row>
    <row r="911" spans="1:52" x14ac:dyDescent="0.2">
      <c r="A911" s="2">
        <v>14530</v>
      </c>
      <c r="B911" s="2">
        <v>12774</v>
      </c>
      <c r="C911" s="2">
        <v>63885</v>
      </c>
      <c r="E911" t="s">
        <v>1080</v>
      </c>
      <c r="I911" s="15">
        <v>1.224</v>
      </c>
      <c r="L911" s="15"/>
      <c r="AM911" s="14"/>
      <c r="AN911" s="14">
        <v>1.224</v>
      </c>
      <c r="AO911" s="14"/>
      <c r="AP911" s="14"/>
      <c r="AQ911" s="51"/>
      <c r="AR911" s="19">
        <v>3.6111111111111115E-2</v>
      </c>
    </row>
    <row r="912" spans="1:52" x14ac:dyDescent="0.2">
      <c r="A912" s="4">
        <v>14907</v>
      </c>
      <c r="B912" s="2">
        <v>12812</v>
      </c>
      <c r="C912" s="4">
        <v>21829</v>
      </c>
      <c r="D912" s="4"/>
      <c r="E912" s="3" t="s">
        <v>1174</v>
      </c>
      <c r="H912" s="4"/>
      <c r="I912" s="16">
        <v>3.41</v>
      </c>
      <c r="J912" s="16"/>
      <c r="L912" s="16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L912" s="9"/>
      <c r="AM912" s="46"/>
      <c r="AN912" s="46">
        <v>3.41</v>
      </c>
      <c r="AO912" s="46"/>
      <c r="AP912" s="46"/>
      <c r="AQ912" s="52"/>
      <c r="AR912" s="19">
        <v>8.1250000000000003E-2</v>
      </c>
    </row>
    <row r="913" spans="1:44" x14ac:dyDescent="0.2">
      <c r="A913" s="2">
        <v>14939</v>
      </c>
      <c r="B913" s="2">
        <v>9655</v>
      </c>
      <c r="C913" s="2">
        <v>40041</v>
      </c>
      <c r="E913" t="s">
        <v>635</v>
      </c>
      <c r="I913" s="15">
        <v>2.0870000000000002</v>
      </c>
      <c r="L913" s="15"/>
      <c r="AM913" s="14"/>
      <c r="AN913" s="14">
        <v>1.7450000000000001</v>
      </c>
      <c r="AO913" s="14"/>
      <c r="AP913" s="14"/>
      <c r="AQ913" s="51"/>
      <c r="AR913" s="19">
        <v>4.7222222222222221E-2</v>
      </c>
    </row>
    <row r="914" spans="1:44" x14ac:dyDescent="0.2">
      <c r="A914" s="2">
        <v>15187</v>
      </c>
      <c r="B914" s="2">
        <v>12847</v>
      </c>
      <c r="C914" s="2">
        <v>12075</v>
      </c>
      <c r="E914" t="s">
        <v>1178</v>
      </c>
      <c r="I914" s="15">
        <v>4.9370000000000003</v>
      </c>
      <c r="K914" s="15"/>
      <c r="L914" s="15"/>
      <c r="AM914" s="14"/>
      <c r="AN914" s="14">
        <v>4.9370000000000003</v>
      </c>
      <c r="AO914" s="14"/>
      <c r="AP914" s="14"/>
      <c r="AQ914" s="51"/>
      <c r="AR914" s="19">
        <v>0.12222222222222223</v>
      </c>
    </row>
    <row r="915" spans="1:44" x14ac:dyDescent="0.2">
      <c r="A915" s="2">
        <v>15239</v>
      </c>
      <c r="B915" s="2">
        <v>13113</v>
      </c>
      <c r="C915" s="2">
        <v>25278</v>
      </c>
      <c r="E915" t="s">
        <v>606</v>
      </c>
      <c r="I915" s="15">
        <v>1.871</v>
      </c>
      <c r="L915" s="15"/>
      <c r="AM915" s="14"/>
      <c r="AN915" s="14">
        <v>2.0150000000000001</v>
      </c>
      <c r="AO915" s="14"/>
      <c r="AP915" s="14"/>
      <c r="AQ915" s="51"/>
      <c r="AR915" s="19">
        <v>0.28958333333333336</v>
      </c>
    </row>
    <row r="916" spans="1:44" x14ac:dyDescent="0.2">
      <c r="A916" s="2">
        <v>15288</v>
      </c>
      <c r="B916" s="4">
        <v>13139</v>
      </c>
      <c r="C916" s="2">
        <v>20138</v>
      </c>
      <c r="E916" t="s">
        <v>936</v>
      </c>
      <c r="I916" s="15">
        <v>3.7130000000000001</v>
      </c>
      <c r="L916" s="15"/>
      <c r="AM916" s="14"/>
      <c r="AN916" s="14">
        <v>3.7130000000000001</v>
      </c>
      <c r="AO916" s="14"/>
      <c r="AP916" s="14"/>
      <c r="AQ916" s="51"/>
      <c r="AR916" s="19">
        <v>0.12569444444444444</v>
      </c>
    </row>
    <row r="917" spans="1:44" x14ac:dyDescent="0.2">
      <c r="A917" s="2">
        <v>15361</v>
      </c>
      <c r="B917" s="2">
        <v>14684</v>
      </c>
      <c r="C917" s="2">
        <v>11953</v>
      </c>
      <c r="E917" t="s">
        <v>1018</v>
      </c>
      <c r="I917" s="15">
        <v>4.7859999999999996</v>
      </c>
      <c r="L917" s="15"/>
      <c r="AM917" s="14"/>
      <c r="AN917" s="14">
        <v>4.7859999999999996</v>
      </c>
      <c r="AO917" s="14"/>
      <c r="AP917" s="14"/>
      <c r="AQ917" s="51"/>
      <c r="AR917" s="19">
        <v>0.10208333333333335</v>
      </c>
    </row>
    <row r="918" spans="1:44" x14ac:dyDescent="0.2">
      <c r="A918" s="2">
        <v>15371</v>
      </c>
      <c r="B918" s="2">
        <v>15418</v>
      </c>
      <c r="C918" s="2">
        <v>17066</v>
      </c>
      <c r="E918" t="s">
        <v>1066</v>
      </c>
      <c r="I918" s="15">
        <v>3.165</v>
      </c>
      <c r="L918" s="15"/>
      <c r="AM918" s="14"/>
      <c r="AN918" s="14">
        <v>3.165</v>
      </c>
      <c r="AO918" s="14"/>
      <c r="AP918" s="14"/>
      <c r="AQ918" s="51"/>
      <c r="AR918" s="19">
        <v>0.1173611111111111</v>
      </c>
    </row>
    <row r="919" spans="1:44" x14ac:dyDescent="0.2">
      <c r="A919" s="2">
        <v>15418</v>
      </c>
      <c r="B919" s="2">
        <v>13982</v>
      </c>
      <c r="C919" s="2">
        <v>17250</v>
      </c>
      <c r="E919" t="s">
        <v>1114</v>
      </c>
      <c r="I919" s="15">
        <v>3.47</v>
      </c>
      <c r="L919" s="15"/>
      <c r="AM919" s="14"/>
      <c r="AN919" s="14">
        <v>3.47</v>
      </c>
      <c r="AO919" s="14"/>
      <c r="AP919" s="14"/>
      <c r="AQ919" s="51"/>
      <c r="AR919" s="22">
        <v>6.1111111111111116E-2</v>
      </c>
    </row>
    <row r="920" spans="1:44" x14ac:dyDescent="0.2">
      <c r="A920" s="2">
        <v>15745</v>
      </c>
      <c r="B920" s="2">
        <v>14138</v>
      </c>
      <c r="C920" s="2">
        <v>27362</v>
      </c>
      <c r="E920" t="s">
        <v>1150</v>
      </c>
      <c r="I920" s="15">
        <v>2.831</v>
      </c>
      <c r="L920" s="15"/>
      <c r="AM920" s="14"/>
      <c r="AN920" s="14">
        <v>2.831</v>
      </c>
      <c r="AO920" s="14"/>
      <c r="AP920" s="14"/>
      <c r="AQ920" s="51"/>
      <c r="AR920" s="19">
        <v>7.1527777777777787E-2</v>
      </c>
    </row>
    <row r="921" spans="1:44" x14ac:dyDescent="0.2">
      <c r="A921" s="2">
        <v>15849</v>
      </c>
      <c r="B921" s="2">
        <v>14198</v>
      </c>
      <c r="C921" s="2">
        <v>26671</v>
      </c>
      <c r="E921" t="s">
        <v>1083</v>
      </c>
      <c r="I921" s="15">
        <v>2.2999999999999998</v>
      </c>
      <c r="L921" s="15"/>
      <c r="AK921" s="4"/>
      <c r="AM921" s="14"/>
      <c r="AN921" s="14">
        <v>2.2999999999999998</v>
      </c>
      <c r="AO921" s="14"/>
      <c r="AP921" s="14"/>
      <c r="AQ921" s="51"/>
      <c r="AR921" s="19">
        <v>0.18194444444444444</v>
      </c>
    </row>
    <row r="922" spans="1:44" x14ac:dyDescent="0.2">
      <c r="A922" s="2">
        <v>16208</v>
      </c>
      <c r="B922" s="2">
        <v>14201</v>
      </c>
      <c r="C922" s="2">
        <v>4400</v>
      </c>
      <c r="E922" t="s">
        <v>1101</v>
      </c>
      <c r="I922" s="15">
        <v>11.2</v>
      </c>
      <c r="L922" s="15"/>
      <c r="AM922" s="14"/>
      <c r="AN922" s="14">
        <v>11.2</v>
      </c>
      <c r="AO922" s="14"/>
      <c r="AP922" s="14"/>
      <c r="AQ922" s="51"/>
      <c r="AR922" s="19">
        <v>0.22569444444444445</v>
      </c>
    </row>
    <row r="923" spans="1:44" x14ac:dyDescent="0.2">
      <c r="A923" s="2">
        <v>16543</v>
      </c>
      <c r="B923" s="2">
        <v>14530</v>
      </c>
      <c r="C923" s="2">
        <v>18573</v>
      </c>
      <c r="E923" t="s">
        <v>794</v>
      </c>
      <c r="I923" s="15">
        <v>3.4249999999999998</v>
      </c>
      <c r="L923" s="1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L923" s="1">
        <v>3.7559999999999998</v>
      </c>
      <c r="AM923" s="14"/>
      <c r="AN923" s="14">
        <v>3.4249999999999998</v>
      </c>
      <c r="AO923" s="14"/>
      <c r="AP923" s="14"/>
      <c r="AQ923" s="51"/>
      <c r="AR923" s="19">
        <v>0.1173611111111111</v>
      </c>
    </row>
    <row r="924" spans="1:44" x14ac:dyDescent="0.2">
      <c r="A924" s="2">
        <v>17112</v>
      </c>
      <c r="B924" s="4">
        <v>14907</v>
      </c>
      <c r="C924" s="2">
        <v>79637</v>
      </c>
      <c r="E924" t="s">
        <v>1145</v>
      </c>
      <c r="I924" s="15">
        <v>0.89338300000000004</v>
      </c>
      <c r="L924" s="15"/>
      <c r="AM924" s="14"/>
      <c r="AN924" s="14">
        <v>0.89338300000000004</v>
      </c>
      <c r="AO924" s="14"/>
      <c r="AP924" s="14"/>
      <c r="AQ924" s="51"/>
      <c r="AR924" s="19">
        <v>6.7361111111111108E-2</v>
      </c>
    </row>
    <row r="925" spans="1:44" x14ac:dyDescent="0.2">
      <c r="A925" s="2">
        <v>17197</v>
      </c>
      <c r="B925" s="2">
        <v>14219</v>
      </c>
      <c r="C925" s="2">
        <v>26621</v>
      </c>
      <c r="E925" t="s">
        <v>590</v>
      </c>
      <c r="I925" s="15">
        <v>1.9430000000000001</v>
      </c>
      <c r="L925" s="15"/>
      <c r="AM925" s="14"/>
      <c r="AN925" s="14">
        <v>1.905</v>
      </c>
      <c r="AO925" s="14"/>
      <c r="AP925" s="14"/>
      <c r="AQ925" s="51"/>
      <c r="AR925" s="19">
        <v>0.18541666666666667</v>
      </c>
    </row>
    <row r="926" spans="1:44" x14ac:dyDescent="0.2">
      <c r="A926" s="2">
        <v>17228</v>
      </c>
      <c r="B926" s="2">
        <v>15187</v>
      </c>
      <c r="C926" s="2">
        <v>35100</v>
      </c>
      <c r="E926" t="s">
        <v>1164</v>
      </c>
      <c r="I926" s="15">
        <v>2.1269999999999998</v>
      </c>
      <c r="L926" s="15"/>
      <c r="AM926" s="14"/>
      <c r="AN926" s="14">
        <v>2.1269999999999998</v>
      </c>
      <c r="AO926" s="14"/>
      <c r="AP926" s="14"/>
      <c r="AQ926" s="51"/>
      <c r="AR926" s="19">
        <v>8.3333333333333329E-2</v>
      </c>
    </row>
    <row r="927" spans="1:44" x14ac:dyDescent="0.2">
      <c r="A927" s="2">
        <v>17442</v>
      </c>
      <c r="B927" s="2">
        <v>15739</v>
      </c>
      <c r="C927" s="2">
        <v>3366</v>
      </c>
      <c r="E927" t="s">
        <v>1177</v>
      </c>
      <c r="I927" s="2">
        <v>14.31</v>
      </c>
      <c r="AM927" s="14"/>
      <c r="AN927" s="14">
        <v>14.31</v>
      </c>
      <c r="AO927" s="14"/>
      <c r="AP927" s="14"/>
      <c r="AQ927" s="51"/>
      <c r="AR927" s="19">
        <v>8.9583333333333334E-2</v>
      </c>
    </row>
    <row r="928" spans="1:44" x14ac:dyDescent="0.2">
      <c r="A928" s="2">
        <v>17510</v>
      </c>
      <c r="B928" s="2">
        <v>15288</v>
      </c>
      <c r="C928" s="2">
        <v>48500</v>
      </c>
      <c r="E928" t="s">
        <v>1056</v>
      </c>
      <c r="I928" s="15">
        <v>1.2809999999999999</v>
      </c>
      <c r="L928" s="15"/>
      <c r="AM928" s="14"/>
      <c r="AN928" s="14">
        <v>1.2809999999999999</v>
      </c>
      <c r="AO928" s="14"/>
      <c r="AP928" s="14"/>
      <c r="AQ928" s="51"/>
      <c r="AR928" s="19">
        <v>9.4444444444444442E-2</v>
      </c>
    </row>
    <row r="929" spans="1:44" x14ac:dyDescent="0.2">
      <c r="A929" s="2">
        <v>17525</v>
      </c>
      <c r="B929" s="2">
        <v>15361</v>
      </c>
      <c r="C929" s="2">
        <v>13661</v>
      </c>
      <c r="E929" t="s">
        <v>1191</v>
      </c>
      <c r="I929" s="15">
        <v>3.9020000000000001</v>
      </c>
      <c r="L929" s="15"/>
      <c r="AK929" s="4"/>
      <c r="AM929" s="14"/>
      <c r="AN929" s="14">
        <v>3.9020000000000001</v>
      </c>
      <c r="AO929" s="14"/>
      <c r="AP929" s="14"/>
      <c r="AQ929" s="51"/>
      <c r="AR929" s="22">
        <v>0.29166666666666669</v>
      </c>
    </row>
    <row r="930" spans="1:44" x14ac:dyDescent="0.2">
      <c r="A930" s="2">
        <v>17706</v>
      </c>
      <c r="B930" s="2">
        <v>15371</v>
      </c>
      <c r="C930" s="2">
        <v>8009</v>
      </c>
      <c r="E930" t="s">
        <v>1099</v>
      </c>
      <c r="I930" s="15">
        <v>9.6489999999999991</v>
      </c>
      <c r="L930" s="15"/>
      <c r="AM930" s="14"/>
      <c r="AN930" s="14">
        <v>9.6489999999999991</v>
      </c>
      <c r="AO930" s="14"/>
      <c r="AP930" s="14"/>
      <c r="AQ930" s="51"/>
      <c r="AR930" s="19">
        <v>0.16319444444444445</v>
      </c>
    </row>
    <row r="931" spans="1:44" x14ac:dyDescent="0.2">
      <c r="A931" s="2">
        <v>17944</v>
      </c>
      <c r="B931" s="2">
        <v>15418</v>
      </c>
      <c r="C931" s="2">
        <v>5893</v>
      </c>
      <c r="E931" t="s">
        <v>898</v>
      </c>
      <c r="I931" s="15">
        <v>7.0490000000000004</v>
      </c>
      <c r="L931" s="1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L931" s="1">
        <v>4.444</v>
      </c>
      <c r="AM931" s="14"/>
      <c r="AN931" s="14">
        <v>7.0490000000000004</v>
      </c>
      <c r="AO931" s="14"/>
      <c r="AP931" s="14"/>
      <c r="AQ931" s="51"/>
      <c r="AR931" s="19">
        <v>0.36944444444444446</v>
      </c>
    </row>
    <row r="932" spans="1:44" x14ac:dyDescent="0.2">
      <c r="A932" s="2">
        <v>17953</v>
      </c>
      <c r="B932" s="2">
        <v>15745</v>
      </c>
      <c r="C932" s="2">
        <v>35787</v>
      </c>
      <c r="E932" t="s">
        <v>1137</v>
      </c>
      <c r="I932" s="2">
        <v>1.84</v>
      </c>
      <c r="AK932" s="4"/>
      <c r="AM932" s="14"/>
      <c r="AN932" s="14">
        <v>1.84</v>
      </c>
      <c r="AO932" s="14"/>
      <c r="AP932" s="14"/>
      <c r="AQ932" s="51"/>
      <c r="AR932" s="19">
        <v>5.2777777777777778E-2</v>
      </c>
    </row>
    <row r="933" spans="1:44" x14ac:dyDescent="0.2">
      <c r="A933" s="2">
        <v>18053</v>
      </c>
      <c r="B933" s="2">
        <v>15849</v>
      </c>
      <c r="C933" s="2">
        <v>46525</v>
      </c>
      <c r="E933" t="s">
        <v>993</v>
      </c>
      <c r="I933" s="15">
        <v>1.73</v>
      </c>
      <c r="L933" s="15"/>
      <c r="AM933" s="14"/>
      <c r="AN933" s="14">
        <v>1.73</v>
      </c>
      <c r="AO933" s="14"/>
      <c r="AP933" s="14"/>
      <c r="AQ933" s="51"/>
      <c r="AR933" s="22">
        <v>3.2638888888888891E-2</v>
      </c>
    </row>
    <row r="934" spans="1:44" x14ac:dyDescent="0.2">
      <c r="A934" s="2">
        <v>18064</v>
      </c>
      <c r="B934" s="2">
        <v>16208</v>
      </c>
      <c r="C934" s="2">
        <v>25782</v>
      </c>
      <c r="E934" t="s">
        <v>836</v>
      </c>
      <c r="I934" s="15">
        <v>1.5369999999999999</v>
      </c>
      <c r="L934" s="1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L934" s="1">
        <v>2.1549999999999998</v>
      </c>
      <c r="AM934" s="14"/>
      <c r="AN934" s="14">
        <v>1.5369999999999999</v>
      </c>
      <c r="AO934" s="14"/>
      <c r="AP934" s="14"/>
      <c r="AQ934" s="51"/>
      <c r="AR934" s="19">
        <v>0.31875000000000003</v>
      </c>
    </row>
    <row r="935" spans="1:44" x14ac:dyDescent="0.2">
      <c r="A935" s="2">
        <v>18312</v>
      </c>
      <c r="B935" s="2">
        <v>16543</v>
      </c>
      <c r="C935" s="2">
        <v>50775</v>
      </c>
      <c r="E935" t="s">
        <v>790</v>
      </c>
      <c r="I935" s="15">
        <v>1.0680000000000001</v>
      </c>
      <c r="L935" s="15"/>
      <c r="AM935" s="14"/>
      <c r="AN935" s="14">
        <v>1.0680000000000001</v>
      </c>
      <c r="AO935" s="14"/>
      <c r="AP935" s="14"/>
      <c r="AQ935" s="51"/>
      <c r="AR935" s="19">
        <v>0.16180555555555556</v>
      </c>
    </row>
    <row r="936" spans="1:44" x14ac:dyDescent="0.2">
      <c r="A936" s="2">
        <v>18346</v>
      </c>
      <c r="B936" s="2">
        <v>17112</v>
      </c>
      <c r="C936" s="2">
        <v>71011</v>
      </c>
      <c r="E936" t="s">
        <v>632</v>
      </c>
      <c r="I936" s="15">
        <v>1.2130000000000001</v>
      </c>
      <c r="L936" s="15"/>
      <c r="AM936" s="14"/>
      <c r="AN936" s="14">
        <v>1.02</v>
      </c>
      <c r="AO936" s="14"/>
      <c r="AP936" s="14"/>
      <c r="AQ936" s="51"/>
      <c r="AR936" s="19">
        <v>3.4722222222222224E-2</v>
      </c>
    </row>
    <row r="937" spans="1:44" x14ac:dyDescent="0.2">
      <c r="A937" s="2">
        <v>18479</v>
      </c>
      <c r="B937" s="2">
        <v>20744</v>
      </c>
      <c r="C937" s="2">
        <v>25113</v>
      </c>
      <c r="E937" t="s">
        <v>984</v>
      </c>
      <c r="I937" s="15">
        <v>1.302</v>
      </c>
      <c r="L937" s="15"/>
      <c r="AM937" s="14"/>
      <c r="AN937" s="14">
        <v>1.302</v>
      </c>
      <c r="AO937" s="14"/>
      <c r="AP937" s="14"/>
      <c r="AQ937" s="51"/>
      <c r="AR937" s="22">
        <v>0.30486111111111108</v>
      </c>
    </row>
    <row r="938" spans="1:44" x14ac:dyDescent="0.2">
      <c r="A938" s="2">
        <v>18792</v>
      </c>
      <c r="B938" s="2">
        <v>17228</v>
      </c>
      <c r="C938" s="2">
        <v>18921</v>
      </c>
      <c r="E938" t="s">
        <v>971</v>
      </c>
      <c r="I938" s="15">
        <v>4.8689999999999998</v>
      </c>
      <c r="L938" s="15"/>
      <c r="AM938" s="14"/>
      <c r="AN938" s="14">
        <v>4.8689999999999998</v>
      </c>
      <c r="AO938" s="14"/>
      <c r="AP938" s="14"/>
      <c r="AQ938" s="51"/>
      <c r="AR938" s="22">
        <v>7.5694444444444439E-2</v>
      </c>
    </row>
    <row r="939" spans="1:44" x14ac:dyDescent="0.2">
      <c r="A939" s="2">
        <v>18873</v>
      </c>
      <c r="B939" s="2">
        <v>17442</v>
      </c>
      <c r="C939" s="2">
        <v>27066</v>
      </c>
      <c r="E939" t="s">
        <v>869</v>
      </c>
      <c r="I939" s="15">
        <v>1.9610000000000001</v>
      </c>
      <c r="L939" s="15"/>
      <c r="AM939" s="14"/>
      <c r="AN939" s="14">
        <v>1.9610000000000001</v>
      </c>
      <c r="AO939" s="14"/>
      <c r="AP939" s="14"/>
      <c r="AQ939" s="51"/>
      <c r="AR939" s="19">
        <v>0.1013888888888889</v>
      </c>
    </row>
    <row r="940" spans="1:44" x14ac:dyDescent="0.2">
      <c r="A940" s="2">
        <v>18930</v>
      </c>
      <c r="B940" s="2">
        <v>17510</v>
      </c>
      <c r="C940" s="2">
        <v>78052</v>
      </c>
      <c r="E940" t="s">
        <v>828</v>
      </c>
      <c r="I940" s="15">
        <v>0.46637099999999998</v>
      </c>
      <c r="L940" s="15"/>
      <c r="AM940" s="14"/>
      <c r="AN940" s="14">
        <v>0.46637099999999998</v>
      </c>
      <c r="AO940" s="14"/>
      <c r="AP940" s="14"/>
      <c r="AQ940" s="51"/>
      <c r="AR940" s="19">
        <v>0.54583333333333328</v>
      </c>
    </row>
    <row r="941" spans="1:44" x14ac:dyDescent="0.2">
      <c r="A941" s="2">
        <v>19800</v>
      </c>
      <c r="B941" s="2">
        <v>17525</v>
      </c>
      <c r="C941" s="2">
        <v>94773</v>
      </c>
      <c r="E941" t="s">
        <v>1079</v>
      </c>
      <c r="I941" s="15">
        <v>0.80048799999999998</v>
      </c>
      <c r="L941" s="15"/>
      <c r="AM941" s="14"/>
      <c r="AN941" s="14">
        <v>0.80048799999999998</v>
      </c>
      <c r="AO941" s="14"/>
      <c r="AP941" s="14"/>
      <c r="AQ941" s="51"/>
      <c r="AR941" s="19">
        <v>3.0555555555555555E-2</v>
      </c>
    </row>
    <row r="942" spans="1:44" x14ac:dyDescent="0.2">
      <c r="A942" s="2">
        <v>20062</v>
      </c>
      <c r="B942" s="2">
        <v>17706</v>
      </c>
      <c r="C942" s="2">
        <v>14069</v>
      </c>
      <c r="E942" t="s">
        <v>987</v>
      </c>
      <c r="I942" s="2">
        <v>4.4260000000000002</v>
      </c>
      <c r="AM942" s="14"/>
      <c r="AN942" s="14">
        <v>4.4260000000000002</v>
      </c>
      <c r="AO942" s="14"/>
      <c r="AP942" s="14"/>
      <c r="AQ942" s="51"/>
      <c r="AR942" s="19">
        <v>0.24305555555555555</v>
      </c>
    </row>
    <row r="943" spans="1:44" x14ac:dyDescent="0.2">
      <c r="A943" s="2">
        <v>20211</v>
      </c>
      <c r="B943" s="2">
        <v>17944</v>
      </c>
      <c r="C943" s="2">
        <v>19626</v>
      </c>
      <c r="E943" t="s">
        <v>1030</v>
      </c>
      <c r="I943" s="15">
        <v>2.5649999999999999</v>
      </c>
      <c r="L943" s="15"/>
      <c r="AM943" s="14"/>
      <c r="AN943" s="14">
        <v>2.5649999999999999</v>
      </c>
      <c r="AO943" s="14"/>
      <c r="AP943" s="14"/>
      <c r="AQ943" s="51"/>
      <c r="AR943" s="19">
        <v>0.12361111111111112</v>
      </c>
    </row>
    <row r="944" spans="1:44" x14ac:dyDescent="0.2">
      <c r="A944" s="2">
        <v>20271</v>
      </c>
      <c r="B944" s="2">
        <v>17953</v>
      </c>
      <c r="C944" s="2">
        <v>2052</v>
      </c>
      <c r="E944" t="s">
        <v>670</v>
      </c>
      <c r="I944" s="15">
        <v>30.34</v>
      </c>
      <c r="L944" s="15"/>
      <c r="AM944" s="14"/>
      <c r="AN944" s="14">
        <v>30.34</v>
      </c>
      <c r="AO944" s="14"/>
      <c r="AP944" s="14"/>
      <c r="AQ944" s="51"/>
      <c r="AR944" s="19">
        <v>0.17708333333333334</v>
      </c>
    </row>
    <row r="945" spans="1:44" x14ac:dyDescent="0.2">
      <c r="A945" s="2">
        <v>20397</v>
      </c>
      <c r="B945" s="2">
        <v>18053</v>
      </c>
      <c r="C945" s="2">
        <v>71452</v>
      </c>
      <c r="E945" t="s">
        <v>1076</v>
      </c>
      <c r="I945" s="15">
        <v>0.74738400000000005</v>
      </c>
      <c r="L945" s="15"/>
      <c r="AM945" s="14"/>
      <c r="AN945" s="14">
        <v>0.74738400000000005</v>
      </c>
      <c r="AO945" s="14"/>
      <c r="AP945" s="14"/>
      <c r="AQ945" s="51"/>
      <c r="AR945" s="22">
        <v>0.12986111111111112</v>
      </c>
    </row>
    <row r="946" spans="1:44" x14ac:dyDescent="0.2">
      <c r="A946" s="2">
        <v>20901</v>
      </c>
      <c r="B946" s="2">
        <v>18064</v>
      </c>
      <c r="C946" s="2">
        <v>15616</v>
      </c>
      <c r="E946" t="s">
        <v>948</v>
      </c>
      <c r="F946" t="s">
        <v>6</v>
      </c>
      <c r="H946" s="2">
        <v>50</v>
      </c>
      <c r="I946" s="15">
        <v>2.7959999999999998</v>
      </c>
      <c r="L946" s="15"/>
      <c r="AL946" s="1">
        <v>2.012</v>
      </c>
      <c r="AM946" s="14"/>
      <c r="AN946" s="14">
        <v>2.7959999999999998</v>
      </c>
      <c r="AO946" s="14"/>
      <c r="AP946" s="14"/>
      <c r="AQ946" s="51"/>
      <c r="AR946" s="19">
        <v>0.20208333333333331</v>
      </c>
    </row>
    <row r="947" spans="1:44" x14ac:dyDescent="0.2">
      <c r="A947" s="2">
        <v>21251</v>
      </c>
      <c r="B947" s="2">
        <v>18312</v>
      </c>
      <c r="C947" s="2">
        <v>69212</v>
      </c>
      <c r="E947" t="s">
        <v>1009</v>
      </c>
      <c r="I947" s="15">
        <v>0.64367399999999997</v>
      </c>
      <c r="L947" s="15"/>
      <c r="AM947" s="14"/>
      <c r="AN947" s="14">
        <v>0.64367399999999997</v>
      </c>
      <c r="AO947" s="14"/>
      <c r="AP947" s="14"/>
      <c r="AQ947" s="51"/>
      <c r="AR947" s="19">
        <v>0.21666666666666667</v>
      </c>
    </row>
    <row r="948" spans="1:44" x14ac:dyDescent="0.2">
      <c r="A948" s="2">
        <v>21998</v>
      </c>
      <c r="B948" s="2">
        <v>17811</v>
      </c>
      <c r="C948" s="2">
        <v>75891</v>
      </c>
      <c r="E948" t="s">
        <v>1142</v>
      </c>
      <c r="I948" s="15">
        <v>1.0049999999999999</v>
      </c>
      <c r="L948" s="15"/>
      <c r="AM948" s="14"/>
      <c r="AN948" s="14">
        <v>1.0049999999999999</v>
      </c>
      <c r="AO948" s="14"/>
      <c r="AP948" s="14"/>
      <c r="AQ948" s="51"/>
      <c r="AR948" s="19">
        <v>3.7499999999999999E-2</v>
      </c>
    </row>
    <row r="949" spans="1:44" x14ac:dyDescent="0.2">
      <c r="A949" s="2">
        <v>22356</v>
      </c>
      <c r="B949" s="2">
        <v>18479</v>
      </c>
      <c r="C949" s="2">
        <v>60220</v>
      </c>
      <c r="E949" t="s">
        <v>615</v>
      </c>
      <c r="I949" s="15">
        <v>0.76245099999999999</v>
      </c>
      <c r="L949" s="15"/>
      <c r="AM949" s="14"/>
      <c r="AN949" s="14">
        <v>0.83454300000000003</v>
      </c>
      <c r="AO949" s="14"/>
      <c r="AP949" s="14"/>
      <c r="AQ949" s="51"/>
      <c r="AR949" s="19">
        <v>0.17916666666666667</v>
      </c>
    </row>
    <row r="950" spans="1:44" x14ac:dyDescent="0.2">
      <c r="A950" s="2">
        <v>22376</v>
      </c>
      <c r="B950" s="2">
        <v>18792</v>
      </c>
      <c r="C950" s="2">
        <v>14353</v>
      </c>
      <c r="E950" t="s">
        <v>1125</v>
      </c>
      <c r="I950" s="15">
        <v>3.3420000000000001</v>
      </c>
      <c r="L950" s="15"/>
      <c r="AM950" s="14"/>
      <c r="AN950" s="14">
        <v>3.3420000000000001</v>
      </c>
      <c r="AO950" s="14"/>
      <c r="AP950" s="14"/>
      <c r="AQ950" s="51"/>
      <c r="AR950" s="22">
        <v>0.1423611111111111</v>
      </c>
    </row>
    <row r="951" spans="1:44" x14ac:dyDescent="0.2">
      <c r="A951" s="2">
        <v>22891</v>
      </c>
      <c r="B951" s="2">
        <v>18873</v>
      </c>
      <c r="C951" s="2">
        <v>15316</v>
      </c>
      <c r="E951" t="s">
        <v>851</v>
      </c>
      <c r="I951" s="15">
        <v>3.3330000000000002</v>
      </c>
      <c r="L951" s="15"/>
      <c r="O951" s="1">
        <f>AL951/AN951-1</f>
        <v>-0.20642064206420641</v>
      </c>
      <c r="AL951" s="1">
        <v>2.645</v>
      </c>
      <c r="AM951" s="14"/>
      <c r="AN951" s="14">
        <v>3.3330000000000002</v>
      </c>
      <c r="AO951" s="14"/>
      <c r="AP951" s="14"/>
      <c r="AQ951" s="51"/>
      <c r="AR951" s="19">
        <v>0.1361111111111111</v>
      </c>
    </row>
    <row r="952" spans="1:44" x14ac:dyDescent="0.2">
      <c r="A952" s="2">
        <v>23363</v>
      </c>
      <c r="B952" s="2">
        <v>18930</v>
      </c>
      <c r="C952" s="2">
        <v>72901</v>
      </c>
      <c r="E952" t="s">
        <v>1011</v>
      </c>
      <c r="I952" s="15">
        <v>0.82244600000000001</v>
      </c>
      <c r="L952" s="15"/>
      <c r="AM952" s="14"/>
      <c r="AN952" s="14">
        <v>0.82244600000000001</v>
      </c>
      <c r="AO952" s="14"/>
      <c r="AP952" s="14"/>
      <c r="AQ952" s="51"/>
      <c r="AR952" s="19">
        <v>8.1250000000000003E-2</v>
      </c>
    </row>
    <row r="953" spans="1:44" x14ac:dyDescent="0.2">
      <c r="A953" s="2">
        <v>23812</v>
      </c>
      <c r="B953" s="2">
        <v>19800</v>
      </c>
      <c r="C953" s="2">
        <v>52889</v>
      </c>
      <c r="E953" t="s">
        <v>583</v>
      </c>
      <c r="I953" s="15">
        <v>1.143</v>
      </c>
      <c r="L953" s="15"/>
      <c r="AM953" s="14"/>
      <c r="AN953" s="14">
        <v>0.83321299999999998</v>
      </c>
      <c r="AO953" s="14"/>
      <c r="AP953" s="14"/>
      <c r="AQ953" s="51"/>
      <c r="AR953" s="19">
        <v>0.33749999999999997</v>
      </c>
    </row>
    <row r="954" spans="1:44" x14ac:dyDescent="0.2">
      <c r="A954" s="2">
        <v>24398</v>
      </c>
      <c r="B954" s="2">
        <v>20062</v>
      </c>
      <c r="C954" s="2">
        <v>12636</v>
      </c>
      <c r="E954" t="s">
        <v>1096</v>
      </c>
      <c r="I954" s="15">
        <v>4.9509999999999996</v>
      </c>
      <c r="K954" s="15"/>
      <c r="L954" s="15"/>
      <c r="AM954" s="14"/>
      <c r="AN954" s="14">
        <v>4.9509999999999996</v>
      </c>
      <c r="AO954" s="14"/>
      <c r="AP954" s="14"/>
      <c r="AQ954" s="51"/>
      <c r="AR954" s="19">
        <v>0.17569444444444446</v>
      </c>
    </row>
    <row r="955" spans="1:44" x14ac:dyDescent="0.2">
      <c r="A955" s="2">
        <v>25334</v>
      </c>
      <c r="B955" s="2">
        <v>20211</v>
      </c>
      <c r="C955" s="2">
        <v>45197</v>
      </c>
      <c r="E955" t="s">
        <v>611</v>
      </c>
      <c r="I955" s="15">
        <v>1.218</v>
      </c>
      <c r="L955" s="15"/>
      <c r="AM955" s="14"/>
      <c r="AN955" s="14">
        <v>1.23</v>
      </c>
      <c r="AO955" s="14"/>
      <c r="AP955" s="14"/>
      <c r="AQ955" s="51"/>
      <c r="AR955" s="19">
        <v>0.47638888888888892</v>
      </c>
    </row>
    <row r="956" spans="1:44" x14ac:dyDescent="0.2">
      <c r="A956" s="2">
        <v>25984</v>
      </c>
      <c r="B956" s="2">
        <v>20331</v>
      </c>
      <c r="C956" s="2">
        <v>24090</v>
      </c>
      <c r="E956" t="s">
        <v>808</v>
      </c>
      <c r="I956" s="15">
        <v>2.9129999999999998</v>
      </c>
      <c r="L956" s="15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L956" s="1">
        <v>1.9079999999999999</v>
      </c>
      <c r="AM956" s="14"/>
      <c r="AN956" s="14">
        <v>2.9129999999999998</v>
      </c>
      <c r="AO956" s="14"/>
      <c r="AP956" s="14"/>
      <c r="AQ956" s="51"/>
      <c r="AR956" s="19">
        <v>8.1944444444444445E-2</v>
      </c>
    </row>
    <row r="957" spans="1:44" x14ac:dyDescent="0.2">
      <c r="A957" s="2">
        <v>26083</v>
      </c>
      <c r="B957" s="2">
        <v>20397</v>
      </c>
      <c r="C957" s="2">
        <v>19557</v>
      </c>
      <c r="E957" t="s">
        <v>1116</v>
      </c>
      <c r="I957" s="15">
        <v>3.0289999999999999</v>
      </c>
      <c r="L957" s="15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L957" s="1">
        <v>2.4910000000000001</v>
      </c>
      <c r="AM957" s="14"/>
      <c r="AN957" s="14">
        <v>3.0289999999999999</v>
      </c>
      <c r="AO957" s="14"/>
      <c r="AP957" s="14"/>
      <c r="AQ957" s="51"/>
      <c r="AR957" s="22">
        <v>0.11458333333333333</v>
      </c>
    </row>
    <row r="958" spans="1:44" x14ac:dyDescent="0.2">
      <c r="A958" s="2">
        <v>26211</v>
      </c>
      <c r="B958" s="2">
        <v>20901</v>
      </c>
      <c r="C958" s="2">
        <v>47275</v>
      </c>
      <c r="E958" t="s">
        <v>1212</v>
      </c>
      <c r="I958" s="14">
        <v>1.371</v>
      </c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L958" s="1">
        <v>1.3260000000000001</v>
      </c>
      <c r="AM958" s="14"/>
      <c r="AN958" s="14">
        <v>1.371</v>
      </c>
      <c r="AO958" s="14"/>
      <c r="AP958" s="14"/>
      <c r="AQ958" s="51"/>
      <c r="AR958" s="19">
        <v>0.12361111111111112</v>
      </c>
    </row>
    <row r="959" spans="1:44" x14ac:dyDescent="0.2">
      <c r="A959" s="2">
        <v>26323</v>
      </c>
      <c r="B959" s="2">
        <v>21251</v>
      </c>
      <c r="C959" s="2">
        <v>46851</v>
      </c>
      <c r="E959" t="s">
        <v>995</v>
      </c>
      <c r="I959" s="15">
        <v>0.93803700000000001</v>
      </c>
      <c r="L959" s="15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L959" s="1">
        <v>1.151</v>
      </c>
      <c r="AM959" s="14"/>
      <c r="AN959" s="14">
        <v>0.93803700000000001</v>
      </c>
      <c r="AO959" s="14"/>
      <c r="AP959" s="14"/>
      <c r="AQ959" s="51"/>
      <c r="AR959" s="19">
        <v>0.23333333333333331</v>
      </c>
    </row>
    <row r="960" spans="1:44" x14ac:dyDescent="0.2">
      <c r="A960" s="2">
        <v>26693</v>
      </c>
      <c r="B960" s="2">
        <v>21998</v>
      </c>
      <c r="C960" s="2">
        <v>24558</v>
      </c>
      <c r="E960" t="s">
        <v>1128</v>
      </c>
      <c r="I960" s="15">
        <v>2.6469999999999998</v>
      </c>
      <c r="L960" s="15"/>
      <c r="AM960" s="14"/>
      <c r="AN960" s="14">
        <v>2.6469999999999998</v>
      </c>
      <c r="AO960" s="14"/>
      <c r="AP960" s="14"/>
      <c r="AQ960" s="51"/>
      <c r="AR960" s="22">
        <v>0.15763888888888888</v>
      </c>
    </row>
    <row r="961" spans="1:44" x14ac:dyDescent="0.2">
      <c r="B961" s="2">
        <v>26530</v>
      </c>
      <c r="C961" s="2">
        <v>6841</v>
      </c>
      <c r="E961" t="s">
        <v>1248</v>
      </c>
      <c r="I961" s="15"/>
      <c r="L961" s="15"/>
      <c r="AL961" s="1">
        <v>7.9820000000000002</v>
      </c>
      <c r="AM961" s="14"/>
      <c r="AN961" s="14"/>
      <c r="AO961" s="14"/>
      <c r="AP961" s="14"/>
      <c r="AQ961" s="51"/>
      <c r="AR961" s="22"/>
    </row>
    <row r="962" spans="1:44" x14ac:dyDescent="0.2">
      <c r="A962" s="2">
        <v>26826</v>
      </c>
      <c r="B962" s="2">
        <v>22376</v>
      </c>
      <c r="C962" s="2">
        <v>42719</v>
      </c>
      <c r="E962" t="s">
        <v>827</v>
      </c>
      <c r="I962" s="15">
        <v>1.3540000000000001</v>
      </c>
      <c r="L962" s="15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L962" s="14">
        <v>0.77548799999999996</v>
      </c>
      <c r="AM962" s="14"/>
      <c r="AN962" s="14">
        <v>1.3540000000000001</v>
      </c>
      <c r="AO962" s="14"/>
      <c r="AP962" s="14"/>
      <c r="AQ962" s="51"/>
      <c r="AR962" s="19">
        <v>0.1277777777777778</v>
      </c>
    </row>
    <row r="963" spans="1:44" x14ac:dyDescent="0.2">
      <c r="B963" s="2">
        <v>22891</v>
      </c>
      <c r="E963" t="s">
        <v>1249</v>
      </c>
      <c r="I963" s="15"/>
      <c r="L963" s="15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L963" s="14"/>
      <c r="AM963" s="14"/>
      <c r="AN963" s="14">
        <v>14.21</v>
      </c>
      <c r="AO963" s="14"/>
      <c r="AP963" s="14"/>
      <c r="AQ963" s="51"/>
      <c r="AR963" s="19"/>
    </row>
    <row r="964" spans="1:44" x14ac:dyDescent="0.2">
      <c r="A964" s="2">
        <v>27230</v>
      </c>
      <c r="B964" s="2">
        <v>23363</v>
      </c>
      <c r="C964" s="2">
        <v>22448</v>
      </c>
      <c r="E964" t="s">
        <v>1117</v>
      </c>
      <c r="I964" s="15">
        <v>2.8860000000000001</v>
      </c>
      <c r="L964" s="15"/>
      <c r="AM964" s="14"/>
      <c r="AN964" s="14">
        <v>2.8860000000000001</v>
      </c>
      <c r="AO964" s="14"/>
      <c r="AP964" s="14"/>
      <c r="AQ964" s="51"/>
      <c r="AR964" s="22">
        <v>0.2076388888888889</v>
      </c>
    </row>
    <row r="965" spans="1:44" x14ac:dyDescent="0.2">
      <c r="A965" s="2">
        <v>27488</v>
      </c>
      <c r="B965" s="2">
        <v>21671</v>
      </c>
      <c r="C965" s="2">
        <v>64015</v>
      </c>
      <c r="E965" t="s">
        <v>1039</v>
      </c>
      <c r="I965" s="15">
        <v>0.93698099999999995</v>
      </c>
      <c r="L965" s="15"/>
      <c r="AM965" s="14"/>
      <c r="AN965" s="14">
        <v>0.93698099999999995</v>
      </c>
      <c r="AO965" s="14"/>
      <c r="AP965" s="14"/>
      <c r="AQ965" s="51"/>
      <c r="AR965" s="19">
        <v>6.458333333333334E-2</v>
      </c>
    </row>
    <row r="966" spans="1:44" x14ac:dyDescent="0.2">
      <c r="A966" s="2">
        <v>27798</v>
      </c>
      <c r="B966" s="2">
        <v>24398</v>
      </c>
      <c r="C966" s="2">
        <v>58522</v>
      </c>
      <c r="E966" t="s">
        <v>1160</v>
      </c>
      <c r="I966" s="15">
        <v>0.62439100000000003</v>
      </c>
      <c r="L966" s="15"/>
      <c r="AM966" s="14"/>
      <c r="AN966" s="14">
        <v>0.62439100000000003</v>
      </c>
      <c r="AO966" s="14"/>
      <c r="AP966" s="14"/>
      <c r="AQ966" s="51"/>
      <c r="AR966" s="19">
        <v>0.27013888888888887</v>
      </c>
    </row>
    <row r="967" spans="1:44" x14ac:dyDescent="0.2">
      <c r="B967" s="2">
        <v>25457</v>
      </c>
      <c r="E967" t="s">
        <v>1250</v>
      </c>
      <c r="I967" s="15"/>
      <c r="L967" s="15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L967" s="1">
        <v>2.9209999999999998</v>
      </c>
      <c r="AM967" s="14"/>
      <c r="AN967" s="14">
        <v>0</v>
      </c>
      <c r="AO967" s="14"/>
      <c r="AP967" s="14"/>
      <c r="AQ967" s="51"/>
      <c r="AR967" s="19"/>
    </row>
    <row r="968" spans="1:44" x14ac:dyDescent="0.2">
      <c r="A968" s="2">
        <v>27944</v>
      </c>
      <c r="B968" s="2">
        <v>25984</v>
      </c>
      <c r="C968" s="2">
        <v>33877</v>
      </c>
      <c r="E968" t="s">
        <v>797</v>
      </c>
      <c r="F968" t="s">
        <v>798</v>
      </c>
      <c r="H968" s="2">
        <v>4000</v>
      </c>
      <c r="I968" s="15">
        <v>1.9219999999999999</v>
      </c>
      <c r="L968" s="15"/>
      <c r="AL968" s="1">
        <v>0.28724699999999997</v>
      </c>
      <c r="AM968" s="14"/>
      <c r="AN968" s="14">
        <v>1.9219999999999999</v>
      </c>
      <c r="AO968" s="14"/>
      <c r="AP968" s="14"/>
      <c r="AQ968" s="51"/>
      <c r="AR968" s="19">
        <v>0.27152777777777776</v>
      </c>
    </row>
    <row r="969" spans="1:44" x14ac:dyDescent="0.2">
      <c r="A969" s="2">
        <v>28125</v>
      </c>
      <c r="B969" s="2">
        <v>26083</v>
      </c>
      <c r="C969" s="2">
        <v>43863</v>
      </c>
      <c r="E969" t="s">
        <v>965</v>
      </c>
      <c r="I969" s="15">
        <v>1.8029999999999999</v>
      </c>
      <c r="L969" s="15"/>
      <c r="AM969" s="14"/>
      <c r="AN969" s="14">
        <v>1.8029999999999999</v>
      </c>
      <c r="AO969" s="14"/>
      <c r="AP969" s="14"/>
      <c r="AQ969" s="51"/>
      <c r="AR969" s="19">
        <v>0.13958333333333334</v>
      </c>
    </row>
    <row r="970" spans="1:44" x14ac:dyDescent="0.2">
      <c r="A970" s="2">
        <v>28394</v>
      </c>
      <c r="B970" s="2">
        <v>26211</v>
      </c>
      <c r="C970" s="2">
        <v>51991</v>
      </c>
      <c r="E970" t="s">
        <v>1181</v>
      </c>
      <c r="I970" s="15">
        <v>1.3440000000000001</v>
      </c>
      <c r="L970" s="15"/>
      <c r="AM970" s="14"/>
      <c r="AN970" s="14">
        <v>1.3440000000000001</v>
      </c>
      <c r="AO970" s="14"/>
      <c r="AP970" s="14"/>
      <c r="AQ970" s="51"/>
      <c r="AR970" s="22">
        <v>7.9861111111111105E-2</v>
      </c>
    </row>
    <row r="971" spans="1:44" x14ac:dyDescent="0.2">
      <c r="A971" s="2">
        <v>28538</v>
      </c>
      <c r="B971" s="2">
        <v>26323</v>
      </c>
      <c r="C971" s="2">
        <v>25651</v>
      </c>
      <c r="E971" t="s">
        <v>1103</v>
      </c>
      <c r="I971" s="15">
        <v>2.145</v>
      </c>
      <c r="L971" s="15"/>
      <c r="AM971" s="14"/>
      <c r="AN971" s="14">
        <v>2.145</v>
      </c>
      <c r="AO971" s="14"/>
      <c r="AP971" s="14"/>
      <c r="AQ971" s="51"/>
      <c r="AR971" s="19">
        <v>0.17083333333333331</v>
      </c>
    </row>
    <row r="972" spans="1:44" x14ac:dyDescent="0.2">
      <c r="A972" s="2">
        <v>28879</v>
      </c>
      <c r="B972" s="2">
        <v>26693</v>
      </c>
      <c r="C972" s="2">
        <v>28464</v>
      </c>
      <c r="E972" t="s">
        <v>871</v>
      </c>
      <c r="I972" s="15">
        <v>1.9510000000000001</v>
      </c>
      <c r="L972" s="15"/>
      <c r="AM972" s="14"/>
      <c r="AN972" s="14">
        <v>1.9510000000000001</v>
      </c>
      <c r="AO972" s="14"/>
      <c r="AP972" s="14"/>
      <c r="AQ972" s="51"/>
      <c r="AR972" s="19">
        <v>0.14652777777777778</v>
      </c>
    </row>
    <row r="973" spans="1:44" x14ac:dyDescent="0.2">
      <c r="A973" s="2">
        <v>29115</v>
      </c>
      <c r="C973" s="2">
        <v>125709</v>
      </c>
      <c r="E973" t="s">
        <v>1143</v>
      </c>
      <c r="I973" s="15">
        <v>0.58443599999999996</v>
      </c>
      <c r="L973" s="15"/>
      <c r="AM973" s="14"/>
      <c r="AN973" s="14">
        <v>0.58443599999999996</v>
      </c>
      <c r="AO973" s="14"/>
      <c r="AP973" s="14"/>
      <c r="AQ973" s="51"/>
      <c r="AR973" s="19">
        <v>2.9166666666666664E-2</v>
      </c>
    </row>
    <row r="974" spans="1:44" x14ac:dyDescent="0.2">
      <c r="A974" s="2">
        <v>29148</v>
      </c>
      <c r="B974" s="2">
        <v>26826</v>
      </c>
      <c r="C974" s="2">
        <v>53655</v>
      </c>
      <c r="E974" t="s">
        <v>862</v>
      </c>
      <c r="I974" s="15">
        <v>1.0249999999999999</v>
      </c>
      <c r="L974" s="15"/>
      <c r="AM974" s="14"/>
      <c r="AN974" s="14">
        <v>1.0249999999999999</v>
      </c>
      <c r="AO974" s="14"/>
      <c r="AP974" s="14"/>
      <c r="AQ974" s="51"/>
      <c r="AR974" s="22">
        <v>0.11805555555555557</v>
      </c>
    </row>
    <row r="975" spans="1:44" x14ac:dyDescent="0.2">
      <c r="A975" s="2">
        <v>30286</v>
      </c>
      <c r="C975" s="2">
        <v>42126</v>
      </c>
      <c r="E975" t="s">
        <v>1010</v>
      </c>
      <c r="I975" s="15">
        <v>1.387</v>
      </c>
      <c r="L975" s="15"/>
      <c r="AM975" s="14"/>
      <c r="AN975" s="14">
        <v>1.387</v>
      </c>
      <c r="AO975" s="14"/>
      <c r="AP975" s="14"/>
      <c r="AQ975" s="51"/>
      <c r="AR975" s="19">
        <v>0.1173611111111111</v>
      </c>
    </row>
    <row r="976" spans="1:44" x14ac:dyDescent="0.2">
      <c r="A976" s="2">
        <v>30929</v>
      </c>
      <c r="B976" s="2">
        <v>27230</v>
      </c>
      <c r="C976" s="2">
        <v>71965</v>
      </c>
      <c r="E976" t="s">
        <v>573</v>
      </c>
      <c r="I976" s="15">
        <v>0.75358099999999995</v>
      </c>
      <c r="L976" s="15"/>
      <c r="AM976" s="14"/>
      <c r="AN976" s="14">
        <v>0.75358099999999995</v>
      </c>
      <c r="AO976" s="14"/>
      <c r="AP976" s="14"/>
      <c r="AQ976" s="51"/>
      <c r="AR976" s="19">
        <v>5.4166666666666669E-2</v>
      </c>
    </row>
    <row r="977" spans="1:45" x14ac:dyDescent="0.2">
      <c r="A977" s="2">
        <v>32082</v>
      </c>
      <c r="B977" s="2">
        <v>27488</v>
      </c>
      <c r="C977" s="2">
        <v>81464</v>
      </c>
      <c r="E977" t="s">
        <v>1012</v>
      </c>
      <c r="I977" s="15">
        <v>0.72070299999999998</v>
      </c>
      <c r="L977" s="15"/>
      <c r="AM977" s="14"/>
      <c r="AN977" s="14">
        <v>0.72070299999999998</v>
      </c>
      <c r="AO977" s="14"/>
      <c r="AP977" s="14"/>
      <c r="AQ977" s="51"/>
      <c r="AR977" s="19">
        <v>0.11041666666666666</v>
      </c>
    </row>
    <row r="978" spans="1:45" x14ac:dyDescent="0.2">
      <c r="A978" s="2">
        <v>32200</v>
      </c>
      <c r="B978" s="2">
        <v>27798</v>
      </c>
      <c r="C978" s="2">
        <v>32089</v>
      </c>
      <c r="E978" t="s">
        <v>972</v>
      </c>
      <c r="I978" s="15">
        <v>2.7610000000000001</v>
      </c>
      <c r="L978" s="15"/>
      <c r="AM978" s="14"/>
      <c r="AN978" s="14">
        <v>2.7610000000000001</v>
      </c>
      <c r="AO978" s="14"/>
      <c r="AP978" s="14"/>
      <c r="AQ978" s="51"/>
      <c r="AR978" s="22">
        <v>5.6250000000000001E-2</v>
      </c>
    </row>
    <row r="979" spans="1:45" x14ac:dyDescent="0.2">
      <c r="A979" s="2">
        <v>32363</v>
      </c>
      <c r="C979" s="2">
        <v>60520</v>
      </c>
      <c r="E979" t="s">
        <v>1045</v>
      </c>
      <c r="I979" s="15">
        <v>0.98753800000000003</v>
      </c>
      <c r="L979" s="15"/>
      <c r="AM979" s="14"/>
      <c r="AN979" s="14">
        <v>0.98753800000000003</v>
      </c>
      <c r="AO979" s="14"/>
      <c r="AP979" s="14"/>
      <c r="AQ979" s="51"/>
      <c r="AR979" s="19">
        <v>6.9444444444444434E-2</v>
      </c>
    </row>
    <row r="980" spans="1:45" x14ac:dyDescent="0.2">
      <c r="A980" s="2">
        <v>32417</v>
      </c>
      <c r="B980" s="2">
        <v>27944</v>
      </c>
      <c r="C980" s="2">
        <v>74686</v>
      </c>
      <c r="E980" t="s">
        <v>568</v>
      </c>
      <c r="I980" s="15">
        <v>0.789879</v>
      </c>
      <c r="J980" s="15">
        <v>2.7129E-2</v>
      </c>
      <c r="K980" s="16">
        <v>1.7961999999999999E-2</v>
      </c>
      <c r="L980" s="15">
        <v>0.16023499999999999</v>
      </c>
      <c r="AL980" s="1">
        <v>0.77525200000000005</v>
      </c>
      <c r="AM980" s="14"/>
      <c r="AN980" s="14">
        <v>0.74199700000000002</v>
      </c>
      <c r="AO980" s="14"/>
      <c r="AP980" s="14"/>
      <c r="AQ980" s="51"/>
      <c r="AR980" s="19">
        <v>0.1763888888888889</v>
      </c>
    </row>
    <row r="981" spans="1:45" x14ac:dyDescent="0.2">
      <c r="A981" s="2">
        <v>34025</v>
      </c>
      <c r="B981" s="2">
        <v>28125</v>
      </c>
      <c r="C981" s="2">
        <v>44526</v>
      </c>
      <c r="E981" t="s">
        <v>1090</v>
      </c>
      <c r="I981" s="15">
        <v>1.7010000000000001</v>
      </c>
      <c r="L981" s="15"/>
      <c r="AM981" s="14"/>
      <c r="AN981" s="14">
        <v>1.7010000000000001</v>
      </c>
      <c r="AO981" s="14"/>
      <c r="AP981" s="14"/>
      <c r="AQ981" s="51"/>
      <c r="AR981" s="22">
        <v>4.5833333333333337E-2</v>
      </c>
    </row>
    <row r="982" spans="1:45" x14ac:dyDescent="0.2">
      <c r="A982" s="2">
        <v>34307</v>
      </c>
      <c r="B982" s="2">
        <v>28394</v>
      </c>
      <c r="C982" s="2">
        <v>96734</v>
      </c>
      <c r="E982" t="s">
        <v>991</v>
      </c>
      <c r="I982" s="15">
        <v>0.46610499999999999</v>
      </c>
      <c r="L982" s="15"/>
      <c r="AM982" s="14"/>
      <c r="AN982" s="14">
        <v>0.46610499999999999</v>
      </c>
      <c r="AO982" s="14"/>
      <c r="AP982" s="14"/>
      <c r="AQ982" s="51"/>
      <c r="AR982" s="22">
        <v>0.16041666666666668</v>
      </c>
    </row>
    <row r="983" spans="1:45" x14ac:dyDescent="0.2">
      <c r="A983" s="2">
        <v>34646</v>
      </c>
      <c r="B983" s="2">
        <v>28538</v>
      </c>
      <c r="C983" s="2">
        <v>20101</v>
      </c>
      <c r="E983" t="s">
        <v>1019</v>
      </c>
      <c r="I983" s="15">
        <v>2.1360000000000001</v>
      </c>
      <c r="L983" s="15"/>
      <c r="AM983" s="14"/>
      <c r="AN983" s="14">
        <v>2.1360000000000001</v>
      </c>
      <c r="AO983" s="14"/>
      <c r="AP983" s="14"/>
      <c r="AQ983" s="51"/>
      <c r="AR983" s="19">
        <v>0.20069444444444443</v>
      </c>
    </row>
    <row r="984" spans="1:45" x14ac:dyDescent="0.2">
      <c r="A984" s="2">
        <v>35088</v>
      </c>
      <c r="B984" s="2">
        <v>28879</v>
      </c>
      <c r="C984" s="2">
        <v>50232</v>
      </c>
      <c r="E984" t="s">
        <v>838</v>
      </c>
      <c r="I984" s="15">
        <v>1.163</v>
      </c>
      <c r="L984" s="15"/>
      <c r="AM984" s="14"/>
      <c r="AN984" s="14">
        <v>1.163</v>
      </c>
      <c r="AO984" s="14"/>
      <c r="AP984" s="14"/>
      <c r="AQ984" s="51"/>
      <c r="AR984" s="19">
        <v>0.1388888888888889</v>
      </c>
    </row>
    <row r="985" spans="1:45" x14ac:dyDescent="0.2">
      <c r="A985" s="2">
        <v>35137</v>
      </c>
      <c r="B985" s="2">
        <v>29115</v>
      </c>
      <c r="C985" s="2">
        <v>71605</v>
      </c>
      <c r="E985" t="s">
        <v>937</v>
      </c>
      <c r="I985" s="15">
        <v>0.80907300000000004</v>
      </c>
      <c r="L985" s="15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L985" s="1">
        <v>0.46458500000000003</v>
      </c>
      <c r="AM985" s="14"/>
      <c r="AN985" s="14">
        <v>0.80907300000000004</v>
      </c>
      <c r="AO985" s="14"/>
      <c r="AP985" s="14"/>
      <c r="AQ985" s="51"/>
      <c r="AR985" s="19">
        <v>0.12291666666666667</v>
      </c>
    </row>
    <row r="986" spans="1:45" x14ac:dyDescent="0.2">
      <c r="A986" s="2">
        <v>35336</v>
      </c>
      <c r="B986" s="2">
        <v>29148</v>
      </c>
      <c r="C986" s="2">
        <v>84797</v>
      </c>
      <c r="E986" t="s">
        <v>817</v>
      </c>
      <c r="I986" s="15">
        <v>0.75510100000000002</v>
      </c>
      <c r="L986" s="15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L986" s="1">
        <v>0.59559099999999998</v>
      </c>
      <c r="AM986" s="14"/>
      <c r="AN986" s="14">
        <v>0.75510100000000002</v>
      </c>
      <c r="AO986" s="14"/>
      <c r="AP986" s="14"/>
      <c r="AQ986" s="51"/>
      <c r="AR986" s="19">
        <v>7.3611111111111113E-2</v>
      </c>
    </row>
    <row r="987" spans="1:45" x14ac:dyDescent="0.2">
      <c r="A987" s="2">
        <v>36040</v>
      </c>
      <c r="B987" s="2">
        <v>30286</v>
      </c>
      <c r="C987" s="2">
        <v>129720</v>
      </c>
      <c r="E987" t="s">
        <v>374</v>
      </c>
      <c r="AJ987" s="2">
        <v>0.49841400000000002</v>
      </c>
      <c r="AK987" s="2" t="s">
        <v>773</v>
      </c>
      <c r="AL987" s="2" t="s">
        <v>773</v>
      </c>
      <c r="AM987" s="14" t="s">
        <v>773</v>
      </c>
      <c r="AN987" s="14" t="s">
        <v>773</v>
      </c>
      <c r="AO987" s="14" t="s">
        <v>773</v>
      </c>
      <c r="AP987" s="14" t="s">
        <v>773</v>
      </c>
      <c r="AQ987" s="57" t="s">
        <v>773</v>
      </c>
      <c r="AR987" s="19">
        <v>2.7083333333333334E-2</v>
      </c>
      <c r="AS987" s="8">
        <f>(39/60)*AJ987</f>
        <v>0.32396910000000001</v>
      </c>
    </row>
    <row r="988" spans="1:45" x14ac:dyDescent="0.2">
      <c r="A988" s="2">
        <v>36761</v>
      </c>
      <c r="B988" s="2">
        <v>33173</v>
      </c>
      <c r="C988" s="2">
        <v>24646</v>
      </c>
      <c r="E988" t="s">
        <v>1146</v>
      </c>
      <c r="I988" s="15">
        <v>3.6629999999999998</v>
      </c>
      <c r="L988" s="15"/>
      <c r="AM988" s="14"/>
      <c r="AN988" s="14">
        <v>3.6629999999999998</v>
      </c>
      <c r="AO988" s="14"/>
      <c r="AP988" s="14"/>
      <c r="AQ988" s="51"/>
      <c r="AR988" s="19">
        <v>0.15</v>
      </c>
    </row>
    <row r="989" spans="1:45" x14ac:dyDescent="0.2">
      <c r="A989" s="2">
        <v>36807</v>
      </c>
      <c r="B989" s="2">
        <v>32082</v>
      </c>
      <c r="C989" s="2">
        <v>91588</v>
      </c>
      <c r="E989" t="s">
        <v>1102</v>
      </c>
      <c r="I989" s="15">
        <v>0.813168</v>
      </c>
      <c r="L989" s="15"/>
      <c r="AM989" s="14"/>
      <c r="AN989" s="14">
        <v>0.813168</v>
      </c>
      <c r="AO989" s="14"/>
      <c r="AP989" s="14"/>
      <c r="AQ989" s="51"/>
      <c r="AR989" s="19">
        <v>9.7222222222222224E-2</v>
      </c>
    </row>
    <row r="990" spans="1:45" x14ac:dyDescent="0.2">
      <c r="A990" s="2">
        <v>37029</v>
      </c>
      <c r="B990" s="2">
        <v>32200</v>
      </c>
      <c r="C990" s="2">
        <v>109343</v>
      </c>
      <c r="E990" t="s">
        <v>785</v>
      </c>
      <c r="I990" s="15">
        <v>0.49878899999999998</v>
      </c>
      <c r="L990" s="15"/>
      <c r="AM990" s="14"/>
      <c r="AN990" s="14">
        <v>0.49878899999999998</v>
      </c>
      <c r="AO990" s="14"/>
      <c r="AP990" s="14"/>
      <c r="AQ990" s="51"/>
      <c r="AR990" s="19">
        <v>7.0833333333333331E-2</v>
      </c>
    </row>
    <row r="991" spans="1:45" x14ac:dyDescent="0.2">
      <c r="A991" s="2">
        <v>37666</v>
      </c>
      <c r="B991" s="2">
        <v>32363</v>
      </c>
      <c r="C991" s="2">
        <v>61277</v>
      </c>
      <c r="E991" t="s">
        <v>859</v>
      </c>
      <c r="I991" s="15">
        <v>0.80319799999999997</v>
      </c>
      <c r="L991" s="15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L991" s="14">
        <v>0.5605</v>
      </c>
      <c r="AM991" s="14"/>
      <c r="AN991" s="14">
        <v>0.80319799999999997</v>
      </c>
      <c r="AO991" s="14"/>
      <c r="AP991" s="14"/>
      <c r="AQ991" s="51"/>
      <c r="AR991" s="19">
        <v>0.17986111111111111</v>
      </c>
    </row>
    <row r="992" spans="1:45" x14ac:dyDescent="0.2">
      <c r="A992" s="2">
        <v>38293</v>
      </c>
      <c r="B992" s="2">
        <v>26164</v>
      </c>
      <c r="C992" s="2">
        <v>17261</v>
      </c>
      <c r="E992" t="s">
        <v>1025</v>
      </c>
      <c r="I992" s="15">
        <v>2.7839999999999998</v>
      </c>
      <c r="L992" s="15"/>
      <c r="AL992" s="14"/>
      <c r="AM992" s="14"/>
      <c r="AN992" s="14">
        <v>2.7839999999999998</v>
      </c>
      <c r="AO992" s="14"/>
      <c r="AP992" s="14"/>
      <c r="AQ992" s="51"/>
      <c r="AR992" s="19">
        <v>0.17152777777777775</v>
      </c>
    </row>
    <row r="993" spans="1:44" x14ac:dyDescent="0.2">
      <c r="A993" s="2">
        <v>38983</v>
      </c>
      <c r="B993" s="2">
        <v>34025</v>
      </c>
      <c r="C993" s="2">
        <v>41040</v>
      </c>
      <c r="E993" t="s">
        <v>1107</v>
      </c>
      <c r="I993" s="15">
        <v>0.95647000000000004</v>
      </c>
      <c r="L993" s="15"/>
      <c r="AL993" s="14"/>
      <c r="AM993" s="14"/>
      <c r="AN993" s="14">
        <v>0.95647000000000004</v>
      </c>
      <c r="AO993" s="14"/>
      <c r="AP993" s="14"/>
      <c r="AQ993" s="51"/>
      <c r="AR993" s="19">
        <v>0.25</v>
      </c>
    </row>
    <row r="994" spans="1:44" x14ac:dyDescent="0.2">
      <c r="A994" s="2">
        <v>40124</v>
      </c>
      <c r="B994" s="2">
        <v>34307</v>
      </c>
      <c r="C994" s="2">
        <v>37519</v>
      </c>
      <c r="E994" t="s">
        <v>1036</v>
      </c>
      <c r="I994" s="15">
        <v>1.4039999999999999</v>
      </c>
      <c r="L994" s="15"/>
      <c r="AL994" s="14"/>
      <c r="AM994" s="14"/>
      <c r="AN994" s="14">
        <v>1.4039999999999999</v>
      </c>
      <c r="AO994" s="14"/>
      <c r="AP994" s="14"/>
      <c r="AQ994" s="51"/>
      <c r="AR994" s="19">
        <v>0.27013888888888887</v>
      </c>
    </row>
    <row r="995" spans="1:44" x14ac:dyDescent="0.2">
      <c r="A995" s="2">
        <v>41697</v>
      </c>
      <c r="B995" s="2">
        <v>34646</v>
      </c>
      <c r="C995" s="2">
        <v>69247</v>
      </c>
      <c r="E995" t="s">
        <v>1037</v>
      </c>
      <c r="I995" s="15">
        <v>0.939438</v>
      </c>
      <c r="L995" s="15"/>
      <c r="AL995" s="14"/>
      <c r="AM995" s="14"/>
      <c r="AN995" s="14">
        <v>0.939438</v>
      </c>
      <c r="AO995" s="14"/>
      <c r="AP995" s="14"/>
      <c r="AQ995" s="51"/>
      <c r="AR995" s="19">
        <v>6.0416666666666667E-2</v>
      </c>
    </row>
    <row r="996" spans="1:44" x14ac:dyDescent="0.2">
      <c r="A996" s="2">
        <v>42170</v>
      </c>
      <c r="B996" s="2">
        <v>35088</v>
      </c>
      <c r="C996" s="2">
        <v>43294</v>
      </c>
      <c r="E996" t="s">
        <v>1148</v>
      </c>
      <c r="I996" s="15">
        <v>1.6140000000000001</v>
      </c>
      <c r="L996" s="15"/>
      <c r="AL996" s="14"/>
      <c r="AM996" s="14"/>
      <c r="AN996" s="14">
        <v>1.6140000000000001</v>
      </c>
      <c r="AO996" s="14"/>
      <c r="AP996" s="14"/>
      <c r="AQ996" s="51"/>
      <c r="AR996" s="19">
        <v>0.1763888888888889</v>
      </c>
    </row>
    <row r="997" spans="1:44" x14ac:dyDescent="0.2">
      <c r="A997" s="2">
        <v>42270</v>
      </c>
      <c r="B997" s="2">
        <v>35137</v>
      </c>
      <c r="C997" s="2">
        <v>132544</v>
      </c>
      <c r="E997" t="s">
        <v>1026</v>
      </c>
      <c r="I997" s="15">
        <v>0.34871999999999997</v>
      </c>
      <c r="L997" s="15"/>
      <c r="AL997" s="14"/>
      <c r="AM997" s="14"/>
      <c r="AN997" s="14">
        <v>0.34871999999999997</v>
      </c>
      <c r="AO997" s="14"/>
      <c r="AP997" s="14"/>
      <c r="AQ997" s="51"/>
      <c r="AR997" s="19">
        <v>0.1277777777777778</v>
      </c>
    </row>
    <row r="998" spans="1:44" x14ac:dyDescent="0.2">
      <c r="A998" s="2">
        <v>46675</v>
      </c>
      <c r="B998" s="2">
        <v>35336</v>
      </c>
      <c r="C998" s="2">
        <v>33418</v>
      </c>
      <c r="E998" t="s">
        <v>837</v>
      </c>
      <c r="I998" s="15">
        <v>1.7669999999999999</v>
      </c>
      <c r="L998" s="15"/>
      <c r="AL998" s="14"/>
      <c r="AM998" s="14"/>
      <c r="AN998" s="14">
        <v>1.7669999999999999</v>
      </c>
      <c r="AO998" s="14"/>
      <c r="AP998" s="14"/>
      <c r="AQ998" s="51"/>
      <c r="AR998" s="19">
        <v>0.13194444444444445</v>
      </c>
    </row>
    <row r="999" spans="1:44" x14ac:dyDescent="0.2">
      <c r="A999" s="2">
        <v>47038</v>
      </c>
      <c r="B999" s="2">
        <v>472</v>
      </c>
      <c r="C999" s="2">
        <v>56427</v>
      </c>
      <c r="E999" t="s">
        <v>1041</v>
      </c>
      <c r="I999" s="15">
        <v>0.88661800000000002</v>
      </c>
      <c r="L999" s="15"/>
      <c r="AL999" s="14"/>
      <c r="AM999" s="14"/>
      <c r="AN999" s="14">
        <v>0.88661800000000002</v>
      </c>
      <c r="AO999" s="14"/>
      <c r="AP999" s="14"/>
      <c r="AQ999" s="51"/>
      <c r="AR999" s="19">
        <v>0.11388888888888889</v>
      </c>
    </row>
    <row r="1000" spans="1:44" x14ac:dyDescent="0.2">
      <c r="A1000" s="2">
        <v>48169</v>
      </c>
      <c r="B1000" s="2">
        <v>36761</v>
      </c>
      <c r="C1000" s="2">
        <v>150491</v>
      </c>
      <c r="E1000" t="s">
        <v>1130</v>
      </c>
      <c r="I1000" s="15">
        <v>0.288435</v>
      </c>
      <c r="L1000" s="15"/>
      <c r="AL1000" s="14"/>
      <c r="AM1000" s="14"/>
      <c r="AN1000" s="14">
        <v>0.288435</v>
      </c>
      <c r="AO1000" s="14"/>
      <c r="AP1000" s="14"/>
      <c r="AQ1000" s="51"/>
      <c r="AR1000" s="19">
        <v>0.47569444444444442</v>
      </c>
    </row>
    <row r="1001" spans="1:44" x14ac:dyDescent="0.2">
      <c r="A1001" s="2">
        <v>48750</v>
      </c>
      <c r="B1001" s="2">
        <v>36807</v>
      </c>
      <c r="C1001" s="2">
        <v>56854</v>
      </c>
      <c r="E1001" t="s">
        <v>1017</v>
      </c>
      <c r="I1001" s="15">
        <v>0.75953000000000004</v>
      </c>
      <c r="L1001" s="15"/>
      <c r="AL1001" s="14"/>
      <c r="AM1001" s="14"/>
      <c r="AN1001" s="14">
        <v>0.75953000000000004</v>
      </c>
      <c r="AO1001" s="14"/>
      <c r="AP1001" s="14"/>
      <c r="AQ1001" s="51"/>
      <c r="AR1001" s="19">
        <v>0.14305555555555557</v>
      </c>
    </row>
    <row r="1002" spans="1:44" x14ac:dyDescent="0.2">
      <c r="A1002" s="2">
        <v>48972</v>
      </c>
      <c r="B1002" s="2">
        <v>37029</v>
      </c>
      <c r="C1002" s="2">
        <v>108759</v>
      </c>
      <c r="E1002" t="s">
        <v>913</v>
      </c>
      <c r="I1002" s="15">
        <v>0.522698</v>
      </c>
      <c r="L1002" s="15"/>
      <c r="AL1002" s="14"/>
      <c r="AM1002" s="14"/>
      <c r="AN1002" s="14">
        <v>0.522698</v>
      </c>
      <c r="AO1002" s="14"/>
      <c r="AP1002" s="14"/>
      <c r="AQ1002" s="51"/>
      <c r="AR1002" s="19">
        <v>0.17500000000000002</v>
      </c>
    </row>
    <row r="1003" spans="1:44" x14ac:dyDescent="0.2">
      <c r="A1003" s="2">
        <v>52176</v>
      </c>
      <c r="B1003" s="2">
        <v>37666</v>
      </c>
      <c r="C1003" s="2">
        <v>127697</v>
      </c>
      <c r="E1003" t="s">
        <v>789</v>
      </c>
      <c r="I1003" s="15">
        <v>0.38327699999999998</v>
      </c>
      <c r="L1003" s="15"/>
      <c r="AL1003" s="14">
        <v>0.33562700000000001</v>
      </c>
      <c r="AM1003" s="14"/>
      <c r="AN1003" s="14">
        <v>0.38327699999999998</v>
      </c>
      <c r="AO1003" s="14"/>
      <c r="AP1003" s="14"/>
      <c r="AQ1003" s="51"/>
      <c r="AR1003" s="19">
        <v>0.11875000000000001</v>
      </c>
    </row>
    <row r="1004" spans="1:44" x14ac:dyDescent="0.2">
      <c r="A1004" s="2">
        <v>53051</v>
      </c>
      <c r="B1004" s="2">
        <v>38293</v>
      </c>
      <c r="C1004" s="2">
        <v>237636</v>
      </c>
      <c r="E1004" t="s">
        <v>1089</v>
      </c>
      <c r="I1004" s="15">
        <v>0.270791</v>
      </c>
      <c r="L1004" s="15"/>
      <c r="AL1004" s="14"/>
      <c r="AM1004" s="14"/>
      <c r="AN1004" s="14">
        <v>0.270791</v>
      </c>
      <c r="AO1004" s="14"/>
      <c r="AP1004" s="14"/>
      <c r="AQ1004" s="51"/>
      <c r="AR1004" s="19">
        <v>3.888888888888889E-2</v>
      </c>
    </row>
    <row r="1005" spans="1:44" x14ac:dyDescent="0.2">
      <c r="A1005" s="2">
        <v>55354</v>
      </c>
      <c r="B1005" s="2">
        <v>38983</v>
      </c>
      <c r="C1005" s="2">
        <v>70450</v>
      </c>
      <c r="E1005" t="s">
        <v>940</v>
      </c>
      <c r="I1005" s="15">
        <v>0.63859900000000003</v>
      </c>
      <c r="L1005" s="15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L1005" s="14">
        <v>0.43057200000000001</v>
      </c>
      <c r="AM1005" s="14"/>
      <c r="AN1005" s="14">
        <v>0.63859900000000003</v>
      </c>
      <c r="AO1005" s="14"/>
      <c r="AP1005" s="14"/>
      <c r="AQ1005" s="51"/>
      <c r="AR1005" s="19">
        <v>0.18611111111111112</v>
      </c>
    </row>
    <row r="1006" spans="1:44" x14ac:dyDescent="0.2">
      <c r="A1006" s="2">
        <v>55724</v>
      </c>
      <c r="B1006" s="2">
        <v>40124</v>
      </c>
      <c r="C1006" s="2">
        <v>209170</v>
      </c>
      <c r="E1006" t="s">
        <v>1038</v>
      </c>
      <c r="I1006" s="15">
        <v>0.298043</v>
      </c>
      <c r="L1006" s="15"/>
      <c r="AM1006" s="14"/>
      <c r="AN1006" s="14">
        <v>0.298043</v>
      </c>
      <c r="AO1006" s="14"/>
      <c r="AP1006" s="14"/>
      <c r="AQ1006" s="51"/>
      <c r="AR1006" s="19">
        <v>2.2916666666666669E-2</v>
      </c>
    </row>
    <row r="1007" spans="1:44" x14ac:dyDescent="0.2">
      <c r="A1007" s="2">
        <v>56210</v>
      </c>
      <c r="B1007" s="2">
        <v>41697</v>
      </c>
      <c r="C1007" s="2">
        <v>77864</v>
      </c>
      <c r="E1007" t="s">
        <v>933</v>
      </c>
      <c r="I1007" s="15">
        <v>0.77962500000000001</v>
      </c>
      <c r="L1007" s="15"/>
      <c r="AM1007" s="14"/>
      <c r="AN1007" s="14">
        <v>0.77962500000000001</v>
      </c>
      <c r="AO1007" s="14"/>
      <c r="AP1007" s="14"/>
      <c r="AQ1007" s="51"/>
      <c r="AR1007" s="19">
        <v>0.12708333333333333</v>
      </c>
    </row>
    <row r="1008" spans="1:44" x14ac:dyDescent="0.2">
      <c r="A1008" s="2">
        <v>56722</v>
      </c>
      <c r="B1008" s="2">
        <v>42170</v>
      </c>
      <c r="C1008" s="2">
        <v>179853</v>
      </c>
      <c r="E1008" t="s">
        <v>857</v>
      </c>
      <c r="I1008" s="15">
        <v>0.18307699999999999</v>
      </c>
      <c r="L1008" s="15"/>
      <c r="AM1008" s="14"/>
      <c r="AN1008" s="14">
        <v>0.18307699999999999</v>
      </c>
      <c r="AO1008" s="14"/>
      <c r="AP1008" s="14"/>
      <c r="AQ1008" s="51"/>
      <c r="AR1008" s="19">
        <v>0.33124999999999999</v>
      </c>
    </row>
    <row r="1009" spans="1:44" x14ac:dyDescent="0.2">
      <c r="A1009" s="2">
        <v>57277</v>
      </c>
      <c r="B1009" s="2">
        <v>42270</v>
      </c>
      <c r="C1009" s="2">
        <v>40671</v>
      </c>
      <c r="E1009" t="s">
        <v>961</v>
      </c>
      <c r="I1009" s="15">
        <v>0.88869299999999996</v>
      </c>
      <c r="L1009" s="15"/>
      <c r="AM1009" s="14"/>
      <c r="AN1009" s="14">
        <v>0.88869299999999996</v>
      </c>
      <c r="AO1009" s="14"/>
      <c r="AP1009" s="14"/>
      <c r="AQ1009" s="51"/>
      <c r="AR1009" s="19">
        <v>0.19930555555555554</v>
      </c>
    </row>
    <row r="1010" spans="1:44" x14ac:dyDescent="0.2">
      <c r="A1010" s="2">
        <v>58426</v>
      </c>
      <c r="B1010" s="2">
        <v>46675</v>
      </c>
      <c r="C1010" s="2">
        <v>107141</v>
      </c>
      <c r="E1010" t="s">
        <v>997</v>
      </c>
      <c r="I1010" s="15">
        <v>0.72270199999999996</v>
      </c>
      <c r="L1010" s="15"/>
      <c r="AM1010" s="14"/>
      <c r="AN1010" s="14">
        <v>0.72270199999999996</v>
      </c>
      <c r="AO1010" s="14"/>
      <c r="AP1010" s="14"/>
      <c r="AQ1010" s="51"/>
      <c r="AR1010" s="19">
        <v>6.6666666666666666E-2</v>
      </c>
    </row>
    <row r="1011" spans="1:44" x14ac:dyDescent="0.2">
      <c r="A1011" s="2">
        <v>59465</v>
      </c>
      <c r="B1011" s="2">
        <v>47038</v>
      </c>
      <c r="C1011" s="2">
        <v>106245</v>
      </c>
      <c r="E1011" t="s">
        <v>963</v>
      </c>
      <c r="I1011" s="15">
        <v>0.57583700000000004</v>
      </c>
      <c r="L1011" s="15"/>
      <c r="AM1011" s="14"/>
      <c r="AN1011" s="14">
        <v>0.57583700000000004</v>
      </c>
      <c r="AO1011" s="14"/>
      <c r="AP1011" s="14"/>
      <c r="AQ1011" s="51"/>
      <c r="AR1011" s="19">
        <v>0.12430555555555556</v>
      </c>
    </row>
    <row r="1012" spans="1:44" x14ac:dyDescent="0.2">
      <c r="A1012" s="2">
        <v>60053</v>
      </c>
      <c r="B1012" s="2">
        <v>48169</v>
      </c>
      <c r="C1012" s="2">
        <v>56764</v>
      </c>
      <c r="E1012" t="s">
        <v>1104</v>
      </c>
      <c r="I1012" s="15">
        <v>1.431</v>
      </c>
      <c r="L1012" s="15"/>
      <c r="AM1012" s="14"/>
      <c r="AN1012" s="14">
        <v>1.431</v>
      </c>
      <c r="AO1012" s="14"/>
      <c r="AP1012" s="14"/>
      <c r="AQ1012" s="51"/>
      <c r="AR1012" s="19">
        <v>5.9722222222222225E-2</v>
      </c>
    </row>
    <row r="1013" spans="1:44" x14ac:dyDescent="0.2">
      <c r="A1013" s="2">
        <v>60214</v>
      </c>
      <c r="B1013" s="2">
        <v>48750</v>
      </c>
      <c r="C1013" s="2">
        <v>64874</v>
      </c>
      <c r="E1013" t="s">
        <v>1073</v>
      </c>
      <c r="I1013" s="15">
        <v>0.71190200000000003</v>
      </c>
      <c r="L1013" s="15"/>
      <c r="AM1013" s="14"/>
      <c r="AN1013" s="14">
        <v>0.71190200000000003</v>
      </c>
      <c r="AO1013" s="14"/>
      <c r="AP1013" s="14"/>
      <c r="AQ1013" s="51"/>
      <c r="AR1013" s="19">
        <v>9.8611111111111108E-2</v>
      </c>
    </row>
    <row r="1014" spans="1:44" x14ac:dyDescent="0.2">
      <c r="A1014" s="2">
        <v>60917</v>
      </c>
      <c r="B1014" s="2">
        <v>48972</v>
      </c>
      <c r="C1014" s="2">
        <v>326034</v>
      </c>
      <c r="E1014" t="s">
        <v>782</v>
      </c>
      <c r="I1014" s="15">
        <v>0.137154</v>
      </c>
      <c r="L1014" s="15"/>
      <c r="AM1014" s="14"/>
      <c r="AN1014" s="14">
        <v>0.137154</v>
      </c>
      <c r="AO1014" s="14"/>
      <c r="AP1014" s="14"/>
      <c r="AQ1014" s="51"/>
      <c r="AR1014" s="19">
        <v>6.0416666666666667E-2</v>
      </c>
    </row>
    <row r="1015" spans="1:44" x14ac:dyDescent="0.2">
      <c r="A1015" s="2">
        <v>61697</v>
      </c>
      <c r="B1015" s="2">
        <v>52176</v>
      </c>
      <c r="C1015" s="2">
        <v>121842</v>
      </c>
      <c r="E1015" t="s">
        <v>780</v>
      </c>
      <c r="I1015" s="15">
        <v>0.39068900000000001</v>
      </c>
      <c r="L1015" s="15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L1015" s="1">
        <v>0.42218</v>
      </c>
      <c r="AM1015" s="14"/>
      <c r="AN1015" s="14">
        <v>0.39068900000000001</v>
      </c>
      <c r="AO1015" s="14"/>
      <c r="AP1015" s="14"/>
      <c r="AQ1015" s="51"/>
      <c r="AR1015" s="19">
        <v>0.1173611111111111</v>
      </c>
    </row>
    <row r="1016" spans="1:44" x14ac:dyDescent="0.2">
      <c r="A1016" s="2">
        <v>62871</v>
      </c>
      <c r="B1016" s="2">
        <v>53051</v>
      </c>
      <c r="C1016" s="2">
        <v>81867</v>
      </c>
      <c r="E1016" t="s">
        <v>1014</v>
      </c>
      <c r="I1016" s="15">
        <v>0.55604799999999999</v>
      </c>
      <c r="L1016" s="15"/>
      <c r="AM1016" s="14"/>
      <c r="AN1016" s="14">
        <v>0.55604799999999999</v>
      </c>
      <c r="AO1016" s="14"/>
      <c r="AP1016" s="14"/>
      <c r="AQ1016" s="51"/>
      <c r="AR1016" s="19">
        <v>0.11527777777777777</v>
      </c>
    </row>
    <row r="1017" spans="1:44" x14ac:dyDescent="0.2">
      <c r="A1017" s="2">
        <v>63237</v>
      </c>
      <c r="B1017" s="2">
        <v>55354</v>
      </c>
      <c r="C1017" s="2">
        <v>94603</v>
      </c>
      <c r="E1017" t="s">
        <v>924</v>
      </c>
      <c r="I1017" s="15">
        <v>0.36492400000000003</v>
      </c>
      <c r="L1017" s="15"/>
      <c r="AL1017" s="1">
        <v>0.30067199999999999</v>
      </c>
      <c r="AM1017" s="14"/>
      <c r="AN1017" s="14">
        <v>0.36492400000000003</v>
      </c>
      <c r="AO1017" s="14"/>
      <c r="AP1017" s="14"/>
      <c r="AQ1017" s="51"/>
      <c r="AR1017" s="19">
        <v>0.48680555555555555</v>
      </c>
    </row>
    <row r="1018" spans="1:44" x14ac:dyDescent="0.2">
      <c r="A1018" s="2">
        <v>63508</v>
      </c>
      <c r="B1018" s="2">
        <v>55724</v>
      </c>
      <c r="C1018" s="2">
        <v>91364</v>
      </c>
      <c r="E1018" t="s">
        <v>1034</v>
      </c>
      <c r="I1018" s="15">
        <v>0.54338699999999995</v>
      </c>
      <c r="L1018" s="15"/>
      <c r="AM1018" s="14"/>
      <c r="AN1018" s="14">
        <v>0.54338699999999995</v>
      </c>
      <c r="AO1018" s="14"/>
      <c r="AP1018" s="14"/>
      <c r="AQ1018" s="51"/>
      <c r="AR1018" s="19">
        <v>0.1388888888888889</v>
      </c>
    </row>
    <row r="1019" spans="1:44" x14ac:dyDescent="0.2">
      <c r="A1019" s="2">
        <v>64252</v>
      </c>
      <c r="B1019" s="2">
        <v>56210</v>
      </c>
      <c r="C1019" s="2">
        <v>106624</v>
      </c>
      <c r="E1019" t="s">
        <v>938</v>
      </c>
      <c r="I1019" s="15">
        <v>0.54640999999999995</v>
      </c>
      <c r="L1019" s="15"/>
      <c r="AM1019" s="14"/>
      <c r="AN1019" s="14">
        <v>0.54640999999999995</v>
      </c>
      <c r="AO1019" s="14"/>
      <c r="AP1019" s="14"/>
      <c r="AQ1019" s="51"/>
      <c r="AR1019" s="19">
        <v>5.5555555555555552E-2</v>
      </c>
    </row>
    <row r="1020" spans="1:44" x14ac:dyDescent="0.2">
      <c r="A1020" s="2">
        <v>65401</v>
      </c>
      <c r="B1020" s="2">
        <v>56722</v>
      </c>
      <c r="C1020" s="2">
        <v>320264</v>
      </c>
      <c r="E1020" t="s">
        <v>1043</v>
      </c>
      <c r="I1020" s="15">
        <v>0.166854</v>
      </c>
      <c r="L1020" s="15"/>
      <c r="AM1020" s="14"/>
      <c r="AN1020" s="14">
        <v>0.166854</v>
      </c>
      <c r="AO1020" s="14"/>
      <c r="AP1020" s="14"/>
      <c r="AQ1020" s="51"/>
      <c r="AR1020" s="19">
        <v>2.361111111111111E-2</v>
      </c>
    </row>
    <row r="1021" spans="1:44" x14ac:dyDescent="0.2">
      <c r="A1021" s="2">
        <v>70448</v>
      </c>
      <c r="B1021" s="2">
        <v>57277</v>
      </c>
      <c r="C1021" s="2">
        <v>332914</v>
      </c>
      <c r="E1021" t="s">
        <v>1042</v>
      </c>
      <c r="I1021" s="15">
        <v>0.123067</v>
      </c>
      <c r="L1021" s="15"/>
      <c r="AM1021" s="14"/>
      <c r="AN1021" s="14">
        <v>0.123067</v>
      </c>
      <c r="AO1021" s="14"/>
      <c r="AP1021" s="14"/>
      <c r="AQ1021" s="51"/>
      <c r="AR1021" s="19">
        <v>7.8472222222222221E-2</v>
      </c>
    </row>
    <row r="1022" spans="1:44" x14ac:dyDescent="0.2">
      <c r="A1022" s="2">
        <v>72506</v>
      </c>
      <c r="B1022" s="2">
        <v>58426</v>
      </c>
      <c r="C1022" s="2">
        <v>80107</v>
      </c>
      <c r="E1022" t="s">
        <v>912</v>
      </c>
      <c r="I1022" s="15">
        <v>8.0106999999999998E-2</v>
      </c>
      <c r="L1022" s="15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L1022" s="1">
        <v>0.453461</v>
      </c>
      <c r="AM1022" s="14"/>
      <c r="AN1022" s="14">
        <v>8.0106999999999998E-2</v>
      </c>
      <c r="AO1022" s="14"/>
      <c r="AP1022" s="14"/>
      <c r="AQ1022" s="51"/>
      <c r="AR1022" s="19">
        <v>0.14722222222222223</v>
      </c>
    </row>
    <row r="1023" spans="1:44" x14ac:dyDescent="0.2">
      <c r="A1023" s="2">
        <v>72645</v>
      </c>
      <c r="B1023" s="2">
        <v>59465</v>
      </c>
      <c r="C1023" s="2">
        <v>338552</v>
      </c>
      <c r="E1023" t="s">
        <v>992</v>
      </c>
      <c r="I1023" s="15">
        <v>7.8987000000000002E-2</v>
      </c>
      <c r="L1023" s="15"/>
      <c r="AM1023" s="14"/>
      <c r="AN1023" s="14">
        <v>7.8987000000000002E-2</v>
      </c>
      <c r="AO1023" s="14"/>
      <c r="AP1023" s="14"/>
      <c r="AQ1023" s="51"/>
      <c r="AR1023" s="19">
        <v>0.19583333333333333</v>
      </c>
    </row>
    <row r="1024" spans="1:44" x14ac:dyDescent="0.2">
      <c r="A1024" s="2">
        <v>73683</v>
      </c>
      <c r="B1024" s="2">
        <v>60053</v>
      </c>
      <c r="C1024" s="2">
        <v>82269</v>
      </c>
      <c r="E1024" t="s">
        <v>1081</v>
      </c>
      <c r="I1024" s="15">
        <v>0.64739599999999997</v>
      </c>
      <c r="L1024" s="15"/>
      <c r="AM1024" s="14"/>
      <c r="AN1024" s="14">
        <v>0.64739599999999997</v>
      </c>
      <c r="AO1024" s="14"/>
      <c r="AP1024" s="14"/>
      <c r="AQ1024" s="51"/>
      <c r="AR1024" s="19">
        <v>0.19305555555555554</v>
      </c>
    </row>
    <row r="1025" spans="1:44" x14ac:dyDescent="0.2">
      <c r="A1025" s="2">
        <v>73876</v>
      </c>
      <c r="B1025" s="2">
        <v>60214</v>
      </c>
      <c r="C1025" s="2">
        <v>76451</v>
      </c>
      <c r="E1025" t="s">
        <v>803</v>
      </c>
      <c r="I1025" s="15">
        <v>0.65510400000000002</v>
      </c>
      <c r="L1025" s="15"/>
      <c r="AM1025" s="14"/>
      <c r="AN1025" s="14">
        <v>0.65510400000000002</v>
      </c>
      <c r="AO1025" s="14"/>
      <c r="AP1025" s="14"/>
      <c r="AQ1025" s="51"/>
      <c r="AR1025" s="19">
        <v>6.1111111111111116E-2</v>
      </c>
    </row>
    <row r="1026" spans="1:44" x14ac:dyDescent="0.2">
      <c r="A1026" s="2">
        <v>73985</v>
      </c>
      <c r="B1026" s="2">
        <v>60917</v>
      </c>
      <c r="C1026" s="2">
        <v>61616</v>
      </c>
      <c r="E1026" t="s">
        <v>1085</v>
      </c>
      <c r="I1026" s="15">
        <v>1.0389999999999999</v>
      </c>
      <c r="L1026" s="15"/>
      <c r="AM1026" s="14"/>
      <c r="AN1026" s="14">
        <v>1.0389999999999999</v>
      </c>
      <c r="AO1026" s="14"/>
      <c r="AP1026" s="14"/>
      <c r="AQ1026" s="51"/>
      <c r="AR1026" s="19">
        <v>0.13125000000000001</v>
      </c>
    </row>
    <row r="1027" spans="1:44" x14ac:dyDescent="0.2">
      <c r="A1027" s="2">
        <v>76768</v>
      </c>
      <c r="B1027" s="2">
        <v>61697</v>
      </c>
      <c r="C1027" s="2">
        <v>53218</v>
      </c>
      <c r="E1027" t="s">
        <v>1033</v>
      </c>
      <c r="I1027" s="15">
        <v>0.80736399999999997</v>
      </c>
      <c r="L1027" s="15"/>
      <c r="AM1027" s="14"/>
      <c r="AN1027" s="14">
        <v>0.80736399999999997</v>
      </c>
      <c r="AO1027" s="14"/>
      <c r="AP1027" s="14"/>
      <c r="AQ1027" s="51"/>
      <c r="AR1027" s="19">
        <v>0.17777777777777778</v>
      </c>
    </row>
    <row r="1028" spans="1:44" x14ac:dyDescent="0.2">
      <c r="A1028" s="2">
        <v>77760</v>
      </c>
      <c r="B1028" s="2">
        <v>62871</v>
      </c>
      <c r="C1028" s="2">
        <v>9193</v>
      </c>
      <c r="E1028" t="s">
        <v>967</v>
      </c>
      <c r="I1028" s="15">
        <v>5.883</v>
      </c>
      <c r="L1028" s="15"/>
      <c r="AM1028" s="14"/>
      <c r="AN1028" s="14">
        <v>5.883</v>
      </c>
      <c r="AO1028" s="14"/>
      <c r="AP1028" s="14"/>
      <c r="AQ1028" s="51"/>
      <c r="AR1028" s="19">
        <v>0.31319444444444444</v>
      </c>
    </row>
    <row r="1029" spans="1:44" x14ac:dyDescent="0.2">
      <c r="A1029" s="2">
        <v>78266</v>
      </c>
      <c r="B1029" s="2">
        <v>63237</v>
      </c>
      <c r="C1029" s="2">
        <v>108303</v>
      </c>
      <c r="E1029" t="s">
        <v>999</v>
      </c>
      <c r="I1029" s="15">
        <v>0.54505300000000001</v>
      </c>
      <c r="L1029" s="15"/>
      <c r="AM1029" s="14"/>
      <c r="AN1029" s="14">
        <v>0.54505300000000001</v>
      </c>
      <c r="AO1029" s="14"/>
      <c r="AP1029" s="14"/>
      <c r="AQ1029" s="51"/>
      <c r="AR1029" s="19">
        <v>0.12013888888888889</v>
      </c>
    </row>
    <row r="1030" spans="1:44" x14ac:dyDescent="0.2">
      <c r="A1030" s="2">
        <v>80167</v>
      </c>
      <c r="B1030" s="2">
        <v>63508</v>
      </c>
      <c r="C1030" s="2">
        <v>85799</v>
      </c>
      <c r="E1030" t="s">
        <v>998</v>
      </c>
      <c r="I1030" s="15">
        <v>0.83872800000000003</v>
      </c>
      <c r="L1030" s="15"/>
      <c r="AM1030" s="14"/>
      <c r="AN1030" s="14">
        <v>0.83872800000000003</v>
      </c>
      <c r="AO1030" s="14"/>
      <c r="AP1030" s="14"/>
      <c r="AQ1030" s="51"/>
      <c r="AR1030" s="19">
        <v>5.2083333333333336E-2</v>
      </c>
    </row>
    <row r="1031" spans="1:44" x14ac:dyDescent="0.2">
      <c r="A1031" s="2">
        <v>80600</v>
      </c>
      <c r="B1031" s="2">
        <v>64252</v>
      </c>
      <c r="C1031" s="2">
        <v>57632</v>
      </c>
      <c r="E1031" t="s">
        <v>1112</v>
      </c>
      <c r="I1031" s="15">
        <v>0.75457799999999997</v>
      </c>
      <c r="L1031" s="15"/>
      <c r="AM1031" s="14"/>
      <c r="AN1031" s="14">
        <v>0.75457799999999997</v>
      </c>
      <c r="AO1031" s="14"/>
      <c r="AP1031" s="14"/>
      <c r="AQ1031" s="51"/>
      <c r="AR1031" s="22">
        <v>0.1763888888888889</v>
      </c>
    </row>
    <row r="1032" spans="1:44" x14ac:dyDescent="0.2">
      <c r="A1032" s="2">
        <v>82222</v>
      </c>
      <c r="B1032" s="2">
        <v>65401</v>
      </c>
      <c r="C1032" s="2">
        <v>96800</v>
      </c>
      <c r="E1032" t="s">
        <v>796</v>
      </c>
      <c r="I1032" s="15">
        <v>0.65190700000000001</v>
      </c>
      <c r="L1032" s="15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D1032" s="64"/>
      <c r="AE1032" s="64"/>
      <c r="AF1032" s="64"/>
      <c r="AG1032" s="64"/>
      <c r="AH1032" s="64"/>
      <c r="AI1032" s="64"/>
      <c r="AJ1032" s="64"/>
      <c r="AL1032" s="1">
        <v>0.26882099999999998</v>
      </c>
      <c r="AM1032" s="14"/>
      <c r="AN1032" s="14">
        <v>0.65190700000000001</v>
      </c>
      <c r="AO1032" s="14"/>
      <c r="AP1032" s="14"/>
      <c r="AQ1032" s="51"/>
      <c r="AR1032" s="19">
        <v>9.8611111111111108E-2</v>
      </c>
    </row>
    <row r="1033" spans="1:44" x14ac:dyDescent="0.2">
      <c r="A1033" s="2">
        <v>82940</v>
      </c>
      <c r="B1033" s="2">
        <v>70448</v>
      </c>
      <c r="C1033" s="2">
        <v>173729</v>
      </c>
      <c r="E1033" t="s">
        <v>966</v>
      </c>
      <c r="I1033" s="15">
        <v>0.38967299999999999</v>
      </c>
      <c r="L1033" s="15"/>
      <c r="AM1033" s="14"/>
      <c r="AN1033" s="14">
        <v>0.38967299999999999</v>
      </c>
      <c r="AO1033" s="14"/>
      <c r="AP1033" s="14"/>
      <c r="AQ1033" s="51"/>
      <c r="AR1033" s="19">
        <v>0.1451388888888889</v>
      </c>
    </row>
    <row r="1034" spans="1:44" x14ac:dyDescent="0.2">
      <c r="A1034" s="2">
        <v>83377</v>
      </c>
      <c r="B1034" s="2">
        <v>72506</v>
      </c>
      <c r="C1034" s="2">
        <v>127653</v>
      </c>
      <c r="E1034" t="s">
        <v>1013</v>
      </c>
      <c r="I1034" s="15">
        <v>0.36705199999999999</v>
      </c>
      <c r="L1034" s="15"/>
      <c r="AM1034" s="14"/>
      <c r="AN1034" s="14">
        <v>0.36705199999999999</v>
      </c>
      <c r="AO1034" s="14"/>
      <c r="AP1034" s="14"/>
      <c r="AQ1034" s="51"/>
      <c r="AR1034" s="19">
        <v>0.1173611111111111</v>
      </c>
    </row>
    <row r="1035" spans="1:44" x14ac:dyDescent="0.2">
      <c r="A1035" s="2">
        <v>83458</v>
      </c>
      <c r="B1035" s="2">
        <v>72645</v>
      </c>
      <c r="C1035" s="2">
        <v>245028</v>
      </c>
      <c r="E1035" t="s">
        <v>783</v>
      </c>
      <c r="I1035" s="15">
        <v>0.19157099999999999</v>
      </c>
      <c r="L1035" s="15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D1035" s="64"/>
      <c r="AE1035" s="64"/>
      <c r="AF1035" s="64"/>
      <c r="AG1035" s="64"/>
      <c r="AH1035" s="64"/>
      <c r="AI1035" s="64"/>
      <c r="AJ1035" s="64"/>
      <c r="AL1035" s="1">
        <v>0.20640800000000001</v>
      </c>
      <c r="AM1035" s="14"/>
      <c r="AN1035" s="14">
        <v>0.19157099999999999</v>
      </c>
      <c r="AO1035" s="14"/>
      <c r="AP1035" s="14"/>
      <c r="AQ1035" s="51"/>
      <c r="AR1035" s="19">
        <v>4.1666666666666664E-2</v>
      </c>
    </row>
    <row r="1036" spans="1:44" x14ac:dyDescent="0.2">
      <c r="A1036" s="2">
        <v>84038</v>
      </c>
      <c r="B1036" s="2">
        <v>73683</v>
      </c>
      <c r="C1036" s="2">
        <v>142930</v>
      </c>
      <c r="E1036" t="s">
        <v>1093</v>
      </c>
      <c r="I1036" s="15">
        <v>0.28136499999999998</v>
      </c>
      <c r="L1036" s="15"/>
      <c r="AM1036" s="14"/>
      <c r="AN1036" s="14">
        <v>0.28136499999999998</v>
      </c>
      <c r="AO1036" s="14"/>
      <c r="AP1036" s="14"/>
      <c r="AQ1036" s="51"/>
      <c r="AR1036" s="19">
        <v>0.11527777777777777</v>
      </c>
    </row>
    <row r="1037" spans="1:44" x14ac:dyDescent="0.2">
      <c r="A1037" s="2">
        <v>87014</v>
      </c>
      <c r="B1037" s="2">
        <v>73876</v>
      </c>
      <c r="C1037" s="2">
        <v>69720</v>
      </c>
      <c r="E1037" t="s">
        <v>1057</v>
      </c>
      <c r="I1037" s="15">
        <v>0.87467099999999998</v>
      </c>
      <c r="K1037" s="15"/>
      <c r="L1037" s="15"/>
      <c r="AM1037" s="14"/>
      <c r="AN1037" s="14">
        <v>0.87467099999999998</v>
      </c>
      <c r="AO1037" s="14"/>
      <c r="AP1037" s="14"/>
      <c r="AQ1037" s="51"/>
      <c r="AR1037" s="19">
        <v>6.6666666666666666E-2</v>
      </c>
    </row>
    <row r="1038" spans="1:44" x14ac:dyDescent="0.2">
      <c r="A1038" s="2">
        <v>87024</v>
      </c>
      <c r="B1038" s="2">
        <v>73985</v>
      </c>
      <c r="C1038" s="2">
        <v>79737</v>
      </c>
      <c r="E1038" t="s">
        <v>930</v>
      </c>
      <c r="I1038" s="15">
        <v>0.32195000000000001</v>
      </c>
      <c r="L1038" s="15"/>
      <c r="AM1038" s="14"/>
      <c r="AN1038" s="14">
        <v>0.32195000000000001</v>
      </c>
      <c r="AO1038" s="14"/>
      <c r="AP1038" s="14"/>
      <c r="AQ1038" s="51"/>
      <c r="AR1038" s="19">
        <v>0.26874999999999999</v>
      </c>
    </row>
    <row r="1039" spans="1:44" x14ac:dyDescent="0.2">
      <c r="A1039" s="2">
        <v>87349</v>
      </c>
      <c r="B1039" s="2">
        <v>76768</v>
      </c>
      <c r="C1039" s="2">
        <v>67096</v>
      </c>
      <c r="E1039" t="s">
        <v>1055</v>
      </c>
      <c r="I1039" s="15">
        <v>0.86591899999999999</v>
      </c>
      <c r="L1039" s="15"/>
      <c r="AM1039" s="14"/>
      <c r="AN1039" s="14">
        <v>0.86591899999999999</v>
      </c>
      <c r="AO1039" s="14"/>
      <c r="AP1039" s="14"/>
      <c r="AQ1039" s="51"/>
      <c r="AR1039" s="19">
        <v>0.10416666666666667</v>
      </c>
    </row>
    <row r="1040" spans="1:44" x14ac:dyDescent="0.2">
      <c r="A1040" s="2">
        <v>92899</v>
      </c>
      <c r="B1040" s="2">
        <v>77760</v>
      </c>
      <c r="C1040" s="2">
        <v>340633</v>
      </c>
      <c r="E1040" t="s">
        <v>1044</v>
      </c>
      <c r="I1040" s="15">
        <v>0.16528000000000001</v>
      </c>
      <c r="L1040" s="15"/>
      <c r="AM1040" s="14"/>
      <c r="AN1040" s="14">
        <v>0.16528000000000001</v>
      </c>
      <c r="AO1040" s="14"/>
      <c r="AP1040" s="14"/>
      <c r="AQ1040" s="51"/>
      <c r="AR1040" s="19">
        <v>3.5416666666666666E-2</v>
      </c>
    </row>
    <row r="1041" spans="1:44" x14ac:dyDescent="0.2">
      <c r="A1041" s="2">
        <v>94046</v>
      </c>
      <c r="B1041" s="2">
        <v>78266</v>
      </c>
      <c r="C1041" s="2">
        <v>187478</v>
      </c>
      <c r="E1041" t="s">
        <v>835</v>
      </c>
      <c r="I1041" s="15">
        <v>0.26639200000000002</v>
      </c>
      <c r="L1041" s="15"/>
      <c r="AM1041" s="14"/>
      <c r="AN1041" s="14">
        <v>0.26639200000000002</v>
      </c>
      <c r="AO1041" s="14"/>
      <c r="AP1041" s="14"/>
      <c r="AQ1041" s="51"/>
      <c r="AR1041" s="19">
        <v>7.9166666666666663E-2</v>
      </c>
    </row>
    <row r="1042" spans="1:44" x14ac:dyDescent="0.2">
      <c r="A1042" s="2">
        <v>95981</v>
      </c>
      <c r="B1042" s="2">
        <v>80167</v>
      </c>
      <c r="C1042" s="2">
        <v>245260</v>
      </c>
      <c r="E1042" t="s">
        <v>982</v>
      </c>
      <c r="I1042" s="15">
        <v>0.277696</v>
      </c>
      <c r="L1042" s="15"/>
      <c r="AM1042" s="14"/>
      <c r="AN1042" s="14">
        <v>0.277696</v>
      </c>
      <c r="AO1042" s="14"/>
      <c r="AP1042" s="14"/>
      <c r="AQ1042" s="51"/>
      <c r="AR1042" s="22">
        <v>3.0555555555555555E-2</v>
      </c>
    </row>
    <row r="1043" spans="1:44" x14ac:dyDescent="0.2">
      <c r="A1043" s="2">
        <v>98542</v>
      </c>
      <c r="B1043" s="2">
        <v>80600</v>
      </c>
      <c r="C1043" s="2">
        <v>116137</v>
      </c>
      <c r="E1043" t="s">
        <v>822</v>
      </c>
      <c r="I1043" s="15">
        <v>0.50777300000000003</v>
      </c>
      <c r="L1043" s="15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D1043" s="64"/>
      <c r="AE1043" s="64"/>
      <c r="AF1043" s="64"/>
      <c r="AG1043" s="64"/>
      <c r="AH1043" s="64"/>
      <c r="AI1043" s="64"/>
      <c r="AJ1043" s="64"/>
      <c r="AL1043" s="1">
        <v>0.237149</v>
      </c>
      <c r="AM1043" s="14"/>
      <c r="AN1043" s="14">
        <v>0.50777300000000003</v>
      </c>
      <c r="AO1043" s="14"/>
      <c r="AP1043" s="14"/>
      <c r="AQ1043" s="51"/>
      <c r="AR1043" s="19">
        <v>0.13333333333333333</v>
      </c>
    </row>
    <row r="1044" spans="1:44" x14ac:dyDescent="0.2">
      <c r="A1044" s="2">
        <v>98570</v>
      </c>
      <c r="B1044" s="2">
        <v>82222</v>
      </c>
      <c r="C1044" s="2">
        <v>315147</v>
      </c>
      <c r="E1044" t="s">
        <v>916</v>
      </c>
      <c r="I1044" s="15">
        <v>0.121147</v>
      </c>
      <c r="L1044" s="15"/>
      <c r="AM1044" s="14"/>
      <c r="AN1044" s="14">
        <v>0.121147</v>
      </c>
      <c r="AO1044" s="14"/>
      <c r="AP1044" s="14"/>
      <c r="AQ1044" s="51"/>
      <c r="AR1044" s="19">
        <v>0.34652777777777777</v>
      </c>
    </row>
    <row r="1045" spans="1:44" x14ac:dyDescent="0.2">
      <c r="A1045" s="2">
        <v>100195</v>
      </c>
      <c r="B1045" s="2">
        <v>82940</v>
      </c>
      <c r="C1045" s="2">
        <v>79530</v>
      </c>
      <c r="E1045" t="s">
        <v>1015</v>
      </c>
      <c r="I1045" s="15">
        <v>0.54786999999999997</v>
      </c>
      <c r="L1045" s="15"/>
      <c r="AM1045" s="14"/>
      <c r="AN1045" s="14">
        <v>0.54786999999999997</v>
      </c>
      <c r="AO1045" s="14"/>
      <c r="AP1045" s="14"/>
      <c r="AQ1045" s="51"/>
      <c r="AR1045" s="22">
        <v>0.19444444444444445</v>
      </c>
    </row>
    <row r="1046" spans="1:44" x14ac:dyDescent="0.2">
      <c r="A1046" s="2">
        <v>100959</v>
      </c>
      <c r="B1046" s="2">
        <v>83377</v>
      </c>
      <c r="C1046" s="2">
        <v>450951</v>
      </c>
      <c r="E1046" t="s">
        <v>866</v>
      </c>
      <c r="I1046" s="15">
        <v>5.9858000000000001E-2</v>
      </c>
      <c r="L1046" s="15"/>
      <c r="AM1046" s="14"/>
      <c r="AN1046" s="14">
        <v>5.9858000000000001E-2</v>
      </c>
      <c r="AO1046" s="14"/>
      <c r="AP1046" s="14"/>
      <c r="AQ1046" s="51"/>
      <c r="AR1046" s="22">
        <v>0.43194444444444446</v>
      </c>
    </row>
    <row r="1047" spans="1:44" x14ac:dyDescent="0.2">
      <c r="A1047" s="2">
        <v>104851</v>
      </c>
      <c r="B1047" s="2">
        <v>83458</v>
      </c>
      <c r="C1047" s="2">
        <v>191322</v>
      </c>
      <c r="E1047" t="s">
        <v>935</v>
      </c>
      <c r="I1047" s="15">
        <v>0.27698</v>
      </c>
      <c r="L1047" s="15"/>
      <c r="AM1047" s="14"/>
      <c r="AN1047" s="14">
        <v>0.27698</v>
      </c>
      <c r="AO1047" s="14"/>
      <c r="AP1047" s="14"/>
      <c r="AQ1047" s="51"/>
      <c r="AR1047" s="19">
        <v>9.375E-2</v>
      </c>
    </row>
    <row r="1048" spans="1:44" x14ac:dyDescent="0.2">
      <c r="A1048" s="2">
        <v>109230</v>
      </c>
      <c r="B1048" s="2">
        <v>84038</v>
      </c>
      <c r="C1048" s="2">
        <v>448033</v>
      </c>
      <c r="E1048" t="s">
        <v>848</v>
      </c>
      <c r="I1048" s="15">
        <v>8.3721000000000004E-2</v>
      </c>
      <c r="L1048" s="15"/>
      <c r="AM1048" s="14"/>
      <c r="AN1048" s="14">
        <v>8.3721000000000004E-2</v>
      </c>
      <c r="AO1048" s="14"/>
      <c r="AP1048" s="14"/>
      <c r="AQ1048" s="51"/>
      <c r="AR1048" s="19">
        <v>0.17083333333333331</v>
      </c>
    </row>
    <row r="1049" spans="1:44" x14ac:dyDescent="0.2">
      <c r="A1049" s="2">
        <v>110954</v>
      </c>
      <c r="B1049" s="2">
        <v>87014</v>
      </c>
      <c r="C1049" s="2">
        <v>161346</v>
      </c>
      <c r="E1049" t="s">
        <v>868</v>
      </c>
      <c r="I1049" s="15">
        <v>0.25052099999999999</v>
      </c>
      <c r="L1049" s="15"/>
      <c r="AM1049" s="14"/>
      <c r="AN1049" s="14">
        <v>0.25052099999999999</v>
      </c>
      <c r="AO1049" s="14"/>
      <c r="AP1049" s="14"/>
      <c r="AQ1049" s="51"/>
      <c r="AR1049" s="22">
        <v>0.23055555555555554</v>
      </c>
    </row>
    <row r="1050" spans="1:44" x14ac:dyDescent="0.2">
      <c r="A1050" s="2">
        <v>112151</v>
      </c>
      <c r="B1050" s="2">
        <v>87024</v>
      </c>
      <c r="C1050" s="2">
        <v>171189</v>
      </c>
      <c r="E1050" t="s">
        <v>983</v>
      </c>
      <c r="I1050" s="15">
        <v>0.357184</v>
      </c>
      <c r="L1050" s="15"/>
      <c r="AM1050" s="14"/>
      <c r="AN1050" s="14">
        <v>0.357184</v>
      </c>
      <c r="AO1050" s="14"/>
      <c r="AP1050" s="14"/>
      <c r="AQ1050" s="51"/>
      <c r="AR1050" s="22">
        <v>4.3055555555555562E-2</v>
      </c>
    </row>
    <row r="1051" spans="1:44" x14ac:dyDescent="0.2">
      <c r="A1051" s="2">
        <v>112417</v>
      </c>
      <c r="B1051" s="2">
        <v>87349</v>
      </c>
      <c r="C1051" s="2">
        <v>139460</v>
      </c>
      <c r="E1051" t="s">
        <v>1035</v>
      </c>
      <c r="I1051" s="15">
        <v>0.29633799999999999</v>
      </c>
      <c r="L1051" s="15"/>
      <c r="AM1051" s="14"/>
      <c r="AN1051" s="14">
        <v>0.29633799999999999</v>
      </c>
      <c r="AO1051" s="14"/>
      <c r="AP1051" s="14"/>
      <c r="AQ1051" s="51"/>
      <c r="AR1051" s="19">
        <v>0.23194444444444443</v>
      </c>
    </row>
    <row r="1052" spans="1:44" x14ac:dyDescent="0.2">
      <c r="A1052" s="2">
        <v>114126</v>
      </c>
      <c r="B1052" s="2">
        <v>92899</v>
      </c>
      <c r="C1052" s="2">
        <v>669602</v>
      </c>
      <c r="E1052" t="s">
        <v>953</v>
      </c>
      <c r="I1052" s="15">
        <v>3.7558000000000001E-2</v>
      </c>
      <c r="L1052" s="15"/>
      <c r="AM1052" s="14"/>
      <c r="AN1052" s="14">
        <v>3.7558000000000001E-2</v>
      </c>
      <c r="AO1052" s="14"/>
      <c r="AP1052" s="14"/>
      <c r="AQ1052" s="51"/>
      <c r="AR1052" s="19">
        <v>6.9444444444444434E-2</v>
      </c>
    </row>
    <row r="1053" spans="1:44" x14ac:dyDescent="0.2">
      <c r="A1053" s="2">
        <v>115744</v>
      </c>
      <c r="B1053" s="2">
        <v>94046</v>
      </c>
      <c r="C1053" s="2">
        <v>289102</v>
      </c>
      <c r="E1053" t="s">
        <v>804</v>
      </c>
      <c r="I1053" s="15">
        <v>0.17391100000000001</v>
      </c>
      <c r="L1053" s="15"/>
      <c r="AL1053" s="1">
        <v>0.17697499999999999</v>
      </c>
      <c r="AM1053" s="14"/>
      <c r="AN1053" s="14">
        <v>0.17391100000000001</v>
      </c>
      <c r="AO1053" s="14"/>
      <c r="AP1053" s="14"/>
      <c r="AQ1053" s="51"/>
      <c r="AR1053" s="22">
        <v>6.458333333333334E-2</v>
      </c>
    </row>
    <row r="1054" spans="1:44" x14ac:dyDescent="0.2">
      <c r="A1054" s="2">
        <v>120338</v>
      </c>
      <c r="B1054" s="2">
        <v>95981</v>
      </c>
      <c r="C1054" s="2">
        <v>155266</v>
      </c>
      <c r="E1054" t="s">
        <v>795</v>
      </c>
      <c r="I1054" s="15">
        <v>0.24010600000000001</v>
      </c>
      <c r="L1054" s="15"/>
      <c r="AM1054" s="14"/>
      <c r="AN1054" s="14">
        <v>0.24010600000000001</v>
      </c>
      <c r="AO1054" s="14"/>
      <c r="AP1054" s="14"/>
      <c r="AQ1054" s="51"/>
      <c r="AR1054" s="19">
        <v>0.30833333333333335</v>
      </c>
    </row>
    <row r="1055" spans="1:44" x14ac:dyDescent="0.2">
      <c r="A1055" s="2">
        <v>125085</v>
      </c>
      <c r="B1055" s="2">
        <v>98542</v>
      </c>
      <c r="C1055" s="2">
        <v>284365</v>
      </c>
      <c r="E1055" t="s">
        <v>979</v>
      </c>
      <c r="I1055" s="15">
        <v>0.23280300000000001</v>
      </c>
      <c r="L1055" s="15"/>
      <c r="AM1055" s="14"/>
      <c r="AN1055" s="14">
        <v>0.23280300000000001</v>
      </c>
      <c r="AO1055" s="14"/>
      <c r="AP1055" s="14"/>
      <c r="AQ1055" s="51"/>
      <c r="AR1055" s="22">
        <v>1.6666666666666666E-2</v>
      </c>
    </row>
    <row r="1056" spans="1:44" x14ac:dyDescent="0.2">
      <c r="A1056" s="2">
        <v>128783</v>
      </c>
      <c r="B1056" s="2">
        <v>98570</v>
      </c>
      <c r="C1056" s="2">
        <v>210686</v>
      </c>
      <c r="E1056" t="s">
        <v>1069</v>
      </c>
      <c r="I1056" s="15">
        <v>0.21390899999999999</v>
      </c>
      <c r="L1056" s="15"/>
      <c r="AM1056" s="14"/>
      <c r="AN1056" s="14">
        <v>0.21390899999999999</v>
      </c>
      <c r="AO1056" s="14"/>
      <c r="AP1056" s="14"/>
      <c r="AQ1056" s="51"/>
      <c r="AR1056" s="22">
        <v>9.3055555555555558E-2</v>
      </c>
    </row>
    <row r="1057" spans="1:44" x14ac:dyDescent="0.2">
      <c r="A1057" s="2">
        <v>131042</v>
      </c>
      <c r="B1057" s="2">
        <v>100195</v>
      </c>
      <c r="C1057" s="2">
        <v>531260</v>
      </c>
      <c r="E1057" t="s">
        <v>1046</v>
      </c>
      <c r="I1057" s="15">
        <v>7.1768999999999999E-2</v>
      </c>
      <c r="L1057" s="15"/>
      <c r="AM1057" s="14"/>
      <c r="AN1057" s="14">
        <v>7.1768999999999999E-2</v>
      </c>
      <c r="AO1057" s="14"/>
      <c r="AP1057" s="14"/>
      <c r="AQ1057" s="51"/>
      <c r="AR1057" s="19">
        <v>8.4722222222222213E-2</v>
      </c>
    </row>
    <row r="1058" spans="1:44" x14ac:dyDescent="0.2">
      <c r="A1058" s="2">
        <v>135127</v>
      </c>
      <c r="B1058" s="2">
        <v>100959</v>
      </c>
      <c r="C1058" s="2">
        <v>625610</v>
      </c>
      <c r="E1058" t="s">
        <v>799</v>
      </c>
      <c r="I1058" s="15">
        <v>6.4711000000000005E-2</v>
      </c>
      <c r="L1058" s="15"/>
      <c r="AM1058" s="14"/>
      <c r="AN1058" s="14">
        <v>6.4711000000000005E-2</v>
      </c>
      <c r="AO1058" s="14"/>
      <c r="AP1058" s="14"/>
      <c r="AQ1058" s="51"/>
      <c r="AR1058" s="19">
        <v>5.0694444444444452E-2</v>
      </c>
    </row>
    <row r="1059" spans="1:44" x14ac:dyDescent="0.2">
      <c r="A1059" s="2">
        <v>138955</v>
      </c>
      <c r="B1059" s="2">
        <v>104851</v>
      </c>
      <c r="C1059" s="2">
        <v>414216</v>
      </c>
      <c r="E1059" t="s">
        <v>819</v>
      </c>
      <c r="I1059" s="15">
        <v>9.7415000000000002E-2</v>
      </c>
      <c r="L1059" s="15"/>
      <c r="AM1059" s="14"/>
      <c r="AN1059" s="14">
        <v>9.7415000000000002E-2</v>
      </c>
      <c r="AO1059" s="14"/>
      <c r="AP1059" s="14"/>
      <c r="AQ1059" s="51"/>
      <c r="AR1059" s="19">
        <v>0.1111111111111111</v>
      </c>
    </row>
    <row r="1060" spans="1:44" x14ac:dyDescent="0.2">
      <c r="A1060" s="2">
        <v>144189</v>
      </c>
      <c r="B1060" s="2">
        <v>109230</v>
      </c>
      <c r="C1060" s="2">
        <v>448435</v>
      </c>
      <c r="E1060" t="s">
        <v>929</v>
      </c>
      <c r="I1060" s="15">
        <v>7.8155000000000002E-2</v>
      </c>
      <c r="L1060" s="15"/>
      <c r="AM1060" s="14"/>
      <c r="AN1060" s="14">
        <v>7.8155000000000002E-2</v>
      </c>
      <c r="AO1060" s="14"/>
      <c r="AP1060" s="14"/>
      <c r="AQ1060" s="51"/>
      <c r="AR1060" s="19">
        <v>0.47152777777777777</v>
      </c>
    </row>
    <row r="1061" spans="1:44" x14ac:dyDescent="0.2">
      <c r="A1061" s="2">
        <v>145685</v>
      </c>
      <c r="B1061" s="2">
        <v>110954</v>
      </c>
      <c r="C1061" s="2">
        <v>61350</v>
      </c>
      <c r="E1061" t="s">
        <v>1182</v>
      </c>
      <c r="I1061" s="15">
        <v>0.93016699999999997</v>
      </c>
      <c r="L1061" s="15"/>
      <c r="AM1061" s="14"/>
      <c r="AN1061" s="14">
        <v>0.93016699999999997</v>
      </c>
      <c r="AO1061" s="14"/>
      <c r="AP1061" s="14"/>
      <c r="AQ1061" s="51"/>
      <c r="AR1061" s="22">
        <v>0.12569444444444444</v>
      </c>
    </row>
    <row r="1062" spans="1:44" x14ac:dyDescent="0.2">
      <c r="A1062" s="2">
        <v>148264</v>
      </c>
      <c r="B1062" s="2">
        <v>112151</v>
      </c>
      <c r="C1062" s="2">
        <v>102014</v>
      </c>
      <c r="E1062" t="s">
        <v>1115</v>
      </c>
      <c r="I1062" s="15">
        <v>0.36461100000000002</v>
      </c>
      <c r="L1062" s="15"/>
      <c r="AM1062" s="14"/>
      <c r="AN1062" s="14">
        <v>0.36461100000000002</v>
      </c>
      <c r="AO1062" s="14"/>
      <c r="AP1062" s="14"/>
      <c r="AQ1062" s="51"/>
      <c r="AR1062" s="22">
        <v>0.20486111111111113</v>
      </c>
    </row>
    <row r="1063" spans="1:44" x14ac:dyDescent="0.2">
      <c r="A1063" s="2">
        <v>148434</v>
      </c>
      <c r="B1063" s="2">
        <v>112417</v>
      </c>
      <c r="C1063" s="2">
        <v>168328</v>
      </c>
      <c r="E1063" t="s">
        <v>867</v>
      </c>
      <c r="I1063" s="15">
        <v>0.31137399999999998</v>
      </c>
      <c r="L1063" s="15"/>
      <c r="O1063" s="64"/>
      <c r="P1063" s="64"/>
      <c r="Q1063" s="64"/>
      <c r="R1063" s="64"/>
      <c r="S1063" s="64"/>
      <c r="T1063" s="64"/>
      <c r="U1063" s="64"/>
      <c r="V1063" s="64"/>
      <c r="W1063" s="64"/>
      <c r="X1063" s="64"/>
      <c r="Y1063" s="64"/>
      <c r="Z1063" s="64"/>
      <c r="AA1063" s="64"/>
      <c r="AB1063" s="64"/>
      <c r="AC1063" s="64"/>
      <c r="AD1063" s="64"/>
      <c r="AE1063" s="64"/>
      <c r="AF1063" s="64"/>
      <c r="AG1063" s="64"/>
      <c r="AH1063" s="64"/>
      <c r="AI1063" s="64"/>
      <c r="AJ1063" s="64"/>
      <c r="AL1063" s="1">
        <v>0.13262499999999999</v>
      </c>
      <c r="AM1063" s="14"/>
      <c r="AN1063" s="14">
        <v>0.31137399999999998</v>
      </c>
      <c r="AO1063" s="14"/>
      <c r="AP1063" s="14"/>
      <c r="AQ1063" s="51"/>
      <c r="AR1063" s="19">
        <v>5.7638888888888885E-2</v>
      </c>
    </row>
    <row r="1064" spans="1:44" x14ac:dyDescent="0.2">
      <c r="A1064" s="2">
        <v>156510</v>
      </c>
      <c r="B1064" s="2">
        <v>114126</v>
      </c>
      <c r="C1064" s="2">
        <v>504707</v>
      </c>
      <c r="E1064" t="s">
        <v>853</v>
      </c>
      <c r="I1064" s="15">
        <v>9.4228999999999993E-2</v>
      </c>
      <c r="L1064" s="15"/>
      <c r="AM1064" s="14"/>
      <c r="AN1064" s="14">
        <v>9.4228999999999993E-2</v>
      </c>
      <c r="AO1064" s="14"/>
      <c r="AP1064" s="14"/>
      <c r="AQ1064" s="51"/>
      <c r="AR1064" s="19">
        <v>0.14305555555555557</v>
      </c>
    </row>
    <row r="1065" spans="1:44" x14ac:dyDescent="0.2">
      <c r="A1065" s="2">
        <v>158155</v>
      </c>
      <c r="B1065" s="2">
        <v>115744</v>
      </c>
      <c r="C1065" s="2">
        <v>102471</v>
      </c>
      <c r="E1065" t="s">
        <v>1024</v>
      </c>
      <c r="I1065" s="15">
        <v>0.54634899999999997</v>
      </c>
      <c r="L1065" s="15"/>
      <c r="AM1065" s="14"/>
      <c r="AN1065" s="14">
        <v>0.54634899999999997</v>
      </c>
      <c r="AO1065" s="14"/>
      <c r="AP1065" s="14"/>
      <c r="AQ1065" s="51"/>
      <c r="AR1065" s="19">
        <v>4.1666666666666664E-2</v>
      </c>
    </row>
    <row r="1066" spans="1:44" x14ac:dyDescent="0.2">
      <c r="A1066" s="2">
        <v>160348</v>
      </c>
      <c r="B1066" s="2">
        <v>120338</v>
      </c>
      <c r="C1066" s="2">
        <v>107196</v>
      </c>
      <c r="E1066" t="s">
        <v>1067</v>
      </c>
      <c r="I1066" s="15">
        <v>0.56619299999999995</v>
      </c>
      <c r="L1066" s="15"/>
      <c r="AM1066" s="14"/>
      <c r="AN1066" s="14">
        <v>0.56619299999999995</v>
      </c>
      <c r="AO1066" s="14"/>
      <c r="AP1066" s="14"/>
      <c r="AQ1066" s="51"/>
      <c r="AR1066" s="19">
        <v>0.12291666666666667</v>
      </c>
    </row>
    <row r="1067" spans="1:44" x14ac:dyDescent="0.2">
      <c r="A1067" s="2">
        <v>162240</v>
      </c>
      <c r="B1067" s="2">
        <v>125085</v>
      </c>
      <c r="C1067" s="2">
        <v>76125</v>
      </c>
      <c r="E1067" t="s">
        <v>985</v>
      </c>
      <c r="I1067" s="15">
        <v>0.58323100000000005</v>
      </c>
      <c r="L1067" s="15"/>
      <c r="AM1067" s="14"/>
      <c r="AN1067" s="14">
        <v>0.58323100000000005</v>
      </c>
      <c r="AO1067" s="14"/>
      <c r="AP1067" s="14"/>
      <c r="AQ1067" s="51"/>
      <c r="AR1067" s="22">
        <v>0.24374999999999999</v>
      </c>
    </row>
    <row r="1068" spans="1:44" x14ac:dyDescent="0.2">
      <c r="A1068" s="2">
        <v>162630</v>
      </c>
      <c r="B1068" s="2">
        <v>210686</v>
      </c>
      <c r="C1068" s="2">
        <v>643051</v>
      </c>
      <c r="E1068" t="s">
        <v>595</v>
      </c>
      <c r="I1068" s="15">
        <v>8.9998999999999996E-2</v>
      </c>
      <c r="L1068" s="15"/>
      <c r="AM1068" s="14"/>
      <c r="AN1068" s="14">
        <v>8.9998999999999996E-2</v>
      </c>
      <c r="AO1068" s="14"/>
      <c r="AP1068" s="14"/>
      <c r="AQ1068" s="51"/>
      <c r="AR1068" s="19">
        <v>5.1388888888888894E-2</v>
      </c>
    </row>
    <row r="1069" spans="1:44" x14ac:dyDescent="0.2">
      <c r="A1069" s="2">
        <v>165077</v>
      </c>
      <c r="B1069" s="2">
        <v>131042</v>
      </c>
      <c r="C1069" s="2">
        <v>218560</v>
      </c>
      <c r="E1069" t="s">
        <v>908</v>
      </c>
      <c r="I1069" s="15">
        <v>0.20650399999999999</v>
      </c>
      <c r="L1069" s="15"/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4"/>
      <c r="Z1069" s="64"/>
      <c r="AA1069" s="64"/>
      <c r="AB1069" s="64"/>
      <c r="AC1069" s="64"/>
      <c r="AD1069" s="64"/>
      <c r="AE1069" s="64"/>
      <c r="AF1069" s="64"/>
      <c r="AG1069" s="64"/>
      <c r="AH1069" s="64"/>
      <c r="AI1069" s="64"/>
      <c r="AJ1069" s="64"/>
      <c r="AL1069" s="1">
        <v>0.149338</v>
      </c>
      <c r="AM1069" s="14"/>
      <c r="AN1069" s="14">
        <v>0.20650399999999999</v>
      </c>
      <c r="AO1069" s="14"/>
      <c r="AP1069" s="14"/>
      <c r="AQ1069" s="51"/>
      <c r="AR1069" s="19">
        <v>0.22708333333333333</v>
      </c>
    </row>
    <row r="1070" spans="1:44" x14ac:dyDescent="0.2">
      <c r="A1070" s="2">
        <v>165117</v>
      </c>
      <c r="B1070" s="2">
        <v>135127</v>
      </c>
      <c r="C1070" s="2">
        <v>235799</v>
      </c>
      <c r="E1070" t="s">
        <v>1213</v>
      </c>
      <c r="I1070" s="2">
        <v>0.204351</v>
      </c>
      <c r="AM1070" s="14"/>
      <c r="AN1070" s="14">
        <v>0.204351</v>
      </c>
      <c r="AO1070" s="14"/>
      <c r="AP1070" s="14"/>
      <c r="AQ1070" s="51"/>
      <c r="AR1070" s="19">
        <v>0.26458333333333334</v>
      </c>
    </row>
    <row r="1071" spans="1:44" x14ac:dyDescent="0.2">
      <c r="A1071" s="2">
        <v>165214</v>
      </c>
      <c r="B1071" s="2">
        <v>138955</v>
      </c>
      <c r="C1071" s="2">
        <v>185779</v>
      </c>
      <c r="E1071" t="s">
        <v>1032</v>
      </c>
      <c r="I1071" s="15">
        <v>0.26993299999999998</v>
      </c>
      <c r="L1071" s="15"/>
      <c r="AM1071" s="14"/>
      <c r="AN1071" s="14">
        <v>0.26993299999999998</v>
      </c>
      <c r="AO1071" s="14"/>
      <c r="AP1071" s="14"/>
      <c r="AQ1071" s="51"/>
      <c r="AR1071" s="19">
        <v>6.7361111111111108E-2</v>
      </c>
    </row>
    <row r="1072" spans="1:44" x14ac:dyDescent="0.2">
      <c r="A1072" s="2">
        <v>175073</v>
      </c>
      <c r="B1072" s="2">
        <v>144189</v>
      </c>
      <c r="C1072" s="2">
        <v>592763</v>
      </c>
      <c r="E1072" t="s">
        <v>806</v>
      </c>
      <c r="I1072" s="15">
        <v>6.0814E-2</v>
      </c>
      <c r="L1072" s="15"/>
      <c r="AM1072" s="14"/>
      <c r="AN1072" s="14">
        <v>6.0814E-2</v>
      </c>
      <c r="AO1072" s="14"/>
      <c r="AP1072" s="14"/>
      <c r="AQ1072" s="51"/>
      <c r="AR1072" s="19">
        <v>5.6250000000000001E-2</v>
      </c>
    </row>
    <row r="1073" spans="1:44" x14ac:dyDescent="0.2">
      <c r="A1073" s="2">
        <v>179492</v>
      </c>
      <c r="B1073" s="2">
        <v>145685</v>
      </c>
      <c r="C1073" s="2">
        <v>300580</v>
      </c>
      <c r="E1073" t="s">
        <v>990</v>
      </c>
      <c r="I1073" s="15">
        <v>0.13455700000000001</v>
      </c>
      <c r="L1073" s="15"/>
      <c r="AM1073" s="14"/>
      <c r="AN1073" s="14">
        <v>0.13455700000000001</v>
      </c>
      <c r="AO1073" s="14"/>
      <c r="AP1073" s="14"/>
      <c r="AQ1073" s="51"/>
      <c r="AR1073" s="22">
        <v>0.1125</v>
      </c>
    </row>
    <row r="1074" spans="1:44" x14ac:dyDescent="0.2">
      <c r="A1074" s="2">
        <v>180116</v>
      </c>
      <c r="B1074" s="2">
        <v>148264</v>
      </c>
      <c r="C1074" s="2">
        <v>441256</v>
      </c>
      <c r="E1074" t="s">
        <v>855</v>
      </c>
      <c r="I1074" s="15">
        <v>9.5690999999999998E-2</v>
      </c>
      <c r="L1074" s="15"/>
      <c r="AM1074" s="14"/>
      <c r="AN1074" s="14">
        <v>9.5690999999999998E-2</v>
      </c>
      <c r="AO1074" s="14"/>
      <c r="AP1074" s="14"/>
      <c r="AQ1074" s="51"/>
      <c r="AR1074" s="19">
        <v>8.4722222222222213E-2</v>
      </c>
    </row>
    <row r="1075" spans="1:44" s="3" customFormat="1" x14ac:dyDescent="0.2">
      <c r="A1075" s="4">
        <v>180699</v>
      </c>
      <c r="B1075" s="4" t="s">
        <v>773</v>
      </c>
      <c r="C1075" s="4">
        <v>330274</v>
      </c>
      <c r="D1075" s="4"/>
      <c r="E1075" s="3" t="s">
        <v>1477</v>
      </c>
      <c r="H1075" s="4"/>
      <c r="I1075" s="16"/>
      <c r="J1075" s="16"/>
      <c r="K1075" s="16"/>
      <c r="L1075" s="16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>
        <v>0.108872</v>
      </c>
      <c r="AK1075" s="4"/>
      <c r="AL1075" s="9"/>
      <c r="AM1075" s="46"/>
      <c r="AN1075" s="46"/>
      <c r="AO1075" s="46"/>
      <c r="AP1075" s="46"/>
      <c r="AQ1075" s="52"/>
      <c r="AR1075" s="23"/>
    </row>
    <row r="1076" spans="1:44" x14ac:dyDescent="0.2">
      <c r="A1076" s="2">
        <v>183568</v>
      </c>
      <c r="B1076" s="2">
        <v>148434</v>
      </c>
      <c r="C1076" s="2">
        <v>754802</v>
      </c>
      <c r="E1076" t="s">
        <v>815</v>
      </c>
      <c r="I1076" s="15">
        <v>5.4674E-2</v>
      </c>
      <c r="L1076" s="15"/>
      <c r="AM1076" s="14"/>
      <c r="AN1076" s="14">
        <v>5.4670999999999997E-2</v>
      </c>
      <c r="AO1076" s="14"/>
      <c r="AP1076" s="14"/>
      <c r="AQ1076" s="51"/>
      <c r="AR1076" s="19">
        <v>9.4444444444444442E-2</v>
      </c>
    </row>
    <row r="1077" spans="1:44" x14ac:dyDescent="0.2">
      <c r="A1077" s="2">
        <v>185850</v>
      </c>
      <c r="B1077" s="2">
        <v>156510</v>
      </c>
      <c r="C1077" s="2">
        <v>74957</v>
      </c>
      <c r="E1077" t="s">
        <v>824</v>
      </c>
      <c r="I1077" s="15">
        <v>0.60908600000000002</v>
      </c>
      <c r="L1077" s="15"/>
      <c r="AM1077" s="14"/>
      <c r="AN1077" s="14">
        <v>0.60908600000000002</v>
      </c>
      <c r="AO1077" s="14"/>
      <c r="AP1077" s="14"/>
      <c r="AQ1077" s="51"/>
      <c r="AR1077" s="19">
        <v>0.31597222222222221</v>
      </c>
    </row>
    <row r="1078" spans="1:44" x14ac:dyDescent="0.2">
      <c r="A1078" s="2">
        <v>189602</v>
      </c>
      <c r="B1078" s="2">
        <v>158155</v>
      </c>
      <c r="C1078" s="2">
        <v>39283</v>
      </c>
      <c r="E1078" t="s">
        <v>784</v>
      </c>
      <c r="I1078" s="15">
        <v>1.0269999999999999</v>
      </c>
      <c r="L1078" s="15"/>
      <c r="AM1078" s="14"/>
      <c r="AN1078" s="14">
        <v>1.0269999999999999</v>
      </c>
      <c r="AO1078" s="14"/>
      <c r="AP1078" s="14"/>
      <c r="AQ1078" s="51"/>
      <c r="AR1078" s="22">
        <v>0.56805555555555554</v>
      </c>
    </row>
    <row r="1079" spans="1:44" x14ac:dyDescent="0.2">
      <c r="A1079" s="2">
        <v>193626</v>
      </c>
      <c r="B1079" s="2">
        <v>160348</v>
      </c>
      <c r="C1079" s="2">
        <v>315288</v>
      </c>
      <c r="E1079" t="s">
        <v>976</v>
      </c>
      <c r="I1079" s="15">
        <v>0.10598</v>
      </c>
      <c r="L1079" s="15"/>
      <c r="AM1079" s="14"/>
      <c r="AN1079" s="14">
        <v>0.10598</v>
      </c>
      <c r="AO1079" s="14"/>
      <c r="AP1079" s="14"/>
      <c r="AQ1079" s="51"/>
      <c r="AR1079" s="22">
        <v>0.1673611111111111</v>
      </c>
    </row>
    <row r="1080" spans="1:44" x14ac:dyDescent="0.2">
      <c r="A1080" s="2">
        <v>194991</v>
      </c>
      <c r="B1080" s="2">
        <v>162240</v>
      </c>
      <c r="C1080" s="2">
        <v>836526</v>
      </c>
      <c r="E1080" t="s">
        <v>816</v>
      </c>
      <c r="I1080" s="15">
        <v>5.1083999999999997E-2</v>
      </c>
      <c r="L1080" s="15"/>
      <c r="AM1080" s="14"/>
      <c r="AN1080" s="14">
        <v>5.1083999999999997E-2</v>
      </c>
      <c r="AO1080" s="14"/>
      <c r="AP1080" s="14"/>
      <c r="AQ1080" s="51"/>
      <c r="AR1080" s="22">
        <v>5.4166666666666669E-2</v>
      </c>
    </row>
    <row r="1081" spans="1:44" x14ac:dyDescent="0.2">
      <c r="A1081" s="2">
        <v>196044</v>
      </c>
      <c r="B1081" s="2">
        <v>29678</v>
      </c>
      <c r="C1081" s="2">
        <v>502782</v>
      </c>
      <c r="E1081" t="s">
        <v>800</v>
      </c>
      <c r="I1081" s="15">
        <v>8.6777999999999994E-2</v>
      </c>
      <c r="L1081" s="15"/>
      <c r="AM1081" s="14"/>
      <c r="AN1081" s="14">
        <v>8.6777999999999994E-2</v>
      </c>
      <c r="AO1081" s="14"/>
      <c r="AP1081" s="14"/>
      <c r="AQ1081" s="51"/>
      <c r="AR1081" s="22">
        <v>0.11666666666666665</v>
      </c>
    </row>
    <row r="1082" spans="1:44" x14ac:dyDescent="0.2">
      <c r="A1082" s="2">
        <v>198261</v>
      </c>
      <c r="B1082" s="2">
        <v>165077</v>
      </c>
      <c r="C1082" s="2">
        <v>473156</v>
      </c>
      <c r="E1082" t="s">
        <v>839</v>
      </c>
      <c r="I1082" s="15">
        <v>0.10972999999999999</v>
      </c>
      <c r="L1082" s="15"/>
      <c r="O1082" s="64"/>
      <c r="P1082" s="64"/>
      <c r="Q1082" s="64"/>
      <c r="R1082" s="64"/>
      <c r="S1082" s="64"/>
      <c r="T1082" s="64"/>
      <c r="U1082" s="64"/>
      <c r="V1082" s="64"/>
      <c r="W1082" s="64"/>
      <c r="X1082" s="64"/>
      <c r="Y1082" s="64"/>
      <c r="Z1082" s="64"/>
      <c r="AA1082" s="64"/>
      <c r="AB1082" s="64"/>
      <c r="AC1082" s="64"/>
      <c r="AD1082" s="64"/>
      <c r="AE1082" s="64"/>
      <c r="AF1082" s="64"/>
      <c r="AG1082" s="64"/>
      <c r="AH1082" s="64"/>
      <c r="AI1082" s="64"/>
      <c r="AJ1082" s="64"/>
      <c r="AL1082" s="1">
        <v>0.17116999999999999</v>
      </c>
      <c r="AM1082" s="14"/>
      <c r="AN1082" s="14">
        <v>0.10972999999999999</v>
      </c>
      <c r="AO1082" s="14"/>
      <c r="AP1082" s="14"/>
      <c r="AQ1082" s="51"/>
      <c r="AR1082" s="22">
        <v>4.8611111111111112E-2</v>
      </c>
    </row>
    <row r="1083" spans="1:44" x14ac:dyDescent="0.2">
      <c r="A1083" s="2">
        <v>206518</v>
      </c>
      <c r="B1083" s="2">
        <v>165117</v>
      </c>
      <c r="C1083" s="2">
        <v>402841</v>
      </c>
      <c r="E1083" t="s">
        <v>863</v>
      </c>
      <c r="I1083" s="15">
        <v>0.13608400000000001</v>
      </c>
      <c r="L1083" s="15"/>
      <c r="AM1083" s="14"/>
      <c r="AN1083" s="14">
        <v>0.13608400000000001</v>
      </c>
      <c r="AO1083" s="14"/>
      <c r="AP1083" s="14"/>
      <c r="AQ1083" s="51"/>
      <c r="AR1083" s="22">
        <v>3.3333333333333333E-2</v>
      </c>
    </row>
    <row r="1084" spans="1:44" x14ac:dyDescent="0.2">
      <c r="A1084" s="2">
        <v>215398</v>
      </c>
      <c r="B1084" s="2">
        <v>165214</v>
      </c>
      <c r="C1084" s="2">
        <v>745454</v>
      </c>
      <c r="E1084" t="s">
        <v>814</v>
      </c>
      <c r="I1084" s="15">
        <v>6.0047999999999997E-2</v>
      </c>
      <c r="L1084" s="15"/>
      <c r="AM1084" s="14"/>
      <c r="AN1084" s="14">
        <v>6.0047999999999997E-2</v>
      </c>
      <c r="AO1084" s="14"/>
      <c r="AP1084" s="14"/>
      <c r="AQ1084" s="51"/>
      <c r="AR1084" s="22">
        <v>6.25E-2</v>
      </c>
    </row>
    <row r="1085" spans="1:44" x14ac:dyDescent="0.2">
      <c r="A1085" s="2">
        <v>220383</v>
      </c>
      <c r="B1085" s="2">
        <v>175073</v>
      </c>
      <c r="C1085" s="2">
        <v>5868</v>
      </c>
      <c r="E1085" t="s">
        <v>1049</v>
      </c>
      <c r="I1085" s="15">
        <v>7.9880000000000004</v>
      </c>
      <c r="L1085" s="15"/>
      <c r="AM1085" s="14"/>
      <c r="AN1085" s="14">
        <v>7.9880000000000004</v>
      </c>
      <c r="AO1085" s="14"/>
      <c r="AP1085" s="14"/>
      <c r="AQ1085" s="51"/>
      <c r="AR1085" s="19">
        <v>0.14722222222222223</v>
      </c>
    </row>
    <row r="1086" spans="1:44" x14ac:dyDescent="0.2">
      <c r="A1086" s="2">
        <v>233390</v>
      </c>
      <c r="B1086" s="2">
        <v>179492</v>
      </c>
      <c r="C1086" s="2">
        <v>196245</v>
      </c>
      <c r="E1086" t="s">
        <v>1111</v>
      </c>
      <c r="I1086" s="15">
        <v>0.29372900000000002</v>
      </c>
      <c r="L1086" s="15"/>
      <c r="AM1086" s="14"/>
      <c r="AN1086" s="14">
        <v>0.29372900000000002</v>
      </c>
      <c r="AO1086" s="14"/>
      <c r="AP1086" s="14"/>
      <c r="AQ1086" s="51"/>
      <c r="AR1086" s="22">
        <v>5.7638888888888885E-2</v>
      </c>
    </row>
    <row r="1087" spans="1:44" x14ac:dyDescent="0.2">
      <c r="A1087" s="2">
        <v>239872</v>
      </c>
      <c r="B1087" s="2">
        <v>180116</v>
      </c>
      <c r="C1087" s="2">
        <v>290877</v>
      </c>
      <c r="E1087" t="s">
        <v>884</v>
      </c>
      <c r="I1087" s="15">
        <v>0.11515400000000001</v>
      </c>
      <c r="L1087" s="15"/>
      <c r="AM1087" s="14"/>
      <c r="AN1087" s="14">
        <v>0.11515400000000001</v>
      </c>
      <c r="AO1087" s="14"/>
      <c r="AP1087" s="14"/>
      <c r="AQ1087" s="51"/>
      <c r="AR1087" s="22">
        <v>0.13263888888888889</v>
      </c>
    </row>
    <row r="1088" spans="1:44" x14ac:dyDescent="0.2">
      <c r="A1088" s="2">
        <v>249693</v>
      </c>
      <c r="B1088" s="2">
        <v>183568</v>
      </c>
      <c r="C1088" s="2">
        <v>196407</v>
      </c>
      <c r="E1088" t="s">
        <v>891</v>
      </c>
      <c r="I1088" s="15">
        <v>0.36059000000000002</v>
      </c>
      <c r="L1088" s="15"/>
      <c r="O1088" s="64"/>
      <c r="P1088" s="64"/>
      <c r="Q1088" s="64"/>
      <c r="R1088" s="64"/>
      <c r="S1088" s="64"/>
      <c r="T1088" s="64"/>
      <c r="U1088" s="64"/>
      <c r="V1088" s="64"/>
      <c r="W1088" s="64"/>
      <c r="X1088" s="64"/>
      <c r="Y1088" s="64"/>
      <c r="Z1088" s="64"/>
      <c r="AA1088" s="64"/>
      <c r="AB1088" s="64"/>
      <c r="AC1088" s="64"/>
      <c r="AD1088" s="64"/>
      <c r="AE1088" s="64"/>
      <c r="AF1088" s="64"/>
      <c r="AG1088" s="64"/>
      <c r="AH1088" s="64"/>
      <c r="AI1088" s="64"/>
      <c r="AJ1088" s="64"/>
      <c r="AL1088" s="1">
        <v>0.628861</v>
      </c>
      <c r="AM1088" s="14"/>
      <c r="AN1088" s="14">
        <v>0.36059000000000002</v>
      </c>
      <c r="AO1088" s="14"/>
      <c r="AP1088" s="14"/>
      <c r="AQ1088" s="51"/>
      <c r="AR1088" s="22">
        <v>7.6388888888888886E-3</v>
      </c>
    </row>
    <row r="1089" spans="1:44" x14ac:dyDescent="0.2">
      <c r="A1089" s="2">
        <v>251404</v>
      </c>
      <c r="B1089" s="2">
        <v>185850</v>
      </c>
      <c r="C1089" s="2">
        <v>237449</v>
      </c>
      <c r="E1089" t="s">
        <v>1127</v>
      </c>
      <c r="I1089" s="15">
        <v>0.149258</v>
      </c>
      <c r="L1089" s="15"/>
      <c r="AM1089" s="14"/>
      <c r="AN1089" s="14">
        <v>0.149258</v>
      </c>
      <c r="AO1089" s="14"/>
      <c r="AP1089" s="14"/>
      <c r="AQ1089" s="51"/>
      <c r="AR1089" s="22">
        <v>0.11944444444444445</v>
      </c>
    </row>
    <row r="1090" spans="1:44" x14ac:dyDescent="0.2">
      <c r="A1090" s="2">
        <v>266787</v>
      </c>
      <c r="B1090" s="2">
        <v>189602</v>
      </c>
      <c r="C1090" s="2">
        <v>721521</v>
      </c>
      <c r="E1090" t="s">
        <v>910</v>
      </c>
      <c r="I1090" s="15">
        <v>5.7058999999999999E-2</v>
      </c>
      <c r="L1090" s="15"/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4"/>
      <c r="Z1090" s="64"/>
      <c r="AA1090" s="64"/>
      <c r="AB1090" s="64"/>
      <c r="AC1090" s="64"/>
      <c r="AD1090" s="64"/>
      <c r="AE1090" s="64"/>
      <c r="AF1090" s="64"/>
      <c r="AG1090" s="64"/>
      <c r="AH1090" s="64"/>
      <c r="AI1090" s="64"/>
      <c r="AJ1090" s="64"/>
      <c r="AL1090" s="1">
        <v>7.0493E-2</v>
      </c>
      <c r="AM1090" s="14"/>
      <c r="AN1090" s="14">
        <v>5.7058999999999999E-2</v>
      </c>
      <c r="AO1090" s="14"/>
      <c r="AP1090" s="14"/>
      <c r="AQ1090" s="51"/>
      <c r="AR1090" s="22">
        <v>5.9722222222222225E-2</v>
      </c>
    </row>
    <row r="1091" spans="1:44" x14ac:dyDescent="0.2">
      <c r="A1091" s="2">
        <v>275806</v>
      </c>
      <c r="B1091" s="2">
        <v>193626</v>
      </c>
      <c r="C1091" s="2">
        <v>31718</v>
      </c>
      <c r="E1091" t="s">
        <v>1133</v>
      </c>
      <c r="I1091" s="15">
        <v>1.865</v>
      </c>
      <c r="L1091" s="15"/>
      <c r="AM1091" s="14"/>
      <c r="AN1091" s="14">
        <v>1.865</v>
      </c>
      <c r="AO1091" s="14"/>
      <c r="AP1091" s="14"/>
      <c r="AQ1091" s="51"/>
      <c r="AR1091" s="19">
        <v>0.12222222222222223</v>
      </c>
    </row>
    <row r="1092" spans="1:44" x14ac:dyDescent="0.2">
      <c r="A1092" s="2">
        <v>276728</v>
      </c>
      <c r="B1092" s="2">
        <v>194991</v>
      </c>
      <c r="C1092" s="2">
        <v>229666</v>
      </c>
      <c r="E1092" t="s">
        <v>791</v>
      </c>
      <c r="I1092" s="15">
        <v>0.221168</v>
      </c>
      <c r="L1092" s="15"/>
      <c r="AM1092" s="14"/>
      <c r="AN1092" s="14">
        <v>0.221168</v>
      </c>
      <c r="AO1092" s="14"/>
      <c r="AP1092" s="14"/>
      <c r="AQ1092" s="51"/>
      <c r="AR1092" s="22">
        <v>0.15</v>
      </c>
    </row>
    <row r="1093" spans="1:44" x14ac:dyDescent="0.2">
      <c r="A1093" s="2">
        <v>287152</v>
      </c>
      <c r="B1093" s="2">
        <v>196044</v>
      </c>
      <c r="C1093" s="2">
        <v>1541548</v>
      </c>
      <c r="E1093" t="s">
        <v>894</v>
      </c>
      <c r="I1093" s="15">
        <v>2.3637999999999999E-2</v>
      </c>
      <c r="L1093" s="15"/>
      <c r="AM1093" s="14"/>
      <c r="AN1093" s="14">
        <v>2.3637999999999999E-2</v>
      </c>
      <c r="AO1093" s="14"/>
      <c r="AP1093" s="14"/>
      <c r="AQ1093" s="51"/>
      <c r="AR1093" s="22">
        <v>6.3194444444444442E-2</v>
      </c>
    </row>
    <row r="1094" spans="1:44" x14ac:dyDescent="0.2">
      <c r="A1094" s="2">
        <v>287556</v>
      </c>
      <c r="B1094" s="2">
        <v>198261</v>
      </c>
      <c r="C1094" s="2">
        <v>111916</v>
      </c>
      <c r="E1094" t="s">
        <v>1110</v>
      </c>
      <c r="I1094" s="15">
        <v>0.36848599999999998</v>
      </c>
      <c r="L1094" s="15"/>
      <c r="AM1094" s="14"/>
      <c r="AN1094" s="14">
        <v>0.36848599999999998</v>
      </c>
      <c r="AO1094" s="14"/>
      <c r="AP1094" s="14"/>
      <c r="AQ1094" s="51"/>
      <c r="AR1094" s="22">
        <v>6.7361111111111108E-2</v>
      </c>
    </row>
    <row r="1095" spans="1:44" x14ac:dyDescent="0.2">
      <c r="A1095" s="2">
        <v>281091</v>
      </c>
      <c r="B1095" s="2">
        <v>206518</v>
      </c>
      <c r="C1095" s="2">
        <v>396061</v>
      </c>
      <c r="E1095" t="s">
        <v>994</v>
      </c>
      <c r="I1095" s="15">
        <v>0.14083300000000001</v>
      </c>
      <c r="L1095" s="15"/>
      <c r="AM1095" s="14"/>
      <c r="AN1095" s="14">
        <v>0.14083300000000001</v>
      </c>
      <c r="AO1095" s="14"/>
      <c r="AP1095" s="14"/>
      <c r="AQ1095" s="51"/>
      <c r="AR1095" s="22">
        <v>2.9861111111111113E-2</v>
      </c>
    </row>
    <row r="1096" spans="1:44" x14ac:dyDescent="0.2">
      <c r="A1096" s="2">
        <v>288094</v>
      </c>
      <c r="B1096" s="2">
        <v>215398</v>
      </c>
      <c r="C1096" s="2">
        <v>290348</v>
      </c>
      <c r="E1096" t="s">
        <v>978</v>
      </c>
      <c r="I1096" s="15">
        <v>0.17930199999999999</v>
      </c>
      <c r="L1096" s="15"/>
      <c r="AM1096" s="14"/>
      <c r="AN1096" s="14">
        <v>0.17930199999999999</v>
      </c>
      <c r="AO1096" s="14"/>
      <c r="AP1096" s="14"/>
      <c r="AQ1096" s="51"/>
      <c r="AR1096" s="22">
        <v>4.8611111111111112E-2</v>
      </c>
    </row>
    <row r="1097" spans="1:44" x14ac:dyDescent="0.2">
      <c r="A1097" s="2">
        <v>299812</v>
      </c>
      <c r="B1097" s="2">
        <v>220383</v>
      </c>
      <c r="C1097" s="2">
        <v>1073909</v>
      </c>
      <c r="E1097" t="s">
        <v>1000</v>
      </c>
      <c r="I1097" s="15">
        <v>4.7247999999999998E-2</v>
      </c>
      <c r="L1097" s="15"/>
      <c r="AM1097" s="14"/>
      <c r="AN1097" s="14">
        <v>4.7247999999999998E-2</v>
      </c>
      <c r="AO1097" s="14"/>
      <c r="AP1097" s="14"/>
      <c r="AQ1097" s="51"/>
      <c r="AR1097" s="22">
        <v>6.805555555555555E-2</v>
      </c>
    </row>
    <row r="1098" spans="1:44" x14ac:dyDescent="0.2">
      <c r="A1098" s="2">
        <v>302947</v>
      </c>
      <c r="B1098" s="2">
        <v>233390</v>
      </c>
      <c r="C1098" s="2">
        <v>1519075</v>
      </c>
      <c r="E1098" t="s">
        <v>876</v>
      </c>
      <c r="I1098" s="15">
        <v>1.7176E-2</v>
      </c>
      <c r="L1098" s="15"/>
      <c r="AM1098" s="14"/>
      <c r="AN1098" s="14">
        <v>1.7176E-2</v>
      </c>
      <c r="AO1098" s="14"/>
      <c r="AP1098" s="14"/>
      <c r="AQ1098" s="51"/>
      <c r="AR1098" s="22">
        <v>0.15833333333333333</v>
      </c>
    </row>
    <row r="1099" spans="1:44" x14ac:dyDescent="0.2">
      <c r="A1099" s="2">
        <v>310908</v>
      </c>
      <c r="B1099" s="2">
        <v>239872</v>
      </c>
      <c r="C1099" s="2">
        <v>1110206</v>
      </c>
      <c r="E1099" t="s">
        <v>975</v>
      </c>
      <c r="I1099" s="15">
        <v>4.1696999999999998E-2</v>
      </c>
      <c r="L1099" s="15"/>
      <c r="AM1099" s="14"/>
      <c r="AN1099" s="14">
        <v>4.1696999999999998E-2</v>
      </c>
      <c r="AO1099" s="14"/>
      <c r="AP1099" s="14"/>
      <c r="AQ1099" s="51"/>
      <c r="AR1099" s="22">
        <v>5.4166666666666669E-2</v>
      </c>
    </row>
    <row r="1100" spans="1:44" x14ac:dyDescent="0.2">
      <c r="A1100" s="2">
        <v>311388</v>
      </c>
      <c r="B1100" s="2">
        <v>249693</v>
      </c>
      <c r="C1100" s="2">
        <v>1019461</v>
      </c>
      <c r="E1100" t="s">
        <v>854</v>
      </c>
      <c r="I1100" s="15">
        <v>3.8109999999999998E-2</v>
      </c>
      <c r="L1100" s="15"/>
      <c r="AM1100" s="14"/>
      <c r="AN1100" s="14">
        <v>3.8109999999999998E-2</v>
      </c>
      <c r="AO1100" s="14"/>
      <c r="AP1100" s="14"/>
      <c r="AQ1100" s="51"/>
      <c r="AR1100" s="22">
        <v>6.8749999999999992E-2</v>
      </c>
    </row>
    <row r="1101" spans="1:44" x14ac:dyDescent="0.2">
      <c r="A1101" s="2">
        <v>316010</v>
      </c>
      <c r="B1101" s="2">
        <v>251404</v>
      </c>
      <c r="C1101" s="2">
        <v>106276</v>
      </c>
      <c r="E1101" t="s">
        <v>1197</v>
      </c>
      <c r="I1101" s="15">
        <v>0.42126599999999997</v>
      </c>
      <c r="L1101" s="15"/>
      <c r="AM1101" s="14"/>
      <c r="AN1101" s="14">
        <v>0.42126599999999997</v>
      </c>
      <c r="AO1101" s="14"/>
      <c r="AP1101" s="14"/>
      <c r="AQ1101" s="51"/>
      <c r="AR1101" s="22">
        <v>8.1250000000000003E-2</v>
      </c>
    </row>
    <row r="1102" spans="1:44" x14ac:dyDescent="0.2">
      <c r="A1102" s="2">
        <v>322298</v>
      </c>
      <c r="B1102" s="2">
        <v>266787</v>
      </c>
      <c r="C1102" s="2">
        <v>217314</v>
      </c>
      <c r="E1102" t="s">
        <v>952</v>
      </c>
      <c r="I1102" s="15">
        <v>0.273484</v>
      </c>
      <c r="L1102" s="15"/>
      <c r="AM1102" s="14"/>
      <c r="AN1102" s="14">
        <v>0.273484</v>
      </c>
      <c r="AO1102" s="14"/>
      <c r="AP1102" s="14"/>
      <c r="AQ1102" s="51"/>
      <c r="AR1102" s="22">
        <v>8.5416666666666655E-2</v>
      </c>
    </row>
    <row r="1103" spans="1:44" x14ac:dyDescent="0.2">
      <c r="A1103" s="2">
        <v>323767</v>
      </c>
      <c r="B1103" s="2">
        <v>275806</v>
      </c>
      <c r="C1103" s="2">
        <v>1317153</v>
      </c>
      <c r="E1103" t="s">
        <v>958</v>
      </c>
      <c r="I1103" s="15">
        <v>1.5440000000000001E-2</v>
      </c>
      <c r="L1103" s="15"/>
      <c r="AM1103" s="14"/>
      <c r="AN1103" s="14">
        <v>1.5440000000000001E-2</v>
      </c>
      <c r="AO1103" s="14"/>
      <c r="AP1103" s="14"/>
      <c r="AQ1103" s="51"/>
      <c r="AR1103" s="22">
        <v>0.47638888888888892</v>
      </c>
    </row>
    <row r="1104" spans="1:44" x14ac:dyDescent="0.2">
      <c r="A1104" s="2">
        <v>323843</v>
      </c>
      <c r="B1104" s="2">
        <v>276728</v>
      </c>
      <c r="C1104" s="2">
        <v>534793</v>
      </c>
      <c r="E1104" t="s">
        <v>850</v>
      </c>
      <c r="I1104" s="15">
        <v>9.9955000000000002E-2</v>
      </c>
      <c r="L1104" s="15"/>
      <c r="AM1104" s="14"/>
      <c r="AN1104" s="14">
        <v>9.9955000000000002E-2</v>
      </c>
      <c r="AO1104" s="14"/>
      <c r="AP1104" s="14"/>
      <c r="AQ1104" s="51"/>
      <c r="AR1104" s="22">
        <v>5.5555555555555552E-2</v>
      </c>
    </row>
    <row r="1105" spans="1:44" x14ac:dyDescent="0.2">
      <c r="A1105" s="2">
        <v>336588</v>
      </c>
      <c r="B1105" s="2">
        <v>287152</v>
      </c>
      <c r="C1105" s="2">
        <v>495267</v>
      </c>
      <c r="E1105" t="s">
        <v>1068</v>
      </c>
      <c r="I1105" s="14">
        <v>8.1984000000000001E-2</v>
      </c>
      <c r="L1105" s="15"/>
      <c r="AM1105" s="14"/>
      <c r="AN1105" s="14">
        <v>8.1984000000000001E-2</v>
      </c>
      <c r="AO1105" s="14"/>
      <c r="AP1105" s="14"/>
      <c r="AQ1105" s="51"/>
      <c r="AR1105" s="22">
        <v>6.9444444444444434E-2</v>
      </c>
    </row>
    <row r="1106" spans="1:44" x14ac:dyDescent="0.2">
      <c r="A1106" s="2">
        <v>338642</v>
      </c>
      <c r="B1106" s="2">
        <v>287556</v>
      </c>
      <c r="C1106" s="2">
        <v>569527</v>
      </c>
      <c r="E1106" t="s">
        <v>1134</v>
      </c>
      <c r="I1106" s="14">
        <v>5.8404999999999999E-2</v>
      </c>
      <c r="J1106" s="14"/>
      <c r="K1106" s="46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L1106" s="14"/>
      <c r="AM1106" s="14"/>
      <c r="AN1106" s="14">
        <v>5.8404999999999999E-2</v>
      </c>
      <c r="AO1106" s="14"/>
      <c r="AP1106" s="14"/>
      <c r="AQ1106" s="51"/>
      <c r="AR1106" s="22">
        <v>7.4305555555555555E-2</v>
      </c>
    </row>
    <row r="1107" spans="1:44" x14ac:dyDescent="0.2">
      <c r="A1107" s="2">
        <v>343524</v>
      </c>
      <c r="B1107" s="2">
        <v>281091</v>
      </c>
      <c r="C1107" s="2">
        <v>554149</v>
      </c>
      <c r="E1107" t="s">
        <v>1040</v>
      </c>
      <c r="I1107" s="15">
        <v>6.6655000000000006E-2</v>
      </c>
      <c r="L1107" s="15"/>
      <c r="AM1107" s="14"/>
      <c r="AN1107" s="14">
        <v>6.6655000000000006E-2</v>
      </c>
      <c r="AO1107" s="14"/>
      <c r="AP1107" s="14"/>
      <c r="AQ1107" s="51"/>
      <c r="AR1107" s="19">
        <v>5.4166666666666669E-2</v>
      </c>
    </row>
    <row r="1108" spans="1:44" x14ac:dyDescent="0.2">
      <c r="A1108" s="2">
        <v>345178</v>
      </c>
      <c r="B1108" s="2">
        <v>288094</v>
      </c>
      <c r="C1108" s="2">
        <v>551260</v>
      </c>
      <c r="E1108" t="s">
        <v>893</v>
      </c>
      <c r="I1108" s="15">
        <v>7.7016000000000001E-2</v>
      </c>
      <c r="L1108" s="15"/>
      <c r="AM1108" s="14"/>
      <c r="AN1108" s="14">
        <v>7.7016000000000001E-2</v>
      </c>
      <c r="AO1108" s="14"/>
      <c r="AP1108" s="14"/>
      <c r="AQ1108" s="51"/>
      <c r="AR1108" s="22">
        <v>4.5833333333333337E-2</v>
      </c>
    </row>
    <row r="1109" spans="1:44" x14ac:dyDescent="0.2">
      <c r="A1109" s="2">
        <v>348235</v>
      </c>
      <c r="B1109" s="2">
        <v>299821</v>
      </c>
      <c r="C1109" s="2">
        <v>785259</v>
      </c>
      <c r="E1109" t="s">
        <v>864</v>
      </c>
      <c r="I1109" s="15">
        <v>5.7549999999999997E-2</v>
      </c>
      <c r="L1109" s="15"/>
      <c r="AM1109" s="14"/>
      <c r="AN1109" s="14">
        <v>5.7549999999999997E-2</v>
      </c>
      <c r="AO1109" s="14"/>
      <c r="AP1109" s="14"/>
      <c r="AQ1109" s="51"/>
      <c r="AR1109" s="22">
        <v>8.1944444444444445E-2</v>
      </c>
    </row>
    <row r="1110" spans="1:44" x14ac:dyDescent="0.2">
      <c r="A1110" s="2">
        <v>349464</v>
      </c>
      <c r="B1110" s="2">
        <v>302947</v>
      </c>
      <c r="C1110" s="2">
        <v>1439813</v>
      </c>
      <c r="E1110" t="s">
        <v>788</v>
      </c>
      <c r="I1110" s="15">
        <v>2.6478000000000002E-2</v>
      </c>
      <c r="L1110" s="15"/>
      <c r="AM1110" s="14"/>
      <c r="AN1110" s="14">
        <v>2.6478000000000002E-2</v>
      </c>
      <c r="AO1110" s="14"/>
      <c r="AP1110" s="14"/>
      <c r="AQ1110" s="51"/>
      <c r="AR1110" s="22">
        <v>5.5555555555555552E-2</v>
      </c>
    </row>
    <row r="1111" spans="1:44" x14ac:dyDescent="0.2">
      <c r="A1111" s="2">
        <v>360123</v>
      </c>
      <c r="B1111" s="2">
        <v>310908</v>
      </c>
      <c r="C1111" s="2">
        <v>815969</v>
      </c>
      <c r="E1111" t="s">
        <v>849</v>
      </c>
      <c r="I1111" s="15">
        <v>2.6478000000000002E-2</v>
      </c>
      <c r="L1111" s="15"/>
      <c r="AL1111" s="1">
        <v>3.3105999999999997E-2</v>
      </c>
      <c r="AM1111" s="14"/>
      <c r="AN1111" s="14">
        <v>2.9766999999999998E-2</v>
      </c>
      <c r="AO1111" s="14"/>
      <c r="AP1111" s="14"/>
      <c r="AQ1111" s="51"/>
      <c r="AR1111" s="22">
        <v>0.32569444444444445</v>
      </c>
    </row>
    <row r="1112" spans="1:44" x14ac:dyDescent="0.2">
      <c r="A1112" s="2">
        <v>360918</v>
      </c>
      <c r="B1112" s="2">
        <v>311388</v>
      </c>
      <c r="C1112" s="2">
        <v>734063</v>
      </c>
      <c r="E1112" t="s">
        <v>921</v>
      </c>
      <c r="I1112" s="15">
        <v>6.6060999999999995E-2</v>
      </c>
      <c r="L1112" s="15"/>
      <c r="AM1112" s="14"/>
      <c r="AN1112" s="14">
        <v>6.6060999999999995E-2</v>
      </c>
      <c r="AO1112" s="14"/>
      <c r="AP1112" s="14"/>
      <c r="AQ1112" s="51"/>
      <c r="AR1112" s="22">
        <v>0.1125</v>
      </c>
    </row>
    <row r="1113" spans="1:44" x14ac:dyDescent="0.2">
      <c r="A1113" s="2">
        <v>389962</v>
      </c>
      <c r="B1113" s="2">
        <v>316010</v>
      </c>
      <c r="C1113" s="2">
        <v>688196</v>
      </c>
      <c r="E1113" t="s">
        <v>823</v>
      </c>
      <c r="I1113" s="15">
        <v>6.9675000000000001E-2</v>
      </c>
      <c r="L1113" s="15"/>
      <c r="AM1113" s="14"/>
      <c r="AN1113" s="14">
        <v>6.9675000000000001E-2</v>
      </c>
      <c r="AO1113" s="14"/>
      <c r="AP1113" s="14"/>
      <c r="AQ1113" s="51"/>
      <c r="AR1113" s="22">
        <v>2.8472222222222222E-2</v>
      </c>
    </row>
    <row r="1114" spans="1:44" s="3" customFormat="1" x14ac:dyDescent="0.2">
      <c r="A1114" s="4">
        <v>582240</v>
      </c>
      <c r="B1114" s="4">
        <v>393631</v>
      </c>
      <c r="C1114" s="4">
        <v>1677567</v>
      </c>
      <c r="D1114" s="4"/>
      <c r="E1114" s="3" t="s">
        <v>922</v>
      </c>
      <c r="H1114" s="4"/>
      <c r="I1114" s="16">
        <v>1.9050000000000001E-2</v>
      </c>
      <c r="J1114" s="16"/>
      <c r="K1114" s="16"/>
      <c r="L1114" s="16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16">
        <v>1.3309E-2</v>
      </c>
      <c r="AK1114" s="4"/>
      <c r="AL1114" s="9"/>
      <c r="AM1114" s="46"/>
      <c r="AN1114" s="46">
        <v>1.9050000000000001E-2</v>
      </c>
      <c r="AO1114" s="46"/>
      <c r="AP1114" s="46"/>
      <c r="AQ1114" s="52"/>
      <c r="AR1114" s="48">
        <v>0.11319444444444444</v>
      </c>
    </row>
    <row r="1115" spans="1:44" x14ac:dyDescent="0.2">
      <c r="A1115" s="2">
        <v>397878</v>
      </c>
      <c r="B1115" s="2">
        <v>323767</v>
      </c>
      <c r="C1115" s="2">
        <v>1070407</v>
      </c>
      <c r="E1115" t="s">
        <v>860</v>
      </c>
      <c r="I1115" s="15">
        <v>3.8234999999999998E-2</v>
      </c>
      <c r="L1115" s="15"/>
      <c r="AM1115" s="14"/>
      <c r="AN1115" s="14">
        <v>3.8234999999999998E-2</v>
      </c>
      <c r="AO1115" s="14"/>
      <c r="AP1115" s="14"/>
      <c r="AQ1115" s="51"/>
      <c r="AR1115" s="22">
        <v>2.4305555555555556E-2</v>
      </c>
    </row>
    <row r="1116" spans="1:44" x14ac:dyDescent="0.2">
      <c r="A1116" s="2">
        <v>417182</v>
      </c>
      <c r="B1116" s="2">
        <v>323843</v>
      </c>
      <c r="C1116" s="2">
        <v>1072306</v>
      </c>
      <c r="E1116" t="s">
        <v>787</v>
      </c>
      <c r="I1116" s="15">
        <v>2.2433000000000002E-2</v>
      </c>
      <c r="L1116" s="15"/>
      <c r="AM1116" s="14"/>
      <c r="AN1116" s="14">
        <v>2.2433000000000002E-2</v>
      </c>
      <c r="AO1116" s="14"/>
      <c r="AP1116" s="14"/>
      <c r="AQ1116" s="51"/>
      <c r="AR1116" s="22">
        <v>0.51597222222222217</v>
      </c>
    </row>
    <row r="1117" spans="1:44" x14ac:dyDescent="0.2">
      <c r="A1117" s="2">
        <v>420515</v>
      </c>
      <c r="B1117" s="2">
        <v>336588</v>
      </c>
      <c r="C1117" s="2">
        <v>988217</v>
      </c>
      <c r="E1117" t="s">
        <v>810</v>
      </c>
      <c r="I1117" s="15">
        <v>3.8457999999999999E-2</v>
      </c>
      <c r="L1117" s="15"/>
      <c r="AM1117" s="14"/>
      <c r="AN1117" s="14">
        <v>3.8457999999999999E-2</v>
      </c>
      <c r="AO1117" s="14"/>
      <c r="AP1117" s="14"/>
      <c r="AQ1117" s="51"/>
      <c r="AR1117" s="22">
        <v>0.11388888888888889</v>
      </c>
    </row>
    <row r="1118" spans="1:44" x14ac:dyDescent="0.2">
      <c r="A1118" s="2">
        <v>421512</v>
      </c>
      <c r="B1118" s="2">
        <v>338642</v>
      </c>
      <c r="C1118" s="2">
        <v>1298181</v>
      </c>
      <c r="E1118" t="s">
        <v>920</v>
      </c>
      <c r="I1118" s="15">
        <v>2.4740999999999999E-2</v>
      </c>
      <c r="L1118" s="15"/>
      <c r="AM1118" s="14"/>
      <c r="AN1118" s="14">
        <v>2.4740999999999999E-2</v>
      </c>
      <c r="AO1118" s="14"/>
      <c r="AP1118" s="14"/>
      <c r="AQ1118" s="51"/>
      <c r="AR1118" s="22">
        <v>0.14444444444444446</v>
      </c>
    </row>
    <row r="1119" spans="1:44" x14ac:dyDescent="0.2">
      <c r="A1119" s="2">
        <v>421859</v>
      </c>
      <c r="B1119" s="2">
        <v>343524</v>
      </c>
      <c r="C1119" s="2">
        <v>874137</v>
      </c>
      <c r="E1119" t="s">
        <v>877</v>
      </c>
      <c r="I1119" s="15">
        <v>4.3948000000000001E-2</v>
      </c>
      <c r="L1119" s="15"/>
      <c r="AM1119" s="14"/>
      <c r="AN1119" s="14">
        <v>4.3948000000000001E-2</v>
      </c>
      <c r="AO1119" s="14"/>
      <c r="AP1119" s="14"/>
      <c r="AQ1119" s="51"/>
      <c r="AR1119" s="22">
        <v>0.23333333333333331</v>
      </c>
    </row>
    <row r="1120" spans="1:44" x14ac:dyDescent="0.2">
      <c r="A1120" s="2">
        <v>433666</v>
      </c>
      <c r="B1120" s="2">
        <v>345178</v>
      </c>
      <c r="C1120" s="2">
        <v>609532</v>
      </c>
      <c r="E1120" t="s">
        <v>931</v>
      </c>
      <c r="I1120" s="15">
        <v>7.2140999999999997E-2</v>
      </c>
      <c r="L1120" s="15"/>
      <c r="AM1120" s="14"/>
      <c r="AN1120" s="14">
        <v>7.2140999999999997E-2</v>
      </c>
      <c r="AO1120" s="14"/>
      <c r="AP1120" s="14"/>
      <c r="AQ1120" s="51"/>
      <c r="AR1120" s="22">
        <v>3.5416666666666666E-2</v>
      </c>
    </row>
    <row r="1121" spans="1:44" x14ac:dyDescent="0.2">
      <c r="A1121" s="2">
        <v>444554</v>
      </c>
      <c r="B1121" s="2">
        <v>348235</v>
      </c>
      <c r="C1121" s="2">
        <v>1471268</v>
      </c>
      <c r="E1121" t="s">
        <v>852</v>
      </c>
      <c r="I1121" s="15">
        <v>2.9928E-2</v>
      </c>
      <c r="L1121" s="15"/>
      <c r="AM1121" s="14"/>
      <c r="AN1121" s="14">
        <v>2.9928E-2</v>
      </c>
      <c r="AO1121" s="14"/>
      <c r="AP1121" s="14"/>
      <c r="AQ1121" s="51"/>
      <c r="AR1121" s="22">
        <v>9.5833333333333326E-2</v>
      </c>
    </row>
    <row r="1122" spans="1:44" x14ac:dyDescent="0.2">
      <c r="A1122" s="2">
        <v>444657</v>
      </c>
      <c r="B1122" s="2">
        <v>349464</v>
      </c>
      <c r="C1122" s="2">
        <v>527587</v>
      </c>
      <c r="E1122" t="s">
        <v>793</v>
      </c>
      <c r="I1122" s="15">
        <v>6.6556000000000004E-2</v>
      </c>
      <c r="L1122" s="15"/>
      <c r="AM1122" s="14"/>
      <c r="AN1122" s="14">
        <v>6.6556000000000004E-2</v>
      </c>
      <c r="AO1122" s="14"/>
      <c r="AP1122" s="14"/>
      <c r="AQ1122" s="51"/>
      <c r="AR1122" s="22">
        <v>0.2590277777777778</v>
      </c>
    </row>
    <row r="1123" spans="1:44" x14ac:dyDescent="0.2">
      <c r="A1123" s="2">
        <v>445215</v>
      </c>
      <c r="B1123" s="2">
        <v>360123</v>
      </c>
      <c r="C1123" s="2">
        <v>353271</v>
      </c>
      <c r="E1123" t="s">
        <v>986</v>
      </c>
      <c r="I1123" s="15">
        <v>0.119949</v>
      </c>
      <c r="L1123" s="15"/>
      <c r="AM1123" s="14"/>
      <c r="AN1123" s="14">
        <v>0.119949</v>
      </c>
      <c r="AO1123" s="14"/>
      <c r="AP1123" s="14"/>
      <c r="AQ1123" s="51"/>
      <c r="AR1123" s="19">
        <v>8.1944444444444445E-2</v>
      </c>
    </row>
    <row r="1124" spans="1:44" x14ac:dyDescent="0.2">
      <c r="A1124" s="2">
        <v>446715</v>
      </c>
      <c r="B1124" s="2">
        <v>360918</v>
      </c>
      <c r="C1124" s="2">
        <v>902966</v>
      </c>
      <c r="E1124" t="s">
        <v>885</v>
      </c>
      <c r="I1124" s="15">
        <v>3.8922999999999999E-2</v>
      </c>
      <c r="L1124" s="15"/>
      <c r="AM1124" s="14"/>
      <c r="AN1124" s="14">
        <v>3.8922999999999999E-2</v>
      </c>
      <c r="AO1124" s="14"/>
      <c r="AP1124" s="14"/>
      <c r="AQ1124" s="51"/>
      <c r="AR1124" s="22">
        <v>5.4166666666666669E-2</v>
      </c>
    </row>
    <row r="1125" spans="1:44" x14ac:dyDescent="0.2">
      <c r="A1125" s="2">
        <v>449963</v>
      </c>
      <c r="B1125" s="2">
        <v>389962</v>
      </c>
      <c r="C1125" s="2">
        <v>1735572</v>
      </c>
      <c r="E1125" t="s">
        <v>861</v>
      </c>
      <c r="I1125" s="15">
        <v>2.3448E-2</v>
      </c>
      <c r="L1125" s="15"/>
      <c r="AM1125" s="14"/>
      <c r="AN1125" s="14">
        <v>2.3448E-2</v>
      </c>
      <c r="AO1125" s="14"/>
      <c r="AP1125" s="14"/>
      <c r="AQ1125" s="51"/>
      <c r="AR1125" s="22">
        <v>3.8194444444444441E-2</v>
      </c>
    </row>
    <row r="1126" spans="1:44" x14ac:dyDescent="0.2">
      <c r="A1126" s="2">
        <v>450134</v>
      </c>
      <c r="B1126" s="2">
        <v>393631</v>
      </c>
      <c r="C1126" s="2">
        <v>1693143</v>
      </c>
      <c r="E1126" t="s">
        <v>818</v>
      </c>
      <c r="I1126" s="15">
        <v>1.7038000000000001E-2</v>
      </c>
      <c r="L1126" s="15"/>
      <c r="AM1126" s="14"/>
      <c r="AN1126" s="14">
        <v>1.7038000000000001E-2</v>
      </c>
      <c r="AO1126" s="14"/>
      <c r="AP1126" s="14"/>
      <c r="AQ1126" s="51"/>
      <c r="AR1126" s="22">
        <v>0.13749999999999998</v>
      </c>
    </row>
    <row r="1127" spans="1:44" x14ac:dyDescent="0.2">
      <c r="A1127" s="2">
        <v>454688</v>
      </c>
      <c r="B1127" s="2">
        <v>397878</v>
      </c>
      <c r="C1127" s="2">
        <v>445551</v>
      </c>
      <c r="E1127" t="s">
        <v>1109</v>
      </c>
      <c r="I1127" s="15">
        <v>9.9835999999999994E-2</v>
      </c>
      <c r="L1127" s="15"/>
      <c r="AM1127" s="14"/>
      <c r="AN1127" s="14">
        <v>9.9835999999999994E-2</v>
      </c>
      <c r="AO1127" s="14"/>
      <c r="AP1127" s="14"/>
      <c r="AQ1127" s="51"/>
      <c r="AR1127" s="22">
        <v>7.5694444444444439E-2</v>
      </c>
    </row>
    <row r="1128" spans="1:44" x14ac:dyDescent="0.2">
      <c r="A1128" s="2">
        <v>467431</v>
      </c>
      <c r="B1128" s="2">
        <v>417182</v>
      </c>
      <c r="C1128" s="2">
        <v>842967</v>
      </c>
      <c r="E1128" t="s">
        <v>880</v>
      </c>
      <c r="I1128" s="15">
        <v>5.3367999999999999E-2</v>
      </c>
      <c r="L1128" s="15"/>
      <c r="AM1128" s="14"/>
      <c r="AN1128" s="14">
        <v>5.3367999999999999E-2</v>
      </c>
      <c r="AO1128" s="14"/>
      <c r="AP1128" s="14"/>
      <c r="AQ1128" s="51"/>
      <c r="AR1128" s="22">
        <v>8.2638888888888887E-2</v>
      </c>
    </row>
    <row r="1129" spans="1:44" x14ac:dyDescent="0.2">
      <c r="A1129" s="2">
        <v>488080</v>
      </c>
      <c r="B1129" s="2">
        <v>420515</v>
      </c>
      <c r="C1129" s="2">
        <v>1747853</v>
      </c>
      <c r="E1129" t="s">
        <v>811</v>
      </c>
      <c r="I1129" s="15">
        <v>2.2540000000000001E-2</v>
      </c>
      <c r="L1129" s="15"/>
      <c r="AM1129" s="14"/>
      <c r="AN1129" s="14">
        <v>2.2540000000000001E-2</v>
      </c>
      <c r="AO1129" s="14"/>
      <c r="AP1129" s="14"/>
      <c r="AQ1129" s="51"/>
      <c r="AR1129" s="22">
        <v>3.888888888888889E-2</v>
      </c>
    </row>
    <row r="1130" spans="1:44" x14ac:dyDescent="0.2">
      <c r="A1130" s="2">
        <v>490173</v>
      </c>
      <c r="B1130" s="2">
        <v>421512</v>
      </c>
      <c r="C1130" s="2">
        <v>90271</v>
      </c>
      <c r="E1130" t="s">
        <v>1048</v>
      </c>
      <c r="I1130" s="15">
        <v>0.72974600000000001</v>
      </c>
      <c r="L1130" s="15"/>
      <c r="AM1130" s="14"/>
      <c r="AN1130" s="14">
        <v>0.72974600000000001</v>
      </c>
      <c r="AO1130" s="14"/>
      <c r="AP1130" s="14"/>
      <c r="AQ1130" s="51"/>
      <c r="AR1130" s="19">
        <v>5.7638888888888885E-2</v>
      </c>
    </row>
    <row r="1131" spans="1:44" x14ac:dyDescent="0.2">
      <c r="A1131" s="2">
        <v>500383</v>
      </c>
      <c r="B1131" s="2">
        <v>421859</v>
      </c>
      <c r="C1131" s="2">
        <v>966791</v>
      </c>
      <c r="E1131" t="s">
        <v>899</v>
      </c>
      <c r="I1131" s="15">
        <v>2.8972000000000001E-2</v>
      </c>
      <c r="L1131" s="15"/>
      <c r="AM1131" s="14"/>
      <c r="AN1131" s="14">
        <v>2.8972000000000001E-2</v>
      </c>
      <c r="AO1131" s="14"/>
      <c r="AP1131" s="14"/>
      <c r="AQ1131" s="51"/>
      <c r="AR1131" s="22">
        <v>0.30763888888888891</v>
      </c>
    </row>
    <row r="1132" spans="1:44" x14ac:dyDescent="0.2">
      <c r="A1132" s="2">
        <v>531416</v>
      </c>
      <c r="B1132" s="2">
        <v>433666</v>
      </c>
      <c r="C1132" s="2">
        <v>665301</v>
      </c>
      <c r="E1132" t="s">
        <v>988</v>
      </c>
      <c r="I1132" s="15">
        <v>6.8719000000000002E-2</v>
      </c>
      <c r="L1132" s="15"/>
      <c r="AM1132" s="14"/>
      <c r="AN1132" s="14">
        <v>6.8719000000000002E-2</v>
      </c>
      <c r="AO1132" s="14"/>
      <c r="AP1132" s="14"/>
      <c r="AQ1132" s="51"/>
      <c r="AR1132" s="22">
        <v>4.7916666666666663E-2</v>
      </c>
    </row>
    <row r="1133" spans="1:44" x14ac:dyDescent="0.2">
      <c r="A1133" s="2">
        <v>534305</v>
      </c>
      <c r="B1133" s="2">
        <v>444554</v>
      </c>
      <c r="C1133" s="2">
        <v>2395526</v>
      </c>
      <c r="E1133" t="s">
        <v>925</v>
      </c>
      <c r="I1133" s="15">
        <v>1.3875999999999999E-2</v>
      </c>
      <c r="L1133" s="15"/>
      <c r="AM1133" s="14"/>
      <c r="AN1133" s="14">
        <v>1.3875999999999999E-2</v>
      </c>
      <c r="AO1133" s="14"/>
      <c r="AP1133" s="14"/>
      <c r="AQ1133" s="51"/>
      <c r="AR1133" s="22">
        <v>2.4305555555555556E-2</v>
      </c>
    </row>
    <row r="1134" spans="1:44" s="3" customFormat="1" x14ac:dyDescent="0.2">
      <c r="A1134" s="4">
        <v>535295</v>
      </c>
      <c r="B1134" s="4">
        <v>634589</v>
      </c>
      <c r="C1134" s="4">
        <v>1275467</v>
      </c>
      <c r="D1134" s="4"/>
      <c r="E1134" s="3" t="s">
        <v>574</v>
      </c>
      <c r="H1134" s="4"/>
      <c r="I1134" s="16">
        <v>0.41208099999999998</v>
      </c>
      <c r="J1134" s="16">
        <v>1.089E-2</v>
      </c>
      <c r="K1134" s="16">
        <v>1.0588E-2</v>
      </c>
      <c r="L1134" s="16">
        <v>0.23796300000000001</v>
      </c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16">
        <v>1.9914000000000001E-2</v>
      </c>
      <c r="AK1134" s="16"/>
      <c r="AL1134" s="16">
        <v>0.14094899999999999</v>
      </c>
      <c r="AM1134" s="46"/>
      <c r="AN1134" s="46">
        <v>0.15287899999999999</v>
      </c>
      <c r="AO1134" s="46"/>
      <c r="AP1134" s="46"/>
      <c r="AQ1134" s="52"/>
      <c r="AR1134" s="48">
        <v>2.4305555555555556E-2</v>
      </c>
    </row>
    <row r="1135" spans="1:44" x14ac:dyDescent="0.2">
      <c r="A1135" s="2">
        <v>535575</v>
      </c>
      <c r="B1135" s="2">
        <v>444657</v>
      </c>
      <c r="C1135" s="2">
        <v>1793208</v>
      </c>
      <c r="E1135" t="s">
        <v>807</v>
      </c>
      <c r="I1135" s="15">
        <v>1.9136E-2</v>
      </c>
      <c r="L1135" s="15"/>
      <c r="AM1135" s="14"/>
      <c r="AN1135" s="14">
        <v>1.9136E-2</v>
      </c>
      <c r="AO1135" s="14"/>
      <c r="AP1135" s="14"/>
      <c r="AQ1135" s="51"/>
      <c r="AR1135" s="22">
        <v>5.6250000000000001E-2</v>
      </c>
    </row>
    <row r="1136" spans="1:44" x14ac:dyDescent="0.2">
      <c r="A1136" s="2">
        <v>537012</v>
      </c>
      <c r="B1136" s="2">
        <v>445215</v>
      </c>
      <c r="C1136" s="2">
        <v>405952</v>
      </c>
      <c r="E1136" t="s">
        <v>989</v>
      </c>
      <c r="I1136" s="15">
        <v>0.121917</v>
      </c>
      <c r="L1136" s="15"/>
      <c r="AM1136" s="14"/>
      <c r="AN1136" s="14">
        <v>0.121917</v>
      </c>
      <c r="AO1136" s="14"/>
      <c r="AP1136" s="14"/>
      <c r="AQ1136" s="51"/>
      <c r="AR1136" s="22">
        <v>3.6111111111111115E-2</v>
      </c>
    </row>
    <row r="1137" spans="1:45" x14ac:dyDescent="0.2">
      <c r="A1137" s="2">
        <v>537480</v>
      </c>
      <c r="B1137" s="2">
        <v>446715</v>
      </c>
      <c r="C1137" s="2">
        <v>523525</v>
      </c>
      <c r="E1137" t="s">
        <v>1126</v>
      </c>
      <c r="I1137" s="15">
        <v>8.4498000000000004E-2</v>
      </c>
      <c r="L1137" s="15"/>
      <c r="AM1137" s="14"/>
      <c r="AN1137" s="14">
        <v>8.4498000000000004E-2</v>
      </c>
      <c r="AO1137" s="14"/>
      <c r="AP1137" s="14"/>
      <c r="AQ1137" s="51"/>
      <c r="AR1137" s="22">
        <v>8.7500000000000008E-2</v>
      </c>
    </row>
    <row r="1138" spans="1:45" x14ac:dyDescent="0.2">
      <c r="A1138" s="2">
        <v>540680</v>
      </c>
      <c r="B1138" s="2">
        <v>449963</v>
      </c>
      <c r="C1138" s="2">
        <v>2298772</v>
      </c>
      <c r="E1138" t="s">
        <v>896</v>
      </c>
      <c r="I1138" s="15">
        <v>1.6847000000000001E-2</v>
      </c>
      <c r="L1138" s="15"/>
      <c r="AM1138" s="14"/>
      <c r="AN1138" s="14">
        <v>1.6847000000000001E-2</v>
      </c>
      <c r="AO1138" s="14"/>
      <c r="AP1138" s="14"/>
      <c r="AQ1138" s="51"/>
      <c r="AR1138" s="22">
        <v>1.3888888888888889E-3</v>
      </c>
    </row>
    <row r="1139" spans="1:45" x14ac:dyDescent="0.2">
      <c r="A1139" s="2">
        <v>591842</v>
      </c>
      <c r="B1139" s="2">
        <v>450134</v>
      </c>
      <c r="C1139" s="2">
        <v>79970</v>
      </c>
      <c r="E1139" t="s">
        <v>786</v>
      </c>
      <c r="I1139" s="15">
        <v>0.55719300000000005</v>
      </c>
      <c r="L1139" s="15"/>
      <c r="AM1139" s="14"/>
      <c r="AN1139" s="14">
        <v>0.55719300000000005</v>
      </c>
      <c r="AO1139" s="14"/>
      <c r="AP1139" s="14"/>
      <c r="AQ1139" s="51"/>
      <c r="AR1139" s="22">
        <v>0.80763888888888891</v>
      </c>
    </row>
    <row r="1140" spans="1:45" x14ac:dyDescent="0.2">
      <c r="A1140" s="2">
        <v>609159</v>
      </c>
      <c r="B1140" s="2">
        <v>454688</v>
      </c>
      <c r="C1140" s="2">
        <v>321214</v>
      </c>
      <c r="E1140" t="s">
        <v>923</v>
      </c>
      <c r="I1140" s="15">
        <v>0.156365</v>
      </c>
      <c r="L1140" s="15"/>
      <c r="AM1140" s="14"/>
      <c r="AN1140" s="14">
        <v>0.156365</v>
      </c>
      <c r="AO1140" s="14"/>
      <c r="AP1140" s="14"/>
      <c r="AQ1140" s="51"/>
      <c r="AR1140" s="22">
        <v>0.20972222222222223</v>
      </c>
    </row>
    <row r="1141" spans="1:45" x14ac:dyDescent="0.2">
      <c r="A1141" s="2">
        <v>613039</v>
      </c>
      <c r="B1141" s="2">
        <v>467431</v>
      </c>
      <c r="C1141" s="2">
        <v>567508</v>
      </c>
      <c r="E1141" t="s">
        <v>917</v>
      </c>
      <c r="I1141" s="15">
        <v>4.4072E-2</v>
      </c>
      <c r="L1141" s="15"/>
      <c r="AM1141" s="14"/>
      <c r="AN1141" s="14">
        <v>4.4072E-2</v>
      </c>
      <c r="AO1141" s="14"/>
      <c r="AP1141" s="14"/>
      <c r="AQ1141" s="51"/>
      <c r="AR1141" s="22">
        <v>0.21875</v>
      </c>
    </row>
    <row r="1142" spans="1:45" x14ac:dyDescent="0.2">
      <c r="A1142" s="2">
        <v>625185</v>
      </c>
      <c r="B1142" s="2">
        <v>488080</v>
      </c>
      <c r="C1142" s="2">
        <v>1054681</v>
      </c>
      <c r="E1142" t="s">
        <v>820</v>
      </c>
      <c r="I1142" s="15">
        <v>4.0629999999999999E-2</v>
      </c>
      <c r="L1142" s="15"/>
      <c r="AM1142" s="14"/>
      <c r="AN1142" s="14">
        <v>4.0629999999999999E-2</v>
      </c>
      <c r="AO1142" s="14"/>
      <c r="AP1142" s="14"/>
      <c r="AQ1142" s="51"/>
      <c r="AR1142" s="22">
        <v>0.11875000000000001</v>
      </c>
    </row>
    <row r="1143" spans="1:45" x14ac:dyDescent="0.2">
      <c r="A1143" s="2">
        <v>642708</v>
      </c>
      <c r="B1143" s="2">
        <v>500383</v>
      </c>
      <c r="C1143" s="2">
        <v>752134</v>
      </c>
      <c r="E1143" t="s">
        <v>1220</v>
      </c>
      <c r="I1143" s="15">
        <v>3.9455999999999998E-2</v>
      </c>
      <c r="L1143" s="15"/>
      <c r="AM1143" s="14"/>
      <c r="AN1143" s="14">
        <v>3.9455999999999998E-2</v>
      </c>
      <c r="AO1143" s="14"/>
      <c r="AP1143" s="14"/>
      <c r="AQ1143" s="51"/>
      <c r="AR1143" s="22">
        <v>0.16805555555555554</v>
      </c>
    </row>
    <row r="1144" spans="1:45" x14ac:dyDescent="0.2">
      <c r="A1144" s="2">
        <v>657445</v>
      </c>
      <c r="B1144" s="2">
        <v>531416</v>
      </c>
      <c r="C1144" s="2">
        <v>74686</v>
      </c>
      <c r="E1144" t="s">
        <v>1129</v>
      </c>
      <c r="I1144" s="15">
        <v>0.44040600000000002</v>
      </c>
      <c r="L1144" s="15"/>
      <c r="AM1144" s="14"/>
      <c r="AN1144" s="14">
        <v>0.44040600000000002</v>
      </c>
      <c r="AO1144" s="14"/>
      <c r="AP1144" s="14"/>
      <c r="AQ1144" s="51"/>
      <c r="AR1144" s="19">
        <v>0.15694444444444444</v>
      </c>
    </row>
    <row r="1145" spans="1:45" x14ac:dyDescent="0.2">
      <c r="A1145" s="2">
        <v>347925</v>
      </c>
      <c r="B1145" s="2">
        <v>534305</v>
      </c>
      <c r="C1145" s="2">
        <v>1429606</v>
      </c>
      <c r="E1145" t="s">
        <v>346</v>
      </c>
      <c r="G1145" t="s">
        <v>1306</v>
      </c>
      <c r="I1145" s="2">
        <v>13.75</v>
      </c>
      <c r="J1145" s="15">
        <v>0.49114999999999998</v>
      </c>
      <c r="K1145" s="16">
        <v>0.22437699999999999</v>
      </c>
      <c r="AJ1145" s="2">
        <v>1.8086999999999999E-2</v>
      </c>
      <c r="AK1145" s="2">
        <v>8.6660000000000004</v>
      </c>
      <c r="AL1145" s="2">
        <v>13.75</v>
      </c>
      <c r="AM1145" s="14" t="s">
        <v>773</v>
      </c>
      <c r="AN1145" s="14" t="s">
        <v>773</v>
      </c>
      <c r="AO1145" s="14" t="s">
        <v>773</v>
      </c>
      <c r="AP1145" s="14" t="s">
        <v>773</v>
      </c>
      <c r="AQ1145" s="14" t="s">
        <v>773</v>
      </c>
      <c r="AR1145" s="19">
        <v>0.1</v>
      </c>
      <c r="AS1145" s="8">
        <f>(2+(24/60))*AL1145</f>
        <v>33</v>
      </c>
    </row>
    <row r="1146" spans="1:45" x14ac:dyDescent="0.2">
      <c r="A1146" s="2">
        <v>678583</v>
      </c>
      <c r="B1146" s="2">
        <v>535575</v>
      </c>
      <c r="C1146" s="2">
        <v>781819</v>
      </c>
      <c r="E1146" t="s">
        <v>1210</v>
      </c>
      <c r="I1146" s="15">
        <v>5.8803000000000001E-2</v>
      </c>
      <c r="L1146" s="15"/>
      <c r="AM1146" s="14"/>
      <c r="AN1146" s="14">
        <v>5.8803000000000001E-2</v>
      </c>
      <c r="AO1146" s="14"/>
      <c r="AP1146" s="14"/>
      <c r="AQ1146" s="51"/>
      <c r="AR1146" s="19">
        <v>8.0555555555555561E-2</v>
      </c>
    </row>
    <row r="1147" spans="1:45" x14ac:dyDescent="0.2">
      <c r="A1147" s="2">
        <v>691803</v>
      </c>
      <c r="B1147" s="2">
        <v>537012</v>
      </c>
      <c r="C1147" s="2">
        <v>962670</v>
      </c>
      <c r="E1147" t="s">
        <v>977</v>
      </c>
      <c r="I1147" s="15">
        <v>4.7480000000000001E-2</v>
      </c>
      <c r="L1147" s="15"/>
      <c r="AM1147" s="14"/>
      <c r="AN1147" s="14">
        <v>4.7480000000000001E-2</v>
      </c>
      <c r="AO1147" s="14"/>
      <c r="AP1147" s="14"/>
      <c r="AQ1147" s="51"/>
      <c r="AR1147" s="22">
        <v>0.25416666666666665</v>
      </c>
    </row>
    <row r="1148" spans="1:45" x14ac:dyDescent="0.2">
      <c r="A1148" s="2">
        <v>711587</v>
      </c>
      <c r="B1148" s="2">
        <v>537480</v>
      </c>
      <c r="C1148" s="2">
        <v>810424</v>
      </c>
      <c r="E1148" t="s">
        <v>889</v>
      </c>
      <c r="I1148" s="15">
        <v>4.2204999999999999E-2</v>
      </c>
      <c r="L1148" s="15"/>
      <c r="AM1148" s="14"/>
      <c r="AN1148" s="14">
        <v>4.2204999999999999E-2</v>
      </c>
      <c r="AO1148" s="14"/>
      <c r="AP1148" s="14"/>
      <c r="AQ1148" s="51"/>
      <c r="AR1148" s="22">
        <v>0.16458333333333333</v>
      </c>
    </row>
    <row r="1149" spans="1:45" x14ac:dyDescent="0.2">
      <c r="A1149" s="2">
        <v>713854</v>
      </c>
      <c r="B1149" s="2">
        <v>540680</v>
      </c>
      <c r="C1149" s="2">
        <v>2989213</v>
      </c>
      <c r="E1149" t="s">
        <v>946</v>
      </c>
      <c r="I1149" s="15">
        <v>9.3509999999999999E-3</v>
      </c>
      <c r="L1149" s="15"/>
      <c r="AM1149" s="14"/>
      <c r="AN1149" s="14">
        <v>9.3509999999999999E-3</v>
      </c>
      <c r="AO1149" s="14"/>
      <c r="AP1149" s="14"/>
      <c r="AQ1149" s="51"/>
      <c r="AR1149" s="22">
        <v>2.9861111111111113E-2</v>
      </c>
    </row>
    <row r="1150" spans="1:45" x14ac:dyDescent="0.2">
      <c r="A1150" s="2">
        <v>721786</v>
      </c>
      <c r="B1150" s="2">
        <v>591842</v>
      </c>
      <c r="C1150" s="2">
        <v>2565701</v>
      </c>
      <c r="E1150" t="s">
        <v>792</v>
      </c>
      <c r="I1150" s="15">
        <v>1.1689E-2</v>
      </c>
      <c r="L1150" s="15"/>
      <c r="AM1150" s="14"/>
      <c r="AN1150" s="14">
        <v>1.1689E-2</v>
      </c>
      <c r="AO1150" s="14"/>
      <c r="AP1150" s="14"/>
      <c r="AQ1150" s="51"/>
      <c r="AR1150" s="22">
        <v>0.14444444444444446</v>
      </c>
    </row>
    <row r="1151" spans="1:45" x14ac:dyDescent="0.2">
      <c r="A1151" s="2">
        <v>724307</v>
      </c>
      <c r="B1151" s="2">
        <v>609159</v>
      </c>
      <c r="C1151" s="2">
        <v>3067096</v>
      </c>
      <c r="E1151" t="s">
        <v>890</v>
      </c>
      <c r="I1151" s="15">
        <v>8.9449999999999998E-3</v>
      </c>
      <c r="L1151" s="15"/>
      <c r="AM1151" s="14"/>
      <c r="AN1151" s="14">
        <v>8.9449999999999998E-3</v>
      </c>
      <c r="AO1151" s="14"/>
      <c r="AP1151" s="14"/>
      <c r="AQ1151" s="51"/>
      <c r="AR1151" s="22">
        <v>2.9166666666666664E-2</v>
      </c>
    </row>
    <row r="1152" spans="1:45" x14ac:dyDescent="0.2">
      <c r="A1152" s="2">
        <v>730301</v>
      </c>
      <c r="B1152" s="2">
        <v>613039</v>
      </c>
      <c r="C1152" s="2">
        <v>2194204</v>
      </c>
      <c r="E1152" t="s">
        <v>951</v>
      </c>
      <c r="I1152" s="15">
        <v>0</v>
      </c>
      <c r="L1152" s="15"/>
      <c r="AM1152" s="14"/>
      <c r="AN1152" s="14">
        <v>0</v>
      </c>
      <c r="AO1152" s="14"/>
      <c r="AP1152" s="14"/>
      <c r="AQ1152" s="51"/>
      <c r="AR1152" s="22"/>
    </row>
    <row r="1153" spans="1:44" x14ac:dyDescent="0.2">
      <c r="A1153" s="2">
        <v>766473</v>
      </c>
      <c r="B1153" s="2">
        <v>625185</v>
      </c>
      <c r="C1153" s="2">
        <v>744628</v>
      </c>
      <c r="E1153" t="s">
        <v>1218</v>
      </c>
      <c r="I1153" s="15">
        <v>7.8120999999999996E-2</v>
      </c>
      <c r="L1153" s="15"/>
      <c r="AM1153" s="14"/>
      <c r="AN1153" s="14">
        <v>7.8120999999999996E-2</v>
      </c>
      <c r="AO1153" s="14"/>
      <c r="AP1153" s="14"/>
      <c r="AQ1153" s="51"/>
      <c r="AR1153" s="22">
        <v>4.6527777777777779E-2</v>
      </c>
    </row>
    <row r="1154" spans="1:44" x14ac:dyDescent="0.2">
      <c r="A1154" s="2">
        <v>751450</v>
      </c>
      <c r="B1154" s="2">
        <v>338704</v>
      </c>
      <c r="C1154" s="2">
        <v>1961638</v>
      </c>
      <c r="E1154" t="s">
        <v>919</v>
      </c>
      <c r="I1154" s="15">
        <v>2.0410999999999999E-2</v>
      </c>
      <c r="L1154" s="15"/>
      <c r="AM1154" s="14"/>
      <c r="AN1154" s="14">
        <v>2.0410999999999999E-2</v>
      </c>
      <c r="AO1154" s="14"/>
      <c r="AP1154" s="14"/>
      <c r="AQ1154" s="51"/>
      <c r="AR1154" s="22">
        <v>5.5555555555555552E-2</v>
      </c>
    </row>
    <row r="1155" spans="1:44" x14ac:dyDescent="0.2">
      <c r="A1155" s="2">
        <v>755935</v>
      </c>
      <c r="B1155" s="2">
        <v>642708</v>
      </c>
      <c r="C1155" s="2">
        <v>1375631</v>
      </c>
      <c r="E1155" t="s">
        <v>980</v>
      </c>
      <c r="I1155" s="15">
        <v>3.2750000000000001E-2</v>
      </c>
      <c r="L1155" s="15"/>
      <c r="AM1155" s="14"/>
      <c r="AN1155" s="14">
        <v>3.2750000000000001E-2</v>
      </c>
      <c r="AO1155" s="14"/>
      <c r="AP1155" s="14"/>
      <c r="AQ1155" s="51"/>
      <c r="AR1155" s="22">
        <v>6.3888888888888884E-2</v>
      </c>
    </row>
    <row r="1156" spans="1:44" x14ac:dyDescent="0.2">
      <c r="A1156" s="2">
        <v>778659</v>
      </c>
      <c r="B1156" s="2">
        <v>657445</v>
      </c>
      <c r="C1156" s="2">
        <v>658375</v>
      </c>
      <c r="E1156" t="s">
        <v>981</v>
      </c>
      <c r="I1156" s="15">
        <v>6.5905000000000005E-2</v>
      </c>
      <c r="L1156" s="15"/>
      <c r="AM1156" s="14"/>
      <c r="AN1156" s="14">
        <v>6.5905000000000005E-2</v>
      </c>
      <c r="AO1156" s="14"/>
      <c r="AP1156" s="14"/>
      <c r="AQ1156" s="51"/>
      <c r="AR1156" s="22">
        <v>7.0833333333333331E-2</v>
      </c>
    </row>
    <row r="1157" spans="1:44" x14ac:dyDescent="0.2">
      <c r="A1157" s="2">
        <v>794421</v>
      </c>
      <c r="B1157" s="2">
        <v>680</v>
      </c>
      <c r="C1157" s="2">
        <v>3223195</v>
      </c>
      <c r="E1157" t="s">
        <v>881</v>
      </c>
      <c r="I1157" s="15">
        <v>9.9749999999999995E-3</v>
      </c>
      <c r="L1157" s="15"/>
      <c r="AM1157" s="14"/>
      <c r="AN1157" s="14">
        <v>9.9749999999999995E-3</v>
      </c>
      <c r="AO1157" s="14"/>
      <c r="AP1157" s="14"/>
      <c r="AQ1157" s="51"/>
      <c r="AR1157" s="22">
        <v>2.4305555555555556E-2</v>
      </c>
    </row>
    <row r="1158" spans="1:44" x14ac:dyDescent="0.2">
      <c r="A1158" s="2">
        <v>812422</v>
      </c>
      <c r="B1158" s="2">
        <v>678583</v>
      </c>
      <c r="C1158" s="2">
        <v>2346784</v>
      </c>
      <c r="E1158" t="s">
        <v>949</v>
      </c>
      <c r="I1158" s="15">
        <v>1.2711999999999999E-2</v>
      </c>
      <c r="L1158" s="15"/>
      <c r="AM1158" s="14"/>
      <c r="AN1158" s="14">
        <v>1.2711999999999999E-2</v>
      </c>
      <c r="AO1158" s="14"/>
      <c r="AP1158" s="14"/>
      <c r="AQ1158" s="51"/>
      <c r="AR1158" s="22">
        <v>2.013888888888889E-2</v>
      </c>
    </row>
    <row r="1159" spans="1:44" x14ac:dyDescent="0.2">
      <c r="A1159" s="2">
        <v>814271</v>
      </c>
      <c r="B1159" s="2" t="s">
        <v>773</v>
      </c>
      <c r="C1159" s="2">
        <v>507815</v>
      </c>
      <c r="I1159" s="15">
        <v>4.9312000000000002E-2</v>
      </c>
      <c r="L1159" s="15"/>
      <c r="AJ1159" s="16">
        <v>4.9312000000000002E-2</v>
      </c>
      <c r="AM1159" s="14"/>
      <c r="AN1159" s="14"/>
      <c r="AO1159" s="14"/>
      <c r="AP1159" s="14"/>
      <c r="AQ1159" s="51"/>
      <c r="AR1159" s="22"/>
    </row>
    <row r="1160" spans="1:44" x14ac:dyDescent="0.2">
      <c r="A1160" s="2">
        <v>816618</v>
      </c>
      <c r="B1160" s="2">
        <v>691803</v>
      </c>
      <c r="C1160" s="2">
        <v>613488</v>
      </c>
      <c r="E1160" t="s">
        <v>888</v>
      </c>
      <c r="I1160" s="15">
        <v>8.3259E-2</v>
      </c>
      <c r="L1160" s="15"/>
      <c r="AM1160" s="14"/>
      <c r="AN1160" s="14">
        <v>8.3259E-2</v>
      </c>
      <c r="AO1160" s="14"/>
      <c r="AP1160" s="14"/>
      <c r="AQ1160" s="51"/>
      <c r="AR1160" s="22">
        <v>1.4583333333333332E-2</v>
      </c>
    </row>
    <row r="1161" spans="1:44" x14ac:dyDescent="0.2">
      <c r="A1161" s="2">
        <v>819733</v>
      </c>
      <c r="B1161" s="2">
        <v>711587</v>
      </c>
      <c r="C1161" s="2">
        <v>3107652</v>
      </c>
      <c r="E1161" t="s">
        <v>915</v>
      </c>
      <c r="I1161" s="15">
        <v>9.1590000000000005E-3</v>
      </c>
      <c r="L1161" s="15"/>
      <c r="AM1161" s="14"/>
      <c r="AN1161" s="14">
        <v>9.1590000000000005E-3</v>
      </c>
      <c r="AO1161" s="14"/>
      <c r="AP1161" s="14"/>
      <c r="AQ1161" s="51"/>
      <c r="AR1161" s="22">
        <v>8.819444444444445E-2</v>
      </c>
    </row>
    <row r="1162" spans="1:44" x14ac:dyDescent="0.2">
      <c r="A1162" s="2">
        <v>856281</v>
      </c>
      <c r="B1162" s="2">
        <v>713854</v>
      </c>
      <c r="C1162" s="2">
        <v>1743104</v>
      </c>
      <c r="E1162" t="s">
        <v>801</v>
      </c>
      <c r="I1162" s="15">
        <v>1.9585000000000002E-2</v>
      </c>
      <c r="L1162" s="15"/>
      <c r="AM1162" s="14"/>
      <c r="AN1162" s="14">
        <v>1.9585000000000002E-2</v>
      </c>
      <c r="AO1162" s="14"/>
      <c r="AP1162" s="14"/>
      <c r="AQ1162" s="51"/>
      <c r="AR1162" s="22">
        <v>9.375E-2</v>
      </c>
    </row>
    <row r="1163" spans="1:44" x14ac:dyDescent="0.2">
      <c r="A1163" s="2">
        <v>869773</v>
      </c>
      <c r="B1163" s="2">
        <v>721786</v>
      </c>
      <c r="C1163" s="2">
        <v>1788424</v>
      </c>
      <c r="E1163" t="s">
        <v>950</v>
      </c>
      <c r="I1163" s="15">
        <v>2.2461999999999999E-2</v>
      </c>
      <c r="L1163" s="15"/>
      <c r="AM1163" s="14"/>
      <c r="AN1163" s="14">
        <v>2.2461999999999999E-2</v>
      </c>
      <c r="AO1163" s="14"/>
      <c r="AP1163" s="14"/>
      <c r="AQ1163" s="51"/>
      <c r="AR1163" s="22">
        <v>3.0555555555555555E-2</v>
      </c>
    </row>
    <row r="1164" spans="1:44" x14ac:dyDescent="0.2">
      <c r="A1164" s="2">
        <v>893077</v>
      </c>
      <c r="B1164" s="2">
        <v>724307</v>
      </c>
      <c r="C1164" s="2">
        <v>2480040</v>
      </c>
      <c r="E1164" t="s">
        <v>911</v>
      </c>
      <c r="I1164" s="15">
        <v>1.3032E-2</v>
      </c>
      <c r="L1164" s="15"/>
      <c r="AM1164" s="14"/>
      <c r="AN1164" s="14">
        <v>1.3032E-2</v>
      </c>
      <c r="AO1164" s="14"/>
      <c r="AP1164" s="14"/>
      <c r="AQ1164" s="51"/>
      <c r="AR1164" s="22">
        <v>6.458333333333334E-2</v>
      </c>
    </row>
    <row r="1165" spans="1:44" x14ac:dyDescent="0.2">
      <c r="A1165" s="2">
        <v>903551</v>
      </c>
      <c r="B1165" s="2">
        <v>730301</v>
      </c>
      <c r="C1165" s="2">
        <v>3048194</v>
      </c>
      <c r="E1165" t="s">
        <v>944</v>
      </c>
      <c r="I1165" s="15">
        <v>8.2150000000000001E-3</v>
      </c>
      <c r="L1165" s="15"/>
      <c r="AM1165" s="14"/>
      <c r="AN1165" s="14">
        <v>8.2150000000000001E-3</v>
      </c>
      <c r="AO1165" s="14"/>
      <c r="AP1165" s="14"/>
      <c r="AQ1165" s="51"/>
      <c r="AR1165" s="22">
        <v>9.2361111111111116E-2</v>
      </c>
    </row>
    <row r="1166" spans="1:44" x14ac:dyDescent="0.2">
      <c r="A1166" s="2">
        <v>948640</v>
      </c>
      <c r="B1166" s="2">
        <v>766473</v>
      </c>
      <c r="C1166" s="2">
        <v>2661615</v>
      </c>
      <c r="E1166" t="s">
        <v>957</v>
      </c>
      <c r="I1166" s="15">
        <v>1.4638E-2</v>
      </c>
      <c r="L1166" s="15"/>
      <c r="AM1166" s="14"/>
      <c r="AN1166" s="14">
        <v>1.4638E-2</v>
      </c>
      <c r="AO1166" s="14"/>
      <c r="AP1166" s="14"/>
      <c r="AQ1166" s="51"/>
      <c r="AR1166" s="22">
        <v>5.1388888888888894E-2</v>
      </c>
    </row>
    <row r="1167" spans="1:44" x14ac:dyDescent="0.2">
      <c r="A1167" s="2">
        <v>986988</v>
      </c>
      <c r="B1167" s="2">
        <v>751450</v>
      </c>
      <c r="C1167" s="2">
        <v>568921</v>
      </c>
      <c r="E1167" t="s">
        <v>1201</v>
      </c>
      <c r="I1167" s="15">
        <v>5.6669999999999998E-2</v>
      </c>
      <c r="L1167" s="15"/>
      <c r="AM1167" s="14"/>
      <c r="AN1167" s="14">
        <v>5.6669999999999998E-2</v>
      </c>
      <c r="AO1167" s="14"/>
      <c r="AP1167" s="14"/>
      <c r="AQ1167" s="51"/>
      <c r="AR1167" s="22">
        <v>0.22013888888888888</v>
      </c>
    </row>
    <row r="1168" spans="1:44" x14ac:dyDescent="0.2">
      <c r="A1168" s="2">
        <v>1032019</v>
      </c>
      <c r="B1168" s="2">
        <v>755935</v>
      </c>
      <c r="C1168" s="2">
        <v>1120508</v>
      </c>
      <c r="E1168" t="s">
        <v>901</v>
      </c>
      <c r="I1168" s="15">
        <v>3.5885E-2</v>
      </c>
      <c r="L1168" s="15"/>
      <c r="AM1168" s="14"/>
      <c r="AN1168" s="14">
        <v>3.5885E-2</v>
      </c>
      <c r="AO1168" s="14"/>
      <c r="AP1168" s="14"/>
      <c r="AQ1168" s="51"/>
      <c r="AR1168" s="22">
        <v>0.12430555555555556</v>
      </c>
    </row>
    <row r="1169" spans="1:44" x14ac:dyDescent="0.2">
      <c r="A1169" s="2">
        <v>1041795</v>
      </c>
      <c r="B1169" s="2">
        <v>778659</v>
      </c>
      <c r="C1169" s="2">
        <v>2946132</v>
      </c>
      <c r="E1169" t="s">
        <v>879</v>
      </c>
      <c r="I1169" s="15">
        <v>9.9089999999999994E-3</v>
      </c>
      <c r="L1169" s="15"/>
      <c r="AM1169" s="14"/>
      <c r="AN1169" s="14">
        <v>9.9089999999999994E-3</v>
      </c>
      <c r="AO1169" s="14"/>
      <c r="AP1169" s="14"/>
      <c r="AQ1169" s="51"/>
      <c r="AR1169" s="22">
        <v>0.11319444444444444</v>
      </c>
    </row>
    <row r="1170" spans="1:44" x14ac:dyDescent="0.2">
      <c r="A1170" s="2">
        <v>1084352</v>
      </c>
      <c r="B1170" s="2">
        <v>794421</v>
      </c>
      <c r="C1170" s="2">
        <v>3228032</v>
      </c>
      <c r="E1170" t="s">
        <v>887</v>
      </c>
      <c r="I1170" s="15">
        <v>8.0569999999999999E-3</v>
      </c>
      <c r="L1170" s="15"/>
      <c r="AM1170" s="14"/>
      <c r="AN1170" s="14">
        <v>8.0569999999999999E-3</v>
      </c>
      <c r="AO1170" s="14"/>
      <c r="AP1170" s="14"/>
      <c r="AQ1170" s="51"/>
      <c r="AR1170" s="22">
        <v>3.4722222222222224E-2</v>
      </c>
    </row>
    <row r="1171" spans="1:44" x14ac:dyDescent="0.2">
      <c r="A1171" s="2">
        <v>1276052</v>
      </c>
      <c r="B1171" s="2">
        <v>812422</v>
      </c>
      <c r="C1171" s="2">
        <v>2753378</v>
      </c>
      <c r="E1171" t="s">
        <v>934</v>
      </c>
      <c r="I1171" s="15">
        <v>1.0409E-2</v>
      </c>
      <c r="L1171" s="15"/>
      <c r="AM1171" s="14"/>
      <c r="AN1171" s="14">
        <v>1.0409E-2</v>
      </c>
      <c r="AO1171" s="14"/>
      <c r="AP1171" s="14"/>
      <c r="AQ1171" s="51"/>
      <c r="AR1171" s="22">
        <v>7.2916666666666671E-2</v>
      </c>
    </row>
    <row r="1172" spans="1:44" s="3" customFormat="1" x14ac:dyDescent="0.2">
      <c r="A1172" s="4">
        <v>1347503</v>
      </c>
      <c r="B1172" s="4">
        <v>2777353</v>
      </c>
      <c r="C1172" s="4">
        <v>3810127</v>
      </c>
      <c r="D1172" s="4"/>
      <c r="E1172" s="3" t="s">
        <v>569</v>
      </c>
      <c r="H1172" s="4"/>
      <c r="I1172" s="16">
        <v>5.1970000000000002E-3</v>
      </c>
      <c r="J1172" s="16"/>
      <c r="K1172" s="16"/>
      <c r="L1172" s="16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16">
        <v>5.1970000000000002E-3</v>
      </c>
      <c r="AK1172" s="4"/>
      <c r="AL1172" s="9"/>
      <c r="AM1172" s="46"/>
      <c r="AN1172" s="46"/>
      <c r="AO1172" s="46"/>
      <c r="AP1172" s="46"/>
      <c r="AQ1172" s="52"/>
    </row>
    <row r="1173" spans="1:44" x14ac:dyDescent="0.2">
      <c r="A1173" s="2">
        <v>1388000</v>
      </c>
      <c r="B1173" s="2">
        <v>816618</v>
      </c>
      <c r="C1173" s="2">
        <v>3920854</v>
      </c>
      <c r="E1173" t="s">
        <v>928</v>
      </c>
      <c r="I1173" s="15">
        <v>0</v>
      </c>
      <c r="L1173" s="15"/>
      <c r="AM1173" s="14"/>
      <c r="AN1173" s="14">
        <v>0</v>
      </c>
      <c r="AO1173" s="14"/>
      <c r="AP1173" s="14"/>
      <c r="AQ1173" s="51"/>
      <c r="AR1173" s="22">
        <v>0.17430555555555557</v>
      </c>
    </row>
    <row r="1174" spans="1:44" x14ac:dyDescent="0.2">
      <c r="A1174" s="2">
        <v>1453324</v>
      </c>
      <c r="B1174" s="2">
        <v>819733</v>
      </c>
      <c r="C1174" s="2">
        <v>657994</v>
      </c>
      <c r="E1174" t="s">
        <v>947</v>
      </c>
      <c r="I1174" s="15">
        <v>4.9446999999999998E-2</v>
      </c>
      <c r="L1174" s="15"/>
      <c r="AM1174" s="14"/>
      <c r="AN1174" s="14">
        <v>4.9446999999999998E-2</v>
      </c>
      <c r="AO1174" s="14"/>
      <c r="AP1174" s="14"/>
      <c r="AQ1174" s="51"/>
      <c r="AR1174" s="22">
        <v>0.21458333333333335</v>
      </c>
    </row>
    <row r="1175" spans="1:44" x14ac:dyDescent="0.2">
      <c r="A1175" s="2">
        <v>1469139</v>
      </c>
      <c r="B1175" s="2">
        <v>856281</v>
      </c>
      <c r="C1175" s="2">
        <v>1051876</v>
      </c>
      <c r="E1175" t="s">
        <v>809</v>
      </c>
      <c r="I1175" s="15">
        <v>3.5132999999999998E-2</v>
      </c>
      <c r="L1175" s="15"/>
      <c r="AM1175" s="14"/>
      <c r="AN1175" s="14">
        <v>3.5132999999999998E-2</v>
      </c>
      <c r="AO1175" s="14"/>
      <c r="AP1175" s="14"/>
      <c r="AQ1175" s="51"/>
      <c r="AR1175" s="22">
        <v>6.1805555555555558E-2</v>
      </c>
    </row>
    <row r="1176" spans="1:44" x14ac:dyDescent="0.2">
      <c r="A1176" s="2">
        <v>1470665</v>
      </c>
      <c r="B1176" s="2">
        <v>869773</v>
      </c>
      <c r="C1176" s="2">
        <v>722383</v>
      </c>
      <c r="E1176" t="s">
        <v>856</v>
      </c>
      <c r="I1176" s="15">
        <v>5.6721000000000001E-2</v>
      </c>
      <c r="L1176" s="15"/>
      <c r="AM1176" s="14"/>
      <c r="AN1176" s="14">
        <v>5.6721000000000001E-2</v>
      </c>
      <c r="AO1176" s="14"/>
      <c r="AP1176" s="14"/>
      <c r="AQ1176" s="51"/>
      <c r="AR1176" s="22">
        <v>0.14722222222222223</v>
      </c>
    </row>
    <row r="1177" spans="1:44" x14ac:dyDescent="0.2">
      <c r="A1177" s="2">
        <v>1483016</v>
      </c>
      <c r="B1177" s="2">
        <v>893077</v>
      </c>
      <c r="C1177" s="2">
        <v>671115</v>
      </c>
      <c r="E1177" t="s">
        <v>805</v>
      </c>
      <c r="I1177" s="15">
        <v>4.1541000000000002E-2</v>
      </c>
      <c r="L1177" s="15"/>
      <c r="AM1177" s="14"/>
      <c r="AN1177" s="14">
        <v>4.1541000000000002E-2</v>
      </c>
      <c r="AO1177" s="14"/>
      <c r="AP1177" s="14"/>
      <c r="AQ1177" s="51"/>
      <c r="AR1177" s="22">
        <v>0.21111111111111111</v>
      </c>
    </row>
    <row r="1178" spans="1:44" x14ac:dyDescent="0.2">
      <c r="A1178" s="2">
        <v>1485916</v>
      </c>
      <c r="B1178" s="2">
        <v>903551</v>
      </c>
      <c r="C1178" s="2">
        <v>365458</v>
      </c>
      <c r="E1178" t="s">
        <v>1141</v>
      </c>
      <c r="I1178" s="15">
        <v>0.121352</v>
      </c>
      <c r="L1178" s="15"/>
      <c r="AM1178" s="14"/>
      <c r="AN1178" s="14">
        <v>0.121352</v>
      </c>
      <c r="AO1178" s="14"/>
      <c r="AP1178" s="14"/>
      <c r="AQ1178" s="51"/>
      <c r="AR1178" s="22">
        <v>6.458333333333334E-2</v>
      </c>
    </row>
    <row r="1179" spans="1:44" x14ac:dyDescent="0.2">
      <c r="A1179" s="2">
        <v>1487860</v>
      </c>
      <c r="B1179" s="2">
        <v>948640</v>
      </c>
      <c r="C1179" s="2">
        <v>648416</v>
      </c>
      <c r="E1179" t="s">
        <v>914</v>
      </c>
      <c r="I1179" s="15">
        <v>5.2790999999999998E-2</v>
      </c>
      <c r="L1179" s="15"/>
      <c r="AM1179" s="14"/>
      <c r="AN1179" s="14">
        <v>5.2790999999999998E-2</v>
      </c>
      <c r="AO1179" s="14"/>
      <c r="AP1179" s="14"/>
      <c r="AQ1179" s="51"/>
      <c r="AR1179" s="22">
        <v>0.14861111111111111</v>
      </c>
    </row>
    <row r="1180" spans="1:44" x14ac:dyDescent="0.2">
      <c r="A1180" s="2">
        <v>1496049</v>
      </c>
      <c r="B1180" s="2">
        <v>986988</v>
      </c>
      <c r="C1180" s="2">
        <v>2498079</v>
      </c>
      <c r="E1180" t="s">
        <v>954</v>
      </c>
      <c r="I1180" s="15">
        <v>1.2933E-2</v>
      </c>
      <c r="L1180" s="15"/>
      <c r="AM1180" s="14"/>
      <c r="AN1180" s="14">
        <v>1.2933E-2</v>
      </c>
      <c r="AO1180" s="14"/>
      <c r="AP1180" s="14"/>
      <c r="AQ1180" s="51"/>
      <c r="AR1180" s="22">
        <v>5.1388888888888894E-2</v>
      </c>
    </row>
    <row r="1181" spans="1:44" x14ac:dyDescent="0.2">
      <c r="A1181" s="2">
        <v>1501755</v>
      </c>
      <c r="B1181" s="2">
        <v>1032019</v>
      </c>
      <c r="C1181" s="2">
        <v>781173</v>
      </c>
      <c r="E1181" t="s">
        <v>956</v>
      </c>
      <c r="I1181" s="15">
        <v>3.125E-2</v>
      </c>
      <c r="L1181" s="15"/>
      <c r="AM1181" s="14"/>
      <c r="AN1181" s="14">
        <v>3.125E-2</v>
      </c>
      <c r="AO1181" s="14"/>
      <c r="AP1181" s="14"/>
      <c r="AQ1181" s="51"/>
      <c r="AR1181" s="22">
        <v>0.34583333333333338</v>
      </c>
    </row>
    <row r="1182" spans="1:44" x14ac:dyDescent="0.2">
      <c r="A1182" s="2">
        <v>1538501</v>
      </c>
      <c r="B1182" s="2">
        <v>1041795</v>
      </c>
      <c r="C1182" s="2">
        <v>4498057</v>
      </c>
      <c r="E1182" t="s">
        <v>1219</v>
      </c>
      <c r="I1182" s="15">
        <v>0</v>
      </c>
      <c r="L1182" s="15"/>
      <c r="AM1182" s="14"/>
      <c r="AN1182" s="14">
        <v>0</v>
      </c>
      <c r="AO1182" s="14"/>
      <c r="AP1182" s="14"/>
      <c r="AQ1182" s="51"/>
      <c r="AR1182" s="22">
        <v>2.6388888888888889E-2</v>
      </c>
    </row>
    <row r="1183" spans="1:44" x14ac:dyDescent="0.2">
      <c r="A1183" s="2">
        <v>1547901</v>
      </c>
      <c r="B1183" s="2">
        <v>1084352</v>
      </c>
      <c r="C1183" s="2">
        <v>626499</v>
      </c>
      <c r="E1183" t="s">
        <v>802</v>
      </c>
      <c r="I1183" s="15">
        <v>5.3029E-2</v>
      </c>
      <c r="L1183" s="15"/>
      <c r="AM1183" s="14"/>
      <c r="AN1183" s="14">
        <v>5.3029E-2</v>
      </c>
      <c r="AO1183" s="14"/>
      <c r="AP1183" s="14"/>
      <c r="AQ1183" s="51"/>
      <c r="AR1183" s="22">
        <v>5.7638888888888885E-2</v>
      </c>
    </row>
    <row r="1184" spans="1:44" x14ac:dyDescent="0.2">
      <c r="A1184" s="2">
        <v>1566811</v>
      </c>
      <c r="B1184" s="2">
        <v>1276052</v>
      </c>
      <c r="C1184" s="2">
        <v>3598018</v>
      </c>
      <c r="E1184" t="s">
        <v>878</v>
      </c>
      <c r="I1184" s="15">
        <v>7.8969999999999995E-3</v>
      </c>
      <c r="L1184" s="15"/>
      <c r="AM1184" s="14"/>
      <c r="AN1184" s="14">
        <v>7.8969999999999995E-3</v>
      </c>
      <c r="AO1184" s="14"/>
      <c r="AP1184" s="14"/>
      <c r="AQ1184" s="51"/>
      <c r="AR1184" s="22">
        <v>2.7777777777777776E-2</v>
      </c>
    </row>
    <row r="1185" spans="1:44" x14ac:dyDescent="0.2">
      <c r="A1185" s="2">
        <v>1574712</v>
      </c>
      <c r="B1185" s="2">
        <v>1388000</v>
      </c>
      <c r="C1185" s="2">
        <v>5454882</v>
      </c>
      <c r="E1185" t="s">
        <v>883</v>
      </c>
      <c r="I1185" s="15">
        <v>0</v>
      </c>
      <c r="L1185" s="15"/>
      <c r="AM1185" s="14"/>
      <c r="AN1185" s="14">
        <v>0</v>
      </c>
      <c r="AO1185" s="14"/>
      <c r="AP1185" s="14"/>
      <c r="AQ1185" s="51"/>
      <c r="AR1185" s="22">
        <v>8.3333333333333332E-3</v>
      </c>
    </row>
    <row r="1186" spans="1:44" x14ac:dyDescent="0.2">
      <c r="A1186" s="2">
        <v>1626799</v>
      </c>
      <c r="B1186" s="2">
        <v>1453324</v>
      </c>
      <c r="C1186" s="2">
        <v>3559230</v>
      </c>
      <c r="E1186" t="s">
        <v>1211</v>
      </c>
      <c r="I1186" s="15">
        <v>6.7039999999999999E-3</v>
      </c>
      <c r="L1186" s="15"/>
      <c r="AM1186" s="14"/>
      <c r="AN1186" s="14">
        <v>6.7039999999999999E-3</v>
      </c>
      <c r="AO1186" s="14"/>
      <c r="AP1186" s="14"/>
      <c r="AQ1186" s="51"/>
      <c r="AR1186" s="22">
        <v>0.13749999999999998</v>
      </c>
    </row>
    <row r="1187" spans="1:44" x14ac:dyDescent="0.2">
      <c r="A1187" s="2">
        <v>1709514</v>
      </c>
      <c r="B1187" s="2">
        <v>1051876</v>
      </c>
      <c r="C1187" s="2">
        <v>1453044</v>
      </c>
      <c r="E1187" t="s">
        <v>845</v>
      </c>
      <c r="I1187" s="15">
        <v>5.3029E-2</v>
      </c>
      <c r="L1187" s="15"/>
      <c r="AM1187" s="14"/>
      <c r="AN1187" s="14">
        <v>1.5021E-2</v>
      </c>
      <c r="AO1187" s="14"/>
      <c r="AP1187" s="14"/>
      <c r="AQ1187" s="51"/>
      <c r="AR1187" s="22">
        <v>0.25694444444444448</v>
      </c>
    </row>
    <row r="1188" spans="1:44" x14ac:dyDescent="0.2">
      <c r="A1188" s="2">
        <v>1723265</v>
      </c>
      <c r="B1188" s="2">
        <v>1470665</v>
      </c>
      <c r="C1188" s="2">
        <v>585164</v>
      </c>
      <c r="E1188" t="s">
        <v>844</v>
      </c>
      <c r="I1188" s="15">
        <v>3.4018E-2</v>
      </c>
      <c r="L1188" s="15"/>
      <c r="AM1188" s="14"/>
      <c r="AN1188" s="14">
        <v>3.4018E-2</v>
      </c>
      <c r="AO1188" s="14"/>
      <c r="AP1188" s="14"/>
      <c r="AQ1188" s="51"/>
      <c r="AR1188" s="22">
        <v>0.75416666666666676</v>
      </c>
    </row>
    <row r="1189" spans="1:44" x14ac:dyDescent="0.2">
      <c r="A1189" s="2">
        <v>1810259</v>
      </c>
      <c r="B1189" s="2">
        <v>1483016</v>
      </c>
      <c r="C1189" s="2">
        <v>5679012</v>
      </c>
      <c r="E1189" t="s">
        <v>897</v>
      </c>
      <c r="I1189" s="15">
        <v>0</v>
      </c>
      <c r="L1189" s="15"/>
      <c r="AM1189" s="14"/>
      <c r="AN1189" s="14">
        <v>0</v>
      </c>
      <c r="AO1189" s="14"/>
      <c r="AP1189" s="14"/>
      <c r="AQ1189" s="51"/>
      <c r="AR1189" s="22">
        <v>0.10277777777777779</v>
      </c>
    </row>
    <row r="1190" spans="1:44" x14ac:dyDescent="0.2">
      <c r="A1190" s="2">
        <v>1878480</v>
      </c>
      <c r="B1190" s="2">
        <v>1485916</v>
      </c>
      <c r="C1190" s="2">
        <v>2801868</v>
      </c>
      <c r="E1190" t="s">
        <v>1217</v>
      </c>
      <c r="I1190" s="15">
        <v>1.0973999999999999E-2</v>
      </c>
      <c r="L1190" s="15"/>
      <c r="AM1190" s="14"/>
      <c r="AN1190" s="14">
        <v>1.0973999999999999E-2</v>
      </c>
      <c r="AO1190" s="14"/>
      <c r="AP1190" s="14"/>
      <c r="AQ1190" s="51"/>
      <c r="AR1190" s="22">
        <v>3.6111111111111115E-2</v>
      </c>
    </row>
    <row r="1191" spans="1:44" x14ac:dyDescent="0.2">
      <c r="A1191" s="2">
        <v>1892396</v>
      </c>
      <c r="B1191" s="2">
        <v>1487860</v>
      </c>
      <c r="C1191" s="2">
        <v>2413965</v>
      </c>
      <c r="E1191" t="s">
        <v>832</v>
      </c>
      <c r="I1191" s="15">
        <v>1.1807E-2</v>
      </c>
      <c r="L1191" s="15"/>
      <c r="AM1191" s="14"/>
      <c r="AN1191" s="14">
        <v>1.1807E-2</v>
      </c>
      <c r="AO1191" s="14"/>
      <c r="AP1191" s="14"/>
      <c r="AQ1191" s="51"/>
      <c r="AR1191" s="22">
        <v>0.10486111111111111</v>
      </c>
    </row>
    <row r="1192" spans="1:44" x14ac:dyDescent="0.2">
      <c r="A1192" s="2">
        <v>1983716</v>
      </c>
      <c r="B1192" s="2">
        <v>1496049</v>
      </c>
      <c r="C1192" s="2">
        <v>1468883</v>
      </c>
      <c r="E1192" t="s">
        <v>847</v>
      </c>
      <c r="I1192" s="15">
        <v>3.1140999999999999E-2</v>
      </c>
      <c r="L1192" s="15"/>
      <c r="AM1192" s="14"/>
      <c r="AN1192" s="14">
        <v>3.1140999999999999E-2</v>
      </c>
      <c r="AO1192" s="14"/>
      <c r="AP1192" s="14"/>
      <c r="AQ1192" s="51"/>
      <c r="AR1192" s="22">
        <v>7.6388888888888886E-3</v>
      </c>
    </row>
    <row r="1193" spans="1:44" x14ac:dyDescent="0.2">
      <c r="A1193" s="2">
        <v>1984390</v>
      </c>
      <c r="B1193" s="2">
        <v>1501755</v>
      </c>
      <c r="C1193" s="2">
        <v>1746633</v>
      </c>
      <c r="E1193" t="s">
        <v>945</v>
      </c>
      <c r="I1193" s="15">
        <v>2.2341E-2</v>
      </c>
      <c r="L1193" s="15"/>
      <c r="AM1193" s="14"/>
      <c r="AN1193" s="14">
        <v>2.2341E-2</v>
      </c>
      <c r="AO1193" s="14"/>
      <c r="AP1193" s="14"/>
      <c r="AQ1193" s="51"/>
      <c r="AR1193" s="22">
        <v>3.8194444444444441E-2</v>
      </c>
    </row>
    <row r="1194" spans="1:44" x14ac:dyDescent="0.2">
      <c r="A1194" s="2">
        <v>2008570</v>
      </c>
      <c r="B1194" s="2">
        <v>1538501</v>
      </c>
      <c r="C1194" s="2">
        <v>4612936</v>
      </c>
      <c r="E1194" t="s">
        <v>932</v>
      </c>
      <c r="I1194" s="15">
        <v>5.2030000000000002E-3</v>
      </c>
      <c r="L1194" s="15"/>
      <c r="AM1194" s="14"/>
      <c r="AN1194" s="14">
        <v>5.2030000000000002E-3</v>
      </c>
      <c r="AO1194" s="14"/>
      <c r="AP1194" s="14"/>
      <c r="AQ1194" s="51"/>
      <c r="AR1194" s="22">
        <v>1.7361111111111112E-2</v>
      </c>
    </row>
    <row r="1195" spans="1:44" x14ac:dyDescent="0.2">
      <c r="A1195" s="2">
        <v>2129417</v>
      </c>
      <c r="B1195" s="2">
        <v>1547901</v>
      </c>
      <c r="C1195" s="2">
        <v>6590937</v>
      </c>
      <c r="E1195" t="s">
        <v>875</v>
      </c>
      <c r="I1195" s="15">
        <v>0</v>
      </c>
      <c r="L1195" s="15"/>
      <c r="AM1195" s="14"/>
      <c r="AN1195" s="14">
        <v>0</v>
      </c>
      <c r="AO1195" s="14"/>
      <c r="AP1195" s="14"/>
      <c r="AQ1195" s="51"/>
      <c r="AR1195" s="22">
        <v>6.5277777777777782E-2</v>
      </c>
    </row>
    <row r="1196" spans="1:44" x14ac:dyDescent="0.2">
      <c r="A1196" s="2">
        <v>2225877</v>
      </c>
      <c r="B1196" s="2">
        <v>1566811</v>
      </c>
      <c r="C1196" s="2">
        <v>6241321</v>
      </c>
      <c r="E1196" t="s">
        <v>918</v>
      </c>
      <c r="I1196" s="15">
        <v>0</v>
      </c>
      <c r="L1196" s="15"/>
      <c r="AM1196" s="14"/>
      <c r="AN1196" s="14">
        <v>0</v>
      </c>
      <c r="AO1196" s="14"/>
      <c r="AP1196" s="14"/>
      <c r="AQ1196" s="51"/>
      <c r="AR1196" s="22">
        <v>0.1451388888888889</v>
      </c>
    </row>
    <row r="1197" spans="1:44" x14ac:dyDescent="0.2">
      <c r="A1197" s="2">
        <v>2266164</v>
      </c>
      <c r="B1197" s="2">
        <v>1574712</v>
      </c>
      <c r="C1197" s="2">
        <v>1422960</v>
      </c>
      <c r="E1197" t="s">
        <v>858</v>
      </c>
      <c r="I1197" s="15">
        <v>3.2729000000000001E-2</v>
      </c>
      <c r="L1197" s="15"/>
      <c r="AM1197" s="14"/>
      <c r="AN1197" s="14">
        <v>3.2729000000000001E-2</v>
      </c>
      <c r="AO1197" s="14"/>
      <c r="AP1197" s="14"/>
      <c r="AQ1197" s="51"/>
      <c r="AR1197" s="22">
        <v>2.5694444444444447E-2</v>
      </c>
    </row>
    <row r="1198" spans="1:44" x14ac:dyDescent="0.2">
      <c r="A1198" s="2">
        <v>2369899</v>
      </c>
      <c r="B1198" s="2">
        <v>1626799</v>
      </c>
      <c r="C1198" s="2">
        <v>7006353</v>
      </c>
      <c r="E1198" t="s">
        <v>927</v>
      </c>
      <c r="I1198" s="15">
        <v>0</v>
      </c>
      <c r="L1198" s="15"/>
      <c r="AM1198" s="14"/>
      <c r="AN1198" s="14">
        <v>0</v>
      </c>
      <c r="AO1198" s="14"/>
      <c r="AP1198" s="14"/>
      <c r="AQ1198" s="51"/>
      <c r="AR1198" s="22">
        <v>7.4999999999999997E-2</v>
      </c>
    </row>
    <row r="1199" spans="1:44" x14ac:dyDescent="0.2">
      <c r="A1199" s="2">
        <v>2422516</v>
      </c>
      <c r="B1199" s="2">
        <v>1709514</v>
      </c>
      <c r="C1199" s="2">
        <v>6175427</v>
      </c>
      <c r="E1199" t="s">
        <v>874</v>
      </c>
      <c r="I1199" s="15">
        <v>0</v>
      </c>
      <c r="L1199" s="15"/>
      <c r="AM1199" s="14"/>
      <c r="AN1199" s="14">
        <v>0</v>
      </c>
      <c r="AO1199" s="14"/>
      <c r="AP1199" s="14"/>
      <c r="AQ1199" s="51"/>
      <c r="AR1199" s="22">
        <v>1.3194444444444444E-2</v>
      </c>
    </row>
    <row r="1200" spans="1:44" x14ac:dyDescent="0.2">
      <c r="A1200" s="2">
        <v>2556474</v>
      </c>
      <c r="B1200" s="2">
        <v>1723265</v>
      </c>
      <c r="C1200" s="2">
        <v>5165388</v>
      </c>
      <c r="E1200" t="s">
        <v>846</v>
      </c>
      <c r="I1200" s="15">
        <v>0</v>
      </c>
      <c r="L1200" s="15"/>
      <c r="AM1200" s="14"/>
      <c r="AN1200" s="14">
        <v>0</v>
      </c>
      <c r="AO1200" s="14"/>
      <c r="AP1200" s="14"/>
      <c r="AQ1200" s="51"/>
      <c r="AR1200" s="22">
        <v>2.9861111111111113E-2</v>
      </c>
    </row>
    <row r="1201" spans="1:44" x14ac:dyDescent="0.2">
      <c r="A1201" s="2">
        <v>2777353</v>
      </c>
      <c r="B1201" s="2">
        <v>1810259</v>
      </c>
      <c r="C1201" s="2">
        <v>2267580</v>
      </c>
      <c r="E1201" t="s">
        <v>833</v>
      </c>
      <c r="I1201" s="15">
        <v>7.4970000000000002E-3</v>
      </c>
      <c r="L1201" s="15"/>
      <c r="AM1201" s="14"/>
      <c r="AN1201" s="14">
        <v>7.4969999999999995E-2</v>
      </c>
      <c r="AO1201" s="14"/>
      <c r="AP1201" s="14"/>
      <c r="AQ1201" s="51"/>
      <c r="AR1201" s="22">
        <v>0.2388888888888889</v>
      </c>
    </row>
    <row r="1202" spans="1:44" x14ac:dyDescent="0.2">
      <c r="A1202" s="2">
        <v>2898515</v>
      </c>
      <c r="B1202" s="2">
        <v>1878480</v>
      </c>
      <c r="C1202" s="2">
        <v>7553946</v>
      </c>
      <c r="E1202" t="s">
        <v>943</v>
      </c>
      <c r="I1202" s="15">
        <v>0</v>
      </c>
      <c r="L1202" s="15"/>
      <c r="AM1202" s="14"/>
      <c r="AN1202" s="14">
        <v>0</v>
      </c>
      <c r="AO1202" s="14"/>
      <c r="AP1202" s="14"/>
      <c r="AQ1202" s="51"/>
      <c r="AR1202" s="22">
        <v>0.26527777777777778</v>
      </c>
    </row>
    <row r="1203" spans="1:44" x14ac:dyDescent="0.2">
      <c r="A1203" s="2">
        <v>3093218</v>
      </c>
      <c r="B1203" s="2">
        <v>1892396</v>
      </c>
      <c r="C1203" s="2">
        <v>6302594</v>
      </c>
      <c r="E1203" t="s">
        <v>902</v>
      </c>
      <c r="I1203" s="15">
        <v>0</v>
      </c>
      <c r="L1203" s="15"/>
      <c r="AM1203" s="14"/>
      <c r="AN1203" s="14">
        <v>0</v>
      </c>
      <c r="AO1203" s="14"/>
      <c r="AP1203" s="14"/>
      <c r="AQ1203" s="51"/>
      <c r="AR1203" s="22">
        <v>4.5833333333333337E-2</v>
      </c>
    </row>
    <row r="1204" spans="1:44" x14ac:dyDescent="0.2">
      <c r="A1204" s="2">
        <v>3293815</v>
      </c>
      <c r="B1204" s="2">
        <v>1983716</v>
      </c>
      <c r="C1204" s="2">
        <v>7055081</v>
      </c>
      <c r="E1204" t="s">
        <v>834</v>
      </c>
      <c r="I1204" s="15">
        <v>0</v>
      </c>
      <c r="L1204" s="15"/>
      <c r="AM1204" s="14"/>
      <c r="AN1204" s="14">
        <v>0</v>
      </c>
      <c r="AO1204" s="14"/>
      <c r="AP1204" s="14"/>
      <c r="AQ1204" s="51"/>
      <c r="AR1204" s="22">
        <v>0.11805555555555557</v>
      </c>
    </row>
    <row r="1205" spans="1:44" x14ac:dyDescent="0.2">
      <c r="A1205" s="2">
        <v>3483419</v>
      </c>
      <c r="B1205" s="2">
        <v>1984390</v>
      </c>
      <c r="C1205" s="2">
        <v>6489411</v>
      </c>
      <c r="E1205" t="s">
        <v>909</v>
      </c>
      <c r="I1205" s="15">
        <v>0</v>
      </c>
      <c r="L1205" s="15"/>
      <c r="AM1205" s="14"/>
      <c r="AN1205" s="14">
        <v>0</v>
      </c>
      <c r="AO1205" s="14"/>
      <c r="AP1205" s="14"/>
      <c r="AQ1205" s="51"/>
      <c r="AR1205" s="22">
        <v>0.16597222222222222</v>
      </c>
    </row>
    <row r="1206" spans="1:44" x14ac:dyDescent="0.2">
      <c r="A1206" s="2">
        <v>3620708</v>
      </c>
      <c r="B1206" s="2">
        <v>2008570</v>
      </c>
      <c r="C1206" s="2">
        <v>2733023</v>
      </c>
      <c r="E1206" t="s">
        <v>959</v>
      </c>
      <c r="I1206" s="15">
        <v>7.8329999999999997E-3</v>
      </c>
      <c r="L1206" s="15"/>
      <c r="AM1206" s="14"/>
      <c r="AN1206" s="14">
        <v>7.8329999999999997E-3</v>
      </c>
      <c r="AO1206" s="14"/>
      <c r="AP1206" s="14"/>
      <c r="AQ1206" s="51"/>
      <c r="AR1206" s="22">
        <v>0.56111111111111112</v>
      </c>
    </row>
    <row r="1207" spans="1:44" x14ac:dyDescent="0.2">
      <c r="A1207" s="2">
        <v>3853078</v>
      </c>
      <c r="B1207" s="2">
        <v>2129417</v>
      </c>
      <c r="C1207" s="2">
        <v>6537201</v>
      </c>
      <c r="E1207" t="s">
        <v>955</v>
      </c>
      <c r="I1207" s="15">
        <v>0</v>
      </c>
      <c r="L1207" s="15"/>
      <c r="AM1207" s="14"/>
      <c r="AN1207" s="14">
        <v>0</v>
      </c>
      <c r="AO1207" s="14"/>
      <c r="AP1207" s="14"/>
      <c r="AQ1207" s="51"/>
      <c r="AR1207" s="22">
        <v>0.17569444444444446</v>
      </c>
    </row>
    <row r="1208" spans="1:44" x14ac:dyDescent="0.2">
      <c r="A1208" s="2">
        <v>4164800</v>
      </c>
      <c r="B1208" s="2">
        <v>2225877</v>
      </c>
      <c r="C1208" s="2">
        <v>2758035</v>
      </c>
      <c r="E1208" t="s">
        <v>1221</v>
      </c>
      <c r="I1208" s="15">
        <v>1.0630000000000001E-2</v>
      </c>
      <c r="L1208" s="15"/>
      <c r="AM1208" s="14"/>
      <c r="AN1208" s="14">
        <v>1.0630000000000001E-2</v>
      </c>
      <c r="AO1208" s="14"/>
      <c r="AP1208" s="14"/>
      <c r="AQ1208" s="51"/>
      <c r="AR1208" s="22">
        <v>0.15625</v>
      </c>
    </row>
    <row r="1209" spans="1:44" x14ac:dyDescent="0.2">
      <c r="A1209" s="2">
        <v>4352528</v>
      </c>
      <c r="B1209" s="2">
        <v>2266164</v>
      </c>
      <c r="C1209" s="2">
        <v>8136748</v>
      </c>
      <c r="E1209" t="s">
        <v>926</v>
      </c>
      <c r="I1209" s="15">
        <v>0</v>
      </c>
      <c r="L1209" s="15"/>
      <c r="AM1209" s="14"/>
      <c r="AN1209" s="14">
        <v>0</v>
      </c>
      <c r="AO1209" s="14"/>
      <c r="AP1209" s="14"/>
      <c r="AQ1209" s="51"/>
      <c r="AR1209" s="22">
        <v>3.3333333333333333E-2</v>
      </c>
    </row>
    <row r="1210" spans="1:44" x14ac:dyDescent="0.2">
      <c r="A1210" s="2">
        <v>4427327</v>
      </c>
      <c r="B1210" s="2">
        <v>2369899</v>
      </c>
      <c r="C1210" s="2">
        <v>11944288</v>
      </c>
      <c r="E1210" t="s">
        <v>892</v>
      </c>
      <c r="I1210" s="15">
        <v>0</v>
      </c>
      <c r="L1210" s="15"/>
      <c r="AM1210" s="14"/>
      <c r="AN1210" s="14">
        <v>0</v>
      </c>
      <c r="AO1210" s="14"/>
      <c r="AP1210" s="14"/>
      <c r="AQ1210" s="51"/>
      <c r="AR1210" s="22">
        <v>2.7777777777777779E-3</v>
      </c>
    </row>
    <row r="1211" spans="1:44" x14ac:dyDescent="0.2">
      <c r="A1211" s="2">
        <v>6235496</v>
      </c>
      <c r="B1211" s="2">
        <v>2422516</v>
      </c>
      <c r="C1211" s="2">
        <v>3336286</v>
      </c>
      <c r="E1211" t="s">
        <v>900</v>
      </c>
      <c r="I1211" s="15">
        <v>0</v>
      </c>
      <c r="L1211" s="15"/>
      <c r="AM1211" s="14"/>
      <c r="AN1211" s="14">
        <v>0</v>
      </c>
      <c r="AO1211" s="14"/>
      <c r="AP1211" s="14"/>
      <c r="AQ1211" s="51"/>
      <c r="AR1211" s="22">
        <v>0.1013888888888889</v>
      </c>
    </row>
    <row r="1212" spans="1:44" x14ac:dyDescent="0.2">
      <c r="A1212" s="2" t="s">
        <v>773</v>
      </c>
      <c r="B1212" s="2">
        <v>2556474</v>
      </c>
      <c r="C1212" s="2">
        <v>18725087</v>
      </c>
      <c r="E1212" t="s">
        <v>1199</v>
      </c>
      <c r="I1212" s="15">
        <v>0</v>
      </c>
      <c r="L1212" s="15"/>
      <c r="AM1212" s="14"/>
      <c r="AN1212" s="14">
        <v>0</v>
      </c>
      <c r="AO1212" s="14"/>
      <c r="AP1212" s="14"/>
      <c r="AQ1212" s="51"/>
      <c r="AR1212" s="22">
        <v>0</v>
      </c>
    </row>
    <row r="1213" spans="1:44" x14ac:dyDescent="0.2">
      <c r="B1213" s="2">
        <v>2898515</v>
      </c>
      <c r="AM1213" s="14"/>
      <c r="AN1213" s="14"/>
      <c r="AO1213" s="14"/>
      <c r="AP1213" s="14"/>
      <c r="AQ1213" s="51"/>
    </row>
    <row r="1214" spans="1:44" x14ac:dyDescent="0.2">
      <c r="B1214" s="2">
        <v>3093218</v>
      </c>
      <c r="AK1214" s="8"/>
      <c r="AM1214" s="14"/>
      <c r="AN1214" s="14"/>
      <c r="AO1214" s="14"/>
      <c r="AP1214" s="14"/>
      <c r="AQ1214" s="51"/>
    </row>
    <row r="1215" spans="1:44" x14ac:dyDescent="0.2">
      <c r="B1215" s="2">
        <v>3293815</v>
      </c>
      <c r="AK1215" s="8"/>
      <c r="AM1215" s="14"/>
      <c r="AN1215" s="14"/>
      <c r="AO1215" s="14"/>
      <c r="AP1215" s="14"/>
      <c r="AQ1215" s="51"/>
    </row>
    <row r="1216" spans="1:44" x14ac:dyDescent="0.2">
      <c r="A1216"/>
      <c r="B1216" s="2">
        <v>3483419</v>
      </c>
      <c r="C1216"/>
      <c r="D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 s="8"/>
      <c r="AL1216"/>
      <c r="AM1216" s="14"/>
      <c r="AN1216" s="14"/>
      <c r="AO1216" s="14"/>
      <c r="AP1216" s="14"/>
      <c r="AQ1216" s="51"/>
    </row>
    <row r="1217" spans="1:43" x14ac:dyDescent="0.2">
      <c r="A1217"/>
      <c r="B1217" s="2">
        <v>3620708</v>
      </c>
      <c r="C1217"/>
      <c r="D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 s="8"/>
      <c r="AL1217"/>
      <c r="AM1217" s="14"/>
      <c r="AN1217" s="14"/>
      <c r="AO1217" s="14"/>
      <c r="AP1217" s="14"/>
      <c r="AQ1217" s="51"/>
    </row>
    <row r="1218" spans="1:43" x14ac:dyDescent="0.2">
      <c r="A1218"/>
      <c r="B1218" s="2">
        <v>3853078</v>
      </c>
      <c r="C1218"/>
      <c r="D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 s="8"/>
      <c r="AL1218"/>
      <c r="AM1218" s="14"/>
      <c r="AN1218" s="14"/>
      <c r="AO1218" s="14"/>
      <c r="AP1218" s="14"/>
      <c r="AQ1218" s="51"/>
    </row>
    <row r="1219" spans="1:43" x14ac:dyDescent="0.2">
      <c r="A1219"/>
      <c r="B1219" s="2">
        <v>4164800</v>
      </c>
      <c r="C1219"/>
      <c r="D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 s="8"/>
      <c r="AL1219"/>
      <c r="AM1219" s="14"/>
      <c r="AN1219" s="14"/>
      <c r="AO1219" s="14"/>
      <c r="AP1219" s="14"/>
      <c r="AQ1219" s="51"/>
    </row>
    <row r="1220" spans="1:43" x14ac:dyDescent="0.2">
      <c r="A1220"/>
      <c r="B1220" s="2">
        <v>4352528</v>
      </c>
      <c r="C1220"/>
      <c r="D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 s="8"/>
      <c r="AL1220"/>
      <c r="AM1220" s="14"/>
      <c r="AN1220" s="14"/>
      <c r="AO1220" s="14"/>
      <c r="AP1220" s="14"/>
      <c r="AQ1220" s="51"/>
    </row>
    <row r="1221" spans="1:43" x14ac:dyDescent="0.2">
      <c r="A1221"/>
      <c r="B1221" s="2">
        <v>4427327</v>
      </c>
      <c r="C1221"/>
      <c r="D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 s="8"/>
      <c r="AL1221"/>
      <c r="AM1221" s="14"/>
      <c r="AN1221" s="14"/>
      <c r="AO1221" s="14"/>
      <c r="AP1221" s="14"/>
      <c r="AQ1221" s="51"/>
    </row>
    <row r="1222" spans="1:43" x14ac:dyDescent="0.2">
      <c r="A1222"/>
      <c r="B1222" s="2">
        <v>6235496</v>
      </c>
      <c r="C1222"/>
      <c r="D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 s="8"/>
      <c r="AL1222"/>
      <c r="AM1222" s="14"/>
      <c r="AN1222" s="14"/>
      <c r="AO1222" s="14"/>
      <c r="AP1222" s="14"/>
      <c r="AQ1222" s="51"/>
    </row>
    <row r="1223" spans="1:43" x14ac:dyDescent="0.2">
      <c r="A1223"/>
      <c r="B1223" s="2" t="s">
        <v>773</v>
      </c>
      <c r="C1223"/>
      <c r="D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 s="8"/>
      <c r="AL1223"/>
      <c r="AM1223" s="14"/>
      <c r="AN1223" s="14"/>
      <c r="AO1223" s="14"/>
      <c r="AP1223" s="14"/>
      <c r="AQ1223" s="51"/>
    </row>
    <row r="1224" spans="1:43" x14ac:dyDescent="0.2">
      <c r="A1224"/>
      <c r="C1224"/>
      <c r="D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 s="8"/>
      <c r="AL1224"/>
      <c r="AM1224" s="14"/>
      <c r="AN1224" s="14"/>
      <c r="AO1224" s="14"/>
      <c r="AP1224" s="14"/>
      <c r="AQ1224" s="51"/>
    </row>
    <row r="1225" spans="1:43" x14ac:dyDescent="0.2">
      <c r="A1225"/>
      <c r="C1225"/>
      <c r="D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 s="8"/>
      <c r="AL1225"/>
      <c r="AM1225" s="14"/>
      <c r="AN1225" s="14"/>
      <c r="AO1225" s="14"/>
      <c r="AP1225" s="14"/>
      <c r="AQ1225" s="51"/>
    </row>
    <row r="1226" spans="1:43" x14ac:dyDescent="0.2">
      <c r="A1226"/>
      <c r="C1226"/>
      <c r="D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 s="8"/>
      <c r="AL1226"/>
      <c r="AM1226" s="14"/>
      <c r="AN1226" s="14"/>
      <c r="AO1226" s="14"/>
      <c r="AP1226" s="14"/>
      <c r="AQ1226" s="51"/>
    </row>
    <row r="1227" spans="1:43" x14ac:dyDescent="0.2">
      <c r="A1227"/>
      <c r="C1227"/>
      <c r="D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 s="8"/>
      <c r="AL1227"/>
      <c r="AM1227" s="14"/>
      <c r="AN1227" s="14"/>
      <c r="AO1227" s="14"/>
      <c r="AP1227" s="14"/>
      <c r="AQ1227" s="51"/>
    </row>
    <row r="1228" spans="1:43" x14ac:dyDescent="0.2">
      <c r="A1228"/>
      <c r="B1228"/>
      <c r="C1228"/>
      <c r="D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 s="8"/>
      <c r="AL1228"/>
      <c r="AM1228" s="14"/>
      <c r="AN1228" s="14"/>
      <c r="AO1228" s="14"/>
      <c r="AP1228" s="14"/>
      <c r="AQ1228" s="51"/>
    </row>
    <row r="1229" spans="1:43" x14ac:dyDescent="0.2">
      <c r="A1229"/>
      <c r="B1229"/>
      <c r="C1229"/>
      <c r="D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 s="8"/>
      <c r="AL1229"/>
      <c r="AM1229" s="14"/>
      <c r="AN1229" s="14"/>
      <c r="AO1229" s="14"/>
      <c r="AP1229" s="14"/>
      <c r="AQ1229" s="51"/>
    </row>
    <row r="1230" spans="1:43" x14ac:dyDescent="0.2">
      <c r="A1230"/>
      <c r="B1230"/>
      <c r="C1230"/>
      <c r="D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 s="8"/>
      <c r="AL1230"/>
      <c r="AM1230" s="14"/>
      <c r="AN1230" s="14"/>
      <c r="AO1230" s="14"/>
      <c r="AP1230" s="14"/>
      <c r="AQ1230" s="51"/>
    </row>
    <row r="1231" spans="1:43" x14ac:dyDescent="0.2">
      <c r="A1231"/>
      <c r="B1231"/>
      <c r="C1231"/>
      <c r="D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 s="8"/>
      <c r="AL1231"/>
      <c r="AM1231" s="14"/>
      <c r="AN1231" s="14"/>
      <c r="AO1231" s="14"/>
      <c r="AP1231" s="14"/>
      <c r="AQ1231" s="51"/>
    </row>
    <row r="1232" spans="1:43" x14ac:dyDescent="0.2">
      <c r="A1232"/>
      <c r="B1232"/>
      <c r="C1232"/>
      <c r="D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 s="8"/>
      <c r="AL1232"/>
      <c r="AM1232" s="14"/>
      <c r="AN1232" s="14"/>
      <c r="AO1232" s="14"/>
      <c r="AP1232" s="14"/>
      <c r="AQ1232" s="51"/>
    </row>
    <row r="1233" spans="1:43" x14ac:dyDescent="0.2">
      <c r="A1233"/>
      <c r="B1233"/>
      <c r="C1233"/>
      <c r="D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 s="8"/>
      <c r="AL1233"/>
      <c r="AM1233" s="14"/>
      <c r="AN1233" s="14"/>
      <c r="AO1233" s="14"/>
      <c r="AP1233" s="14"/>
      <c r="AQ1233" s="51"/>
    </row>
    <row r="1234" spans="1:43" x14ac:dyDescent="0.2">
      <c r="A1234"/>
      <c r="B1234"/>
      <c r="C1234"/>
      <c r="D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 s="8"/>
      <c r="AL1234"/>
      <c r="AM1234" s="14"/>
      <c r="AN1234" s="14"/>
      <c r="AO1234" s="14"/>
      <c r="AP1234" s="14"/>
      <c r="AQ1234" s="51"/>
    </row>
    <row r="1235" spans="1:43" x14ac:dyDescent="0.2">
      <c r="A1235"/>
      <c r="B1235"/>
      <c r="C1235"/>
      <c r="D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 s="8"/>
      <c r="AL1235"/>
      <c r="AM1235" s="14"/>
      <c r="AN1235" s="14"/>
      <c r="AO1235" s="14"/>
      <c r="AP1235" s="14"/>
      <c r="AQ1235" s="51"/>
    </row>
    <row r="1236" spans="1:43" x14ac:dyDescent="0.2">
      <c r="A1236"/>
      <c r="B1236"/>
      <c r="C1236"/>
      <c r="D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 s="8"/>
      <c r="AL1236"/>
      <c r="AM1236" s="14"/>
      <c r="AN1236" s="14"/>
      <c r="AO1236" s="14"/>
      <c r="AP1236" s="14"/>
      <c r="AQ1236" s="51"/>
    </row>
    <row r="1237" spans="1:43" x14ac:dyDescent="0.2">
      <c r="A1237"/>
      <c r="B1237"/>
      <c r="C1237"/>
      <c r="D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 s="8"/>
      <c r="AL1237"/>
      <c r="AM1237" s="14"/>
      <c r="AN1237" s="14"/>
      <c r="AO1237" s="14"/>
      <c r="AP1237" s="14"/>
      <c r="AQ1237" s="51"/>
    </row>
    <row r="1238" spans="1:43" x14ac:dyDescent="0.2">
      <c r="A1238"/>
      <c r="B1238"/>
      <c r="C1238"/>
      <c r="D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 s="8"/>
      <c r="AL1238"/>
      <c r="AM1238" s="14"/>
      <c r="AN1238" s="14"/>
      <c r="AO1238" s="14"/>
      <c r="AP1238" s="14"/>
      <c r="AQ1238" s="51"/>
    </row>
    <row r="1239" spans="1:43" x14ac:dyDescent="0.2">
      <c r="A1239"/>
      <c r="B1239"/>
      <c r="C1239"/>
      <c r="D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 s="8"/>
      <c r="AL1239"/>
      <c r="AM1239" s="14"/>
      <c r="AN1239" s="14"/>
      <c r="AO1239" s="14"/>
      <c r="AP1239" s="14"/>
      <c r="AQ1239" s="51"/>
    </row>
    <row r="1240" spans="1:43" x14ac:dyDescent="0.2">
      <c r="A1240"/>
      <c r="B1240"/>
      <c r="C1240"/>
      <c r="D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 s="8"/>
      <c r="AL1240"/>
      <c r="AM1240" s="14"/>
      <c r="AN1240" s="14"/>
      <c r="AO1240" s="14"/>
      <c r="AP1240" s="14"/>
      <c r="AQ1240" s="51"/>
    </row>
    <row r="1241" spans="1:43" x14ac:dyDescent="0.2">
      <c r="A1241"/>
      <c r="B1241"/>
      <c r="C1241"/>
      <c r="D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 s="8"/>
      <c r="AL1241"/>
      <c r="AM1241" s="14"/>
      <c r="AN1241" s="14"/>
      <c r="AO1241" s="14"/>
      <c r="AP1241" s="14"/>
      <c r="AQ1241" s="51"/>
    </row>
    <row r="1242" spans="1:43" x14ac:dyDescent="0.2">
      <c r="A1242"/>
      <c r="B1242"/>
      <c r="C1242"/>
      <c r="D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 s="8"/>
      <c r="AL1242"/>
      <c r="AM1242" s="14"/>
      <c r="AN1242" s="14"/>
      <c r="AO1242" s="14"/>
      <c r="AP1242" s="14"/>
      <c r="AQ1242" s="51"/>
    </row>
    <row r="1243" spans="1:43" x14ac:dyDescent="0.2">
      <c r="A1243"/>
      <c r="B1243"/>
      <c r="C1243"/>
      <c r="D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 s="8"/>
      <c r="AL1243"/>
      <c r="AM1243" s="14"/>
      <c r="AN1243" s="14"/>
      <c r="AO1243" s="14"/>
      <c r="AP1243" s="14"/>
      <c r="AQ1243" s="51"/>
    </row>
    <row r="1244" spans="1:43" x14ac:dyDescent="0.2">
      <c r="A1244"/>
      <c r="B1244"/>
      <c r="C1244"/>
      <c r="D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 s="8"/>
      <c r="AL1244"/>
      <c r="AM1244" s="14"/>
      <c r="AN1244" s="14"/>
      <c r="AO1244" s="14"/>
      <c r="AP1244" s="14"/>
      <c r="AQ1244" s="51"/>
    </row>
    <row r="1245" spans="1:43" x14ac:dyDescent="0.2">
      <c r="A1245"/>
      <c r="B1245"/>
      <c r="C1245"/>
      <c r="D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 s="8"/>
      <c r="AL1245"/>
      <c r="AM1245" s="14"/>
      <c r="AN1245" s="14"/>
      <c r="AO1245" s="14"/>
      <c r="AP1245" s="14"/>
      <c r="AQ1245" s="51"/>
    </row>
    <row r="1246" spans="1:43" x14ac:dyDescent="0.2">
      <c r="A1246"/>
      <c r="B1246"/>
      <c r="C1246"/>
      <c r="D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 s="8"/>
      <c r="AL1246"/>
      <c r="AM1246" s="14"/>
      <c r="AN1246" s="14"/>
      <c r="AO1246" s="14"/>
      <c r="AP1246" s="14"/>
      <c r="AQ1246" s="51"/>
    </row>
    <row r="1247" spans="1:43" x14ac:dyDescent="0.2">
      <c r="A1247"/>
      <c r="B1247"/>
      <c r="C1247"/>
      <c r="D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 s="8"/>
      <c r="AL1247"/>
      <c r="AM1247" s="14"/>
      <c r="AN1247" s="14"/>
      <c r="AO1247" s="14"/>
      <c r="AP1247" s="14"/>
      <c r="AQ1247" s="51"/>
    </row>
    <row r="1248" spans="1:43" x14ac:dyDescent="0.2">
      <c r="A1248"/>
      <c r="B1248"/>
      <c r="C1248"/>
      <c r="D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 s="8"/>
      <c r="AL1248"/>
      <c r="AM1248" s="14"/>
      <c r="AN1248" s="14"/>
      <c r="AO1248" s="14"/>
      <c r="AP1248" s="14"/>
      <c r="AQ1248" s="51"/>
    </row>
    <row r="1249" spans="1:43" x14ac:dyDescent="0.2">
      <c r="A1249"/>
      <c r="B1249"/>
      <c r="C1249"/>
      <c r="D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 s="8"/>
      <c r="AL1249"/>
      <c r="AM1249" s="14"/>
      <c r="AN1249" s="14"/>
      <c r="AO1249" s="14"/>
      <c r="AP1249" s="14"/>
      <c r="AQ1249" s="51"/>
    </row>
    <row r="1250" spans="1:43" x14ac:dyDescent="0.2">
      <c r="A1250"/>
      <c r="B1250"/>
      <c r="C1250"/>
      <c r="D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 s="8"/>
      <c r="AL1250"/>
      <c r="AM1250" s="14"/>
      <c r="AN1250" s="14"/>
      <c r="AO1250" s="14"/>
      <c r="AP1250" s="14"/>
      <c r="AQ1250" s="51"/>
    </row>
    <row r="1251" spans="1:43" x14ac:dyDescent="0.2">
      <c r="A1251"/>
      <c r="B1251"/>
      <c r="C1251"/>
      <c r="D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 s="8"/>
      <c r="AL1251"/>
      <c r="AM1251" s="14"/>
      <c r="AN1251" s="14"/>
      <c r="AO1251" s="14"/>
      <c r="AP1251" s="14"/>
      <c r="AQ1251" s="51"/>
    </row>
    <row r="1252" spans="1:43" x14ac:dyDescent="0.2">
      <c r="A1252"/>
      <c r="B1252"/>
      <c r="C1252"/>
      <c r="D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 s="8"/>
      <c r="AL1252"/>
      <c r="AM1252" s="14"/>
      <c r="AN1252" s="14"/>
      <c r="AO1252" s="14"/>
      <c r="AP1252" s="14"/>
      <c r="AQ1252" s="51"/>
    </row>
    <row r="1253" spans="1:43" x14ac:dyDescent="0.2">
      <c r="A1253"/>
      <c r="B1253"/>
      <c r="C1253"/>
      <c r="D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 s="8"/>
      <c r="AL1253"/>
      <c r="AM1253" s="14"/>
      <c r="AN1253" s="14"/>
      <c r="AO1253" s="14"/>
      <c r="AP1253" s="14"/>
      <c r="AQ1253" s="51"/>
    </row>
    <row r="1254" spans="1:43" x14ac:dyDescent="0.2">
      <c r="A1254"/>
      <c r="B1254"/>
      <c r="C1254"/>
      <c r="D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 s="8"/>
      <c r="AL1254"/>
      <c r="AM1254" s="14"/>
      <c r="AN1254" s="14"/>
      <c r="AO1254" s="14"/>
      <c r="AP1254" s="14"/>
      <c r="AQ1254" s="51"/>
    </row>
    <row r="1255" spans="1:43" x14ac:dyDescent="0.2">
      <c r="A1255"/>
      <c r="B1255"/>
      <c r="C1255"/>
      <c r="D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 s="8"/>
      <c r="AL1255"/>
      <c r="AM1255" s="14"/>
      <c r="AN1255" s="14"/>
      <c r="AO1255" s="14"/>
      <c r="AP1255" s="14"/>
      <c r="AQ1255" s="51"/>
    </row>
    <row r="1256" spans="1:43" x14ac:dyDescent="0.2">
      <c r="A1256"/>
      <c r="B1256"/>
      <c r="C1256"/>
      <c r="D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 s="8"/>
      <c r="AL1256"/>
      <c r="AM1256" s="14"/>
      <c r="AN1256" s="14"/>
      <c r="AO1256" s="14"/>
      <c r="AP1256" s="14"/>
      <c r="AQ1256" s="51"/>
    </row>
    <row r="1257" spans="1:43" x14ac:dyDescent="0.2">
      <c r="A1257"/>
      <c r="B1257"/>
      <c r="C1257"/>
      <c r="D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 s="8"/>
      <c r="AL1257"/>
      <c r="AM1257" s="14"/>
      <c r="AN1257" s="14"/>
      <c r="AO1257" s="14"/>
      <c r="AP1257" s="14"/>
      <c r="AQ1257" s="51"/>
    </row>
    <row r="1258" spans="1:43" x14ac:dyDescent="0.2">
      <c r="A1258"/>
      <c r="B1258"/>
      <c r="C1258"/>
      <c r="D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 s="8"/>
      <c r="AL1258"/>
      <c r="AM1258" s="14"/>
      <c r="AN1258" s="14"/>
      <c r="AO1258" s="14"/>
      <c r="AP1258" s="14"/>
      <c r="AQ1258" s="51"/>
    </row>
    <row r="1259" spans="1:43" x14ac:dyDescent="0.2">
      <c r="A1259"/>
      <c r="B1259"/>
      <c r="C1259"/>
      <c r="D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 s="8"/>
      <c r="AL1259"/>
      <c r="AM1259" s="14"/>
      <c r="AN1259" s="14"/>
      <c r="AO1259" s="14"/>
      <c r="AP1259" s="14"/>
      <c r="AQ1259" s="51"/>
    </row>
    <row r="1260" spans="1:43" x14ac:dyDescent="0.2">
      <c r="A1260"/>
      <c r="B1260"/>
      <c r="C1260"/>
      <c r="D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 s="8"/>
      <c r="AL1260"/>
      <c r="AM1260" s="14"/>
      <c r="AN1260" s="14"/>
      <c r="AO1260" s="14"/>
      <c r="AP1260" s="14"/>
      <c r="AQ1260" s="51"/>
    </row>
    <row r="1261" spans="1:43" x14ac:dyDescent="0.2">
      <c r="A1261"/>
      <c r="B1261"/>
      <c r="C1261"/>
      <c r="D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 s="8"/>
      <c r="AL1261"/>
      <c r="AM1261" s="14"/>
      <c r="AN1261" s="14"/>
      <c r="AO1261" s="14"/>
      <c r="AP1261" s="14"/>
      <c r="AQ1261" s="51"/>
    </row>
    <row r="1262" spans="1:43" x14ac:dyDescent="0.2">
      <c r="A1262"/>
      <c r="B1262"/>
      <c r="C1262"/>
      <c r="D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 s="8"/>
      <c r="AL1262"/>
      <c r="AM1262" s="14"/>
      <c r="AN1262" s="14"/>
      <c r="AO1262" s="14"/>
      <c r="AP1262" s="14"/>
      <c r="AQ1262" s="51"/>
    </row>
    <row r="1263" spans="1:43" x14ac:dyDescent="0.2">
      <c r="A1263"/>
      <c r="B1263"/>
      <c r="C1263"/>
      <c r="D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 s="8"/>
      <c r="AL1263"/>
      <c r="AM1263" s="14"/>
      <c r="AN1263" s="14"/>
      <c r="AO1263" s="14"/>
      <c r="AP1263" s="14"/>
      <c r="AQ1263" s="51"/>
    </row>
    <row r="1264" spans="1:43" x14ac:dyDescent="0.2">
      <c r="A1264"/>
      <c r="B1264"/>
      <c r="C1264"/>
      <c r="D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 s="8"/>
      <c r="AL1264"/>
      <c r="AM1264" s="14"/>
      <c r="AN1264" s="14"/>
      <c r="AO1264" s="14"/>
      <c r="AP1264" s="14"/>
      <c r="AQ1264" s="51"/>
    </row>
    <row r="1265" spans="1:43" x14ac:dyDescent="0.2">
      <c r="A1265"/>
      <c r="B1265"/>
      <c r="C1265"/>
      <c r="D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 s="8"/>
      <c r="AL1265"/>
      <c r="AM1265" s="14"/>
      <c r="AN1265" s="14"/>
      <c r="AO1265" s="14"/>
      <c r="AP1265" s="14"/>
      <c r="AQ1265" s="51"/>
    </row>
    <row r="1266" spans="1:43" x14ac:dyDescent="0.2">
      <c r="A1266"/>
      <c r="B1266"/>
      <c r="C1266"/>
      <c r="D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 s="8"/>
      <c r="AL1266"/>
      <c r="AM1266" s="14"/>
      <c r="AN1266" s="14"/>
      <c r="AO1266" s="14"/>
      <c r="AP1266" s="14"/>
      <c r="AQ1266" s="51"/>
    </row>
    <row r="1267" spans="1:43" x14ac:dyDescent="0.2">
      <c r="A1267"/>
      <c r="B1267"/>
      <c r="C1267"/>
      <c r="D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 s="8"/>
      <c r="AL1267"/>
      <c r="AM1267" s="14"/>
      <c r="AN1267" s="14"/>
      <c r="AO1267" s="14"/>
      <c r="AP1267" s="14"/>
      <c r="AQ1267" s="51"/>
    </row>
    <row r="1268" spans="1:43" x14ac:dyDescent="0.2">
      <c r="A1268"/>
      <c r="B1268"/>
      <c r="C1268"/>
      <c r="D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 s="8"/>
      <c r="AL1268"/>
      <c r="AM1268" s="14"/>
      <c r="AN1268" s="14"/>
      <c r="AO1268" s="14"/>
      <c r="AP1268" s="14"/>
      <c r="AQ1268" s="51"/>
    </row>
    <row r="1269" spans="1:43" x14ac:dyDescent="0.2">
      <c r="A1269"/>
      <c r="B1269"/>
      <c r="C1269"/>
      <c r="D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 s="8"/>
      <c r="AL1269"/>
      <c r="AM1269" s="14"/>
      <c r="AN1269" s="14"/>
      <c r="AO1269" s="14"/>
      <c r="AP1269" s="14"/>
      <c r="AQ1269" s="51"/>
    </row>
    <row r="1270" spans="1:43" x14ac:dyDescent="0.2">
      <c r="A1270"/>
      <c r="B1270"/>
      <c r="C1270"/>
      <c r="D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 s="8"/>
      <c r="AL1270"/>
      <c r="AM1270" s="14"/>
      <c r="AN1270" s="14"/>
      <c r="AO1270" s="14"/>
      <c r="AP1270" s="14"/>
      <c r="AQ1270" s="51"/>
    </row>
    <row r="1271" spans="1:43" x14ac:dyDescent="0.2">
      <c r="A1271"/>
      <c r="B1271"/>
      <c r="C1271"/>
      <c r="D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 s="8"/>
      <c r="AL1271"/>
      <c r="AM1271" s="14"/>
      <c r="AN1271" s="14"/>
      <c r="AO1271" s="14"/>
      <c r="AP1271" s="14"/>
      <c r="AQ1271" s="51"/>
    </row>
    <row r="1272" spans="1:43" x14ac:dyDescent="0.2">
      <c r="A1272"/>
      <c r="B1272"/>
      <c r="C1272"/>
      <c r="D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 s="8"/>
      <c r="AL1272"/>
      <c r="AM1272" s="14"/>
      <c r="AN1272" s="14"/>
      <c r="AO1272" s="14"/>
      <c r="AP1272" s="14"/>
      <c r="AQ1272" s="51"/>
    </row>
    <row r="1273" spans="1:43" x14ac:dyDescent="0.2">
      <c r="A1273"/>
      <c r="B1273"/>
      <c r="C1273"/>
      <c r="D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 s="8"/>
      <c r="AL1273"/>
      <c r="AM1273" s="14"/>
      <c r="AN1273" s="14"/>
      <c r="AO1273" s="14"/>
      <c r="AP1273" s="14"/>
      <c r="AQ1273" s="51"/>
    </row>
    <row r="1274" spans="1:43" x14ac:dyDescent="0.2">
      <c r="A1274"/>
      <c r="B1274"/>
      <c r="C1274"/>
      <c r="D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 s="8"/>
      <c r="AL1274"/>
      <c r="AM1274" s="14"/>
      <c r="AN1274" s="14"/>
      <c r="AO1274" s="14"/>
      <c r="AP1274" s="14"/>
      <c r="AQ1274" s="51"/>
    </row>
    <row r="1275" spans="1:43" x14ac:dyDescent="0.2">
      <c r="A1275"/>
      <c r="B1275"/>
      <c r="C1275"/>
      <c r="D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 s="8"/>
      <c r="AL1275"/>
      <c r="AM1275" s="14"/>
      <c r="AN1275" s="14"/>
      <c r="AO1275" s="14"/>
      <c r="AP1275" s="14"/>
      <c r="AQ1275" s="51"/>
    </row>
    <row r="1276" spans="1:43" x14ac:dyDescent="0.2">
      <c r="A1276"/>
      <c r="B1276"/>
      <c r="C1276"/>
      <c r="D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 s="8"/>
      <c r="AL1276"/>
      <c r="AM1276" s="14"/>
      <c r="AN1276" s="14"/>
      <c r="AO1276" s="14"/>
      <c r="AP1276" s="14"/>
      <c r="AQ1276" s="51"/>
    </row>
    <row r="1277" spans="1:43" x14ac:dyDescent="0.2">
      <c r="A1277"/>
      <c r="B1277"/>
      <c r="C1277"/>
      <c r="D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 s="8"/>
      <c r="AL1277"/>
      <c r="AM1277" s="14"/>
      <c r="AN1277" s="14"/>
      <c r="AO1277" s="14"/>
      <c r="AP1277" s="14"/>
      <c r="AQ1277" s="51"/>
    </row>
    <row r="1278" spans="1:43" x14ac:dyDescent="0.2">
      <c r="A1278"/>
      <c r="B1278"/>
      <c r="C1278"/>
      <c r="D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 s="8"/>
      <c r="AL1278"/>
      <c r="AM1278" s="14"/>
      <c r="AN1278" s="14"/>
      <c r="AO1278" s="14"/>
      <c r="AP1278" s="14"/>
      <c r="AQ1278" s="51"/>
    </row>
    <row r="1279" spans="1:43" x14ac:dyDescent="0.2">
      <c r="A1279"/>
      <c r="B1279"/>
      <c r="C1279"/>
      <c r="D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 s="8"/>
      <c r="AL1279"/>
      <c r="AM1279" s="14"/>
      <c r="AN1279" s="14"/>
      <c r="AO1279" s="14"/>
      <c r="AP1279" s="14"/>
      <c r="AQ1279" s="51"/>
    </row>
    <row r="1280" spans="1:43" x14ac:dyDescent="0.2">
      <c r="A1280"/>
      <c r="B1280"/>
      <c r="C1280"/>
      <c r="D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 s="8"/>
      <c r="AL1280"/>
      <c r="AM1280" s="14"/>
      <c r="AN1280" s="14"/>
      <c r="AO1280" s="14"/>
      <c r="AP1280" s="14"/>
      <c r="AQ1280" s="51"/>
    </row>
    <row r="1281" spans="1:43" x14ac:dyDescent="0.2">
      <c r="A1281"/>
      <c r="B1281"/>
      <c r="C1281"/>
      <c r="D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 s="8"/>
      <c r="AL1281"/>
      <c r="AM1281" s="14"/>
      <c r="AN1281" s="14"/>
      <c r="AO1281" s="14"/>
      <c r="AP1281" s="14"/>
      <c r="AQ1281" s="51"/>
    </row>
    <row r="1282" spans="1:43" x14ac:dyDescent="0.2">
      <c r="A1282"/>
      <c r="B1282"/>
      <c r="C1282"/>
      <c r="D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 s="8"/>
      <c r="AL1282"/>
      <c r="AM1282" s="14"/>
      <c r="AN1282" s="14"/>
      <c r="AO1282" s="14"/>
      <c r="AP1282" s="14"/>
      <c r="AQ1282" s="51"/>
    </row>
    <row r="1283" spans="1:43" x14ac:dyDescent="0.2">
      <c r="A1283"/>
      <c r="B1283"/>
      <c r="C1283"/>
      <c r="D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 s="8"/>
      <c r="AL1283"/>
      <c r="AM1283" s="14"/>
      <c r="AN1283" s="14"/>
      <c r="AO1283" s="14"/>
      <c r="AP1283" s="14"/>
      <c r="AQ1283" s="51"/>
    </row>
    <row r="1284" spans="1:43" x14ac:dyDescent="0.2">
      <c r="A1284"/>
      <c r="B1284"/>
      <c r="C1284"/>
      <c r="D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 s="8"/>
      <c r="AL1284"/>
      <c r="AM1284" s="14"/>
      <c r="AN1284" s="14"/>
      <c r="AO1284" s="14"/>
      <c r="AP1284" s="14"/>
      <c r="AQ1284" s="51"/>
    </row>
    <row r="1285" spans="1:43" x14ac:dyDescent="0.2">
      <c r="A1285"/>
      <c r="B1285"/>
      <c r="C1285"/>
      <c r="D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 s="8"/>
      <c r="AL1285"/>
      <c r="AM1285" s="14"/>
      <c r="AN1285" s="14"/>
      <c r="AO1285" s="14"/>
      <c r="AP1285" s="14"/>
      <c r="AQ1285" s="51"/>
    </row>
    <row r="1286" spans="1:43" x14ac:dyDescent="0.2">
      <c r="A1286"/>
      <c r="B1286"/>
      <c r="C1286"/>
      <c r="D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 s="8"/>
      <c r="AL1286"/>
      <c r="AM1286" s="14"/>
      <c r="AN1286" s="14"/>
      <c r="AO1286" s="14"/>
      <c r="AP1286" s="14"/>
      <c r="AQ1286" s="51"/>
    </row>
    <row r="1287" spans="1:43" x14ac:dyDescent="0.2">
      <c r="A1287"/>
      <c r="B1287"/>
      <c r="C1287"/>
      <c r="D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 s="8"/>
      <c r="AL1287"/>
      <c r="AM1287" s="14"/>
      <c r="AN1287" s="14"/>
      <c r="AO1287" s="14"/>
      <c r="AP1287" s="14"/>
      <c r="AQ1287" s="51"/>
    </row>
    <row r="1288" spans="1:43" x14ac:dyDescent="0.2">
      <c r="A1288"/>
      <c r="B1288"/>
      <c r="C1288"/>
      <c r="D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 s="8"/>
      <c r="AL1288"/>
      <c r="AM1288" s="14"/>
      <c r="AN1288" s="14"/>
      <c r="AO1288" s="14"/>
      <c r="AP1288" s="14"/>
      <c r="AQ1288" s="51"/>
    </row>
    <row r="1289" spans="1:43" x14ac:dyDescent="0.2">
      <c r="A1289"/>
      <c r="B1289"/>
      <c r="C1289"/>
      <c r="D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 s="8"/>
      <c r="AL1289"/>
      <c r="AM1289" s="14"/>
      <c r="AN1289" s="14"/>
      <c r="AO1289" s="14"/>
      <c r="AP1289" s="14"/>
      <c r="AQ1289" s="51"/>
    </row>
    <row r="1290" spans="1:43" x14ac:dyDescent="0.2">
      <c r="A1290"/>
      <c r="B1290"/>
      <c r="C1290"/>
      <c r="D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 s="8"/>
      <c r="AL1290"/>
      <c r="AM1290" s="14"/>
      <c r="AN1290" s="14"/>
      <c r="AO1290" s="14"/>
      <c r="AP1290" s="14"/>
      <c r="AQ1290" s="51"/>
    </row>
    <row r="1291" spans="1:43" x14ac:dyDescent="0.2">
      <c r="A1291"/>
      <c r="B1291"/>
      <c r="C1291"/>
      <c r="D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 s="8"/>
      <c r="AL1291"/>
      <c r="AM1291" s="14"/>
      <c r="AN1291" s="14"/>
      <c r="AO1291" s="14"/>
      <c r="AP1291" s="14"/>
      <c r="AQ1291" s="51"/>
    </row>
    <row r="1292" spans="1:43" x14ac:dyDescent="0.2">
      <c r="A1292"/>
      <c r="B1292"/>
      <c r="C1292"/>
      <c r="D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 s="8"/>
      <c r="AL1292"/>
      <c r="AM1292" s="14"/>
      <c r="AN1292" s="14"/>
      <c r="AO1292" s="14"/>
      <c r="AP1292" s="14"/>
      <c r="AQ1292" s="51"/>
    </row>
    <row r="1293" spans="1:43" x14ac:dyDescent="0.2">
      <c r="A1293"/>
      <c r="B1293"/>
      <c r="C1293"/>
      <c r="D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 s="8"/>
      <c r="AL1293"/>
      <c r="AM1293" s="14"/>
      <c r="AN1293" s="14"/>
      <c r="AO1293" s="14"/>
      <c r="AP1293" s="14"/>
      <c r="AQ1293" s="51"/>
    </row>
    <row r="1294" spans="1:43" x14ac:dyDescent="0.2">
      <c r="A1294"/>
      <c r="B1294"/>
      <c r="C1294"/>
      <c r="D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 s="8"/>
      <c r="AL1294"/>
      <c r="AM1294" s="14"/>
      <c r="AN1294" s="14"/>
      <c r="AO1294" s="14"/>
      <c r="AP1294" s="14"/>
      <c r="AQ1294" s="51"/>
    </row>
    <row r="1295" spans="1:43" x14ac:dyDescent="0.2">
      <c r="A1295"/>
      <c r="B1295"/>
      <c r="C1295"/>
      <c r="D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 s="8"/>
      <c r="AL1295"/>
      <c r="AM1295" s="14"/>
      <c r="AN1295" s="14"/>
      <c r="AO1295" s="14"/>
      <c r="AP1295" s="14"/>
      <c r="AQ1295" s="51"/>
    </row>
    <row r="1296" spans="1:43" x14ac:dyDescent="0.2">
      <c r="A1296"/>
      <c r="B1296"/>
      <c r="C1296"/>
      <c r="D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 s="8"/>
      <c r="AL1296"/>
      <c r="AM1296" s="14"/>
      <c r="AN1296" s="14"/>
      <c r="AO1296" s="14"/>
      <c r="AP1296" s="14"/>
      <c r="AQ1296" s="51"/>
    </row>
    <row r="1297" spans="1:43" x14ac:dyDescent="0.2">
      <c r="A1297"/>
      <c r="B1297"/>
      <c r="C1297"/>
      <c r="D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 s="8"/>
      <c r="AL1297"/>
      <c r="AM1297" s="14"/>
      <c r="AN1297" s="14"/>
      <c r="AO1297" s="14"/>
      <c r="AP1297" s="14"/>
      <c r="AQ1297" s="51"/>
    </row>
    <row r="1298" spans="1:43" x14ac:dyDescent="0.2">
      <c r="A1298"/>
      <c r="B1298"/>
      <c r="C1298"/>
      <c r="D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 s="8"/>
      <c r="AL1298"/>
      <c r="AM1298" s="14"/>
      <c r="AN1298" s="14"/>
      <c r="AO1298" s="14"/>
      <c r="AP1298" s="14"/>
      <c r="AQ1298" s="51"/>
    </row>
    <row r="1299" spans="1:43" x14ac:dyDescent="0.2">
      <c r="A1299"/>
      <c r="B1299"/>
      <c r="C1299"/>
      <c r="D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 s="8"/>
      <c r="AL1299"/>
      <c r="AM1299" s="14"/>
      <c r="AN1299" s="14"/>
      <c r="AO1299" s="14"/>
      <c r="AP1299" s="14"/>
      <c r="AQ1299" s="51"/>
    </row>
    <row r="1300" spans="1:43" x14ac:dyDescent="0.2">
      <c r="A1300"/>
      <c r="B1300"/>
      <c r="C1300"/>
      <c r="D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 s="8"/>
      <c r="AL1300"/>
      <c r="AM1300" s="14"/>
      <c r="AN1300" s="14"/>
      <c r="AO1300" s="14"/>
      <c r="AP1300" s="14"/>
      <c r="AQ1300" s="51"/>
    </row>
    <row r="1301" spans="1:43" x14ac:dyDescent="0.2">
      <c r="A1301"/>
      <c r="B1301"/>
      <c r="C1301"/>
      <c r="D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 s="8"/>
      <c r="AL1301"/>
      <c r="AM1301" s="14"/>
      <c r="AN1301" s="14"/>
      <c r="AO1301" s="14"/>
      <c r="AP1301" s="14"/>
      <c r="AQ1301" s="51"/>
    </row>
    <row r="1302" spans="1:43" x14ac:dyDescent="0.2">
      <c r="A1302"/>
      <c r="B1302"/>
      <c r="C1302"/>
      <c r="D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 s="8"/>
      <c r="AL1302"/>
      <c r="AM1302" s="14"/>
      <c r="AN1302" s="14"/>
      <c r="AO1302" s="14"/>
      <c r="AP1302" s="14"/>
      <c r="AQ1302" s="51"/>
    </row>
    <row r="1303" spans="1:43" x14ac:dyDescent="0.2">
      <c r="A1303"/>
      <c r="B1303"/>
      <c r="C1303"/>
      <c r="D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 s="8"/>
      <c r="AL1303"/>
      <c r="AM1303" s="14"/>
      <c r="AN1303" s="14"/>
      <c r="AO1303" s="14"/>
      <c r="AP1303" s="14"/>
      <c r="AQ1303" s="51"/>
    </row>
    <row r="1304" spans="1:43" x14ac:dyDescent="0.2">
      <c r="A1304"/>
      <c r="B1304"/>
      <c r="C1304"/>
      <c r="D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 s="8"/>
      <c r="AL1304"/>
      <c r="AM1304" s="14"/>
      <c r="AN1304" s="14"/>
      <c r="AO1304" s="14"/>
      <c r="AP1304" s="14"/>
      <c r="AQ1304" s="51"/>
    </row>
    <row r="1305" spans="1:43" x14ac:dyDescent="0.2">
      <c r="A1305"/>
      <c r="B1305"/>
      <c r="C1305"/>
      <c r="D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 s="8"/>
      <c r="AL1305"/>
      <c r="AM1305" s="14"/>
      <c r="AN1305" s="14"/>
      <c r="AO1305" s="14"/>
      <c r="AP1305" s="14"/>
      <c r="AQ1305" s="51"/>
    </row>
    <row r="1306" spans="1:43" x14ac:dyDescent="0.2">
      <c r="A1306"/>
      <c r="B1306"/>
      <c r="C1306"/>
      <c r="D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 s="8"/>
      <c r="AL1306"/>
      <c r="AM1306" s="14"/>
      <c r="AN1306" s="14"/>
      <c r="AO1306" s="14"/>
      <c r="AP1306" s="14"/>
      <c r="AQ1306" s="51"/>
    </row>
    <row r="1307" spans="1:43" x14ac:dyDescent="0.2">
      <c r="A1307"/>
      <c r="B1307"/>
      <c r="C1307"/>
      <c r="D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 s="8"/>
      <c r="AL1307"/>
      <c r="AM1307" s="14"/>
      <c r="AN1307" s="14"/>
      <c r="AO1307" s="14"/>
      <c r="AP1307" s="14"/>
      <c r="AQ1307" s="51"/>
    </row>
    <row r="1308" spans="1:43" x14ac:dyDescent="0.2">
      <c r="A1308"/>
      <c r="B1308"/>
      <c r="C1308"/>
      <c r="D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 s="8"/>
      <c r="AL1308"/>
      <c r="AM1308" s="14"/>
      <c r="AN1308" s="14"/>
      <c r="AO1308" s="14"/>
      <c r="AP1308" s="14"/>
      <c r="AQ1308" s="51"/>
    </row>
    <row r="1309" spans="1:43" x14ac:dyDescent="0.2">
      <c r="A1309"/>
      <c r="B1309"/>
      <c r="C1309"/>
      <c r="D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 s="8"/>
      <c r="AL1309"/>
      <c r="AM1309" s="14"/>
      <c r="AN1309" s="14"/>
      <c r="AO1309" s="14"/>
      <c r="AP1309" s="14"/>
      <c r="AQ1309" s="51"/>
    </row>
    <row r="1310" spans="1:43" x14ac:dyDescent="0.2">
      <c r="A1310"/>
      <c r="B1310"/>
      <c r="C1310"/>
      <c r="D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 s="8"/>
      <c r="AL1310"/>
      <c r="AM1310" s="14"/>
      <c r="AN1310" s="14"/>
      <c r="AO1310" s="14"/>
      <c r="AP1310" s="14"/>
      <c r="AQ1310" s="51"/>
    </row>
    <row r="1311" spans="1:43" x14ac:dyDescent="0.2">
      <c r="A1311"/>
      <c r="B1311"/>
      <c r="C1311"/>
      <c r="D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 s="8"/>
      <c r="AL1311"/>
      <c r="AM1311" s="14"/>
      <c r="AN1311" s="14"/>
      <c r="AO1311" s="14"/>
      <c r="AP1311" s="14"/>
      <c r="AQ1311" s="51"/>
    </row>
    <row r="1312" spans="1:43" x14ac:dyDescent="0.2">
      <c r="A1312"/>
      <c r="B1312"/>
      <c r="C1312"/>
      <c r="D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 s="8"/>
      <c r="AL1312"/>
      <c r="AM1312" s="14"/>
      <c r="AN1312" s="14"/>
      <c r="AO1312" s="14"/>
      <c r="AP1312" s="14"/>
      <c r="AQ1312" s="51"/>
    </row>
    <row r="1313" spans="1:43" x14ac:dyDescent="0.2">
      <c r="A1313"/>
      <c r="B1313"/>
      <c r="C1313"/>
      <c r="D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 s="8"/>
      <c r="AL1313"/>
      <c r="AM1313" s="14"/>
      <c r="AN1313" s="14"/>
      <c r="AO1313" s="14"/>
      <c r="AP1313" s="14"/>
      <c r="AQ1313" s="51"/>
    </row>
    <row r="1314" spans="1:43" x14ac:dyDescent="0.2">
      <c r="A1314"/>
      <c r="B1314"/>
      <c r="C1314"/>
      <c r="D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 s="8"/>
      <c r="AL1314"/>
      <c r="AM1314" s="14"/>
      <c r="AN1314" s="14"/>
      <c r="AO1314" s="14"/>
      <c r="AP1314" s="14"/>
      <c r="AQ1314" s="51"/>
    </row>
    <row r="1315" spans="1:43" x14ac:dyDescent="0.2">
      <c r="A1315"/>
      <c r="B1315"/>
      <c r="C1315"/>
      <c r="D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 s="8"/>
      <c r="AL1315"/>
      <c r="AM1315" s="14"/>
      <c r="AN1315" s="14"/>
      <c r="AO1315" s="14"/>
      <c r="AP1315" s="14"/>
      <c r="AQ1315" s="51"/>
    </row>
    <row r="1316" spans="1:43" x14ac:dyDescent="0.2">
      <c r="A1316"/>
      <c r="B1316"/>
      <c r="C1316"/>
      <c r="D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 s="8"/>
      <c r="AL1316"/>
      <c r="AM1316" s="14"/>
      <c r="AN1316" s="14"/>
      <c r="AO1316" s="14"/>
      <c r="AP1316" s="14"/>
      <c r="AQ1316" s="51"/>
    </row>
    <row r="1317" spans="1:43" x14ac:dyDescent="0.2">
      <c r="A1317"/>
      <c r="B1317"/>
      <c r="C1317"/>
      <c r="D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 s="8"/>
      <c r="AL1317"/>
      <c r="AM1317" s="14"/>
      <c r="AN1317" s="14"/>
      <c r="AO1317" s="14"/>
      <c r="AP1317" s="14"/>
      <c r="AQ1317" s="51"/>
    </row>
    <row r="1318" spans="1:43" x14ac:dyDescent="0.2">
      <c r="A1318"/>
      <c r="B1318"/>
      <c r="C1318"/>
      <c r="D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 s="8"/>
      <c r="AL1318"/>
      <c r="AM1318" s="14"/>
      <c r="AN1318" s="14"/>
      <c r="AO1318" s="14"/>
      <c r="AP1318" s="14"/>
      <c r="AQ1318" s="51"/>
    </row>
    <row r="1319" spans="1:43" x14ac:dyDescent="0.2">
      <c r="A1319"/>
      <c r="B1319"/>
      <c r="C1319"/>
      <c r="D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 s="8"/>
      <c r="AL1319"/>
      <c r="AM1319" s="14"/>
      <c r="AN1319" s="14"/>
      <c r="AO1319" s="14"/>
      <c r="AP1319" s="14"/>
      <c r="AQ1319" s="51"/>
    </row>
    <row r="1320" spans="1:43" x14ac:dyDescent="0.2">
      <c r="A1320"/>
      <c r="B1320"/>
      <c r="C1320"/>
      <c r="D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 s="8"/>
      <c r="AL1320"/>
      <c r="AM1320" s="14"/>
      <c r="AN1320" s="14"/>
      <c r="AO1320" s="14"/>
      <c r="AP1320" s="14"/>
      <c r="AQ1320" s="51"/>
    </row>
    <row r="1321" spans="1:43" x14ac:dyDescent="0.2">
      <c r="A1321"/>
      <c r="B1321"/>
      <c r="C1321"/>
      <c r="D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 s="8"/>
      <c r="AL1321"/>
      <c r="AM1321" s="14"/>
      <c r="AN1321" s="14"/>
      <c r="AO1321" s="14"/>
      <c r="AP1321" s="14"/>
      <c r="AQ1321" s="51"/>
    </row>
    <row r="1322" spans="1:43" x14ac:dyDescent="0.2">
      <c r="A1322"/>
      <c r="B1322"/>
      <c r="C1322"/>
      <c r="D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 s="8"/>
      <c r="AL1322"/>
      <c r="AM1322" s="14"/>
      <c r="AN1322" s="14"/>
      <c r="AO1322" s="14"/>
      <c r="AP1322" s="14"/>
      <c r="AQ1322" s="51"/>
    </row>
    <row r="1323" spans="1:43" x14ac:dyDescent="0.2">
      <c r="A1323"/>
      <c r="B1323"/>
      <c r="C1323"/>
      <c r="D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 s="8"/>
      <c r="AL1323"/>
      <c r="AM1323" s="14"/>
      <c r="AN1323" s="14"/>
      <c r="AO1323" s="14"/>
      <c r="AP1323" s="14"/>
      <c r="AQ1323" s="51"/>
    </row>
    <row r="1324" spans="1:43" x14ac:dyDescent="0.2">
      <c r="A1324"/>
      <c r="B1324"/>
      <c r="C1324"/>
      <c r="D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 s="8"/>
      <c r="AL1324"/>
      <c r="AM1324" s="14"/>
      <c r="AN1324" s="14"/>
      <c r="AO1324" s="14"/>
      <c r="AP1324" s="14"/>
      <c r="AQ1324" s="51"/>
    </row>
    <row r="1325" spans="1:43" x14ac:dyDescent="0.2">
      <c r="A1325"/>
      <c r="B1325"/>
      <c r="C1325"/>
      <c r="D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 s="8"/>
      <c r="AL1325"/>
      <c r="AM1325" s="14"/>
      <c r="AN1325" s="14"/>
      <c r="AO1325" s="14"/>
      <c r="AP1325" s="14"/>
      <c r="AQ1325" s="51"/>
    </row>
    <row r="1326" spans="1:43" x14ac:dyDescent="0.2">
      <c r="A1326"/>
      <c r="B1326"/>
      <c r="C1326"/>
      <c r="D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 s="8"/>
      <c r="AL1326"/>
      <c r="AM1326" s="14"/>
      <c r="AN1326" s="14"/>
      <c r="AO1326" s="14"/>
      <c r="AP1326" s="14"/>
      <c r="AQ1326" s="51"/>
    </row>
    <row r="1327" spans="1:43" x14ac:dyDescent="0.2">
      <c r="A1327"/>
      <c r="B1327"/>
      <c r="C1327"/>
      <c r="D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 s="8"/>
      <c r="AL1327"/>
      <c r="AM1327" s="14"/>
      <c r="AN1327" s="14"/>
      <c r="AO1327" s="14"/>
      <c r="AP1327" s="14"/>
      <c r="AQ1327" s="51"/>
    </row>
    <row r="1328" spans="1:43" x14ac:dyDescent="0.2">
      <c r="A1328"/>
      <c r="B1328"/>
      <c r="C1328"/>
      <c r="D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 s="8"/>
      <c r="AL1328"/>
      <c r="AM1328" s="14"/>
      <c r="AN1328" s="14"/>
      <c r="AO1328" s="14"/>
      <c r="AP1328" s="14"/>
      <c r="AQ1328" s="51"/>
    </row>
    <row r="1329" spans="1:43" x14ac:dyDescent="0.2">
      <c r="A1329"/>
      <c r="B1329"/>
      <c r="C1329"/>
      <c r="D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 s="8"/>
      <c r="AL1329"/>
      <c r="AM1329" s="14"/>
      <c r="AN1329" s="14"/>
      <c r="AO1329" s="14"/>
      <c r="AP1329" s="14"/>
      <c r="AQ1329" s="51"/>
    </row>
    <row r="1330" spans="1:43" x14ac:dyDescent="0.2">
      <c r="A1330"/>
      <c r="B1330"/>
      <c r="C1330"/>
      <c r="D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 s="8"/>
      <c r="AL1330"/>
      <c r="AM1330" s="14"/>
      <c r="AN1330" s="14"/>
      <c r="AO1330" s="14"/>
      <c r="AP1330" s="14"/>
      <c r="AQ1330" s="51"/>
    </row>
    <row r="1331" spans="1:43" x14ac:dyDescent="0.2">
      <c r="A1331"/>
      <c r="B1331"/>
      <c r="C1331"/>
      <c r="D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 s="8"/>
      <c r="AL1331"/>
      <c r="AM1331" s="14"/>
      <c r="AN1331" s="14"/>
      <c r="AO1331" s="14"/>
      <c r="AP1331" s="14"/>
      <c r="AQ1331" s="51"/>
    </row>
    <row r="1332" spans="1:43" x14ac:dyDescent="0.2">
      <c r="A1332"/>
      <c r="B1332"/>
      <c r="C1332"/>
      <c r="D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 s="8"/>
      <c r="AL1332"/>
      <c r="AM1332" s="14"/>
      <c r="AN1332" s="14"/>
      <c r="AO1332" s="14"/>
      <c r="AP1332" s="14"/>
      <c r="AQ1332" s="51"/>
    </row>
    <row r="1333" spans="1:43" x14ac:dyDescent="0.2">
      <c r="A1333"/>
      <c r="B1333"/>
      <c r="C1333"/>
      <c r="D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 s="8"/>
      <c r="AL1333"/>
      <c r="AM1333" s="14"/>
      <c r="AN1333" s="14"/>
      <c r="AO1333" s="14"/>
      <c r="AP1333" s="14"/>
      <c r="AQ1333" s="51"/>
    </row>
    <row r="1334" spans="1:43" x14ac:dyDescent="0.2">
      <c r="A1334"/>
      <c r="B1334"/>
      <c r="C1334"/>
      <c r="D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 s="8"/>
      <c r="AL1334"/>
      <c r="AM1334" s="14"/>
      <c r="AN1334" s="14"/>
      <c r="AO1334" s="14"/>
      <c r="AP1334" s="14"/>
      <c r="AQ1334" s="51"/>
    </row>
    <row r="1335" spans="1:43" x14ac:dyDescent="0.2">
      <c r="A1335"/>
      <c r="B1335"/>
      <c r="C1335"/>
      <c r="D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 s="8"/>
      <c r="AL1335"/>
      <c r="AM1335" s="14"/>
      <c r="AN1335" s="14"/>
      <c r="AO1335" s="14"/>
      <c r="AP1335" s="14"/>
      <c r="AQ1335" s="51"/>
    </row>
    <row r="1336" spans="1:43" x14ac:dyDescent="0.2">
      <c r="A1336"/>
      <c r="B1336"/>
      <c r="C1336"/>
      <c r="D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 s="8"/>
      <c r="AL1336"/>
      <c r="AM1336" s="14"/>
      <c r="AN1336" s="14"/>
      <c r="AO1336" s="14"/>
      <c r="AP1336" s="14"/>
      <c r="AQ1336" s="51"/>
    </row>
    <row r="1337" spans="1:43" x14ac:dyDescent="0.2">
      <c r="A1337"/>
      <c r="B1337"/>
      <c r="C1337"/>
      <c r="D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 s="8"/>
      <c r="AL1337"/>
      <c r="AM1337" s="14"/>
      <c r="AN1337" s="14"/>
      <c r="AO1337" s="14"/>
      <c r="AP1337" s="14"/>
      <c r="AQ1337" s="51"/>
    </row>
    <row r="1338" spans="1:43" x14ac:dyDescent="0.2">
      <c r="A1338"/>
      <c r="B1338"/>
      <c r="C1338"/>
      <c r="D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 s="8"/>
      <c r="AL1338"/>
      <c r="AM1338" s="14"/>
      <c r="AN1338" s="14"/>
      <c r="AO1338" s="14"/>
      <c r="AP1338" s="14"/>
      <c r="AQ1338" s="51"/>
    </row>
    <row r="1339" spans="1:43" x14ac:dyDescent="0.2">
      <c r="A1339"/>
      <c r="B1339"/>
      <c r="C1339"/>
      <c r="D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 s="8"/>
      <c r="AL1339"/>
      <c r="AM1339" s="14"/>
      <c r="AN1339" s="14"/>
      <c r="AO1339" s="14"/>
      <c r="AP1339" s="14"/>
      <c r="AQ1339" s="51"/>
    </row>
    <row r="1340" spans="1:43" x14ac:dyDescent="0.2">
      <c r="A1340"/>
      <c r="B1340"/>
      <c r="C1340"/>
      <c r="D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 s="8"/>
      <c r="AL1340"/>
      <c r="AM1340" s="14"/>
      <c r="AN1340" s="14"/>
      <c r="AO1340" s="14"/>
      <c r="AP1340" s="14"/>
      <c r="AQ1340" s="51"/>
    </row>
    <row r="1341" spans="1:43" x14ac:dyDescent="0.2">
      <c r="A1341"/>
      <c r="B1341"/>
      <c r="C1341"/>
      <c r="D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 s="8"/>
      <c r="AL1341"/>
      <c r="AM1341" s="14"/>
      <c r="AN1341" s="14"/>
      <c r="AO1341" s="14"/>
      <c r="AP1341" s="14"/>
      <c r="AQ1341" s="51"/>
    </row>
    <row r="1342" spans="1:43" x14ac:dyDescent="0.2">
      <c r="A1342"/>
      <c r="B1342"/>
      <c r="C1342"/>
      <c r="D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 s="8"/>
      <c r="AL1342"/>
      <c r="AM1342" s="14"/>
      <c r="AN1342" s="14"/>
      <c r="AO1342" s="14"/>
      <c r="AP1342" s="14"/>
      <c r="AQ1342" s="51"/>
    </row>
    <row r="1343" spans="1:43" x14ac:dyDescent="0.2">
      <c r="A1343"/>
      <c r="B1343"/>
      <c r="C1343"/>
      <c r="D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 s="8"/>
      <c r="AL1343"/>
      <c r="AM1343" s="14"/>
      <c r="AN1343" s="14"/>
      <c r="AO1343" s="14"/>
      <c r="AP1343" s="14"/>
      <c r="AQ1343" s="51"/>
    </row>
    <row r="1344" spans="1:43" x14ac:dyDescent="0.2">
      <c r="A1344"/>
      <c r="B1344"/>
      <c r="C1344"/>
      <c r="D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 s="8"/>
      <c r="AL1344"/>
      <c r="AM1344" s="14"/>
      <c r="AN1344" s="14"/>
      <c r="AO1344" s="14"/>
      <c r="AP1344" s="14"/>
      <c r="AQ1344" s="51"/>
    </row>
    <row r="1345" spans="1:43" x14ac:dyDescent="0.2">
      <c r="A1345"/>
      <c r="B1345"/>
      <c r="C1345"/>
      <c r="D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 s="8"/>
      <c r="AL1345"/>
      <c r="AM1345" s="14"/>
      <c r="AN1345" s="14"/>
      <c r="AO1345" s="14"/>
      <c r="AP1345" s="14"/>
      <c r="AQ1345" s="51"/>
    </row>
    <row r="1346" spans="1:43" x14ac:dyDescent="0.2">
      <c r="A1346"/>
      <c r="B1346"/>
      <c r="C1346"/>
      <c r="D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 s="8"/>
      <c r="AL1346"/>
      <c r="AM1346" s="14"/>
      <c r="AN1346" s="14"/>
      <c r="AO1346" s="14"/>
      <c r="AP1346" s="14"/>
      <c r="AQ1346" s="51"/>
    </row>
    <row r="1347" spans="1:43" x14ac:dyDescent="0.2">
      <c r="A1347"/>
      <c r="B1347"/>
      <c r="C1347"/>
      <c r="D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 s="8"/>
      <c r="AL1347"/>
      <c r="AM1347" s="14"/>
      <c r="AN1347" s="14"/>
      <c r="AO1347" s="14"/>
      <c r="AP1347" s="14"/>
      <c r="AQ1347" s="51"/>
    </row>
    <row r="1348" spans="1:43" x14ac:dyDescent="0.2">
      <c r="A1348"/>
      <c r="B1348"/>
      <c r="C1348"/>
      <c r="D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 s="8"/>
      <c r="AL1348"/>
      <c r="AM1348" s="14"/>
      <c r="AN1348" s="14"/>
      <c r="AO1348" s="14"/>
      <c r="AP1348" s="14"/>
      <c r="AQ1348" s="51"/>
    </row>
    <row r="1349" spans="1:43" x14ac:dyDescent="0.2">
      <c r="A1349"/>
      <c r="B1349"/>
      <c r="C1349"/>
      <c r="D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 s="8"/>
      <c r="AL1349"/>
      <c r="AM1349" s="14"/>
      <c r="AN1349" s="14"/>
      <c r="AO1349" s="14"/>
      <c r="AP1349" s="14"/>
      <c r="AQ1349" s="51"/>
    </row>
    <row r="1350" spans="1:43" x14ac:dyDescent="0.2">
      <c r="A1350"/>
      <c r="B1350"/>
      <c r="C1350"/>
      <c r="D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 s="8"/>
      <c r="AL1350"/>
      <c r="AM1350" s="14"/>
      <c r="AN1350" s="14"/>
      <c r="AO1350" s="14"/>
      <c r="AP1350" s="14"/>
      <c r="AQ1350" s="51"/>
    </row>
    <row r="1351" spans="1:43" x14ac:dyDescent="0.2">
      <c r="A1351"/>
      <c r="B1351"/>
      <c r="C1351"/>
      <c r="D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 s="8"/>
      <c r="AL1351"/>
      <c r="AM1351" s="14"/>
      <c r="AN1351" s="14"/>
      <c r="AO1351" s="14"/>
      <c r="AP1351" s="14"/>
      <c r="AQ1351" s="51"/>
    </row>
    <row r="1352" spans="1:43" x14ac:dyDescent="0.2">
      <c r="A1352"/>
      <c r="B1352"/>
      <c r="C1352"/>
      <c r="D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 s="8"/>
      <c r="AL1352"/>
      <c r="AM1352" s="14"/>
      <c r="AN1352" s="14"/>
      <c r="AO1352" s="14"/>
      <c r="AP1352" s="14"/>
      <c r="AQ1352" s="51"/>
    </row>
    <row r="1353" spans="1:43" x14ac:dyDescent="0.2">
      <c r="A1353"/>
      <c r="B1353"/>
      <c r="C1353"/>
      <c r="D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 s="8"/>
      <c r="AL1353"/>
      <c r="AM1353" s="14"/>
      <c r="AN1353" s="14"/>
      <c r="AO1353" s="14"/>
      <c r="AP1353" s="14"/>
      <c r="AQ1353" s="51"/>
    </row>
    <row r="1354" spans="1:43" x14ac:dyDescent="0.2">
      <c r="A1354"/>
      <c r="B1354"/>
      <c r="C1354"/>
      <c r="D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 s="8"/>
      <c r="AL1354"/>
      <c r="AM1354" s="14"/>
      <c r="AN1354" s="14"/>
      <c r="AO1354" s="14"/>
      <c r="AP1354" s="14"/>
      <c r="AQ1354" s="51"/>
    </row>
    <row r="1355" spans="1:43" x14ac:dyDescent="0.2">
      <c r="A1355"/>
      <c r="B1355"/>
      <c r="C1355"/>
      <c r="D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 s="8"/>
      <c r="AL1355"/>
      <c r="AM1355" s="14"/>
      <c r="AN1355" s="14"/>
      <c r="AO1355" s="14"/>
      <c r="AP1355" s="14"/>
      <c r="AQ1355" s="51"/>
    </row>
    <row r="1356" spans="1:43" x14ac:dyDescent="0.2">
      <c r="A1356"/>
      <c r="B1356"/>
      <c r="C1356"/>
      <c r="D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 s="8"/>
      <c r="AL1356"/>
      <c r="AM1356" s="14"/>
      <c r="AN1356" s="14"/>
      <c r="AO1356" s="14"/>
      <c r="AP1356" s="14"/>
      <c r="AQ1356" s="51"/>
    </row>
    <row r="1357" spans="1:43" x14ac:dyDescent="0.2">
      <c r="A1357"/>
      <c r="B1357"/>
      <c r="C1357"/>
      <c r="D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 s="8"/>
      <c r="AL1357"/>
      <c r="AM1357" s="14"/>
      <c r="AN1357" s="14"/>
      <c r="AO1357" s="14"/>
      <c r="AP1357" s="14"/>
      <c r="AQ1357" s="51"/>
    </row>
    <row r="1358" spans="1:43" x14ac:dyDescent="0.2">
      <c r="A1358"/>
      <c r="B1358"/>
      <c r="C1358"/>
      <c r="D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 s="8"/>
      <c r="AL1358"/>
      <c r="AM1358" s="14"/>
      <c r="AN1358" s="14"/>
      <c r="AO1358" s="14"/>
      <c r="AP1358" s="14"/>
      <c r="AQ1358" s="51"/>
    </row>
    <row r="1359" spans="1:43" x14ac:dyDescent="0.2">
      <c r="A1359"/>
      <c r="B1359"/>
      <c r="C1359"/>
      <c r="D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 s="8"/>
      <c r="AL1359"/>
      <c r="AM1359" s="14"/>
      <c r="AN1359" s="14"/>
      <c r="AO1359" s="14"/>
      <c r="AP1359" s="14"/>
      <c r="AQ1359" s="51"/>
    </row>
    <row r="1360" spans="1:43" x14ac:dyDescent="0.2">
      <c r="A1360"/>
      <c r="B1360"/>
      <c r="C1360"/>
      <c r="D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 s="8"/>
      <c r="AL1360"/>
      <c r="AM1360" s="14"/>
      <c r="AN1360" s="14"/>
      <c r="AO1360" s="14"/>
      <c r="AP1360" s="14"/>
      <c r="AQ1360" s="51"/>
    </row>
    <row r="1361" spans="1:43" x14ac:dyDescent="0.2">
      <c r="A1361"/>
      <c r="B1361"/>
      <c r="C1361"/>
      <c r="D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 s="8"/>
      <c r="AL1361"/>
      <c r="AM1361" s="14"/>
      <c r="AN1361" s="14"/>
      <c r="AO1361" s="14"/>
      <c r="AP1361" s="14"/>
      <c r="AQ1361" s="51"/>
    </row>
    <row r="1362" spans="1:43" x14ac:dyDescent="0.2">
      <c r="A1362"/>
      <c r="B1362"/>
      <c r="C1362"/>
      <c r="D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 s="8"/>
      <c r="AL1362"/>
      <c r="AM1362" s="14"/>
      <c r="AN1362" s="14"/>
      <c r="AO1362" s="14"/>
      <c r="AP1362" s="14"/>
      <c r="AQ1362" s="51"/>
    </row>
    <row r="1363" spans="1:43" x14ac:dyDescent="0.2">
      <c r="A1363"/>
      <c r="B1363"/>
      <c r="C1363"/>
      <c r="D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 s="8"/>
      <c r="AL1363"/>
      <c r="AM1363" s="14"/>
      <c r="AN1363" s="14"/>
      <c r="AO1363" s="14"/>
      <c r="AP1363" s="14"/>
      <c r="AQ1363" s="51"/>
    </row>
    <row r="1364" spans="1:43" x14ac:dyDescent="0.2">
      <c r="A1364"/>
      <c r="B1364"/>
      <c r="C1364"/>
      <c r="D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 s="8"/>
      <c r="AL1364"/>
      <c r="AM1364" s="14"/>
      <c r="AN1364" s="14"/>
      <c r="AO1364" s="14"/>
      <c r="AP1364" s="14"/>
      <c r="AQ1364" s="51"/>
    </row>
    <row r="1365" spans="1:43" x14ac:dyDescent="0.2">
      <c r="A1365"/>
      <c r="B1365"/>
      <c r="C1365"/>
      <c r="D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 s="8"/>
      <c r="AL1365"/>
      <c r="AM1365" s="14"/>
      <c r="AN1365" s="14"/>
      <c r="AO1365" s="14"/>
      <c r="AP1365" s="14"/>
      <c r="AQ1365" s="51"/>
    </row>
    <row r="1366" spans="1:43" x14ac:dyDescent="0.2">
      <c r="A1366"/>
      <c r="B1366"/>
      <c r="C1366"/>
      <c r="D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 s="8"/>
      <c r="AL1366"/>
      <c r="AM1366" s="14"/>
      <c r="AN1366" s="14"/>
      <c r="AO1366" s="14"/>
      <c r="AP1366" s="14"/>
      <c r="AQ1366" s="51"/>
    </row>
    <row r="1367" spans="1:43" x14ac:dyDescent="0.2">
      <c r="A1367"/>
      <c r="B1367"/>
      <c r="C1367"/>
      <c r="D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 s="8"/>
      <c r="AL1367"/>
      <c r="AM1367" s="14"/>
      <c r="AN1367" s="14"/>
      <c r="AO1367" s="14"/>
      <c r="AP1367" s="14"/>
      <c r="AQ1367" s="51"/>
    </row>
    <row r="1368" spans="1:43" x14ac:dyDescent="0.2">
      <c r="A1368"/>
      <c r="B1368"/>
      <c r="C1368"/>
      <c r="D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 s="8"/>
      <c r="AL1368"/>
      <c r="AM1368" s="14"/>
      <c r="AN1368" s="14"/>
      <c r="AO1368" s="14"/>
      <c r="AP1368" s="14"/>
      <c r="AQ1368" s="51"/>
    </row>
    <row r="1369" spans="1:43" x14ac:dyDescent="0.2">
      <c r="A1369"/>
      <c r="B1369"/>
      <c r="C1369"/>
      <c r="D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 s="8"/>
      <c r="AL1369"/>
      <c r="AM1369" s="14"/>
      <c r="AN1369" s="14"/>
      <c r="AO1369" s="14"/>
      <c r="AP1369" s="14"/>
      <c r="AQ1369" s="51"/>
    </row>
    <row r="1370" spans="1:43" x14ac:dyDescent="0.2">
      <c r="A1370"/>
      <c r="B1370"/>
      <c r="C1370"/>
      <c r="D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 s="8"/>
      <c r="AL1370"/>
      <c r="AM1370" s="14"/>
      <c r="AN1370" s="14"/>
      <c r="AO1370" s="14"/>
      <c r="AP1370" s="14"/>
      <c r="AQ1370" s="51"/>
    </row>
    <row r="1371" spans="1:43" x14ac:dyDescent="0.2">
      <c r="A1371"/>
      <c r="B1371"/>
      <c r="C1371"/>
      <c r="D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 s="8"/>
      <c r="AL1371"/>
      <c r="AM1371" s="14"/>
      <c r="AN1371" s="14"/>
      <c r="AO1371" s="14"/>
      <c r="AP1371" s="14"/>
      <c r="AQ1371" s="51"/>
    </row>
    <row r="1372" spans="1:43" x14ac:dyDescent="0.2">
      <c r="A1372"/>
      <c r="B1372"/>
      <c r="C1372"/>
      <c r="D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 s="8"/>
      <c r="AL1372"/>
      <c r="AM1372" s="14"/>
      <c r="AN1372" s="14"/>
      <c r="AO1372" s="14"/>
      <c r="AP1372" s="14"/>
      <c r="AQ1372" s="51"/>
    </row>
    <row r="1373" spans="1:43" x14ac:dyDescent="0.2">
      <c r="A1373"/>
      <c r="B1373"/>
      <c r="C1373"/>
      <c r="D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 s="8"/>
      <c r="AL1373"/>
      <c r="AM1373" s="14"/>
      <c r="AN1373" s="14"/>
      <c r="AO1373" s="14"/>
      <c r="AP1373" s="14"/>
      <c r="AQ1373" s="51"/>
    </row>
    <row r="1374" spans="1:43" x14ac:dyDescent="0.2">
      <c r="A1374"/>
      <c r="B1374"/>
      <c r="C1374"/>
      <c r="D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 s="8"/>
      <c r="AL1374"/>
      <c r="AM1374" s="14"/>
      <c r="AN1374" s="14"/>
      <c r="AO1374" s="14"/>
      <c r="AP1374" s="14"/>
      <c r="AQ1374" s="51"/>
    </row>
    <row r="1375" spans="1:43" x14ac:dyDescent="0.2">
      <c r="A1375"/>
      <c r="B1375"/>
      <c r="C1375"/>
      <c r="D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 s="8"/>
      <c r="AL1375"/>
      <c r="AM1375" s="14"/>
      <c r="AN1375" s="14"/>
      <c r="AO1375" s="14"/>
      <c r="AP1375" s="14"/>
      <c r="AQ1375" s="51"/>
    </row>
    <row r="1376" spans="1:43" x14ac:dyDescent="0.2">
      <c r="A1376"/>
      <c r="B1376"/>
      <c r="C1376"/>
      <c r="D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 s="8"/>
      <c r="AL1376"/>
      <c r="AM1376" s="14"/>
      <c r="AN1376" s="14"/>
      <c r="AO1376" s="14"/>
      <c r="AP1376" s="14"/>
      <c r="AQ1376" s="51"/>
    </row>
    <row r="1377" spans="1:43" x14ac:dyDescent="0.2">
      <c r="A1377"/>
      <c r="B1377"/>
      <c r="C1377"/>
      <c r="D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 s="8"/>
      <c r="AL1377"/>
      <c r="AM1377" s="14"/>
      <c r="AN1377" s="14"/>
      <c r="AO1377" s="14"/>
      <c r="AP1377" s="14"/>
      <c r="AQ1377" s="51"/>
    </row>
    <row r="1378" spans="1:43" x14ac:dyDescent="0.2">
      <c r="A1378"/>
      <c r="B1378"/>
      <c r="C1378"/>
      <c r="D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 s="8"/>
      <c r="AL1378"/>
      <c r="AM1378" s="14"/>
      <c r="AN1378" s="14"/>
      <c r="AO1378" s="14"/>
      <c r="AP1378" s="14"/>
      <c r="AQ1378" s="51"/>
    </row>
    <row r="1379" spans="1:43" x14ac:dyDescent="0.2">
      <c r="A1379"/>
      <c r="B1379"/>
      <c r="C1379"/>
      <c r="D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 s="8"/>
      <c r="AL1379"/>
      <c r="AM1379" s="14"/>
      <c r="AN1379" s="14"/>
      <c r="AO1379" s="14"/>
      <c r="AP1379" s="14"/>
      <c r="AQ1379" s="51"/>
    </row>
    <row r="1380" spans="1:43" x14ac:dyDescent="0.2">
      <c r="A1380"/>
      <c r="B1380"/>
      <c r="C1380"/>
      <c r="D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 s="8"/>
      <c r="AL1380"/>
      <c r="AM1380" s="14"/>
      <c r="AN1380" s="14"/>
      <c r="AO1380" s="14"/>
      <c r="AP1380" s="14"/>
      <c r="AQ1380" s="51"/>
    </row>
    <row r="1381" spans="1:43" x14ac:dyDescent="0.2">
      <c r="A1381"/>
      <c r="B1381"/>
      <c r="C1381"/>
      <c r="D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 s="8"/>
      <c r="AL1381"/>
      <c r="AM1381" s="14"/>
      <c r="AN1381" s="14"/>
      <c r="AO1381" s="14"/>
      <c r="AP1381" s="14"/>
      <c r="AQ1381" s="51"/>
    </row>
    <row r="1382" spans="1:43" x14ac:dyDescent="0.2">
      <c r="A1382"/>
      <c r="B1382"/>
      <c r="C1382"/>
      <c r="D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 s="8"/>
      <c r="AL1382"/>
      <c r="AM1382" s="14"/>
      <c r="AN1382" s="14"/>
      <c r="AO1382" s="14"/>
      <c r="AP1382" s="14"/>
      <c r="AQ1382" s="51"/>
    </row>
    <row r="1383" spans="1:43" x14ac:dyDescent="0.2">
      <c r="A1383"/>
      <c r="B1383"/>
      <c r="C1383"/>
      <c r="D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 s="8"/>
      <c r="AL1383"/>
      <c r="AM1383" s="14"/>
      <c r="AN1383" s="14"/>
      <c r="AO1383" s="14"/>
      <c r="AP1383" s="14"/>
      <c r="AQ1383" s="51"/>
    </row>
    <row r="1384" spans="1:43" x14ac:dyDescent="0.2">
      <c r="A1384"/>
      <c r="B1384"/>
      <c r="C1384"/>
      <c r="D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 s="8"/>
      <c r="AL1384"/>
      <c r="AM1384" s="14"/>
      <c r="AN1384" s="14"/>
      <c r="AO1384" s="14"/>
      <c r="AP1384" s="14"/>
      <c r="AQ1384" s="51"/>
    </row>
    <row r="1385" spans="1:43" x14ac:dyDescent="0.2">
      <c r="A1385"/>
      <c r="B1385"/>
      <c r="C1385"/>
      <c r="D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 s="8"/>
      <c r="AL1385"/>
      <c r="AM1385" s="14"/>
      <c r="AN1385" s="14"/>
      <c r="AO1385" s="14"/>
      <c r="AP1385" s="14"/>
      <c r="AQ1385" s="51"/>
    </row>
    <row r="1386" spans="1:43" x14ac:dyDescent="0.2">
      <c r="A1386"/>
      <c r="B1386"/>
      <c r="C1386"/>
      <c r="D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 s="8"/>
      <c r="AL1386"/>
      <c r="AM1386" s="14"/>
      <c r="AN1386" s="14"/>
      <c r="AO1386" s="14"/>
      <c r="AP1386" s="14"/>
      <c r="AQ1386" s="51"/>
    </row>
    <row r="1387" spans="1:43" x14ac:dyDescent="0.2">
      <c r="A1387"/>
      <c r="B1387"/>
      <c r="C1387"/>
      <c r="D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 s="8"/>
      <c r="AL1387"/>
      <c r="AM1387" s="14"/>
      <c r="AN1387" s="14"/>
      <c r="AO1387" s="14"/>
      <c r="AP1387" s="14"/>
      <c r="AQ1387" s="51"/>
    </row>
    <row r="1388" spans="1:43" x14ac:dyDescent="0.2">
      <c r="A1388"/>
      <c r="B1388"/>
      <c r="C1388"/>
      <c r="D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 s="8"/>
      <c r="AL1388"/>
      <c r="AM1388" s="14"/>
      <c r="AN1388" s="14"/>
      <c r="AO1388" s="14"/>
      <c r="AP1388" s="14"/>
      <c r="AQ1388" s="51"/>
    </row>
    <row r="1389" spans="1:43" x14ac:dyDescent="0.2">
      <c r="A1389"/>
      <c r="B1389"/>
      <c r="C1389"/>
      <c r="D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 s="8"/>
      <c r="AL1389"/>
      <c r="AM1389" s="14"/>
      <c r="AN1389" s="14"/>
      <c r="AO1389" s="14"/>
      <c r="AP1389" s="14"/>
      <c r="AQ1389" s="51"/>
    </row>
    <row r="1390" spans="1:43" x14ac:dyDescent="0.2">
      <c r="A1390"/>
      <c r="B1390"/>
      <c r="C1390"/>
      <c r="D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 s="8"/>
      <c r="AL1390"/>
      <c r="AM1390" s="14"/>
      <c r="AN1390" s="14"/>
      <c r="AO1390" s="14"/>
      <c r="AP1390" s="14"/>
      <c r="AQ1390" s="51"/>
    </row>
    <row r="1391" spans="1:43" x14ac:dyDescent="0.2">
      <c r="A1391"/>
      <c r="B1391"/>
      <c r="C1391"/>
      <c r="D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 s="8"/>
      <c r="AL1391"/>
      <c r="AM1391" s="14"/>
      <c r="AN1391" s="14"/>
      <c r="AO1391" s="14"/>
      <c r="AP1391" s="14"/>
      <c r="AQ1391" s="51"/>
    </row>
    <row r="1392" spans="1:43" x14ac:dyDescent="0.2">
      <c r="A1392"/>
      <c r="B1392"/>
      <c r="C1392"/>
      <c r="D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 s="8"/>
      <c r="AL1392"/>
      <c r="AM1392" s="14"/>
      <c r="AN1392" s="14"/>
      <c r="AO1392" s="14"/>
      <c r="AP1392" s="14"/>
      <c r="AQ1392" s="51"/>
    </row>
    <row r="1393" spans="1:43" x14ac:dyDescent="0.2">
      <c r="A1393"/>
      <c r="B1393"/>
      <c r="C1393"/>
      <c r="D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 s="8"/>
      <c r="AL1393"/>
      <c r="AM1393" s="14"/>
      <c r="AN1393" s="14"/>
      <c r="AO1393" s="14"/>
      <c r="AP1393" s="14"/>
      <c r="AQ1393" s="51"/>
    </row>
    <row r="1394" spans="1:43" x14ac:dyDescent="0.2">
      <c r="A1394"/>
      <c r="B1394"/>
      <c r="C1394"/>
      <c r="D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 s="8"/>
      <c r="AL1394"/>
      <c r="AM1394" s="14"/>
      <c r="AN1394" s="14"/>
      <c r="AO1394" s="14"/>
      <c r="AP1394" s="14"/>
      <c r="AQ1394" s="51"/>
    </row>
    <row r="1395" spans="1:43" x14ac:dyDescent="0.2">
      <c r="A1395"/>
      <c r="B1395"/>
      <c r="C1395"/>
      <c r="D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 s="8"/>
      <c r="AL1395"/>
      <c r="AM1395" s="14"/>
      <c r="AN1395" s="14"/>
      <c r="AO1395" s="14"/>
      <c r="AP1395" s="14"/>
      <c r="AQ1395" s="51"/>
    </row>
    <row r="1396" spans="1:43" x14ac:dyDescent="0.2">
      <c r="A1396"/>
      <c r="B1396"/>
      <c r="C1396"/>
      <c r="D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 s="8"/>
      <c r="AL1396"/>
      <c r="AM1396" s="14"/>
      <c r="AN1396" s="14"/>
      <c r="AO1396" s="14"/>
      <c r="AP1396" s="14"/>
      <c r="AQ1396" s="51"/>
    </row>
    <row r="1397" spans="1:43" x14ac:dyDescent="0.2">
      <c r="A1397"/>
      <c r="B1397"/>
      <c r="C1397"/>
      <c r="D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 s="8"/>
      <c r="AL1397"/>
      <c r="AM1397" s="14"/>
      <c r="AN1397" s="14"/>
      <c r="AO1397" s="14"/>
      <c r="AP1397" s="14"/>
      <c r="AQ1397" s="51"/>
    </row>
    <row r="1398" spans="1:43" x14ac:dyDescent="0.2">
      <c r="A1398"/>
      <c r="B1398"/>
      <c r="C1398"/>
      <c r="D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 s="8"/>
      <c r="AL1398"/>
      <c r="AM1398" s="14"/>
      <c r="AN1398" s="14"/>
      <c r="AO1398" s="14"/>
      <c r="AP1398" s="14"/>
      <c r="AQ1398" s="51"/>
    </row>
    <row r="1399" spans="1:43" x14ac:dyDescent="0.2">
      <c r="A1399"/>
      <c r="B1399"/>
      <c r="C1399"/>
      <c r="D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 s="8"/>
      <c r="AL1399"/>
      <c r="AM1399" s="14"/>
      <c r="AN1399" s="14"/>
      <c r="AO1399" s="14"/>
      <c r="AP1399" s="14"/>
      <c r="AQ1399" s="51"/>
    </row>
    <row r="1400" spans="1:43" x14ac:dyDescent="0.2">
      <c r="A1400"/>
      <c r="B1400"/>
      <c r="C1400"/>
      <c r="D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 s="8"/>
      <c r="AL1400"/>
      <c r="AM1400" s="14"/>
      <c r="AN1400" s="14"/>
      <c r="AO1400" s="14"/>
      <c r="AP1400" s="14"/>
      <c r="AQ1400" s="51"/>
    </row>
    <row r="1401" spans="1:43" x14ac:dyDescent="0.2">
      <c r="A1401"/>
      <c r="B1401"/>
      <c r="C1401"/>
      <c r="D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 s="8"/>
      <c r="AL1401"/>
      <c r="AM1401" s="14"/>
      <c r="AN1401" s="14"/>
      <c r="AO1401" s="14"/>
      <c r="AP1401" s="14"/>
      <c r="AQ1401" s="51"/>
    </row>
    <row r="1402" spans="1:43" x14ac:dyDescent="0.2">
      <c r="A1402"/>
      <c r="B1402"/>
      <c r="C1402"/>
      <c r="D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 s="8"/>
      <c r="AL1402"/>
      <c r="AM1402" s="14"/>
      <c r="AN1402" s="14"/>
      <c r="AO1402" s="14"/>
      <c r="AP1402" s="14"/>
      <c r="AQ1402" s="51"/>
    </row>
    <row r="1403" spans="1:43" x14ac:dyDescent="0.2">
      <c r="A1403"/>
      <c r="B1403"/>
      <c r="C1403"/>
      <c r="D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 s="8"/>
      <c r="AL1403"/>
      <c r="AM1403" s="14"/>
      <c r="AN1403" s="14"/>
      <c r="AO1403" s="14"/>
      <c r="AP1403" s="14"/>
      <c r="AQ1403" s="51"/>
    </row>
    <row r="1404" spans="1:43" x14ac:dyDescent="0.2">
      <c r="A1404"/>
      <c r="B1404"/>
      <c r="C1404"/>
      <c r="D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 s="8"/>
      <c r="AL1404"/>
      <c r="AM1404" s="14"/>
      <c r="AN1404" s="14"/>
      <c r="AO1404" s="14"/>
      <c r="AP1404" s="14"/>
      <c r="AQ1404" s="51"/>
    </row>
    <row r="1405" spans="1:43" x14ac:dyDescent="0.2">
      <c r="A1405"/>
      <c r="B1405"/>
      <c r="C1405"/>
      <c r="D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 s="8"/>
      <c r="AL1405"/>
      <c r="AM1405" s="14"/>
      <c r="AN1405" s="14"/>
      <c r="AO1405" s="14"/>
      <c r="AP1405" s="14"/>
      <c r="AQ1405" s="51"/>
    </row>
    <row r="1406" spans="1:43" x14ac:dyDescent="0.2">
      <c r="A1406"/>
      <c r="B1406"/>
      <c r="C1406"/>
      <c r="D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 s="8"/>
      <c r="AL1406"/>
      <c r="AM1406" s="14"/>
      <c r="AN1406" s="14"/>
      <c r="AO1406" s="14"/>
      <c r="AP1406" s="14"/>
      <c r="AQ1406" s="51"/>
    </row>
    <row r="1407" spans="1:43" x14ac:dyDescent="0.2">
      <c r="A1407"/>
      <c r="B1407"/>
      <c r="C1407"/>
      <c r="D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 s="8"/>
      <c r="AL1407"/>
      <c r="AM1407" s="14"/>
      <c r="AN1407" s="14"/>
      <c r="AO1407" s="14"/>
      <c r="AP1407" s="14"/>
      <c r="AQ1407" s="51"/>
    </row>
    <row r="1408" spans="1:43" x14ac:dyDescent="0.2">
      <c r="A1408"/>
      <c r="B1408"/>
      <c r="C1408"/>
      <c r="D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 s="8"/>
      <c r="AL1408"/>
      <c r="AM1408" s="14"/>
      <c r="AN1408" s="14"/>
      <c r="AO1408" s="14"/>
      <c r="AP1408" s="14"/>
      <c r="AQ1408" s="51"/>
    </row>
    <row r="1409" spans="1:43" x14ac:dyDescent="0.2">
      <c r="A1409"/>
      <c r="B1409"/>
      <c r="C1409"/>
      <c r="D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 s="8"/>
      <c r="AL1409"/>
      <c r="AM1409" s="14"/>
      <c r="AN1409" s="14"/>
      <c r="AO1409" s="14"/>
      <c r="AP1409" s="14"/>
      <c r="AQ1409" s="51"/>
    </row>
    <row r="1410" spans="1:43" x14ac:dyDescent="0.2">
      <c r="A1410"/>
      <c r="B1410"/>
      <c r="C1410"/>
      <c r="D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 s="8"/>
      <c r="AL1410"/>
      <c r="AM1410" s="14"/>
      <c r="AN1410" s="14"/>
      <c r="AO1410" s="14"/>
      <c r="AP1410" s="14"/>
      <c r="AQ1410" s="51"/>
    </row>
    <row r="1411" spans="1:43" x14ac:dyDescent="0.2">
      <c r="A1411"/>
      <c r="B1411"/>
      <c r="C1411"/>
      <c r="D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 s="8"/>
      <c r="AL1411"/>
      <c r="AM1411" s="14"/>
      <c r="AN1411" s="14"/>
      <c r="AO1411" s="14"/>
      <c r="AP1411" s="14"/>
      <c r="AQ1411" s="51"/>
    </row>
    <row r="1412" spans="1:43" x14ac:dyDescent="0.2">
      <c r="A1412"/>
      <c r="B1412"/>
      <c r="C1412"/>
      <c r="D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 s="8"/>
      <c r="AL1412"/>
      <c r="AM1412" s="14"/>
      <c r="AN1412" s="14"/>
      <c r="AO1412" s="14"/>
      <c r="AP1412" s="14"/>
      <c r="AQ1412" s="51"/>
    </row>
    <row r="1413" spans="1:43" x14ac:dyDescent="0.2">
      <c r="A1413"/>
      <c r="B1413"/>
      <c r="C1413"/>
      <c r="D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 s="8"/>
      <c r="AL1413"/>
      <c r="AM1413" s="14"/>
      <c r="AN1413" s="14"/>
      <c r="AO1413" s="14"/>
      <c r="AP1413" s="14"/>
      <c r="AQ1413" s="51"/>
    </row>
    <row r="1414" spans="1:43" x14ac:dyDescent="0.2">
      <c r="A1414"/>
      <c r="B1414"/>
      <c r="C1414"/>
      <c r="D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 s="8"/>
      <c r="AL1414"/>
      <c r="AM1414" s="14"/>
      <c r="AN1414" s="14"/>
      <c r="AO1414" s="14"/>
      <c r="AP1414" s="14"/>
      <c r="AQ1414" s="51"/>
    </row>
    <row r="1415" spans="1:43" x14ac:dyDescent="0.2">
      <c r="A1415"/>
      <c r="B1415"/>
      <c r="C1415"/>
      <c r="D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 s="8"/>
      <c r="AL1415"/>
      <c r="AM1415" s="14"/>
      <c r="AN1415" s="14"/>
      <c r="AO1415" s="14"/>
      <c r="AP1415" s="14"/>
      <c r="AQ1415" s="51"/>
    </row>
    <row r="1416" spans="1:43" x14ac:dyDescent="0.2">
      <c r="A1416"/>
      <c r="B1416"/>
      <c r="C1416"/>
      <c r="D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 s="8"/>
      <c r="AL1416"/>
      <c r="AM1416" s="14"/>
      <c r="AN1416" s="14"/>
      <c r="AO1416" s="14"/>
      <c r="AP1416" s="14"/>
      <c r="AQ1416" s="51"/>
    </row>
    <row r="1417" spans="1:43" x14ac:dyDescent="0.2">
      <c r="A1417"/>
      <c r="B1417"/>
      <c r="C1417"/>
      <c r="D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 s="8"/>
      <c r="AL1417"/>
      <c r="AM1417" s="14"/>
      <c r="AN1417" s="14"/>
      <c r="AO1417" s="14"/>
      <c r="AP1417" s="14"/>
      <c r="AQ1417" s="51"/>
    </row>
    <row r="1418" spans="1:43" x14ac:dyDescent="0.2">
      <c r="A1418"/>
      <c r="B1418"/>
      <c r="C1418"/>
      <c r="D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 s="8"/>
      <c r="AL1418"/>
      <c r="AM1418" s="14"/>
      <c r="AN1418" s="14"/>
      <c r="AO1418" s="14"/>
      <c r="AP1418" s="14"/>
      <c r="AQ1418" s="51"/>
    </row>
    <row r="1419" spans="1:43" x14ac:dyDescent="0.2">
      <c r="A1419"/>
      <c r="B1419"/>
      <c r="C1419"/>
      <c r="D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 s="8"/>
      <c r="AL1419"/>
      <c r="AM1419" s="14"/>
      <c r="AN1419" s="14"/>
      <c r="AO1419" s="14"/>
      <c r="AP1419" s="14"/>
      <c r="AQ1419" s="51"/>
    </row>
    <row r="1420" spans="1:43" x14ac:dyDescent="0.2">
      <c r="A1420"/>
      <c r="B1420"/>
      <c r="C1420"/>
      <c r="D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 s="8"/>
      <c r="AL1420"/>
      <c r="AM1420" s="14"/>
      <c r="AN1420" s="14"/>
      <c r="AO1420" s="14"/>
      <c r="AP1420" s="14"/>
      <c r="AQ1420" s="51"/>
    </row>
    <row r="1421" spans="1:43" x14ac:dyDescent="0.2">
      <c r="A1421"/>
      <c r="B1421"/>
      <c r="C1421"/>
      <c r="D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 s="8"/>
      <c r="AL1421"/>
      <c r="AM1421" s="14"/>
      <c r="AN1421" s="14"/>
      <c r="AO1421" s="14"/>
      <c r="AP1421" s="14"/>
      <c r="AQ1421" s="51"/>
    </row>
    <row r="1422" spans="1:43" x14ac:dyDescent="0.2">
      <c r="A1422"/>
      <c r="B1422"/>
      <c r="C1422"/>
      <c r="D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 s="8"/>
      <c r="AL1422"/>
      <c r="AM1422" s="14"/>
      <c r="AN1422" s="14"/>
      <c r="AO1422" s="14"/>
      <c r="AP1422" s="14"/>
      <c r="AQ1422" s="51"/>
    </row>
    <row r="1423" spans="1:43" x14ac:dyDescent="0.2">
      <c r="A1423"/>
      <c r="B1423"/>
      <c r="C1423"/>
      <c r="D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 s="8"/>
      <c r="AL1423"/>
      <c r="AM1423" s="14"/>
      <c r="AN1423" s="14"/>
      <c r="AO1423" s="14"/>
      <c r="AP1423" s="14"/>
      <c r="AQ1423" s="51"/>
    </row>
    <row r="1424" spans="1:43" x14ac:dyDescent="0.2">
      <c r="A1424"/>
      <c r="B1424"/>
      <c r="C1424"/>
      <c r="D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 s="8"/>
      <c r="AL1424"/>
      <c r="AM1424" s="14"/>
      <c r="AN1424" s="14"/>
      <c r="AO1424" s="14"/>
      <c r="AP1424" s="14"/>
      <c r="AQ1424" s="51"/>
    </row>
    <row r="1425" spans="1:43" x14ac:dyDescent="0.2">
      <c r="A1425"/>
      <c r="B1425"/>
      <c r="C1425"/>
      <c r="D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 s="8"/>
      <c r="AL1425"/>
      <c r="AM1425" s="14"/>
      <c r="AN1425" s="14"/>
      <c r="AO1425" s="14"/>
      <c r="AP1425" s="14"/>
      <c r="AQ1425" s="51"/>
    </row>
    <row r="1426" spans="1:43" x14ac:dyDescent="0.2">
      <c r="A1426"/>
      <c r="B1426"/>
      <c r="C1426"/>
      <c r="D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 s="8"/>
      <c r="AL1426"/>
      <c r="AM1426" s="14"/>
      <c r="AN1426" s="14"/>
      <c r="AO1426" s="14"/>
      <c r="AP1426" s="14"/>
      <c r="AQ1426" s="51"/>
    </row>
    <row r="1427" spans="1:43" x14ac:dyDescent="0.2">
      <c r="A1427"/>
      <c r="B1427"/>
      <c r="C1427"/>
      <c r="D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 s="8"/>
      <c r="AL1427"/>
      <c r="AM1427" s="14"/>
      <c r="AN1427" s="14"/>
      <c r="AO1427" s="14"/>
      <c r="AP1427" s="14"/>
      <c r="AQ1427" s="51"/>
    </row>
    <row r="1428" spans="1:43" x14ac:dyDescent="0.2">
      <c r="A1428"/>
      <c r="B1428"/>
      <c r="C1428"/>
      <c r="D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 s="8"/>
      <c r="AL1428"/>
      <c r="AM1428" s="14"/>
      <c r="AN1428" s="14"/>
      <c r="AO1428" s="14"/>
      <c r="AP1428" s="14"/>
      <c r="AQ1428" s="51"/>
    </row>
    <row r="1429" spans="1:43" x14ac:dyDescent="0.2">
      <c r="A1429"/>
      <c r="B1429"/>
      <c r="C1429"/>
      <c r="D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 s="8"/>
      <c r="AL1429"/>
      <c r="AM1429" s="14"/>
      <c r="AN1429" s="14"/>
      <c r="AO1429" s="14"/>
      <c r="AP1429" s="14"/>
      <c r="AQ1429" s="51"/>
    </row>
    <row r="1430" spans="1:43" x14ac:dyDescent="0.2">
      <c r="A1430"/>
      <c r="B1430"/>
      <c r="C1430"/>
      <c r="D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 s="8"/>
      <c r="AL1430"/>
      <c r="AM1430" s="14"/>
      <c r="AN1430" s="14"/>
      <c r="AO1430" s="14"/>
      <c r="AP1430" s="14"/>
      <c r="AQ1430" s="51"/>
    </row>
    <row r="1431" spans="1:43" x14ac:dyDescent="0.2">
      <c r="A1431"/>
      <c r="B1431"/>
      <c r="C1431"/>
      <c r="D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 s="8"/>
      <c r="AL1431"/>
      <c r="AM1431" s="14"/>
      <c r="AN1431" s="14"/>
      <c r="AO1431" s="14"/>
      <c r="AP1431" s="14"/>
      <c r="AQ1431" s="51"/>
    </row>
    <row r="1432" spans="1:43" x14ac:dyDescent="0.2">
      <c r="A1432"/>
      <c r="B1432"/>
      <c r="C1432"/>
      <c r="D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 s="8"/>
      <c r="AL1432"/>
      <c r="AM1432" s="14"/>
      <c r="AN1432" s="14"/>
      <c r="AO1432" s="14"/>
      <c r="AP1432" s="14"/>
      <c r="AQ1432" s="51"/>
    </row>
    <row r="1433" spans="1:43" x14ac:dyDescent="0.2">
      <c r="A1433"/>
      <c r="B1433"/>
      <c r="C1433"/>
      <c r="D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 s="8"/>
      <c r="AL1433"/>
      <c r="AM1433" s="14"/>
      <c r="AN1433" s="14"/>
      <c r="AO1433" s="14"/>
      <c r="AP1433" s="14"/>
      <c r="AQ1433" s="51"/>
    </row>
    <row r="1434" spans="1:43" x14ac:dyDescent="0.2">
      <c r="A1434"/>
      <c r="B1434"/>
      <c r="C1434"/>
      <c r="D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 s="8"/>
      <c r="AL1434"/>
      <c r="AM1434" s="14"/>
      <c r="AN1434" s="14"/>
      <c r="AO1434" s="14"/>
      <c r="AP1434" s="14"/>
      <c r="AQ1434" s="51"/>
    </row>
    <row r="1435" spans="1:43" x14ac:dyDescent="0.2">
      <c r="A1435"/>
      <c r="B1435"/>
      <c r="C1435"/>
      <c r="D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 s="8"/>
      <c r="AL1435"/>
      <c r="AM1435" s="14"/>
      <c r="AN1435" s="14"/>
      <c r="AO1435" s="14"/>
      <c r="AP1435" s="14"/>
      <c r="AQ1435" s="51"/>
    </row>
    <row r="1436" spans="1:43" x14ac:dyDescent="0.2">
      <c r="A1436"/>
      <c r="B1436"/>
      <c r="C1436"/>
      <c r="D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 s="8"/>
      <c r="AL1436"/>
      <c r="AM1436" s="14"/>
      <c r="AN1436" s="14"/>
      <c r="AO1436" s="14"/>
      <c r="AP1436" s="14"/>
      <c r="AQ1436" s="51"/>
    </row>
    <row r="1437" spans="1:43" x14ac:dyDescent="0.2">
      <c r="A1437"/>
      <c r="B1437"/>
      <c r="C1437"/>
      <c r="D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 s="8"/>
      <c r="AL1437"/>
      <c r="AM1437" s="14"/>
      <c r="AN1437" s="14"/>
      <c r="AO1437" s="14"/>
      <c r="AP1437" s="14"/>
      <c r="AQ1437" s="51"/>
    </row>
    <row r="1438" spans="1:43" x14ac:dyDescent="0.2">
      <c r="A1438"/>
      <c r="B1438"/>
      <c r="C1438"/>
      <c r="D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 s="8"/>
      <c r="AL1438"/>
      <c r="AM1438" s="14"/>
      <c r="AN1438" s="14"/>
      <c r="AO1438" s="14"/>
      <c r="AP1438" s="14"/>
      <c r="AQ1438" s="51"/>
    </row>
    <row r="1439" spans="1:43" x14ac:dyDescent="0.2">
      <c r="A1439"/>
      <c r="B1439"/>
      <c r="C1439"/>
      <c r="D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 s="8"/>
      <c r="AL1439"/>
      <c r="AM1439" s="14"/>
      <c r="AN1439" s="14"/>
      <c r="AO1439" s="14"/>
      <c r="AP1439" s="14"/>
      <c r="AQ1439" s="51"/>
    </row>
    <row r="1440" spans="1:43" x14ac:dyDescent="0.2">
      <c r="A1440"/>
      <c r="B1440"/>
      <c r="C1440"/>
      <c r="D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 s="8"/>
      <c r="AL1440"/>
      <c r="AM1440" s="14"/>
      <c r="AN1440" s="14"/>
      <c r="AO1440" s="14"/>
      <c r="AP1440" s="14"/>
      <c r="AQ1440" s="51"/>
    </row>
    <row r="1441" spans="1:43" x14ac:dyDescent="0.2">
      <c r="A1441"/>
      <c r="B1441"/>
      <c r="C1441"/>
      <c r="D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 s="8"/>
      <c r="AL1441"/>
      <c r="AM1441" s="14"/>
      <c r="AN1441" s="14"/>
      <c r="AO1441" s="14"/>
      <c r="AP1441" s="14"/>
      <c r="AQ1441" s="51"/>
    </row>
    <row r="1442" spans="1:43" x14ac:dyDescent="0.2">
      <c r="A1442"/>
      <c r="B1442"/>
      <c r="C1442"/>
      <c r="D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 s="8"/>
      <c r="AL1442"/>
      <c r="AM1442" s="14"/>
      <c r="AN1442" s="14"/>
      <c r="AO1442" s="14"/>
      <c r="AP1442" s="14"/>
      <c r="AQ1442" s="51"/>
    </row>
    <row r="1443" spans="1:43" x14ac:dyDescent="0.2">
      <c r="A1443"/>
      <c r="B1443"/>
      <c r="C1443"/>
      <c r="D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 s="8"/>
      <c r="AL1443"/>
      <c r="AM1443" s="14"/>
      <c r="AN1443" s="14"/>
      <c r="AO1443" s="14"/>
      <c r="AP1443" s="14"/>
      <c r="AQ1443" s="51"/>
    </row>
    <row r="1444" spans="1:43" x14ac:dyDescent="0.2">
      <c r="A1444"/>
      <c r="B1444"/>
      <c r="C1444"/>
      <c r="D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 s="8"/>
      <c r="AL1444"/>
      <c r="AM1444" s="14"/>
      <c r="AN1444" s="14"/>
      <c r="AO1444" s="14"/>
      <c r="AP1444" s="14"/>
      <c r="AQ1444" s="51"/>
    </row>
    <row r="1445" spans="1:43" x14ac:dyDescent="0.2">
      <c r="A1445"/>
      <c r="B1445"/>
      <c r="C1445"/>
      <c r="D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 s="8"/>
      <c r="AL1445"/>
      <c r="AM1445" s="14"/>
      <c r="AN1445" s="14"/>
      <c r="AO1445" s="14"/>
      <c r="AP1445" s="14"/>
      <c r="AQ1445" s="51"/>
    </row>
    <row r="1446" spans="1:43" x14ac:dyDescent="0.2">
      <c r="A1446"/>
      <c r="B1446"/>
      <c r="C1446"/>
      <c r="D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 s="8"/>
      <c r="AL1446"/>
      <c r="AM1446" s="14"/>
      <c r="AN1446" s="14"/>
      <c r="AO1446" s="14"/>
      <c r="AP1446" s="14"/>
      <c r="AQ1446" s="51"/>
    </row>
    <row r="1447" spans="1:43" x14ac:dyDescent="0.2">
      <c r="A1447"/>
      <c r="B1447"/>
      <c r="C1447"/>
      <c r="D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 s="8"/>
      <c r="AL1447"/>
      <c r="AM1447" s="14"/>
      <c r="AN1447" s="14"/>
      <c r="AO1447" s="14"/>
      <c r="AP1447" s="14"/>
      <c r="AQ1447" s="51"/>
    </row>
    <row r="1448" spans="1:43" x14ac:dyDescent="0.2">
      <c r="A1448"/>
      <c r="B1448"/>
      <c r="C1448"/>
      <c r="D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 s="8"/>
      <c r="AL1448"/>
      <c r="AM1448" s="14"/>
      <c r="AN1448" s="14"/>
      <c r="AO1448" s="14"/>
      <c r="AP1448" s="14"/>
      <c r="AQ1448" s="51"/>
    </row>
    <row r="1449" spans="1:43" x14ac:dyDescent="0.2">
      <c r="A1449"/>
      <c r="B1449"/>
      <c r="C1449"/>
      <c r="D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 s="8"/>
      <c r="AL1449"/>
      <c r="AM1449" s="14"/>
      <c r="AN1449" s="14"/>
      <c r="AO1449" s="14"/>
      <c r="AP1449" s="14"/>
      <c r="AQ1449" s="51"/>
    </row>
    <row r="1450" spans="1:43" x14ac:dyDescent="0.2">
      <c r="A1450"/>
      <c r="B1450"/>
      <c r="C1450"/>
      <c r="D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 s="8"/>
      <c r="AL1450"/>
      <c r="AM1450" s="14"/>
      <c r="AN1450" s="14"/>
      <c r="AO1450" s="14"/>
      <c r="AP1450" s="14"/>
      <c r="AQ1450" s="51"/>
    </row>
    <row r="1451" spans="1:43" x14ac:dyDescent="0.2">
      <c r="A1451"/>
      <c r="B1451"/>
      <c r="C1451"/>
      <c r="D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 s="8"/>
      <c r="AL1451"/>
      <c r="AM1451" s="14"/>
      <c r="AN1451" s="14"/>
      <c r="AO1451" s="14"/>
      <c r="AP1451" s="14"/>
      <c r="AQ1451" s="51"/>
    </row>
    <row r="1452" spans="1:43" x14ac:dyDescent="0.2">
      <c r="A1452"/>
      <c r="B1452"/>
      <c r="C1452"/>
      <c r="D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 s="8"/>
      <c r="AL1452"/>
      <c r="AM1452" s="14"/>
      <c r="AN1452" s="14"/>
      <c r="AO1452" s="14"/>
      <c r="AP1452" s="14"/>
      <c r="AQ1452" s="51"/>
    </row>
    <row r="1453" spans="1:43" x14ac:dyDescent="0.2">
      <c r="A1453"/>
      <c r="B1453"/>
      <c r="C1453"/>
      <c r="D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 s="8"/>
      <c r="AL1453"/>
      <c r="AM1453" s="14"/>
      <c r="AN1453" s="14"/>
      <c r="AO1453" s="14"/>
      <c r="AP1453" s="14"/>
      <c r="AQ1453" s="51"/>
    </row>
    <row r="1454" spans="1:43" x14ac:dyDescent="0.2">
      <c r="A1454"/>
      <c r="B1454"/>
      <c r="C1454"/>
      <c r="D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 s="8"/>
      <c r="AL1454"/>
      <c r="AM1454" s="14"/>
      <c r="AN1454" s="14"/>
      <c r="AO1454" s="14"/>
      <c r="AP1454" s="14"/>
      <c r="AQ1454" s="51"/>
    </row>
    <row r="1455" spans="1:43" x14ac:dyDescent="0.2">
      <c r="A1455"/>
      <c r="B1455"/>
      <c r="C1455"/>
      <c r="D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 s="8"/>
      <c r="AL1455"/>
      <c r="AM1455" s="14"/>
      <c r="AN1455" s="14"/>
      <c r="AO1455" s="14"/>
      <c r="AP1455" s="14"/>
      <c r="AQ1455" s="51"/>
    </row>
    <row r="1456" spans="1:43" x14ac:dyDescent="0.2">
      <c r="A1456"/>
      <c r="B1456"/>
      <c r="C1456"/>
      <c r="D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 s="8"/>
      <c r="AL1456"/>
      <c r="AM1456" s="14"/>
      <c r="AN1456" s="14"/>
      <c r="AO1456" s="14"/>
      <c r="AP1456" s="14"/>
      <c r="AQ1456" s="51"/>
    </row>
    <row r="1457" spans="1:43" x14ac:dyDescent="0.2">
      <c r="A1457"/>
      <c r="B1457"/>
      <c r="C1457"/>
      <c r="D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 s="8"/>
      <c r="AL1457"/>
      <c r="AM1457" s="14"/>
      <c r="AN1457" s="14"/>
      <c r="AO1457" s="14"/>
      <c r="AP1457" s="14"/>
      <c r="AQ1457" s="51"/>
    </row>
    <row r="1458" spans="1:43" x14ac:dyDescent="0.2">
      <c r="A1458"/>
      <c r="B1458"/>
      <c r="C1458"/>
      <c r="D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 s="8"/>
      <c r="AL1458"/>
      <c r="AM1458" s="14"/>
      <c r="AN1458" s="14"/>
      <c r="AO1458" s="14"/>
      <c r="AP1458" s="14"/>
      <c r="AQ1458" s="51"/>
    </row>
    <row r="1459" spans="1:43" x14ac:dyDescent="0.2">
      <c r="A1459"/>
      <c r="B1459"/>
      <c r="C1459"/>
      <c r="D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 s="8"/>
      <c r="AL1459"/>
      <c r="AM1459" s="14"/>
      <c r="AN1459" s="14"/>
      <c r="AO1459" s="14"/>
      <c r="AP1459" s="14"/>
      <c r="AQ1459" s="51"/>
    </row>
    <row r="1460" spans="1:43" x14ac:dyDescent="0.2">
      <c r="A1460"/>
      <c r="B1460"/>
      <c r="C1460"/>
      <c r="D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 s="8"/>
      <c r="AL1460"/>
      <c r="AM1460" s="14"/>
      <c r="AN1460" s="14"/>
      <c r="AO1460" s="14"/>
      <c r="AP1460" s="14"/>
      <c r="AQ1460" s="51"/>
    </row>
    <row r="1461" spans="1:43" x14ac:dyDescent="0.2">
      <c r="A1461"/>
      <c r="B1461"/>
      <c r="C1461"/>
      <c r="D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 s="8"/>
      <c r="AL1461"/>
      <c r="AM1461" s="14"/>
      <c r="AN1461" s="14"/>
      <c r="AO1461" s="14"/>
      <c r="AP1461" s="14"/>
      <c r="AQ1461" s="51"/>
    </row>
    <row r="1462" spans="1:43" x14ac:dyDescent="0.2">
      <c r="A1462"/>
      <c r="B1462"/>
      <c r="C1462"/>
      <c r="D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 s="8"/>
      <c r="AL1462"/>
      <c r="AM1462" s="14"/>
      <c r="AN1462" s="14"/>
      <c r="AO1462" s="14"/>
      <c r="AP1462" s="14"/>
      <c r="AQ1462" s="51"/>
    </row>
    <row r="1463" spans="1:43" x14ac:dyDescent="0.2">
      <c r="A1463"/>
      <c r="B1463"/>
      <c r="C1463"/>
      <c r="D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 s="8"/>
      <c r="AL1463"/>
      <c r="AM1463" s="14"/>
      <c r="AN1463" s="14"/>
      <c r="AO1463" s="14"/>
      <c r="AP1463" s="14"/>
      <c r="AQ1463" s="51"/>
    </row>
    <row r="1464" spans="1:43" x14ac:dyDescent="0.2">
      <c r="A1464"/>
      <c r="B1464"/>
      <c r="C1464"/>
      <c r="D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 s="8"/>
      <c r="AL1464"/>
      <c r="AM1464" s="14"/>
      <c r="AN1464" s="14"/>
      <c r="AO1464" s="14"/>
      <c r="AP1464" s="14"/>
      <c r="AQ1464" s="51"/>
    </row>
    <row r="1465" spans="1:43" x14ac:dyDescent="0.2">
      <c r="A1465"/>
      <c r="B1465"/>
      <c r="C1465"/>
      <c r="D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 s="8"/>
      <c r="AL1465"/>
      <c r="AM1465" s="14"/>
      <c r="AN1465" s="14"/>
      <c r="AO1465" s="14"/>
      <c r="AP1465" s="14"/>
      <c r="AQ1465" s="51"/>
    </row>
    <row r="1466" spans="1:43" x14ac:dyDescent="0.2">
      <c r="A1466"/>
      <c r="B1466"/>
      <c r="C1466"/>
      <c r="D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 s="8"/>
      <c r="AL1466"/>
      <c r="AM1466" s="14"/>
      <c r="AN1466" s="14"/>
      <c r="AO1466" s="14"/>
      <c r="AP1466" s="14"/>
      <c r="AQ1466" s="51"/>
    </row>
    <row r="1467" spans="1:43" x14ac:dyDescent="0.2">
      <c r="A1467"/>
      <c r="B1467"/>
      <c r="C1467"/>
      <c r="D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 s="8"/>
      <c r="AL1467"/>
      <c r="AM1467" s="14"/>
      <c r="AN1467" s="14"/>
      <c r="AO1467" s="14"/>
      <c r="AP1467" s="14"/>
      <c r="AQ1467" s="51"/>
    </row>
    <row r="1468" spans="1:43" x14ac:dyDescent="0.2">
      <c r="A1468"/>
      <c r="B1468"/>
      <c r="C1468"/>
      <c r="D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 s="8"/>
      <c r="AL1468"/>
      <c r="AM1468" s="14"/>
      <c r="AN1468" s="14"/>
      <c r="AO1468" s="14"/>
      <c r="AP1468" s="14"/>
      <c r="AQ1468" s="51"/>
    </row>
    <row r="1469" spans="1:43" x14ac:dyDescent="0.2">
      <c r="A1469"/>
      <c r="B1469"/>
      <c r="C1469"/>
      <c r="D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 s="8"/>
      <c r="AL1469"/>
      <c r="AM1469" s="14"/>
      <c r="AN1469" s="14"/>
      <c r="AO1469" s="14"/>
      <c r="AP1469" s="14"/>
      <c r="AQ1469" s="51"/>
    </row>
    <row r="1470" spans="1:43" x14ac:dyDescent="0.2">
      <c r="A1470"/>
      <c r="B1470"/>
      <c r="C1470"/>
      <c r="D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 s="8"/>
      <c r="AL1470"/>
      <c r="AM1470" s="14"/>
      <c r="AN1470" s="14"/>
      <c r="AO1470" s="14"/>
      <c r="AP1470" s="14"/>
      <c r="AQ1470" s="51"/>
    </row>
    <row r="1471" spans="1:43" x14ac:dyDescent="0.2">
      <c r="A1471"/>
      <c r="B1471"/>
      <c r="C1471"/>
      <c r="D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 s="8"/>
      <c r="AL1471"/>
      <c r="AM1471" s="14"/>
      <c r="AN1471" s="14"/>
      <c r="AO1471" s="14"/>
      <c r="AP1471" s="14"/>
      <c r="AQ1471" s="51"/>
    </row>
    <row r="1472" spans="1:43" x14ac:dyDescent="0.2">
      <c r="A1472"/>
      <c r="B1472"/>
      <c r="C1472"/>
      <c r="D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 s="8"/>
      <c r="AL1472"/>
      <c r="AM1472" s="14"/>
      <c r="AN1472" s="14"/>
      <c r="AO1472" s="14"/>
      <c r="AP1472" s="14"/>
      <c r="AQ1472" s="51"/>
    </row>
    <row r="1473" spans="1:43" x14ac:dyDescent="0.2">
      <c r="A1473"/>
      <c r="B1473"/>
      <c r="C1473"/>
      <c r="D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 s="8"/>
      <c r="AL1473"/>
      <c r="AM1473" s="14"/>
      <c r="AN1473" s="14"/>
      <c r="AO1473" s="14"/>
      <c r="AP1473" s="14"/>
      <c r="AQ1473" s="51"/>
    </row>
    <row r="1474" spans="1:43" x14ac:dyDescent="0.2">
      <c r="A1474"/>
      <c r="B1474"/>
      <c r="C1474"/>
      <c r="D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 s="8"/>
      <c r="AL1474"/>
      <c r="AM1474" s="14"/>
      <c r="AN1474" s="14"/>
      <c r="AO1474" s="14"/>
      <c r="AP1474" s="14"/>
      <c r="AQ1474" s="51"/>
    </row>
    <row r="1475" spans="1:43" x14ac:dyDescent="0.2">
      <c r="A1475"/>
      <c r="B1475"/>
      <c r="C1475"/>
      <c r="D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 s="8"/>
      <c r="AL1475"/>
      <c r="AM1475" s="14"/>
      <c r="AN1475" s="14"/>
      <c r="AO1475" s="14"/>
      <c r="AP1475" s="14"/>
      <c r="AQ1475" s="51"/>
    </row>
    <row r="1476" spans="1:43" x14ac:dyDescent="0.2">
      <c r="A1476"/>
      <c r="B1476"/>
      <c r="C1476"/>
      <c r="D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 s="8"/>
      <c r="AL1476"/>
      <c r="AM1476" s="14"/>
      <c r="AN1476" s="14"/>
      <c r="AO1476" s="14"/>
      <c r="AP1476" s="14"/>
      <c r="AQ1476" s="51"/>
    </row>
    <row r="1477" spans="1:43" x14ac:dyDescent="0.2">
      <c r="A1477"/>
      <c r="B1477"/>
      <c r="C1477"/>
      <c r="D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 s="8"/>
      <c r="AL1477"/>
      <c r="AM1477" s="14"/>
      <c r="AN1477" s="14"/>
      <c r="AO1477" s="14"/>
      <c r="AP1477" s="14"/>
      <c r="AQ1477" s="51"/>
    </row>
    <row r="1478" spans="1:43" x14ac:dyDescent="0.2">
      <c r="A1478"/>
      <c r="B1478"/>
      <c r="C1478"/>
      <c r="D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 s="8"/>
      <c r="AL1478"/>
      <c r="AM1478" s="14"/>
      <c r="AN1478" s="14"/>
      <c r="AO1478" s="14"/>
      <c r="AP1478" s="14"/>
      <c r="AQ1478" s="51"/>
    </row>
    <row r="1479" spans="1:43" x14ac:dyDescent="0.2">
      <c r="A1479"/>
      <c r="B1479"/>
      <c r="C1479"/>
      <c r="D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 s="8"/>
      <c r="AL1479"/>
      <c r="AM1479" s="14"/>
      <c r="AN1479" s="14"/>
      <c r="AO1479" s="14"/>
      <c r="AP1479" s="14"/>
      <c r="AQ1479" s="51"/>
    </row>
    <row r="1480" spans="1:43" x14ac:dyDescent="0.2">
      <c r="A1480"/>
      <c r="B1480"/>
      <c r="C1480"/>
      <c r="D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 s="8"/>
      <c r="AL1480"/>
      <c r="AM1480" s="14"/>
      <c r="AN1480" s="14"/>
      <c r="AO1480" s="14"/>
      <c r="AP1480" s="14"/>
      <c r="AQ1480" s="51"/>
    </row>
    <row r="1481" spans="1:43" x14ac:dyDescent="0.2">
      <c r="A1481"/>
      <c r="B1481"/>
      <c r="C1481"/>
      <c r="D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 s="8"/>
      <c r="AL1481"/>
      <c r="AM1481" s="14"/>
      <c r="AN1481" s="14"/>
      <c r="AO1481" s="14"/>
      <c r="AP1481" s="14"/>
      <c r="AQ1481" s="51"/>
    </row>
    <row r="1482" spans="1:43" x14ac:dyDescent="0.2">
      <c r="A1482"/>
      <c r="B1482"/>
      <c r="C1482"/>
      <c r="D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 s="8"/>
      <c r="AL1482"/>
      <c r="AM1482" s="14"/>
      <c r="AN1482" s="14"/>
      <c r="AO1482" s="14"/>
      <c r="AP1482" s="14"/>
      <c r="AQ1482" s="51"/>
    </row>
    <row r="1483" spans="1:43" x14ac:dyDescent="0.2">
      <c r="A1483"/>
      <c r="B1483"/>
      <c r="C1483"/>
      <c r="D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 s="8"/>
      <c r="AL1483"/>
      <c r="AM1483" s="14"/>
      <c r="AN1483" s="14"/>
      <c r="AO1483" s="14"/>
      <c r="AP1483" s="14"/>
      <c r="AQ1483" s="51"/>
    </row>
    <row r="1484" spans="1:43" x14ac:dyDescent="0.2">
      <c r="A1484"/>
      <c r="B1484"/>
      <c r="C1484"/>
      <c r="D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 s="8"/>
      <c r="AL1484"/>
      <c r="AM1484" s="14"/>
      <c r="AN1484" s="14"/>
      <c r="AO1484" s="14"/>
      <c r="AP1484" s="14"/>
      <c r="AQ1484" s="51"/>
    </row>
    <row r="1485" spans="1:43" x14ac:dyDescent="0.2">
      <c r="A1485"/>
      <c r="B1485"/>
      <c r="C1485"/>
      <c r="D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 s="8"/>
      <c r="AL1485"/>
      <c r="AM1485" s="14"/>
      <c r="AN1485" s="14"/>
      <c r="AO1485" s="14"/>
      <c r="AP1485" s="14"/>
      <c r="AQ1485" s="51"/>
    </row>
    <row r="1486" spans="1:43" x14ac:dyDescent="0.2">
      <c r="A1486"/>
      <c r="B1486"/>
      <c r="C1486"/>
      <c r="D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 s="8"/>
      <c r="AL1486"/>
      <c r="AM1486" s="14"/>
      <c r="AN1486" s="14"/>
      <c r="AO1486" s="14"/>
      <c r="AP1486" s="14"/>
      <c r="AQ1486" s="51"/>
    </row>
    <row r="1487" spans="1:43" x14ac:dyDescent="0.2">
      <c r="A1487"/>
      <c r="B1487"/>
      <c r="C1487"/>
      <c r="D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 s="8"/>
      <c r="AL1487"/>
      <c r="AM1487" s="14"/>
      <c r="AN1487" s="14"/>
      <c r="AO1487" s="14"/>
      <c r="AP1487" s="14"/>
      <c r="AQ1487" s="51"/>
    </row>
    <row r="1488" spans="1:43" x14ac:dyDescent="0.2">
      <c r="A1488"/>
      <c r="B1488"/>
      <c r="C1488"/>
      <c r="D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 s="8"/>
      <c r="AL1488"/>
      <c r="AM1488" s="14"/>
      <c r="AN1488" s="14"/>
      <c r="AO1488" s="14"/>
      <c r="AP1488" s="14"/>
      <c r="AQ1488" s="51"/>
    </row>
    <row r="1489" spans="1:43" x14ac:dyDescent="0.2">
      <c r="A1489"/>
      <c r="B1489"/>
      <c r="C1489"/>
      <c r="D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 s="8"/>
      <c r="AL1489"/>
      <c r="AM1489" s="14"/>
      <c r="AN1489" s="14"/>
      <c r="AO1489" s="14"/>
      <c r="AP1489" s="14"/>
      <c r="AQ1489" s="51"/>
    </row>
    <row r="1490" spans="1:43" x14ac:dyDescent="0.2">
      <c r="A1490"/>
      <c r="B1490"/>
      <c r="C1490"/>
      <c r="D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 s="8"/>
      <c r="AL1490"/>
      <c r="AM1490" s="14"/>
      <c r="AN1490" s="14"/>
      <c r="AO1490" s="14"/>
      <c r="AP1490" s="14"/>
      <c r="AQ1490" s="51"/>
    </row>
    <row r="1491" spans="1:43" x14ac:dyDescent="0.2">
      <c r="A1491"/>
      <c r="B1491"/>
      <c r="C1491"/>
      <c r="D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 s="8"/>
      <c r="AL1491"/>
      <c r="AM1491" s="14"/>
      <c r="AN1491" s="14"/>
      <c r="AO1491" s="14"/>
      <c r="AP1491" s="14"/>
      <c r="AQ1491" s="51"/>
    </row>
    <row r="1492" spans="1:43" x14ac:dyDescent="0.2">
      <c r="A1492"/>
      <c r="B1492"/>
      <c r="C1492"/>
      <c r="D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 s="8"/>
      <c r="AL1492"/>
      <c r="AM1492" s="14"/>
      <c r="AN1492" s="14"/>
      <c r="AO1492" s="14"/>
      <c r="AP1492" s="14"/>
      <c r="AQ1492" s="51"/>
    </row>
    <row r="1493" spans="1:43" x14ac:dyDescent="0.2">
      <c r="A1493"/>
      <c r="B1493"/>
      <c r="C1493"/>
      <c r="D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 s="8"/>
      <c r="AL1493"/>
      <c r="AM1493" s="14"/>
      <c r="AN1493" s="14"/>
      <c r="AO1493" s="14"/>
      <c r="AP1493" s="14"/>
      <c r="AQ1493" s="51"/>
    </row>
    <row r="1494" spans="1:43" x14ac:dyDescent="0.2">
      <c r="A1494"/>
      <c r="B1494"/>
      <c r="C1494"/>
      <c r="D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 s="8"/>
      <c r="AL1494"/>
      <c r="AM1494" s="14"/>
      <c r="AN1494" s="14"/>
      <c r="AO1494" s="14"/>
      <c r="AP1494" s="14"/>
      <c r="AQ1494" s="51"/>
    </row>
    <row r="1495" spans="1:43" x14ac:dyDescent="0.2">
      <c r="A1495"/>
      <c r="B1495"/>
      <c r="C1495"/>
      <c r="D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 s="8"/>
      <c r="AL1495"/>
      <c r="AM1495" s="14"/>
      <c r="AN1495" s="14"/>
      <c r="AO1495" s="14"/>
      <c r="AP1495" s="14"/>
      <c r="AQ1495" s="51"/>
    </row>
    <row r="1496" spans="1:43" x14ac:dyDescent="0.2">
      <c r="A1496"/>
      <c r="B1496"/>
      <c r="C1496"/>
      <c r="D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 s="8"/>
      <c r="AL1496"/>
      <c r="AM1496" s="14"/>
      <c r="AN1496" s="14"/>
      <c r="AO1496" s="14"/>
      <c r="AP1496" s="14"/>
      <c r="AQ1496" s="51"/>
    </row>
    <row r="1497" spans="1:43" x14ac:dyDescent="0.2">
      <c r="A1497"/>
      <c r="B1497"/>
      <c r="C1497"/>
      <c r="D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 s="8"/>
      <c r="AL1497"/>
      <c r="AM1497" s="14"/>
      <c r="AN1497" s="14"/>
      <c r="AO1497" s="14"/>
      <c r="AP1497" s="14"/>
      <c r="AQ1497" s="51"/>
    </row>
    <row r="1498" spans="1:43" x14ac:dyDescent="0.2">
      <c r="A1498"/>
      <c r="B1498"/>
      <c r="C1498"/>
      <c r="D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 s="8"/>
      <c r="AL1498"/>
      <c r="AM1498" s="14"/>
      <c r="AN1498" s="14"/>
      <c r="AO1498" s="14"/>
      <c r="AP1498" s="14"/>
      <c r="AQ1498" s="51"/>
    </row>
    <row r="1499" spans="1:43" x14ac:dyDescent="0.2">
      <c r="A1499"/>
      <c r="B1499"/>
      <c r="C1499"/>
      <c r="D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 s="8"/>
      <c r="AL1499"/>
      <c r="AM1499" s="14"/>
      <c r="AN1499" s="14"/>
      <c r="AO1499" s="14"/>
      <c r="AP1499" s="14"/>
      <c r="AQ1499" s="51"/>
    </row>
    <row r="1500" spans="1:43" x14ac:dyDescent="0.2">
      <c r="A1500"/>
      <c r="B1500"/>
      <c r="C1500"/>
      <c r="D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 s="8"/>
      <c r="AL1500"/>
      <c r="AM1500" s="14"/>
      <c r="AN1500" s="14"/>
      <c r="AO1500" s="14"/>
      <c r="AP1500" s="14"/>
      <c r="AQ1500" s="51"/>
    </row>
    <row r="1501" spans="1:43" x14ac:dyDescent="0.2">
      <c r="A1501"/>
      <c r="B1501"/>
      <c r="C1501"/>
      <c r="D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 s="8"/>
      <c r="AL1501"/>
      <c r="AM1501" s="14"/>
      <c r="AN1501" s="14"/>
      <c r="AO1501" s="14"/>
      <c r="AP1501" s="14"/>
      <c r="AQ1501" s="51"/>
    </row>
    <row r="1502" spans="1:43" x14ac:dyDescent="0.2">
      <c r="A1502"/>
      <c r="B1502"/>
      <c r="C1502"/>
      <c r="D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 s="8"/>
      <c r="AL1502"/>
      <c r="AM1502" s="14"/>
      <c r="AN1502" s="14"/>
      <c r="AO1502" s="14"/>
      <c r="AP1502" s="14"/>
      <c r="AQ1502" s="51"/>
    </row>
    <row r="1503" spans="1:43" x14ac:dyDescent="0.2">
      <c r="A1503"/>
      <c r="B1503"/>
      <c r="C1503"/>
      <c r="D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 s="8"/>
      <c r="AL1503"/>
      <c r="AM1503" s="14"/>
      <c r="AN1503" s="14"/>
      <c r="AO1503" s="14"/>
      <c r="AP1503" s="14"/>
      <c r="AQ1503" s="51"/>
    </row>
    <row r="1504" spans="1:43" x14ac:dyDescent="0.2">
      <c r="A1504"/>
      <c r="B1504"/>
      <c r="C1504"/>
      <c r="D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 s="8"/>
      <c r="AL1504"/>
      <c r="AM1504" s="14"/>
      <c r="AN1504" s="14"/>
      <c r="AO1504" s="14"/>
      <c r="AP1504" s="14"/>
      <c r="AQ1504" s="51"/>
    </row>
    <row r="1505" spans="1:43" x14ac:dyDescent="0.2">
      <c r="A1505"/>
      <c r="B1505"/>
      <c r="C1505"/>
      <c r="D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 s="8"/>
      <c r="AL1505"/>
      <c r="AM1505" s="14"/>
      <c r="AN1505" s="14"/>
      <c r="AO1505" s="14"/>
      <c r="AP1505" s="14"/>
      <c r="AQ1505" s="51"/>
    </row>
    <row r="1506" spans="1:43" x14ac:dyDescent="0.2">
      <c r="A1506"/>
      <c r="B1506"/>
      <c r="C1506"/>
      <c r="D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 s="8"/>
      <c r="AL1506"/>
      <c r="AM1506" s="14"/>
      <c r="AN1506" s="14"/>
      <c r="AO1506" s="14"/>
      <c r="AP1506" s="14"/>
      <c r="AQ1506" s="51"/>
    </row>
    <row r="1507" spans="1:43" x14ac:dyDescent="0.2">
      <c r="A1507"/>
      <c r="B1507"/>
      <c r="C1507"/>
      <c r="D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 s="8"/>
      <c r="AL1507"/>
      <c r="AM1507" s="14"/>
      <c r="AN1507" s="14"/>
      <c r="AO1507" s="14"/>
      <c r="AP1507" s="14"/>
      <c r="AQ1507" s="51"/>
    </row>
    <row r="1508" spans="1:43" x14ac:dyDescent="0.2">
      <c r="A1508"/>
      <c r="B1508"/>
      <c r="C1508"/>
      <c r="D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 s="8"/>
      <c r="AL1508"/>
      <c r="AM1508" s="14"/>
      <c r="AN1508" s="14"/>
      <c r="AO1508" s="14"/>
      <c r="AP1508" s="14"/>
      <c r="AQ1508" s="51"/>
    </row>
    <row r="1509" spans="1:43" x14ac:dyDescent="0.2">
      <c r="A1509"/>
      <c r="B1509"/>
      <c r="C1509"/>
      <c r="D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 s="8"/>
      <c r="AL1509"/>
      <c r="AM1509" s="14"/>
      <c r="AN1509" s="14"/>
      <c r="AO1509" s="14"/>
      <c r="AP1509" s="14"/>
      <c r="AQ1509" s="51"/>
    </row>
    <row r="1510" spans="1:43" x14ac:dyDescent="0.2">
      <c r="A1510"/>
      <c r="B1510"/>
      <c r="C1510"/>
      <c r="D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 s="8"/>
      <c r="AL1510"/>
      <c r="AM1510" s="14"/>
      <c r="AN1510" s="14"/>
      <c r="AO1510" s="14"/>
      <c r="AP1510" s="14"/>
      <c r="AQ1510" s="51"/>
    </row>
    <row r="1511" spans="1:43" x14ac:dyDescent="0.2">
      <c r="A1511"/>
      <c r="B1511"/>
      <c r="C1511"/>
      <c r="D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L1511"/>
      <c r="AM1511" s="14"/>
      <c r="AN1511" s="14"/>
      <c r="AO1511" s="14"/>
      <c r="AP1511" s="14"/>
      <c r="AQ1511" s="51"/>
    </row>
    <row r="1512" spans="1:43" x14ac:dyDescent="0.2">
      <c r="A1512"/>
      <c r="B1512"/>
      <c r="C1512"/>
      <c r="D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L1512"/>
      <c r="AM1512" s="14"/>
      <c r="AN1512" s="14"/>
      <c r="AO1512" s="14"/>
      <c r="AP1512" s="14"/>
      <c r="AQ1512" s="51"/>
    </row>
    <row r="1513" spans="1:43" x14ac:dyDescent="0.2">
      <c r="B1513"/>
    </row>
    <row r="1514" spans="1:43" x14ac:dyDescent="0.2">
      <c r="B1514"/>
    </row>
    <row r="1515" spans="1:43" x14ac:dyDescent="0.2">
      <c r="B1515"/>
    </row>
    <row r="1516" spans="1:43" x14ac:dyDescent="0.2">
      <c r="B1516"/>
    </row>
    <row r="1517" spans="1:43" x14ac:dyDescent="0.2">
      <c r="B1517"/>
    </row>
    <row r="1518" spans="1:43" x14ac:dyDescent="0.2">
      <c r="B1518"/>
    </row>
    <row r="1519" spans="1:43" x14ac:dyDescent="0.2">
      <c r="B1519"/>
    </row>
    <row r="1520" spans="1:43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</sheetData>
  <dataConsolidate/>
  <mergeCells count="1">
    <mergeCell ref="AP1:AQ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A59" sqref="A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2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2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2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2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2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2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2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2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x14ac:dyDescent="0.2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2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2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2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2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x14ac:dyDescent="0.2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2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x14ac:dyDescent="0.2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2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2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2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2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x14ac:dyDescent="0.2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x14ac:dyDescent="0.2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x14ac:dyDescent="0.2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x14ac:dyDescent="0.2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x14ac:dyDescent="0.2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x14ac:dyDescent="0.2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x14ac:dyDescent="0.2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2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5">
        <v>176</v>
      </c>
      <c r="B157" s="25"/>
      <c r="C157" s="25"/>
      <c r="D157" s="26" t="s">
        <v>207</v>
      </c>
      <c r="E157" s="30">
        <v>253</v>
      </c>
      <c r="F157" s="26" t="s">
        <v>765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5">
        <v>179</v>
      </c>
      <c r="B165" s="25"/>
      <c r="C165" s="25"/>
      <c r="D165" s="26" t="s">
        <v>210</v>
      </c>
      <c r="E165" s="30">
        <v>215</v>
      </c>
      <c r="F165" s="26" t="s">
        <v>763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5">
        <v>177</v>
      </c>
      <c r="B171" s="25"/>
      <c r="C171" s="25"/>
      <c r="D171" s="26" t="s">
        <v>208</v>
      </c>
      <c r="E171" s="30">
        <v>189</v>
      </c>
      <c r="F171" s="26" t="s">
        <v>764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2025-05-09T04:12:24Z</dcterms:modified>
</cp:coreProperties>
</file>