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5A6FABA-BA3C-474C-BDCE-44AD61BD5CEA}" xr6:coauthVersionLast="47" xr6:coauthVersionMax="47" xr10:uidLastSave="{00000000-0000-0000-0000-000000000000}"/>
  <bookViews>
    <workbookView xWindow="-27570" yWindow="7650" windowWidth="26610" windowHeight="13410" activeTab="1" xr2:uid="{3AF6BCC7-0372-4EF8-A651-596D3CC14EF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3" i="2" l="1"/>
  <c r="V32" i="2"/>
  <c r="U33" i="2"/>
  <c r="U32" i="2"/>
  <c r="U26" i="2"/>
  <c r="U27" i="2" s="1"/>
  <c r="U24" i="2"/>
  <c r="U23" i="2"/>
  <c r="U22" i="2"/>
  <c r="U21" i="2"/>
  <c r="U17" i="2"/>
  <c r="V30" i="2"/>
  <c r="V27" i="2"/>
  <c r="V26" i="2"/>
  <c r="V24" i="2"/>
  <c r="V23" i="2"/>
  <c r="V21" i="2"/>
  <c r="V22" i="2" s="1"/>
  <c r="V17" i="2"/>
  <c r="T33" i="2"/>
  <c r="S33" i="2"/>
  <c r="R33" i="2"/>
  <c r="Q33" i="2"/>
  <c r="P33" i="2"/>
  <c r="O33" i="2"/>
  <c r="N33" i="2"/>
  <c r="M33" i="2"/>
  <c r="L33" i="2"/>
  <c r="T32" i="2"/>
  <c r="S32" i="2"/>
  <c r="R32" i="2"/>
  <c r="Q32" i="2"/>
  <c r="P32" i="2"/>
  <c r="O32" i="2"/>
  <c r="N32" i="2"/>
  <c r="M32" i="2"/>
  <c r="L32" i="2"/>
  <c r="L23" i="2"/>
  <c r="L17" i="2"/>
  <c r="L15" i="2"/>
  <c r="P67" i="2"/>
  <c r="Q67" i="2"/>
  <c r="R67" i="2"/>
  <c r="S67" i="2"/>
  <c r="T67" i="2"/>
  <c r="M23" i="2"/>
  <c r="Q26" i="2"/>
  <c r="Q27" i="2" s="1"/>
  <c r="Q24" i="2"/>
  <c r="Q23" i="2"/>
  <c r="Q22" i="2"/>
  <c r="Q21" i="2"/>
  <c r="Q17" i="2"/>
  <c r="M17" i="2"/>
  <c r="M15" i="2"/>
  <c r="R23" i="2"/>
  <c r="R21" i="2"/>
  <c r="R15" i="2"/>
  <c r="R17" i="2" s="1"/>
  <c r="O23" i="2"/>
  <c r="O21" i="2"/>
  <c r="O15" i="2"/>
  <c r="O17" i="2" s="1"/>
  <c r="S23" i="2"/>
  <c r="S21" i="2"/>
  <c r="S15" i="2"/>
  <c r="S17" i="2" s="1"/>
  <c r="T66" i="2"/>
  <c r="T65" i="2"/>
  <c r="T48" i="2"/>
  <c r="T47" i="2"/>
  <c r="T53" i="2" s="1"/>
  <c r="T40" i="2"/>
  <c r="T35" i="2"/>
  <c r="T43" i="2" s="1"/>
  <c r="X15" i="2"/>
  <c r="W15" i="2"/>
  <c r="V15" i="2"/>
  <c r="U15" i="2"/>
  <c r="U30" i="2" s="1"/>
  <c r="P23" i="2"/>
  <c r="P21" i="2"/>
  <c r="P15" i="2"/>
  <c r="P17" i="2" s="1"/>
  <c r="T23" i="2"/>
  <c r="T21" i="2"/>
  <c r="T15" i="2"/>
  <c r="T17" i="2" s="1"/>
  <c r="Q15" i="2"/>
  <c r="N23" i="2"/>
  <c r="N21" i="2"/>
  <c r="N22" i="2" s="1"/>
  <c r="N24" i="2" s="1"/>
  <c r="N26" i="2" s="1"/>
  <c r="N27" i="2" s="1"/>
  <c r="M21" i="2"/>
  <c r="L21" i="2"/>
  <c r="L22" i="2" s="1"/>
  <c r="N15" i="2"/>
  <c r="N16" i="2" s="1"/>
  <c r="I31" i="2"/>
  <c r="J31" i="2"/>
  <c r="D23" i="2"/>
  <c r="D14" i="2"/>
  <c r="D15" i="2" s="1"/>
  <c r="D17" i="2" s="1"/>
  <c r="D32" i="2" s="1"/>
  <c r="D21" i="2"/>
  <c r="H23" i="2"/>
  <c r="H21" i="2"/>
  <c r="H14" i="2"/>
  <c r="H15" i="2" s="1"/>
  <c r="I15" i="2"/>
  <c r="E23" i="2"/>
  <c r="E21" i="2"/>
  <c r="E15" i="2"/>
  <c r="E17" i="2" s="1"/>
  <c r="E32" i="2" s="1"/>
  <c r="I23" i="2"/>
  <c r="I21" i="2"/>
  <c r="K31" i="2"/>
  <c r="F21" i="2"/>
  <c r="F15" i="2"/>
  <c r="F17" i="2" s="1"/>
  <c r="F32" i="2" s="1"/>
  <c r="J23" i="2"/>
  <c r="J21" i="2"/>
  <c r="J15" i="2"/>
  <c r="G19" i="2"/>
  <c r="G21" i="2" s="1"/>
  <c r="K19" i="2"/>
  <c r="K21" i="2" s="1"/>
  <c r="G16" i="2"/>
  <c r="K16" i="2"/>
  <c r="G23" i="2"/>
  <c r="K23" i="2"/>
  <c r="G15" i="2"/>
  <c r="K15" i="2"/>
  <c r="L4" i="1"/>
  <c r="L7" i="1" s="1"/>
  <c r="L24" i="2" l="1"/>
  <c r="L26" i="2" s="1"/>
  <c r="L27" i="2" s="1"/>
  <c r="L30" i="2"/>
  <c r="M22" i="2"/>
  <c r="M24" i="2" s="1"/>
  <c r="M26" i="2" s="1"/>
  <c r="M27" i="2" s="1"/>
  <c r="M30" i="2"/>
  <c r="Q30" i="2"/>
  <c r="R22" i="2"/>
  <c r="R24" i="2" s="1"/>
  <c r="R26" i="2" s="1"/>
  <c r="R27" i="2" s="1"/>
  <c r="O22" i="2"/>
  <c r="O24" i="2" s="1"/>
  <c r="O26" i="2" s="1"/>
  <c r="O27" i="2" s="1"/>
  <c r="S22" i="2"/>
  <c r="S24" i="2" s="1"/>
  <c r="S26" i="2" s="1"/>
  <c r="S27" i="2" s="1"/>
  <c r="J30" i="2"/>
  <c r="T22" i="2"/>
  <c r="O30" i="2"/>
  <c r="R30" i="2"/>
  <c r="S30" i="2"/>
  <c r="K30" i="2"/>
  <c r="N30" i="2"/>
  <c r="T24" i="2"/>
  <c r="T26" i="2" s="1"/>
  <c r="P22" i="2"/>
  <c r="P24" i="2" s="1"/>
  <c r="P26" i="2" s="1"/>
  <c r="P27" i="2" s="1"/>
  <c r="P30" i="2"/>
  <c r="T30" i="2"/>
  <c r="G17" i="2"/>
  <c r="G32" i="2" s="1"/>
  <c r="I30" i="2"/>
  <c r="H30" i="2"/>
  <c r="H17" i="2"/>
  <c r="H32" i="2" s="1"/>
  <c r="D22" i="2"/>
  <c r="I17" i="2"/>
  <c r="I32" i="2" s="1"/>
  <c r="E22" i="2"/>
  <c r="J17" i="2"/>
  <c r="J32" i="2" s="1"/>
  <c r="F22" i="2"/>
  <c r="K17" i="2"/>
  <c r="K32" i="2" s="1"/>
  <c r="T27" i="2" l="1"/>
  <c r="T55" i="2"/>
  <c r="H22" i="2"/>
  <c r="J22" i="2"/>
  <c r="G22" i="2"/>
  <c r="G24" i="2" s="1"/>
  <c r="G26" i="2" s="1"/>
  <c r="G27" i="2" s="1"/>
  <c r="K22" i="2"/>
  <c r="K33" i="2" s="1"/>
  <c r="F24" i="2"/>
  <c r="F26" i="2" s="1"/>
  <c r="F27" i="2" s="1"/>
  <c r="F33" i="2"/>
  <c r="I22" i="2"/>
  <c r="I24" i="2" s="1"/>
  <c r="I26" i="2" s="1"/>
  <c r="I27" i="2" s="1"/>
  <c r="E24" i="2"/>
  <c r="E26" i="2" s="1"/>
  <c r="E27" i="2" s="1"/>
  <c r="E33" i="2"/>
  <c r="D24" i="2"/>
  <c r="D26" i="2" s="1"/>
  <c r="D27" i="2" s="1"/>
  <c r="D33" i="2"/>
  <c r="J24" i="2"/>
  <c r="J26" i="2" s="1"/>
  <c r="J27" i="2" s="1"/>
  <c r="J33" i="2"/>
  <c r="G33" i="2"/>
  <c r="I33" i="2" l="1"/>
  <c r="H24" i="2"/>
  <c r="H26" i="2" s="1"/>
  <c r="H27" i="2" s="1"/>
  <c r="H33" i="2"/>
  <c r="K24" i="2"/>
  <c r="K26" i="2"/>
  <c r="K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tc={404C3A6C-57D9-462B-8169-03AF44C46401}</author>
    <author>tc={81C416ED-B805-4A5E-90CB-C684086667DC}</author>
  </authors>
  <commentList>
    <comment ref="K15" authorId="0" shapeId="0" xr:uid="{404C3A6C-57D9-462B-8169-03AF44C46401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 guidance: 690-705</t>
      </text>
    </comment>
    <comment ref="L15" authorId="1" shapeId="0" xr:uid="{81C416ED-B805-4A5E-90CB-C684086667DC}">
      <text>
        <t>[Threaded comment]
Your version of Excel allows you to read this threaded comment; however, any edits to it will get removed if the file is opened in a newer version of Excel. Learn more: https://go.microsoft.com/fwlink/?linkid=870924
Comment:
    FQ322 guidance: 710-725</t>
      </text>
    </comment>
  </commentList>
</comments>
</file>

<file path=xl/sharedStrings.xml><?xml version="1.0" encoding="utf-8"?>
<sst xmlns="http://schemas.openxmlformats.org/spreadsheetml/2006/main" count="93" uniqueCount="80">
  <si>
    <t>Price</t>
  </si>
  <si>
    <t>Shares</t>
  </si>
  <si>
    <t>MC</t>
  </si>
  <si>
    <t>Cash</t>
  </si>
  <si>
    <t>Debt</t>
  </si>
  <si>
    <t>EV</t>
  </si>
  <si>
    <t>Main</t>
  </si>
  <si>
    <t>Revenue</t>
  </si>
  <si>
    <t>Subscription</t>
  </si>
  <si>
    <t>Maintenance</t>
  </si>
  <si>
    <t>Other</t>
  </si>
  <si>
    <t>Revenue Growth</t>
  </si>
  <si>
    <t>COGS</t>
  </si>
  <si>
    <t>Gross Margin</t>
  </si>
  <si>
    <t>R&amp;D</t>
  </si>
  <si>
    <t>M&amp;S</t>
  </si>
  <si>
    <t>G&amp;A</t>
  </si>
  <si>
    <t>OpEx</t>
  </si>
  <si>
    <t>OpInc</t>
  </si>
  <si>
    <t>Operating Margin</t>
  </si>
  <si>
    <t>Net Income</t>
  </si>
  <si>
    <t>Taxes</t>
  </si>
  <si>
    <t>Pretax Income</t>
  </si>
  <si>
    <t>Interest Income</t>
  </si>
  <si>
    <t>EPS</t>
  </si>
  <si>
    <t>CFFO</t>
  </si>
  <si>
    <t>Cloud</t>
  </si>
  <si>
    <t>Data Center</t>
  </si>
  <si>
    <t>Server</t>
  </si>
  <si>
    <t>Marketplace</t>
  </si>
  <si>
    <t>FQ322</t>
  </si>
  <si>
    <t>FQ222</t>
  </si>
  <si>
    <t>FQ122</t>
  </si>
  <si>
    <t>FQ421</t>
  </si>
  <si>
    <t>FQ321</t>
  </si>
  <si>
    <t>FQ221</t>
  </si>
  <si>
    <t>FQ121</t>
  </si>
  <si>
    <t>FQ420</t>
  </si>
  <si>
    <t>FQ320</t>
  </si>
  <si>
    <t>FQ422</t>
  </si>
  <si>
    <t>Jira</t>
  </si>
  <si>
    <t>Trello</t>
  </si>
  <si>
    <t>Confluence</t>
  </si>
  <si>
    <t>Bitbucket</t>
  </si>
  <si>
    <t>Cloud Growth</t>
  </si>
  <si>
    <t>Customers</t>
  </si>
  <si>
    <t>FQ123</t>
  </si>
  <si>
    <t>FQ223</t>
  </si>
  <si>
    <t>FQ323</t>
  </si>
  <si>
    <t>FQ423</t>
  </si>
  <si>
    <t>FQ124</t>
  </si>
  <si>
    <t>FQ224</t>
  </si>
  <si>
    <t>FQ324</t>
  </si>
  <si>
    <t>FQ424</t>
  </si>
  <si>
    <t>AR</t>
  </si>
  <si>
    <t>Prepaids</t>
  </si>
  <si>
    <t>PP&amp;E</t>
  </si>
  <si>
    <t>Lease</t>
  </si>
  <si>
    <t>Goodwill</t>
  </si>
  <si>
    <t>DTA</t>
  </si>
  <si>
    <t>ONCA</t>
  </si>
  <si>
    <t>Assets</t>
  </si>
  <si>
    <t>AP</t>
  </si>
  <si>
    <t>Accrued</t>
  </si>
  <si>
    <t>DR</t>
  </si>
  <si>
    <t>L+SE</t>
  </si>
  <si>
    <t>SE</t>
  </si>
  <si>
    <t>ONCL</t>
  </si>
  <si>
    <t>Model NI</t>
  </si>
  <si>
    <t>Reported NI</t>
  </si>
  <si>
    <t>D&amp;A</t>
  </si>
  <si>
    <t>SBC</t>
  </si>
  <si>
    <t>DT</t>
  </si>
  <si>
    <t>Debt Discount</t>
  </si>
  <si>
    <t>Interest Rate</t>
  </si>
  <si>
    <t>Strategic</t>
  </si>
  <si>
    <t>FX</t>
  </si>
  <si>
    <t>WC</t>
  </si>
  <si>
    <t>Q244</t>
  </si>
  <si>
    <t>TTM 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</si>
</sst>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BB7A767-F62A-4760-BB9F-9041954341D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17859</xdr:colOff>
      <xdr:row>0</xdr:row>
      <xdr:rowOff>0</xdr:rowOff>
    </xdr:from>
    <xdr:to>
      <xdr:col>22</xdr:col>
      <xdr:colOff>17859</xdr:colOff>
      <xdr:row>76</xdr:row>
      <xdr:rowOff>101203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A7A9F4-4908-A3C2-0E4E-19EDBAE453CD}"/>
            </a:ext>
          </a:extLst>
        </xdr:cNvPr>
        <xdr:cNvCxnSpPr/>
      </xdr:nvCxnSpPr>
      <xdr:spPr>
        <a:xfrm>
          <a:off x="13918406" y="0"/>
          <a:ext cx="0" cy="123170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91673F2-D878-4E73-9BD7-04939076056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5" dT="2022-07-27T14:40:47.90" personId="{691673F2-D878-4E73-9BD7-049390760563}" id="{404C3A6C-57D9-462B-8169-03AF44C46401}">
    <text>FQ22 guidance: 690-705</text>
  </threadedComment>
  <threadedComment ref="L15" dT="2022-07-27T14:37:17.16" personId="{691673F2-D878-4E73-9BD7-049390760563}" id="{81C416ED-B805-4A5E-90CB-C684086667DC}">
    <text>FQ322 guidance: 710-725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EAD64-12F8-4515-B4C9-2102128D3387}">
  <dimension ref="B2:M7"/>
  <sheetViews>
    <sheetView zoomScale="175" zoomScaleNormal="175" workbookViewId="0">
      <selection activeCell="L3" sqref="L3"/>
    </sheetView>
  </sheetViews>
  <sheetFormatPr defaultRowHeight="12.75" x14ac:dyDescent="0.2"/>
  <sheetData>
    <row r="2" spans="2:13" x14ac:dyDescent="0.2">
      <c r="B2" t="s">
        <v>40</v>
      </c>
      <c r="K2" t="s">
        <v>0</v>
      </c>
      <c r="L2" s="13">
        <v>309</v>
      </c>
    </row>
    <row r="3" spans="2:13" x14ac:dyDescent="0.2">
      <c r="B3" t="s">
        <v>41</v>
      </c>
      <c r="K3" t="s">
        <v>1</v>
      </c>
      <c r="L3" s="1">
        <v>260</v>
      </c>
      <c r="M3" s="3" t="s">
        <v>78</v>
      </c>
    </row>
    <row r="4" spans="2:13" x14ac:dyDescent="0.2">
      <c r="B4" t="s">
        <v>42</v>
      </c>
      <c r="K4" t="s">
        <v>2</v>
      </c>
      <c r="L4" s="1">
        <f>+L2*L3</f>
        <v>80340</v>
      </c>
    </row>
    <row r="5" spans="2:13" x14ac:dyDescent="0.2">
      <c r="B5" t="s">
        <v>43</v>
      </c>
      <c r="K5" t="s">
        <v>3</v>
      </c>
      <c r="L5" s="1">
        <v>2562</v>
      </c>
      <c r="M5" s="3" t="s">
        <v>78</v>
      </c>
    </row>
    <row r="6" spans="2:13" x14ac:dyDescent="0.2">
      <c r="K6" t="s">
        <v>4</v>
      </c>
      <c r="L6" s="1">
        <v>986</v>
      </c>
      <c r="M6" s="3" t="s">
        <v>78</v>
      </c>
    </row>
    <row r="7" spans="2:13" x14ac:dyDescent="0.2">
      <c r="K7" t="s">
        <v>5</v>
      </c>
      <c r="L7" s="1">
        <f>+L4-L5+L6</f>
        <v>78764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9F7FA-B9F0-42C1-B494-BA78776DB519}">
  <dimension ref="A1:X67"/>
  <sheetViews>
    <sheetView tabSelected="1" zoomScale="160" zoomScaleNormal="16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Q10" sqref="Q10"/>
    </sheetView>
  </sheetViews>
  <sheetFormatPr defaultRowHeight="12.75" x14ac:dyDescent="0.2"/>
  <cols>
    <col min="1" max="1" width="5" bestFit="1" customWidth="1"/>
    <col min="2" max="2" width="17" customWidth="1"/>
    <col min="3" max="5" width="9.140625" style="2"/>
    <col min="6" max="6" width="10.140625" style="2" bestFit="1" customWidth="1"/>
    <col min="7" max="9" width="9.140625" style="2"/>
    <col min="10" max="10" width="10.140625" style="2" bestFit="1" customWidth="1"/>
    <col min="11" max="14" width="9.140625" style="2"/>
    <col min="16" max="20" width="9.5703125" customWidth="1"/>
  </cols>
  <sheetData>
    <row r="1" spans="1:24" x14ac:dyDescent="0.2">
      <c r="A1" s="7" t="s">
        <v>6</v>
      </c>
      <c r="D1" s="12">
        <v>44012</v>
      </c>
      <c r="E1" s="12">
        <v>44104</v>
      </c>
      <c r="F1" s="12">
        <v>44196</v>
      </c>
      <c r="G1" s="12">
        <v>44286</v>
      </c>
      <c r="H1" s="12">
        <v>44377</v>
      </c>
      <c r="I1" s="12">
        <v>44469</v>
      </c>
      <c r="J1" s="12">
        <v>44561</v>
      </c>
      <c r="K1" s="12">
        <v>44651</v>
      </c>
      <c r="L1" s="12">
        <v>44742</v>
      </c>
      <c r="M1" s="12">
        <v>44834</v>
      </c>
      <c r="N1" s="12">
        <v>44926</v>
      </c>
      <c r="O1" s="12">
        <v>45016</v>
      </c>
      <c r="P1" s="12">
        <v>45107</v>
      </c>
      <c r="Q1" s="12">
        <v>45199</v>
      </c>
      <c r="R1" s="12">
        <v>45291</v>
      </c>
      <c r="S1" s="14">
        <v>45382</v>
      </c>
      <c r="T1" s="14">
        <v>45473</v>
      </c>
      <c r="U1" s="14">
        <v>45565</v>
      </c>
      <c r="V1" s="14">
        <v>45657</v>
      </c>
      <c r="W1" s="14">
        <v>45747</v>
      </c>
      <c r="X1" s="14">
        <v>45838</v>
      </c>
    </row>
    <row r="2" spans="1:24" x14ac:dyDescent="0.2">
      <c r="C2" s="2" t="s">
        <v>38</v>
      </c>
      <c r="D2" s="2" t="s">
        <v>37</v>
      </c>
      <c r="E2" s="2" t="s">
        <v>36</v>
      </c>
      <c r="F2" s="2" t="s">
        <v>35</v>
      </c>
      <c r="G2" s="2" t="s">
        <v>34</v>
      </c>
      <c r="H2" s="2" t="s">
        <v>33</v>
      </c>
      <c r="I2" s="2" t="s">
        <v>32</v>
      </c>
      <c r="J2" s="2" t="s">
        <v>31</v>
      </c>
      <c r="K2" s="2" t="s">
        <v>30</v>
      </c>
      <c r="L2" s="2" t="s">
        <v>39</v>
      </c>
      <c r="M2" s="2" t="s">
        <v>46</v>
      </c>
      <c r="N2" s="2" t="s">
        <v>47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  <c r="U2" s="2" t="s">
        <v>53</v>
      </c>
      <c r="V2" s="2" t="s">
        <v>53</v>
      </c>
      <c r="W2" s="2" t="s">
        <v>53</v>
      </c>
      <c r="X2" s="2" t="s">
        <v>53</v>
      </c>
    </row>
    <row r="3" spans="1:24" x14ac:dyDescent="0.2">
      <c r="B3" t="s">
        <v>45</v>
      </c>
      <c r="E3" s="3">
        <v>166180</v>
      </c>
      <c r="F3" s="3">
        <v>174948</v>
      </c>
      <c r="G3" s="3">
        <v>188033</v>
      </c>
      <c r="H3" s="3">
        <v>204754</v>
      </c>
      <c r="I3" s="3">
        <v>216500</v>
      </c>
      <c r="J3" s="3">
        <v>226521</v>
      </c>
      <c r="K3" s="3">
        <v>234575</v>
      </c>
      <c r="L3" s="3">
        <v>242623</v>
      </c>
      <c r="M3" s="3">
        <v>249173</v>
      </c>
      <c r="N3" s="3">
        <v>253177</v>
      </c>
    </row>
    <row r="7" spans="1:24" s="1" customFormat="1" x14ac:dyDescent="0.2">
      <c r="B7" s="1" t="s">
        <v>26</v>
      </c>
      <c r="C7" s="3"/>
      <c r="D7" s="3"/>
      <c r="E7" s="3">
        <v>207.32</v>
      </c>
      <c r="F7" s="3">
        <v>230.41200000000001</v>
      </c>
      <c r="G7" s="3">
        <v>249.87899999999999</v>
      </c>
      <c r="H7" s="3"/>
      <c r="I7" s="3">
        <v>317.90300000000002</v>
      </c>
      <c r="J7" s="3">
        <v>364.09899999999999</v>
      </c>
      <c r="K7" s="3">
        <v>399.45299999999997</v>
      </c>
      <c r="L7" s="3"/>
      <c r="M7" s="3"/>
      <c r="N7" s="3">
        <v>512.33500000000004</v>
      </c>
      <c r="Q7" s="1">
        <v>604.64700000000005</v>
      </c>
      <c r="R7" s="1">
        <v>653.21</v>
      </c>
      <c r="U7" s="1">
        <v>792.30600000000004</v>
      </c>
      <c r="V7" s="1">
        <v>846.96199999999999</v>
      </c>
    </row>
    <row r="8" spans="1:24" s="1" customFormat="1" x14ac:dyDescent="0.2">
      <c r="B8" s="1" t="s">
        <v>27</v>
      </c>
      <c r="C8" s="3"/>
      <c r="D8" s="3"/>
      <c r="E8" s="3">
        <v>66.349000000000004</v>
      </c>
      <c r="F8" s="3">
        <v>76.06</v>
      </c>
      <c r="G8" s="3">
        <v>94.739000000000004</v>
      </c>
      <c r="H8" s="3"/>
      <c r="I8" s="3">
        <v>111.19499999999999</v>
      </c>
      <c r="J8" s="3">
        <v>139.108</v>
      </c>
      <c r="K8" s="3">
        <v>151.095</v>
      </c>
      <c r="L8" s="3"/>
      <c r="M8" s="3"/>
      <c r="N8" s="3">
        <v>194.26400000000001</v>
      </c>
      <c r="Q8" s="1">
        <v>242.94300000000001</v>
      </c>
      <c r="R8" s="1">
        <v>274.75799999999998</v>
      </c>
      <c r="U8" s="1">
        <v>335.59399999999999</v>
      </c>
      <c r="V8" s="1">
        <v>362.28100000000001</v>
      </c>
    </row>
    <row r="9" spans="1:24" s="1" customFormat="1" x14ac:dyDescent="0.2">
      <c r="B9" s="1" t="s">
        <v>28</v>
      </c>
      <c r="C9" s="3"/>
      <c r="D9" s="3"/>
      <c r="E9" s="3">
        <v>149.83099999999999</v>
      </c>
      <c r="F9" s="3">
        <v>153.339</v>
      </c>
      <c r="G9" s="3">
        <v>164.22900000000001</v>
      </c>
      <c r="H9" s="3"/>
      <c r="I9" s="3">
        <v>139.547</v>
      </c>
      <c r="J9" s="3">
        <v>135.51900000000001</v>
      </c>
      <c r="K9" s="3">
        <v>132.333</v>
      </c>
      <c r="L9" s="3"/>
      <c r="M9" s="3"/>
      <c r="N9" s="3">
        <v>106.16800000000001</v>
      </c>
      <c r="Q9" s="1">
        <v>78.751999999999995</v>
      </c>
      <c r="R9" s="1">
        <v>69.173000000000002</v>
      </c>
    </row>
    <row r="10" spans="1:24" s="1" customFormat="1" x14ac:dyDescent="0.2">
      <c r="B10" s="1" t="s">
        <v>29</v>
      </c>
      <c r="C10" s="3"/>
      <c r="D10" s="3"/>
      <c r="E10" s="3">
        <v>36.006</v>
      </c>
      <c r="F10" s="3">
        <v>41.488</v>
      </c>
      <c r="G10" s="3">
        <v>59.881</v>
      </c>
      <c r="H10" s="3"/>
      <c r="I10" s="3">
        <v>45.378999999999998</v>
      </c>
      <c r="J10" s="3">
        <v>49.8</v>
      </c>
      <c r="K10" s="3">
        <v>57.61</v>
      </c>
      <c r="L10" s="3"/>
      <c r="M10" s="3"/>
      <c r="N10" s="3">
        <v>59.936999999999998</v>
      </c>
      <c r="Q10" s="1">
        <v>51.433</v>
      </c>
      <c r="R10" s="1">
        <v>62.969000000000001</v>
      </c>
      <c r="U10" s="1">
        <v>59.881</v>
      </c>
      <c r="V10" s="1">
        <v>77.22</v>
      </c>
    </row>
    <row r="12" spans="1:24" s="1" customFormat="1" x14ac:dyDescent="0.2">
      <c r="B12" s="1" t="s">
        <v>8</v>
      </c>
      <c r="C12" s="3"/>
      <c r="D12" s="3">
        <v>257.52100000000002</v>
      </c>
      <c r="E12" s="3">
        <v>277.964</v>
      </c>
      <c r="F12" s="3">
        <v>310.67500000000001</v>
      </c>
      <c r="G12" s="3">
        <v>349.91500000000002</v>
      </c>
      <c r="H12" s="3">
        <v>385.51</v>
      </c>
      <c r="I12" s="3">
        <v>435.29599999999999</v>
      </c>
      <c r="J12" s="3">
        <v>508.98700000000002</v>
      </c>
      <c r="K12" s="3">
        <v>555.12599999999998</v>
      </c>
      <c r="L12" s="3">
        <v>597.29700000000003</v>
      </c>
      <c r="M12" s="3">
        <v>650.98400000000004</v>
      </c>
      <c r="N12" s="3">
        <v>711.19899999999996</v>
      </c>
      <c r="O12" s="1">
        <v>760.68</v>
      </c>
      <c r="P12" s="1">
        <v>799.71299999999997</v>
      </c>
      <c r="Q12" s="1">
        <v>851.98199999999997</v>
      </c>
      <c r="R12" s="1">
        <v>932.18100000000004</v>
      </c>
      <c r="S12" s="1">
        <v>1071.355</v>
      </c>
      <c r="T12" s="1">
        <v>1068.8710000000001</v>
      </c>
      <c r="U12" s="1">
        <v>1131.9480000000001</v>
      </c>
      <c r="V12" s="1">
        <v>1213.248</v>
      </c>
    </row>
    <row r="13" spans="1:24" s="1" customFormat="1" x14ac:dyDescent="0.2">
      <c r="B13" s="1" t="s">
        <v>9</v>
      </c>
      <c r="C13" s="3"/>
      <c r="D13" s="3">
        <v>122.774</v>
      </c>
      <c r="E13" s="3">
        <v>127.694</v>
      </c>
      <c r="F13" s="3">
        <v>131.27600000000001</v>
      </c>
      <c r="G13" s="3">
        <v>132.92099999999999</v>
      </c>
      <c r="H13" s="3">
        <v>131.08000000000001</v>
      </c>
      <c r="I13" s="3">
        <v>130.59</v>
      </c>
      <c r="J13" s="3">
        <v>127.059</v>
      </c>
      <c r="K13" s="3">
        <v>120.333</v>
      </c>
      <c r="L13" s="3">
        <v>117.095</v>
      </c>
      <c r="M13" s="3">
        <v>113.565</v>
      </c>
      <c r="N13" s="3">
        <v>106.023</v>
      </c>
      <c r="O13" s="1">
        <v>94.224999999999994</v>
      </c>
      <c r="P13" s="1">
        <v>85.924999999999997</v>
      </c>
      <c r="Q13" s="1">
        <v>78.597999999999999</v>
      </c>
      <c r="R13" s="1">
        <v>69.102000000000004</v>
      </c>
      <c r="S13" s="1">
        <v>29.53</v>
      </c>
    </row>
    <row r="14" spans="1:24" s="1" customFormat="1" x14ac:dyDescent="0.2">
      <c r="B14" s="1" t="s">
        <v>10</v>
      </c>
      <c r="C14" s="3"/>
      <c r="D14" s="3">
        <f>20.365+29.816</f>
        <v>50.180999999999997</v>
      </c>
      <c r="E14" s="3">
        <v>53.847999999999999</v>
      </c>
      <c r="F14" s="3">
        <v>59.408000000000001</v>
      </c>
      <c r="G14" s="3">
        <v>85.891999999999996</v>
      </c>
      <c r="H14" s="3">
        <f>9.237+33.712</f>
        <v>42.949000000000005</v>
      </c>
      <c r="I14" s="3">
        <v>48.137999999999998</v>
      </c>
      <c r="J14" s="3">
        <v>52.48</v>
      </c>
      <c r="K14" s="3">
        <v>65.031999999999996</v>
      </c>
      <c r="L14" s="3">
        <v>45.448999999999998</v>
      </c>
      <c r="M14" s="3">
        <v>42.843000000000004</v>
      </c>
      <c r="N14" s="3">
        <v>55.481999999999999</v>
      </c>
      <c r="O14" s="1">
        <v>60.548000000000002</v>
      </c>
      <c r="P14" s="1">
        <v>53.46</v>
      </c>
      <c r="Q14" s="1">
        <v>47.195</v>
      </c>
      <c r="R14" s="1">
        <v>58.826999999999998</v>
      </c>
      <c r="S14" s="1">
        <v>88.242999999999995</v>
      </c>
      <c r="T14" s="1">
        <v>62.719000000000001</v>
      </c>
      <c r="U14" s="1">
        <v>55.832999999999998</v>
      </c>
      <c r="V14" s="1">
        <v>73.215000000000003</v>
      </c>
    </row>
    <row r="15" spans="1:24" s="8" customFormat="1" x14ac:dyDescent="0.2">
      <c r="B15" s="8" t="s">
        <v>7</v>
      </c>
      <c r="C15" s="9"/>
      <c r="D15" s="9">
        <f t="shared" ref="D15:K15" si="0">SUM(D12:D14)</f>
        <v>430.476</v>
      </c>
      <c r="E15" s="9">
        <f t="shared" si="0"/>
        <v>459.50600000000003</v>
      </c>
      <c r="F15" s="9">
        <f t="shared" si="0"/>
        <v>501.35900000000004</v>
      </c>
      <c r="G15" s="9">
        <f t="shared" si="0"/>
        <v>568.72800000000007</v>
      </c>
      <c r="H15" s="9">
        <f t="shared" si="0"/>
        <v>559.53899999999999</v>
      </c>
      <c r="I15" s="9">
        <f t="shared" si="0"/>
        <v>614.024</v>
      </c>
      <c r="J15" s="9">
        <f t="shared" si="0"/>
        <v>688.52600000000007</v>
      </c>
      <c r="K15" s="9">
        <f t="shared" si="0"/>
        <v>740.49099999999999</v>
      </c>
      <c r="L15" s="9">
        <f>SUM(L12:L14)</f>
        <v>759.84100000000001</v>
      </c>
      <c r="M15" s="9">
        <f t="shared" ref="M15:X15" si="1">SUM(M12:M14)</f>
        <v>807.39199999999994</v>
      </c>
      <c r="N15" s="9">
        <f t="shared" si="1"/>
        <v>872.70399999999995</v>
      </c>
      <c r="O15" s="9">
        <f t="shared" ref="O15:P15" si="2">SUM(O12:O14)</f>
        <v>915.45299999999997</v>
      </c>
      <c r="P15" s="9">
        <f t="shared" si="2"/>
        <v>939.09799999999996</v>
      </c>
      <c r="Q15" s="9">
        <f t="shared" si="1"/>
        <v>977.77499999999998</v>
      </c>
      <c r="R15" s="9">
        <f t="shared" ref="R15:S15" si="3">SUM(R12:R14)</f>
        <v>1060.1100000000001</v>
      </c>
      <c r="S15" s="9">
        <f t="shared" si="3"/>
        <v>1189.1279999999999</v>
      </c>
      <c r="T15" s="9">
        <f t="shared" si="1"/>
        <v>1131.5900000000001</v>
      </c>
      <c r="U15" s="9">
        <f t="shared" si="1"/>
        <v>1187.7810000000002</v>
      </c>
      <c r="V15" s="9">
        <f t="shared" si="1"/>
        <v>1286.463</v>
      </c>
      <c r="W15" s="9">
        <f t="shared" si="1"/>
        <v>0</v>
      </c>
      <c r="X15" s="9">
        <f t="shared" si="1"/>
        <v>0</v>
      </c>
    </row>
    <row r="16" spans="1:24" s="1" customFormat="1" x14ac:dyDescent="0.2">
      <c r="B16" s="1" t="s">
        <v>12</v>
      </c>
      <c r="C16" s="3"/>
      <c r="D16" s="3">
        <v>70.120999999999995</v>
      </c>
      <c r="E16" s="3">
        <v>73.683999999999997</v>
      </c>
      <c r="F16" s="3">
        <v>79.481999999999999</v>
      </c>
      <c r="G16" s="3">
        <f>84.888-5.554</f>
        <v>79.334000000000003</v>
      </c>
      <c r="H16" s="3">
        <v>97.966999999999999</v>
      </c>
      <c r="I16" s="3">
        <v>98.018000000000001</v>
      </c>
      <c r="J16" s="3">
        <v>115.161</v>
      </c>
      <c r="K16" s="3">
        <f>119.374-5.709</f>
        <v>113.66499999999999</v>
      </c>
      <c r="L16" s="3">
        <v>130.404</v>
      </c>
      <c r="M16" s="3">
        <v>139.392</v>
      </c>
      <c r="N16" s="3">
        <f>N15-N17</f>
        <v>131.69499999999994</v>
      </c>
      <c r="O16" s="1">
        <v>168.65199999999999</v>
      </c>
      <c r="P16" s="1">
        <v>169.77600000000001</v>
      </c>
      <c r="Q16" s="1">
        <v>178.029</v>
      </c>
      <c r="R16" s="1">
        <v>194.536</v>
      </c>
      <c r="S16" s="1">
        <v>213.42500000000001</v>
      </c>
      <c r="T16" s="1">
        <v>217.505</v>
      </c>
      <c r="U16" s="1">
        <v>217.624</v>
      </c>
      <c r="V16" s="1">
        <v>223.12700000000001</v>
      </c>
    </row>
    <row r="17" spans="2:22" s="1" customFormat="1" x14ac:dyDescent="0.2">
      <c r="B17" s="1" t="s">
        <v>13</v>
      </c>
      <c r="C17" s="3"/>
      <c r="D17" s="3">
        <f t="shared" ref="D17:K17" si="4">+D15-D16</f>
        <v>360.35500000000002</v>
      </c>
      <c r="E17" s="3">
        <f t="shared" si="4"/>
        <v>385.822</v>
      </c>
      <c r="F17" s="3">
        <f t="shared" si="4"/>
        <v>421.87700000000007</v>
      </c>
      <c r="G17" s="3">
        <f t="shared" si="4"/>
        <v>489.39400000000006</v>
      </c>
      <c r="H17" s="3">
        <f t="shared" si="4"/>
        <v>461.572</v>
      </c>
      <c r="I17" s="3">
        <f t="shared" si="4"/>
        <v>516.00599999999997</v>
      </c>
      <c r="J17" s="3">
        <f t="shared" si="4"/>
        <v>573.36500000000001</v>
      </c>
      <c r="K17" s="3">
        <f t="shared" si="4"/>
        <v>626.82600000000002</v>
      </c>
      <c r="L17" s="3">
        <f>+L15-L16</f>
        <v>629.43700000000001</v>
      </c>
      <c r="M17" s="3">
        <f>+M15-M16</f>
        <v>668</v>
      </c>
      <c r="N17" s="3">
        <v>741.00900000000001</v>
      </c>
      <c r="O17" s="1">
        <f t="shared" ref="O17:T17" si="5">+O15-O16</f>
        <v>746.80099999999993</v>
      </c>
      <c r="P17" s="1">
        <f t="shared" si="5"/>
        <v>769.32199999999989</v>
      </c>
      <c r="Q17" s="1">
        <f t="shared" si="5"/>
        <v>799.74599999999998</v>
      </c>
      <c r="R17" s="1">
        <f t="shared" si="5"/>
        <v>865.57400000000007</v>
      </c>
      <c r="S17" s="1">
        <f t="shared" si="5"/>
        <v>975.70299999999997</v>
      </c>
      <c r="T17" s="1">
        <f t="shared" si="5"/>
        <v>914.08500000000015</v>
      </c>
      <c r="U17" s="1">
        <f>+U15-U16</f>
        <v>970.15700000000015</v>
      </c>
      <c r="V17" s="1">
        <f>+V15-V16</f>
        <v>1063.336</v>
      </c>
    </row>
    <row r="18" spans="2:22" s="1" customFormat="1" x14ac:dyDescent="0.2">
      <c r="B18" s="1" t="s">
        <v>14</v>
      </c>
      <c r="C18" s="3"/>
      <c r="D18" s="3">
        <v>210.738</v>
      </c>
      <c r="E18" s="3">
        <v>232.23500000000001</v>
      </c>
      <c r="F18" s="3">
        <v>241.06399999999999</v>
      </c>
      <c r="G18" s="3">
        <v>244.09800000000001</v>
      </c>
      <c r="H18" s="3">
        <v>245.929</v>
      </c>
      <c r="I18" s="3">
        <v>279.846</v>
      </c>
      <c r="J18" s="3">
        <v>374.976</v>
      </c>
      <c r="K18" s="3">
        <v>363.74599999999998</v>
      </c>
      <c r="L18" s="3">
        <v>367.00700000000001</v>
      </c>
      <c r="M18" s="3">
        <v>399.00599999999997</v>
      </c>
      <c r="N18" s="3">
        <v>473.67599999999999</v>
      </c>
      <c r="O18" s="1">
        <v>522.34400000000005</v>
      </c>
      <c r="P18" s="1">
        <v>474.85500000000002</v>
      </c>
      <c r="Q18" s="1">
        <v>481.738</v>
      </c>
      <c r="R18" s="1">
        <v>536.779</v>
      </c>
      <c r="S18" s="1">
        <v>576.49</v>
      </c>
      <c r="T18" s="1">
        <v>589.10400000000004</v>
      </c>
      <c r="U18" s="1">
        <v>603.101</v>
      </c>
      <c r="V18" s="1">
        <v>680.21299999999997</v>
      </c>
    </row>
    <row r="19" spans="2:22" s="1" customFormat="1" x14ac:dyDescent="0.2">
      <c r="B19" s="1" t="s">
        <v>15</v>
      </c>
      <c r="C19" s="3"/>
      <c r="D19" s="3">
        <v>77.891999999999996</v>
      </c>
      <c r="E19" s="3">
        <v>70.286000000000001</v>
      </c>
      <c r="F19" s="3">
        <v>77.150999999999996</v>
      </c>
      <c r="G19" s="3">
        <f>92.043-2.278</f>
        <v>89.765000000000001</v>
      </c>
      <c r="H19" s="3">
        <v>133.429</v>
      </c>
      <c r="I19" s="3">
        <v>102.928</v>
      </c>
      <c r="J19" s="3">
        <v>134.65899999999999</v>
      </c>
      <c r="K19" s="3">
        <f>150.796-2.302</f>
        <v>148.494</v>
      </c>
      <c r="L19" s="3">
        <v>173.054</v>
      </c>
      <c r="M19" s="3">
        <v>160.12799999999999</v>
      </c>
      <c r="N19" s="3">
        <v>186.191</v>
      </c>
      <c r="O19" s="1">
        <v>220.92099999999999</v>
      </c>
      <c r="P19" s="1">
        <v>202.62100000000001</v>
      </c>
      <c r="Q19" s="1">
        <v>193.56700000000001</v>
      </c>
      <c r="R19" s="1">
        <v>220.51300000000001</v>
      </c>
      <c r="S19" s="1">
        <v>223.81399999999999</v>
      </c>
      <c r="T19" s="1">
        <v>239.60300000000001</v>
      </c>
      <c r="U19" s="1">
        <v>252.393</v>
      </c>
      <c r="V19" s="1">
        <v>271.89400000000001</v>
      </c>
    </row>
    <row r="20" spans="2:22" s="1" customFormat="1" x14ac:dyDescent="0.2">
      <c r="B20" s="1" t="s">
        <v>16</v>
      </c>
      <c r="C20" s="3"/>
      <c r="D20" s="3">
        <v>75.013999999999996</v>
      </c>
      <c r="E20" s="3">
        <v>71.369</v>
      </c>
      <c r="F20" s="3">
        <v>75.948999999999998</v>
      </c>
      <c r="G20" s="3">
        <v>78.183999999999997</v>
      </c>
      <c r="H20" s="3">
        <v>89.74</v>
      </c>
      <c r="I20" s="3">
        <v>93.585999999999999</v>
      </c>
      <c r="J20" s="3">
        <v>130.44800000000001</v>
      </c>
      <c r="K20" s="3">
        <v>122.70699999999999</v>
      </c>
      <c r="L20" s="3">
        <v>131.709</v>
      </c>
      <c r="M20" s="3">
        <v>142.893</v>
      </c>
      <c r="N20" s="3">
        <v>156.131</v>
      </c>
      <c r="O20" s="1">
        <v>165.10300000000001</v>
      </c>
      <c r="P20" s="1">
        <v>142.23500000000001</v>
      </c>
      <c r="Q20" s="1">
        <v>143.31</v>
      </c>
      <c r="R20" s="1">
        <v>157.34399999999999</v>
      </c>
      <c r="S20" s="1">
        <v>157.595</v>
      </c>
      <c r="T20" s="1">
        <v>152.328</v>
      </c>
      <c r="U20" s="1">
        <v>146.64099999999999</v>
      </c>
      <c r="V20" s="1">
        <v>168.708</v>
      </c>
    </row>
    <row r="21" spans="2:22" s="1" customFormat="1" x14ac:dyDescent="0.2">
      <c r="B21" s="1" t="s">
        <v>17</v>
      </c>
      <c r="C21" s="3"/>
      <c r="D21" s="3">
        <f t="shared" ref="D21:F21" si="6">SUM(D18:D20)</f>
        <v>363.64400000000001</v>
      </c>
      <c r="E21" s="3">
        <f t="shared" si="6"/>
        <v>373.89</v>
      </c>
      <c r="F21" s="3">
        <f t="shared" si="6"/>
        <v>394.16399999999999</v>
      </c>
      <c r="G21" s="3">
        <f>SUM(G18:G20)</f>
        <v>412.04700000000003</v>
      </c>
      <c r="H21" s="3">
        <f>SUM(H18:H20)</f>
        <v>469.09800000000001</v>
      </c>
      <c r="I21" s="3">
        <f>SUM(I18:I20)</f>
        <v>476.36</v>
      </c>
      <c r="J21" s="3">
        <f>SUM(J18:J20)</f>
        <v>640.08299999999997</v>
      </c>
      <c r="K21" s="3">
        <f>SUM(K18:K20)</f>
        <v>634.947</v>
      </c>
      <c r="L21" s="3">
        <f t="shared" ref="L21:N21" si="7">SUM(L18:L20)</f>
        <v>671.77</v>
      </c>
      <c r="M21" s="3">
        <f t="shared" si="7"/>
        <v>702.02700000000004</v>
      </c>
      <c r="N21" s="3">
        <f t="shared" si="7"/>
        <v>815.99799999999993</v>
      </c>
      <c r="O21" s="1">
        <f t="shared" ref="O21:V21" si="8">SUM(O18:O20)</f>
        <v>908.36800000000017</v>
      </c>
      <c r="P21" s="1">
        <f t="shared" si="8"/>
        <v>819.71100000000001</v>
      </c>
      <c r="Q21" s="1">
        <f t="shared" si="8"/>
        <v>818.61500000000001</v>
      </c>
      <c r="R21" s="1">
        <f t="shared" si="8"/>
        <v>914.63599999999997</v>
      </c>
      <c r="S21" s="1">
        <f t="shared" si="8"/>
        <v>957.899</v>
      </c>
      <c r="T21" s="1">
        <f t="shared" si="8"/>
        <v>981.03500000000008</v>
      </c>
      <c r="U21" s="1">
        <f t="shared" si="8"/>
        <v>1002.135</v>
      </c>
      <c r="V21" s="1">
        <f t="shared" si="8"/>
        <v>1120.8150000000001</v>
      </c>
    </row>
    <row r="22" spans="2:22" s="1" customFormat="1" x14ac:dyDescent="0.2">
      <c r="B22" s="1" t="s">
        <v>18</v>
      </c>
      <c r="C22" s="3"/>
      <c r="D22" s="3">
        <f t="shared" ref="D22:F22" si="9">+D17-D21</f>
        <v>-3.2889999999999873</v>
      </c>
      <c r="E22" s="3">
        <f t="shared" si="9"/>
        <v>11.932000000000016</v>
      </c>
      <c r="F22" s="3">
        <f t="shared" si="9"/>
        <v>27.713000000000079</v>
      </c>
      <c r="G22" s="3">
        <f>+G17-G21</f>
        <v>77.347000000000037</v>
      </c>
      <c r="H22" s="3">
        <f>+H17-H21</f>
        <v>-7.5260000000000105</v>
      </c>
      <c r="I22" s="3">
        <f>+I17-I21</f>
        <v>39.645999999999958</v>
      </c>
      <c r="J22" s="3">
        <f>+J17-J21</f>
        <v>-66.717999999999961</v>
      </c>
      <c r="K22" s="3">
        <f>+K17-K21</f>
        <v>-8.1209999999999809</v>
      </c>
      <c r="L22" s="3">
        <f t="shared" ref="L22:N22" si="10">+L17-L21</f>
        <v>-42.33299999999997</v>
      </c>
      <c r="M22" s="3">
        <f t="shared" si="10"/>
        <v>-34.027000000000044</v>
      </c>
      <c r="N22" s="3">
        <f t="shared" si="10"/>
        <v>-74.988999999999919</v>
      </c>
      <c r="O22" s="1">
        <f t="shared" ref="O22:V22" si="11">+O17-O21</f>
        <v>-161.56700000000023</v>
      </c>
      <c r="P22" s="1">
        <f t="shared" si="11"/>
        <v>-50.389000000000124</v>
      </c>
      <c r="Q22" s="1">
        <f t="shared" si="11"/>
        <v>-18.869000000000028</v>
      </c>
      <c r="R22" s="1">
        <f t="shared" si="11"/>
        <v>-49.061999999999898</v>
      </c>
      <c r="S22" s="1">
        <f t="shared" si="11"/>
        <v>17.803999999999974</v>
      </c>
      <c r="T22" s="1">
        <f t="shared" si="11"/>
        <v>-66.949999999999932</v>
      </c>
      <c r="U22" s="1">
        <f t="shared" si="11"/>
        <v>-31.977999999999838</v>
      </c>
      <c r="V22" s="1">
        <f t="shared" si="11"/>
        <v>-57.479000000000042</v>
      </c>
    </row>
    <row r="23" spans="2:22" s="1" customFormat="1" x14ac:dyDescent="0.2">
      <c r="B23" s="1" t="s">
        <v>23</v>
      </c>
      <c r="C23" s="3"/>
      <c r="D23" s="3">
        <f>3.39-12.484</f>
        <v>-9.0939999999999994</v>
      </c>
      <c r="E23" s="3">
        <f>2.59-12.575</f>
        <v>-9.9849999999999994</v>
      </c>
      <c r="F23" s="3">
        <v>2.1120000000000001</v>
      </c>
      <c r="G23" s="3">
        <f>1.464-10.591</f>
        <v>-9.1269999999999989</v>
      </c>
      <c r="H23" s="3">
        <f>1.008-8.099</f>
        <v>-7.0910000000000002</v>
      </c>
      <c r="I23" s="3">
        <f>0.28-7.111</f>
        <v>-6.8309999999999995</v>
      </c>
      <c r="J23" s="3">
        <f>0.077-6.078</f>
        <v>-6.0010000000000003</v>
      </c>
      <c r="K23" s="3">
        <f>0.608-6.024</f>
        <v>-5.4160000000000004</v>
      </c>
      <c r="L23" s="3">
        <f>-0.608+1.328-4.767</f>
        <v>-4.0470000000000006</v>
      </c>
      <c r="M23" s="3">
        <f>29.289+5.143-6.121</f>
        <v>28.311</v>
      </c>
      <c r="N23" s="3">
        <f>-6.749+8.963-7.508</f>
        <v>-5.2940000000000005</v>
      </c>
      <c r="O23" s="1">
        <f>-0.943+15.047-7.978</f>
        <v>6.1260000000000012</v>
      </c>
      <c r="P23" s="1">
        <f>-7.096+20.579-8.5</f>
        <v>4.9830000000000005</v>
      </c>
      <c r="Q23" s="1">
        <f>-8.335+25.226-8.976</f>
        <v>7.9149999999999974</v>
      </c>
      <c r="R23" s="1">
        <f>-4.639+22.593-9.001</f>
        <v>8.9530000000000012</v>
      </c>
      <c r="S23" s="1">
        <f>-10.99+21.414-8.453</f>
        <v>1.9710000000000019</v>
      </c>
      <c r="T23" s="1">
        <f>-6.952+27.43-7.647</f>
        <v>12.831000000000001</v>
      </c>
      <c r="U23" s="1">
        <f>-19.432+28.564-7.318</f>
        <v>1.8140000000000018</v>
      </c>
      <c r="V23" s="1">
        <f>-7.999+25.586-7.291</f>
        <v>10.295999999999999</v>
      </c>
    </row>
    <row r="24" spans="2:22" s="1" customFormat="1" x14ac:dyDescent="0.2">
      <c r="B24" s="1" t="s">
        <v>22</v>
      </c>
      <c r="C24" s="3"/>
      <c r="D24" s="3">
        <f t="shared" ref="D24:N24" si="12">+D22+D23</f>
        <v>-12.382999999999987</v>
      </c>
      <c r="E24" s="3">
        <f t="shared" si="12"/>
        <v>1.9470000000000169</v>
      </c>
      <c r="F24" s="3">
        <f t="shared" si="12"/>
        <v>29.825000000000081</v>
      </c>
      <c r="G24" s="3">
        <f t="shared" si="12"/>
        <v>68.220000000000041</v>
      </c>
      <c r="H24" s="3">
        <f t="shared" si="12"/>
        <v>-14.617000000000012</v>
      </c>
      <c r="I24" s="3">
        <f t="shared" si="12"/>
        <v>32.814999999999955</v>
      </c>
      <c r="J24" s="3">
        <f t="shared" si="12"/>
        <v>-72.718999999999966</v>
      </c>
      <c r="K24" s="3">
        <f t="shared" si="12"/>
        <v>-13.536999999999981</v>
      </c>
      <c r="L24" s="3">
        <f t="shared" si="12"/>
        <v>-46.379999999999967</v>
      </c>
      <c r="M24" s="3">
        <f t="shared" si="12"/>
        <v>-5.7160000000000437</v>
      </c>
      <c r="N24" s="3">
        <f t="shared" si="12"/>
        <v>-80.282999999999916</v>
      </c>
      <c r="O24" s="1">
        <f t="shared" ref="O24:U24" si="13">+O22+O23</f>
        <v>-155.44100000000023</v>
      </c>
      <c r="P24" s="1">
        <f t="shared" si="13"/>
        <v>-45.40600000000012</v>
      </c>
      <c r="Q24" s="1">
        <f t="shared" si="13"/>
        <v>-10.954000000000031</v>
      </c>
      <c r="R24" s="1">
        <f t="shared" si="13"/>
        <v>-40.108999999999895</v>
      </c>
      <c r="S24" s="1">
        <f t="shared" si="13"/>
        <v>19.774999999999977</v>
      </c>
      <c r="T24" s="1">
        <f t="shared" si="13"/>
        <v>-54.118999999999929</v>
      </c>
      <c r="U24" s="1">
        <f t="shared" si="13"/>
        <v>-30.163999999999838</v>
      </c>
      <c r="V24" s="1">
        <f>+V22+V23</f>
        <v>-47.183000000000042</v>
      </c>
    </row>
    <row r="25" spans="2:22" s="1" customFormat="1" x14ac:dyDescent="0.2">
      <c r="B25" s="1" t="s">
        <v>21</v>
      </c>
      <c r="C25" s="3"/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44.259</v>
      </c>
      <c r="M25" s="3">
        <v>8.0250000000000004</v>
      </c>
      <c r="N25" s="3">
        <v>0</v>
      </c>
      <c r="O25" s="1">
        <v>53.595999999999997</v>
      </c>
      <c r="P25" s="1">
        <v>13.506</v>
      </c>
      <c r="Q25" s="1">
        <v>20.928999999999998</v>
      </c>
      <c r="R25" s="1">
        <v>44.36</v>
      </c>
      <c r="S25" s="1">
        <v>7.0229999999999997</v>
      </c>
      <c r="T25" s="1">
        <v>142.80000000000001</v>
      </c>
      <c r="U25" s="1">
        <v>93.605000000000004</v>
      </c>
      <c r="V25" s="1">
        <v>-8.9749999999999996</v>
      </c>
    </row>
    <row r="26" spans="2:22" s="1" customFormat="1" x14ac:dyDescent="0.2">
      <c r="B26" s="1" t="s">
        <v>20</v>
      </c>
      <c r="C26" s="3"/>
      <c r="D26" s="3">
        <f t="shared" ref="D26:N26" si="14">+D24-D25</f>
        <v>-12.382999999999987</v>
      </c>
      <c r="E26" s="3">
        <f t="shared" si="14"/>
        <v>1.9470000000000169</v>
      </c>
      <c r="F26" s="3">
        <f t="shared" si="14"/>
        <v>29.825000000000081</v>
      </c>
      <c r="G26" s="3">
        <f t="shared" si="14"/>
        <v>68.220000000000041</v>
      </c>
      <c r="H26" s="3">
        <f t="shared" si="14"/>
        <v>-14.617000000000012</v>
      </c>
      <c r="I26" s="3">
        <f t="shared" si="14"/>
        <v>32.814999999999955</v>
      </c>
      <c r="J26" s="3">
        <f t="shared" si="14"/>
        <v>-72.718999999999966</v>
      </c>
      <c r="K26" s="3">
        <f t="shared" si="14"/>
        <v>-13.536999999999981</v>
      </c>
      <c r="L26" s="3">
        <f t="shared" si="14"/>
        <v>-90.638999999999967</v>
      </c>
      <c r="M26" s="3">
        <f t="shared" si="14"/>
        <v>-13.741000000000044</v>
      </c>
      <c r="N26" s="3">
        <f t="shared" si="14"/>
        <v>-80.282999999999916</v>
      </c>
      <c r="O26" s="1">
        <f t="shared" ref="O26:U26" si="15">+O24-O25</f>
        <v>-209.03700000000023</v>
      </c>
      <c r="P26" s="1">
        <f t="shared" si="15"/>
        <v>-58.91200000000012</v>
      </c>
      <c r="Q26" s="1">
        <f t="shared" si="15"/>
        <v>-31.883000000000031</v>
      </c>
      <c r="R26" s="1">
        <f t="shared" si="15"/>
        <v>-84.468999999999895</v>
      </c>
      <c r="S26" s="1">
        <f t="shared" si="15"/>
        <v>12.751999999999978</v>
      </c>
      <c r="T26" s="1">
        <f t="shared" si="15"/>
        <v>-196.91899999999993</v>
      </c>
      <c r="U26" s="1">
        <f t="shared" si="15"/>
        <v>-123.76899999999983</v>
      </c>
      <c r="V26" s="1">
        <f>+V24-V25</f>
        <v>-38.208000000000041</v>
      </c>
    </row>
    <row r="27" spans="2:22" x14ac:dyDescent="0.2">
      <c r="B27" s="1" t="s">
        <v>24</v>
      </c>
      <c r="D27" s="10">
        <f t="shared" ref="D27:N27" si="16">+D26/D28</f>
        <v>-5.0152080321089906E-2</v>
      </c>
      <c r="E27" s="10">
        <f t="shared" si="16"/>
        <v>7.8503316331674181E-3</v>
      </c>
      <c r="F27" s="10">
        <f t="shared" si="16"/>
        <v>0.11968874905693726</v>
      </c>
      <c r="G27" s="10">
        <f t="shared" si="16"/>
        <v>0.26739518986547944</v>
      </c>
      <c r="H27" s="10">
        <f t="shared" si="16"/>
        <v>-5.81738728986246E-2</v>
      </c>
      <c r="I27" s="10">
        <f t="shared" si="16"/>
        <v>0.13016350265364551</v>
      </c>
      <c r="J27" s="10">
        <f t="shared" si="16"/>
        <v>-0.28747232764073355</v>
      </c>
      <c r="K27" s="10">
        <f t="shared" si="16"/>
        <v>-5.3353460269664088E-2</v>
      </c>
      <c r="L27" s="10">
        <f t="shared" si="16"/>
        <v>-0.35617057395022034</v>
      </c>
      <c r="M27" s="10">
        <f t="shared" si="16"/>
        <v>-5.3851007379481064E-2</v>
      </c>
      <c r="N27" s="10">
        <f t="shared" si="16"/>
        <v>-0.31375989744952559</v>
      </c>
      <c r="O27" s="13">
        <f t="shared" ref="O27:V27" si="17">+O26/O28</f>
        <v>-0.81392777182906739</v>
      </c>
      <c r="P27" s="13">
        <f t="shared" si="17"/>
        <v>-0.22888313020369991</v>
      </c>
      <c r="Q27" s="13">
        <f t="shared" si="17"/>
        <v>-0.12362208082758526</v>
      </c>
      <c r="R27" s="13">
        <f t="shared" si="17"/>
        <v>-0.32663833473188386</v>
      </c>
      <c r="S27" s="13">
        <f t="shared" si="17"/>
        <v>4.8713031652774401E-2</v>
      </c>
      <c r="T27" s="13">
        <f t="shared" si="17"/>
        <v>-0.75643231947634859</v>
      </c>
      <c r="U27" s="13">
        <f t="shared" si="17"/>
        <v>-0.47516287426528964</v>
      </c>
      <c r="V27" s="13">
        <f t="shared" si="17"/>
        <v>-0.14630840101552015</v>
      </c>
    </row>
    <row r="28" spans="2:22" s="1" customFormat="1" x14ac:dyDescent="0.2">
      <c r="B28" s="1" t="s">
        <v>1</v>
      </c>
      <c r="C28" s="3"/>
      <c r="D28" s="3">
        <v>246.90899999999999</v>
      </c>
      <c r="E28" s="3">
        <v>248.01499999999999</v>
      </c>
      <c r="F28" s="3">
        <v>249.18799999999999</v>
      </c>
      <c r="G28" s="3">
        <v>255.12799999999999</v>
      </c>
      <c r="H28" s="3">
        <v>251.26400000000001</v>
      </c>
      <c r="I28" s="3">
        <v>252.10599999999999</v>
      </c>
      <c r="J28" s="3">
        <v>252.96</v>
      </c>
      <c r="K28" s="3">
        <v>253.72300000000001</v>
      </c>
      <c r="L28" s="3">
        <v>254.482</v>
      </c>
      <c r="M28" s="3">
        <v>255.167</v>
      </c>
      <c r="N28" s="3">
        <v>255.874</v>
      </c>
      <c r="O28" s="1">
        <v>256.82499999999999</v>
      </c>
      <c r="P28" s="1">
        <v>257.38900000000001</v>
      </c>
      <c r="Q28" s="1">
        <v>257.90699999999998</v>
      </c>
      <c r="R28" s="1">
        <v>258.601</v>
      </c>
      <c r="S28" s="1">
        <v>261.77800000000002</v>
      </c>
      <c r="T28" s="1">
        <v>260.32600000000002</v>
      </c>
      <c r="U28" s="1">
        <v>260.47699999999998</v>
      </c>
      <c r="V28" s="1">
        <v>261.14699999999999</v>
      </c>
    </row>
    <row r="30" spans="2:22" s="4" customFormat="1" x14ac:dyDescent="0.2">
      <c r="B30" s="4" t="s">
        <v>11</v>
      </c>
      <c r="C30" s="5"/>
      <c r="D30" s="5"/>
      <c r="E30" s="5"/>
      <c r="F30" s="5"/>
      <c r="G30" s="5"/>
      <c r="H30" s="11">
        <f t="shared" ref="H30:V30" si="18">+H15/D15-1</f>
        <v>0.29981462381178048</v>
      </c>
      <c r="I30" s="11">
        <f t="shared" si="18"/>
        <v>0.33626982019821283</v>
      </c>
      <c r="J30" s="11">
        <f t="shared" si="18"/>
        <v>0.373319318093422</v>
      </c>
      <c r="K30" s="11">
        <f t="shared" si="18"/>
        <v>0.30201256136501087</v>
      </c>
      <c r="L30" s="11">
        <f t="shared" si="18"/>
        <v>0.35797683450125906</v>
      </c>
      <c r="M30" s="11">
        <f t="shared" si="18"/>
        <v>0.31491928654254542</v>
      </c>
      <c r="N30" s="11">
        <f t="shared" si="18"/>
        <v>0.26749607131756803</v>
      </c>
      <c r="O30" s="11">
        <f t="shared" si="18"/>
        <v>0.23627836124949519</v>
      </c>
      <c r="P30" s="11">
        <f t="shared" si="18"/>
        <v>0.235913829340612</v>
      </c>
      <c r="Q30" s="11">
        <f t="shared" si="18"/>
        <v>0.21102884348618778</v>
      </c>
      <c r="R30" s="11">
        <f t="shared" si="18"/>
        <v>0.21474176811381662</v>
      </c>
      <c r="S30" s="11">
        <f t="shared" si="18"/>
        <v>0.29895035572552597</v>
      </c>
      <c r="T30" s="11">
        <f t="shared" si="18"/>
        <v>0.20497541257674934</v>
      </c>
      <c r="U30" s="11">
        <f t="shared" si="18"/>
        <v>0.21477947380532347</v>
      </c>
      <c r="V30" s="11">
        <f t="shared" si="18"/>
        <v>0.21351840846704562</v>
      </c>
    </row>
    <row r="31" spans="2:22" s="4" customFormat="1" x14ac:dyDescent="0.2">
      <c r="B31" s="4" t="s">
        <v>44</v>
      </c>
      <c r="C31" s="5"/>
      <c r="D31" s="5"/>
      <c r="E31" s="5"/>
      <c r="F31" s="5"/>
      <c r="G31" s="5"/>
      <c r="H31" s="11"/>
      <c r="I31" s="11">
        <f>+I7/E7-1</f>
        <v>0.53339282268956212</v>
      </c>
      <c r="J31" s="11">
        <f>+J7/F7-1</f>
        <v>0.58020849608527314</v>
      </c>
      <c r="K31" s="11">
        <f>+K7/G7-1</f>
        <v>0.59858571548629524</v>
      </c>
      <c r="L31" s="5"/>
      <c r="M31" s="5"/>
      <c r="N31" s="5"/>
    </row>
    <row r="32" spans="2:22" x14ac:dyDescent="0.2">
      <c r="B32" t="s">
        <v>13</v>
      </c>
      <c r="D32" s="6">
        <f t="shared" ref="D32:K32" si="19">+D17/D15</f>
        <v>0.8371082243841701</v>
      </c>
      <c r="E32" s="6">
        <f t="shared" si="19"/>
        <v>0.83964518417604983</v>
      </c>
      <c r="F32" s="6">
        <f t="shared" si="19"/>
        <v>0.84146689298486721</v>
      </c>
      <c r="G32" s="6">
        <f t="shared" si="19"/>
        <v>0.86050625254954916</v>
      </c>
      <c r="H32" s="6">
        <f t="shared" si="19"/>
        <v>0.8249147959302211</v>
      </c>
      <c r="I32" s="6">
        <f t="shared" si="19"/>
        <v>0.84036780321290372</v>
      </c>
      <c r="J32" s="6">
        <f t="shared" si="19"/>
        <v>0.83274269962209113</v>
      </c>
      <c r="K32" s="6">
        <f t="shared" si="19"/>
        <v>0.84650049764278035</v>
      </c>
      <c r="L32" s="6">
        <f t="shared" ref="L32:V32" si="20">+L17/L15</f>
        <v>0.82837988473904411</v>
      </c>
      <c r="M32" s="6">
        <f t="shared" si="20"/>
        <v>0.82735523760453422</v>
      </c>
      <c r="N32" s="6">
        <f t="shared" si="20"/>
        <v>0.84909545504546791</v>
      </c>
      <c r="O32" s="6">
        <f t="shared" si="20"/>
        <v>0.81577208223688158</v>
      </c>
      <c r="P32" s="6">
        <f t="shared" si="20"/>
        <v>0.81921375617880132</v>
      </c>
      <c r="Q32" s="6">
        <f t="shared" si="20"/>
        <v>0.81792436910332134</v>
      </c>
      <c r="R32" s="6">
        <f t="shared" si="20"/>
        <v>0.81649451472017054</v>
      </c>
      <c r="S32" s="6">
        <f t="shared" si="20"/>
        <v>0.82051974219764401</v>
      </c>
      <c r="T32" s="6">
        <f t="shared" si="20"/>
        <v>0.80778815648777391</v>
      </c>
      <c r="U32" s="6">
        <f t="shared" si="20"/>
        <v>0.81678103960241832</v>
      </c>
      <c r="V32" s="6">
        <f t="shared" si="20"/>
        <v>0.82655777896449412</v>
      </c>
    </row>
    <row r="33" spans="2:22" x14ac:dyDescent="0.2">
      <c r="B33" t="s">
        <v>19</v>
      </c>
      <c r="D33" s="6">
        <f t="shared" ref="D33:K33" si="21">+D22/D15</f>
        <v>-7.640379486893549E-3</v>
      </c>
      <c r="E33" s="6">
        <f t="shared" si="21"/>
        <v>2.5967016752773665E-2</v>
      </c>
      <c r="F33" s="6">
        <f t="shared" si="21"/>
        <v>5.5275760483007343E-2</v>
      </c>
      <c r="G33" s="6">
        <f t="shared" si="21"/>
        <v>0.13599998593352186</v>
      </c>
      <c r="H33" s="6">
        <f t="shared" si="21"/>
        <v>-1.3450358241337978E-2</v>
      </c>
      <c r="I33" s="6">
        <f t="shared" si="21"/>
        <v>6.4567508761872436E-2</v>
      </c>
      <c r="J33" s="6">
        <f t="shared" si="21"/>
        <v>-9.6899753967170377E-2</v>
      </c>
      <c r="K33" s="6">
        <f t="shared" si="21"/>
        <v>-1.0967047540078111E-2</v>
      </c>
      <c r="L33" s="6">
        <f t="shared" ref="L33:V33" si="22">+L22/L15</f>
        <v>-5.5712971529569964E-2</v>
      </c>
      <c r="M33" s="6">
        <f t="shared" si="22"/>
        <v>-4.21443363322897E-2</v>
      </c>
      <c r="N33" s="6">
        <f t="shared" si="22"/>
        <v>-8.5927187224992582E-2</v>
      </c>
      <c r="O33" s="6">
        <f t="shared" si="22"/>
        <v>-0.17648857997079068</v>
      </c>
      <c r="P33" s="6">
        <f t="shared" si="22"/>
        <v>-5.3656806850829332E-2</v>
      </c>
      <c r="Q33" s="6">
        <f t="shared" si="22"/>
        <v>-1.929789573265836E-2</v>
      </c>
      <c r="R33" s="6">
        <f t="shared" si="22"/>
        <v>-4.6280103008178294E-2</v>
      </c>
      <c r="S33" s="6">
        <f t="shared" si="22"/>
        <v>1.4972315848251807E-2</v>
      </c>
      <c r="T33" s="6">
        <f t="shared" si="22"/>
        <v>-5.9164538392880744E-2</v>
      </c>
      <c r="U33" s="6">
        <f t="shared" si="22"/>
        <v>-2.6922471398346862E-2</v>
      </c>
      <c r="V33" s="6">
        <f t="shared" si="22"/>
        <v>-4.4679870311077771E-2</v>
      </c>
    </row>
    <row r="35" spans="2:22" x14ac:dyDescent="0.2">
      <c r="B35" t="s">
        <v>3</v>
      </c>
      <c r="T35" s="1">
        <f>2176.93+161.973+223.221</f>
        <v>2562.1239999999998</v>
      </c>
    </row>
    <row r="36" spans="2:22" x14ac:dyDescent="0.2">
      <c r="B36" t="s">
        <v>54</v>
      </c>
      <c r="T36" s="1">
        <v>628.04899999999998</v>
      </c>
    </row>
    <row r="37" spans="2:22" x14ac:dyDescent="0.2">
      <c r="B37" t="s">
        <v>55</v>
      </c>
      <c r="T37" s="1">
        <v>109.312</v>
      </c>
    </row>
    <row r="38" spans="2:22" x14ac:dyDescent="0.2">
      <c r="B38" t="s">
        <v>56</v>
      </c>
      <c r="T38" s="1">
        <v>86.314999999999998</v>
      </c>
    </row>
    <row r="39" spans="2:22" x14ac:dyDescent="0.2">
      <c r="B39" t="s">
        <v>57</v>
      </c>
      <c r="T39" s="1">
        <v>172.46799999999999</v>
      </c>
    </row>
    <row r="40" spans="2:22" x14ac:dyDescent="0.2">
      <c r="B40" t="s">
        <v>58</v>
      </c>
      <c r="T40" s="1">
        <f>299.057+1288.756</f>
        <v>1587.8130000000001</v>
      </c>
    </row>
    <row r="41" spans="2:22" x14ac:dyDescent="0.2">
      <c r="B41" t="s">
        <v>59</v>
      </c>
      <c r="T41" s="1">
        <v>3.9340000000000002</v>
      </c>
    </row>
    <row r="42" spans="2:22" x14ac:dyDescent="0.2">
      <c r="B42" t="s">
        <v>60</v>
      </c>
      <c r="T42" s="1">
        <v>62.118000000000002</v>
      </c>
    </row>
    <row r="43" spans="2:22" x14ac:dyDescent="0.2">
      <c r="B43" t="s">
        <v>61</v>
      </c>
      <c r="T43" s="1">
        <f>SUM(T35:T42)</f>
        <v>5212.1330000000007</v>
      </c>
    </row>
    <row r="44" spans="2:22" x14ac:dyDescent="0.2">
      <c r="T44" s="1"/>
    </row>
    <row r="45" spans="2:22" x14ac:dyDescent="0.2">
      <c r="B45" t="s">
        <v>62</v>
      </c>
      <c r="T45" s="1">
        <v>177.54499999999999</v>
      </c>
    </row>
    <row r="46" spans="2:22" x14ac:dyDescent="0.2">
      <c r="B46" t="s">
        <v>63</v>
      </c>
      <c r="T46" s="1">
        <v>577.35900000000004</v>
      </c>
    </row>
    <row r="47" spans="2:22" x14ac:dyDescent="0.2">
      <c r="B47" t="s">
        <v>64</v>
      </c>
      <c r="T47" s="1">
        <f>1806.269+308.467</f>
        <v>2114.7359999999999</v>
      </c>
    </row>
    <row r="48" spans="2:22" x14ac:dyDescent="0.2">
      <c r="B48" t="s">
        <v>57</v>
      </c>
      <c r="T48" s="1">
        <f>48.953+214.474</f>
        <v>263.42700000000002</v>
      </c>
    </row>
    <row r="49" spans="2:20" x14ac:dyDescent="0.2">
      <c r="B49" t="s">
        <v>4</v>
      </c>
      <c r="T49" s="1">
        <v>985.91099999999994</v>
      </c>
    </row>
    <row r="50" spans="2:20" x14ac:dyDescent="0.2">
      <c r="B50" t="s">
        <v>59</v>
      </c>
      <c r="T50" s="1">
        <v>20.387</v>
      </c>
    </row>
    <row r="51" spans="2:20" x14ac:dyDescent="0.2">
      <c r="B51" t="s">
        <v>67</v>
      </c>
      <c r="T51" s="1">
        <v>39.917000000000002</v>
      </c>
    </row>
    <row r="52" spans="2:20" x14ac:dyDescent="0.2">
      <c r="B52" t="s">
        <v>66</v>
      </c>
      <c r="T52" s="1">
        <v>1032.8510000000001</v>
      </c>
    </row>
    <row r="53" spans="2:20" x14ac:dyDescent="0.2">
      <c r="B53" t="s">
        <v>65</v>
      </c>
      <c r="T53" s="1">
        <f>SUM(T45:T52)</f>
        <v>5212.1329999999998</v>
      </c>
    </row>
    <row r="54" spans="2:20" x14ac:dyDescent="0.2">
      <c r="T54" s="1"/>
    </row>
    <row r="55" spans="2:20" x14ac:dyDescent="0.2">
      <c r="B55" t="s">
        <v>68</v>
      </c>
      <c r="T55" s="1">
        <f>+T26</f>
        <v>-196.91899999999993</v>
      </c>
    </row>
    <row r="56" spans="2:20" x14ac:dyDescent="0.2">
      <c r="B56" t="s">
        <v>69</v>
      </c>
      <c r="T56" s="1">
        <v>-196.91900000000001</v>
      </c>
    </row>
    <row r="57" spans="2:20" x14ac:dyDescent="0.2">
      <c r="B57" t="s">
        <v>70</v>
      </c>
      <c r="T57" s="1">
        <v>23.178000000000001</v>
      </c>
    </row>
    <row r="58" spans="2:20" x14ac:dyDescent="0.2">
      <c r="B58" t="s">
        <v>71</v>
      </c>
      <c r="T58" s="1">
        <v>273.488</v>
      </c>
    </row>
    <row r="59" spans="2:20" x14ac:dyDescent="0.2">
      <c r="B59" t="s">
        <v>72</v>
      </c>
      <c r="T59" s="1">
        <v>0.217</v>
      </c>
    </row>
    <row r="60" spans="2:20" x14ac:dyDescent="0.2">
      <c r="B60" t="s">
        <v>73</v>
      </c>
      <c r="T60" s="1">
        <v>0.56599999999999995</v>
      </c>
    </row>
    <row r="61" spans="2:20" x14ac:dyDescent="0.2">
      <c r="B61" t="s">
        <v>74</v>
      </c>
      <c r="T61" s="1">
        <v>-4.1660000000000004</v>
      </c>
    </row>
    <row r="62" spans="2:20" x14ac:dyDescent="0.2">
      <c r="B62" t="s">
        <v>75</v>
      </c>
      <c r="T62" s="1">
        <v>1.587</v>
      </c>
    </row>
    <row r="63" spans="2:20" x14ac:dyDescent="0.2">
      <c r="B63" t="s">
        <v>76</v>
      </c>
      <c r="T63" s="1">
        <v>2.1589999999999998</v>
      </c>
    </row>
    <row r="64" spans="2:20" x14ac:dyDescent="0.2">
      <c r="B64" t="s">
        <v>10</v>
      </c>
      <c r="T64" s="1">
        <v>4.1000000000000002E-2</v>
      </c>
    </row>
    <row r="65" spans="2:20" x14ac:dyDescent="0.2">
      <c r="B65" t="s">
        <v>77</v>
      </c>
      <c r="T65" s="1">
        <f>18.025+56.406-10.7+103.165+159.172</f>
        <v>326.06799999999998</v>
      </c>
    </row>
    <row r="66" spans="2:20" x14ac:dyDescent="0.2">
      <c r="B66" t="s">
        <v>25</v>
      </c>
      <c r="D66" s="3">
        <v>123.34099999999999</v>
      </c>
      <c r="E66" s="3">
        <v>79.465000000000003</v>
      </c>
      <c r="F66" s="3">
        <v>200.46199999999999</v>
      </c>
      <c r="G66" s="3">
        <v>377.036</v>
      </c>
      <c r="H66" s="3">
        <v>184.36699999999999</v>
      </c>
      <c r="I66" s="3">
        <v>78.385999999999996</v>
      </c>
      <c r="J66" s="3">
        <v>221.684</v>
      </c>
      <c r="K66" s="3">
        <v>353.029</v>
      </c>
      <c r="M66" s="3">
        <v>92.441999999999993</v>
      </c>
      <c r="N66" s="3">
        <v>150.52500000000001</v>
      </c>
      <c r="O66" s="1">
        <v>352.36900000000003</v>
      </c>
      <c r="P66" s="1">
        <v>272.77499999999998</v>
      </c>
      <c r="Q66" s="1">
        <v>166.95599999999999</v>
      </c>
      <c r="R66" s="1">
        <v>289.59399999999999</v>
      </c>
      <c r="S66" s="1">
        <v>565.39</v>
      </c>
      <c r="T66" s="1">
        <f>SUM(T56:T65)</f>
        <v>426.21899999999999</v>
      </c>
    </row>
    <row r="67" spans="2:20" x14ac:dyDescent="0.2">
      <c r="B67" t="s">
        <v>79</v>
      </c>
      <c r="P67" s="1">
        <f>SUM(M66:P66)</f>
        <v>868.11099999999999</v>
      </c>
      <c r="Q67" s="1">
        <f>SUM(N66:Q66)</f>
        <v>942.625</v>
      </c>
      <c r="R67" s="1">
        <f>SUM(O66:R66)</f>
        <v>1081.694</v>
      </c>
      <c r="S67" s="1">
        <f>SUM(P66:S66)</f>
        <v>1294.7150000000001</v>
      </c>
      <c r="T67" s="1">
        <f>SUM(Q66:T66)</f>
        <v>1448.1589999999999</v>
      </c>
    </row>
  </sheetData>
  <hyperlinks>
    <hyperlink ref="A1" location="Main!A1" display="Main" xr:uid="{8B4B4F9B-7A25-4B26-901F-5BB44EFDE58B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2022-07-27T14:25:12Z</dcterms:created>
  <dcterms:modified xsi:type="dcterms:W3CDTF">2025-01-30T22:15:37Z</dcterms:modified>
</cp:coreProperties>
</file>