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32DA3C9-BD35-479D-BB28-BD98FD8BB4A1}" xr6:coauthVersionLast="47" xr6:coauthVersionMax="47" xr10:uidLastSave="{00000000-0000-0000-0000-000000000000}"/>
  <bookViews>
    <workbookView xWindow="7480" yWindow="1420" windowWidth="18950" windowHeight="19380" xr2:uid="{DA8703C7-1D9A-4CF1-AEE5-49C448DA70A6}"/>
  </bookViews>
  <sheets>
    <sheet name="Main" sheetId="1" r:id="rId1"/>
    <sheet name="Model" sheetId="2" r:id="rId2"/>
    <sheet name="Briumv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5" i="2" l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AD14" i="2"/>
  <c r="AC14" i="2"/>
  <c r="AB14" i="2"/>
  <c r="AA14" i="2"/>
  <c r="Z14" i="2"/>
  <c r="Y14" i="2"/>
  <c r="AD3" i="2"/>
  <c r="AC3" i="2"/>
  <c r="AC17" i="2"/>
  <c r="AD17" i="2" s="1"/>
  <c r="AC9" i="2"/>
  <c r="AC10" i="2" s="1"/>
  <c r="N9" i="2"/>
  <c r="N10" i="2" s="1"/>
  <c r="M10" i="2"/>
  <c r="M9" i="2"/>
  <c r="AB17" i="2"/>
  <c r="AA17" i="2"/>
  <c r="Z17" i="2"/>
  <c r="Y17" i="2"/>
  <c r="AA7" i="2"/>
  <c r="Z7" i="2"/>
  <c r="Y7" i="2"/>
  <c r="AB5" i="2"/>
  <c r="AB7" i="2" s="1"/>
  <c r="AA5" i="2"/>
  <c r="Z5" i="2"/>
  <c r="Y5" i="2"/>
  <c r="AB3" i="2"/>
  <c r="AA3" i="2"/>
  <c r="Z3" i="2"/>
  <c r="Y3" i="2"/>
  <c r="X3" i="2"/>
  <c r="W16" i="2"/>
  <c r="X17" i="2"/>
  <c r="W17" i="2"/>
  <c r="W15" i="2"/>
  <c r="X14" i="2"/>
  <c r="W14" i="2"/>
  <c r="W13" i="2"/>
  <c r="X12" i="2"/>
  <c r="W12" i="2"/>
  <c r="W11" i="2"/>
  <c r="W10" i="2"/>
  <c r="X9" i="2"/>
  <c r="Y9" i="2" s="1"/>
  <c r="W9" i="2"/>
  <c r="X8" i="2"/>
  <c r="W8" i="2"/>
  <c r="W7" i="2"/>
  <c r="X6" i="2"/>
  <c r="W6" i="2"/>
  <c r="W4" i="2"/>
  <c r="W3" i="2"/>
  <c r="X5" i="2"/>
  <c r="X7" i="2" s="1"/>
  <c r="X4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J20" i="2"/>
  <c r="K20" i="2"/>
  <c r="L20" i="2"/>
  <c r="M20" i="2"/>
  <c r="N3" i="2"/>
  <c r="N5" i="2" s="1"/>
  <c r="M5" i="2"/>
  <c r="F5" i="2"/>
  <c r="J5" i="2"/>
  <c r="J7" i="2" s="1"/>
  <c r="E10" i="2"/>
  <c r="E5" i="2"/>
  <c r="E7" i="2" s="1"/>
  <c r="I10" i="2"/>
  <c r="I5" i="2"/>
  <c r="I7" i="2" s="1"/>
  <c r="F10" i="2"/>
  <c r="D10" i="2"/>
  <c r="C10" i="2"/>
  <c r="D5" i="2"/>
  <c r="D7" i="2" s="1"/>
  <c r="C5" i="2"/>
  <c r="C7" i="2" s="1"/>
  <c r="G10" i="2"/>
  <c r="G5" i="2"/>
  <c r="G7" i="2" s="1"/>
  <c r="K5" i="2"/>
  <c r="K21" i="2" s="1"/>
  <c r="L10" i="2"/>
  <c r="K10" i="2"/>
  <c r="J10" i="2"/>
  <c r="H10" i="2"/>
  <c r="H5" i="2"/>
  <c r="H7" i="2" s="1"/>
  <c r="H11" i="2" s="1"/>
  <c r="H13" i="2" s="1"/>
  <c r="H15" i="2" s="1"/>
  <c r="H16" i="2" s="1"/>
  <c r="L5" i="2"/>
  <c r="L7" i="2" s="1"/>
  <c r="L11" i="2" s="1"/>
  <c r="L13" i="2" s="1"/>
  <c r="L15" i="2" s="1"/>
  <c r="L16" i="2" s="1"/>
  <c r="J5" i="1"/>
  <c r="J4" i="1"/>
  <c r="J7" i="1" s="1"/>
  <c r="AD5" i="2" l="1"/>
  <c r="AD7" i="2" s="1"/>
  <c r="AC5" i="2"/>
  <c r="AC7" i="2" s="1"/>
  <c r="AC11" i="2" s="1"/>
  <c r="AC13" i="2" s="1"/>
  <c r="AC15" i="2" s="1"/>
  <c r="AC16" i="2" s="1"/>
  <c r="AD9" i="2"/>
  <c r="AD10" i="2" s="1"/>
  <c r="AD11" i="2" s="1"/>
  <c r="AD13" i="2" s="1"/>
  <c r="AD15" i="2" s="1"/>
  <c r="AD16" i="2" s="1"/>
  <c r="Y10" i="2"/>
  <c r="Y11" i="2" s="1"/>
  <c r="Y13" i="2" s="1"/>
  <c r="Y15" i="2" s="1"/>
  <c r="Z9" i="2"/>
  <c r="X10" i="2"/>
  <c r="X11" i="2" s="1"/>
  <c r="X13" i="2" s="1"/>
  <c r="X15" i="2" s="1"/>
  <c r="X16" i="2" s="1"/>
  <c r="W5" i="2"/>
  <c r="N21" i="2"/>
  <c r="M21" i="2"/>
  <c r="J21" i="2"/>
  <c r="N20" i="2"/>
  <c r="L21" i="2"/>
  <c r="C11" i="2"/>
  <c r="C13" i="2" s="1"/>
  <c r="C15" i="2" s="1"/>
  <c r="F7" i="2"/>
  <c r="F11" i="2"/>
  <c r="F13" i="2" s="1"/>
  <c r="F15" i="2" s="1"/>
  <c r="F16" i="2" s="1"/>
  <c r="J11" i="2"/>
  <c r="J13" i="2" s="1"/>
  <c r="J15" i="2" s="1"/>
  <c r="E11" i="2"/>
  <c r="E13" i="2" s="1"/>
  <c r="E15" i="2" s="1"/>
  <c r="E16" i="2" s="1"/>
  <c r="I11" i="2"/>
  <c r="I13" i="2" s="1"/>
  <c r="I15" i="2" s="1"/>
  <c r="I16" i="2" s="1"/>
  <c r="D11" i="2"/>
  <c r="D13" i="2" s="1"/>
  <c r="D15" i="2" s="1"/>
  <c r="G11" i="2"/>
  <c r="G13" i="2" s="1"/>
  <c r="G15" i="2" s="1"/>
  <c r="G16" i="2" s="1"/>
  <c r="K7" i="2"/>
  <c r="K11" i="2"/>
  <c r="K13" i="2" s="1"/>
  <c r="K15" i="2" s="1"/>
  <c r="K16" i="2" s="1"/>
  <c r="AA9" i="2" l="1"/>
  <c r="Z10" i="2"/>
  <c r="Z11" i="2" s="1"/>
  <c r="Z13" i="2" s="1"/>
  <c r="Z15" i="2" s="1"/>
  <c r="Z16" i="2" s="1"/>
  <c r="Y16" i="2"/>
  <c r="AA10" i="2" l="1"/>
  <c r="AA11" i="2" s="1"/>
  <c r="AA13" i="2" s="1"/>
  <c r="AA15" i="2" s="1"/>
  <c r="AA16" i="2" s="1"/>
  <c r="AB9" i="2"/>
  <c r="AB10" i="2" s="1"/>
  <c r="AB11" i="2" s="1"/>
  <c r="AB13" i="2" s="1"/>
  <c r="AB15" i="2" s="1"/>
  <c r="AB16" i="2" l="1"/>
  <c r="AF22" i="2" l="1"/>
  <c r="AF23" i="2" s="1"/>
</calcChain>
</file>

<file path=xl/sharedStrings.xml><?xml version="1.0" encoding="utf-8"?>
<sst xmlns="http://schemas.openxmlformats.org/spreadsheetml/2006/main" count="57" uniqueCount="51">
  <si>
    <t>Price</t>
  </si>
  <si>
    <t>Shares</t>
  </si>
  <si>
    <t>MC</t>
  </si>
  <si>
    <t>Cash</t>
  </si>
  <si>
    <t>Debt</t>
  </si>
  <si>
    <t>EV</t>
  </si>
  <si>
    <t>Q224</t>
  </si>
  <si>
    <t>Main</t>
  </si>
  <si>
    <t>Name</t>
  </si>
  <si>
    <t>Briumvi (ublituximab)</t>
  </si>
  <si>
    <t>Indication</t>
  </si>
  <si>
    <t>Economics</t>
  </si>
  <si>
    <t>Briumvi</t>
  </si>
  <si>
    <t>Q123</t>
  </si>
  <si>
    <t>Q223</t>
  </si>
  <si>
    <t>Q323</t>
  </si>
  <si>
    <t>Q423</t>
  </si>
  <si>
    <t>Q124</t>
  </si>
  <si>
    <t>Q324</t>
  </si>
  <si>
    <t>Q424</t>
  </si>
  <si>
    <t>Revenue</t>
  </si>
  <si>
    <t>License</t>
  </si>
  <si>
    <t>COGS</t>
  </si>
  <si>
    <t>Gross Profit</t>
  </si>
  <si>
    <t>Operating Income</t>
  </si>
  <si>
    <t>Operating Expenses</t>
  </si>
  <si>
    <t>R&amp;D</t>
  </si>
  <si>
    <t>SG&amp;A</t>
  </si>
  <si>
    <t>Interest Expense</t>
  </si>
  <si>
    <t>Pretax Income</t>
  </si>
  <si>
    <t>Taxes</t>
  </si>
  <si>
    <t>Net Income</t>
  </si>
  <si>
    <t>EPS</t>
  </si>
  <si>
    <t>Revenue y/y</t>
  </si>
  <si>
    <t>Q122</t>
  </si>
  <si>
    <t>Q222</t>
  </si>
  <si>
    <t>Q322</t>
  </si>
  <si>
    <t>Q422</t>
  </si>
  <si>
    <t>Product y/y</t>
  </si>
  <si>
    <t>Brand</t>
  </si>
  <si>
    <t>IP</t>
  </si>
  <si>
    <t>US9873745B2 expires 2025</t>
  </si>
  <si>
    <t>Q125</t>
  </si>
  <si>
    <t>Q225</t>
  </si>
  <si>
    <t>Q325</t>
  </si>
  <si>
    <t>Q425</t>
  </si>
  <si>
    <t>Terminal</t>
  </si>
  <si>
    <t>Discount</t>
  </si>
  <si>
    <t>NPV</t>
  </si>
  <si>
    <t>Share</t>
  </si>
  <si>
    <t>Multiple Sclerosis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</si>
</sst>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1" applyFont="1"/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4" fontId="1" fillId="0" borderId="0" xfId="0" applyNumberFormat="1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21897</xdr:colOff>
      <xdr:row>0</xdr:row>
      <xdr:rowOff>21897</xdr:rowOff>
    </xdr:from>
    <xdr:to>
      <xdr:col>12</xdr:col>
      <xdr:colOff>21897</xdr:colOff>
      <xdr:row>45</xdr:row>
      <xdr:rowOff>140138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4586133-1DEC-6AAA-23A7-64D81ED504B4}"/>
            </a:ext>
          </a:extLst>
        </xdr:cNvPr>
        <xdr:cNvCxnSpPr/>
      </xdr:nvCxnSpPr>
      <xdr:spPr>
        <a:xfrm>
          <a:off x="5552966" y="21897"/>
          <a:ext cx="0" cy="72214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7D01-26AA-4DD2-8B99-E7C8396BA168}">
  <dimension ref="B2:K9"/>
  <sheetViews>
    <sheetView tabSelected="1" zoomScale="130" zoomScaleNormal="130" workbookViewId="0">
      <selection activeCell="F5" sqref="F5"/>
    </sheetView>
  </sheetViews>
  <sheetFormatPr defaultRowHeight="12.5"/>
  <cols>
    <col min="1" max="1" width="2.58203125" style="1" customWidth="1"/>
    <col min="2" max="2" width="18.9140625" style="1" customWidth="1"/>
    <col min="3" max="3" width="13.6640625" style="1" bestFit="1" customWidth="1"/>
    <col min="4" max="16384" width="8.6640625" style="1"/>
  </cols>
  <sheetData>
    <row r="2" spans="2:11">
      <c r="B2" s="19" t="s">
        <v>8</v>
      </c>
      <c r="C2" s="20" t="s">
        <v>10</v>
      </c>
      <c r="D2" s="20" t="s">
        <v>11</v>
      </c>
      <c r="E2" s="20"/>
      <c r="F2" s="20"/>
      <c r="G2" s="21"/>
      <c r="I2" s="1" t="s">
        <v>0</v>
      </c>
      <c r="J2" s="1">
        <v>24.23</v>
      </c>
    </row>
    <row r="3" spans="2:11">
      <c r="B3" s="13" t="s">
        <v>9</v>
      </c>
      <c r="C3" s="14" t="s">
        <v>50</v>
      </c>
      <c r="D3" s="14"/>
      <c r="E3" s="14"/>
      <c r="F3" s="14"/>
      <c r="G3" s="15"/>
      <c r="I3" s="1" t="s">
        <v>1</v>
      </c>
      <c r="J3" s="2">
        <v>154.823137</v>
      </c>
      <c r="K3" s="3" t="s">
        <v>6</v>
      </c>
    </row>
    <row r="4" spans="2:11">
      <c r="B4" s="13"/>
      <c r="C4" s="14"/>
      <c r="D4" s="14"/>
      <c r="E4" s="14"/>
      <c r="F4" s="14"/>
      <c r="G4" s="15"/>
      <c r="I4" s="1" t="s">
        <v>2</v>
      </c>
      <c r="J4" s="2">
        <f>+J2*J3</f>
        <v>3751.3646095100003</v>
      </c>
    </row>
    <row r="5" spans="2:11">
      <c r="B5" s="13"/>
      <c r="C5" s="14"/>
      <c r="D5" s="14"/>
      <c r="E5" s="14"/>
      <c r="F5" s="14"/>
      <c r="G5" s="15"/>
      <c r="I5" s="1" t="s">
        <v>3</v>
      </c>
      <c r="J5" s="2">
        <f>82.91+134.342+0.947</f>
        <v>218.19900000000001</v>
      </c>
      <c r="K5" s="3" t="s">
        <v>6</v>
      </c>
    </row>
    <row r="6" spans="2:11">
      <c r="B6" s="13"/>
      <c r="C6" s="14"/>
      <c r="D6" s="14"/>
      <c r="E6" s="14"/>
      <c r="F6" s="14"/>
      <c r="G6" s="15"/>
      <c r="I6" s="1" t="s">
        <v>4</v>
      </c>
      <c r="J6" s="2">
        <v>102.53700000000001</v>
      </c>
      <c r="K6" s="3" t="s">
        <v>6</v>
      </c>
    </row>
    <row r="7" spans="2:11">
      <c r="B7" s="13"/>
      <c r="C7" s="14"/>
      <c r="D7" s="14"/>
      <c r="E7" s="14"/>
      <c r="F7" s="14"/>
      <c r="G7" s="15"/>
      <c r="I7" s="1" t="s">
        <v>5</v>
      </c>
      <c r="J7" s="2">
        <f>+J4-J5+J6</f>
        <v>3635.70260951</v>
      </c>
    </row>
    <row r="8" spans="2:11">
      <c r="B8" s="13"/>
      <c r="C8" s="14"/>
      <c r="D8" s="14"/>
      <c r="E8" s="14"/>
      <c r="F8" s="14"/>
      <c r="G8" s="15"/>
    </row>
    <row r="9" spans="2:11">
      <c r="B9" s="16"/>
      <c r="C9" s="17"/>
      <c r="D9" s="17"/>
      <c r="E9" s="17"/>
      <c r="F9" s="17"/>
      <c r="G9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9052-45B5-4D4E-8B5C-B710966325A4}">
  <dimension ref="A1:BD23"/>
  <sheetViews>
    <sheetView zoomScale="145" zoomScaleNormal="14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E20" sqref="AE20"/>
    </sheetView>
  </sheetViews>
  <sheetFormatPr defaultRowHeight="12.5"/>
  <cols>
    <col min="1" max="1" width="4.6640625" style="1" bestFit="1" customWidth="1"/>
    <col min="2" max="2" width="15.83203125" style="1" bestFit="1" customWidth="1"/>
    <col min="3" max="18" width="8.6640625" style="3"/>
    <col min="19" max="16384" width="8.6640625" style="1"/>
  </cols>
  <sheetData>
    <row r="1" spans="1:56">
      <c r="A1" s="8" t="s">
        <v>7</v>
      </c>
    </row>
    <row r="2" spans="1:56">
      <c r="C2" s="3" t="s">
        <v>34</v>
      </c>
      <c r="D2" s="3" t="s">
        <v>35</v>
      </c>
      <c r="E2" s="3" t="s">
        <v>36</v>
      </c>
      <c r="F2" s="3" t="s">
        <v>37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O2" s="3" t="s">
        <v>42</v>
      </c>
      <c r="P2" s="3" t="s">
        <v>43</v>
      </c>
      <c r="Q2" s="3" t="s">
        <v>44</v>
      </c>
      <c r="R2" s="3" t="s">
        <v>45</v>
      </c>
      <c r="V2" s="1">
        <v>2022</v>
      </c>
      <c r="W2" s="1">
        <f>+V2+1</f>
        <v>2023</v>
      </c>
      <c r="X2" s="1">
        <f>+W2+1</f>
        <v>2024</v>
      </c>
      <c r="Y2" s="1">
        <f>+X2+1</f>
        <v>2025</v>
      </c>
      <c r="Z2" s="1">
        <f>+Y2+1</f>
        <v>2026</v>
      </c>
      <c r="AA2" s="1">
        <f>+Z2+1</f>
        <v>2027</v>
      </c>
      <c r="AB2" s="1">
        <f>+AA2+1</f>
        <v>2028</v>
      </c>
      <c r="AC2" s="1">
        <f>+AB2+1</f>
        <v>2029</v>
      </c>
      <c r="AD2" s="1">
        <f>+AC2+1</f>
        <v>2030</v>
      </c>
      <c r="AE2" s="1">
        <f>+AD2+1</f>
        <v>2031</v>
      </c>
      <c r="AF2" s="1">
        <f>+AE2+1</f>
        <v>2032</v>
      </c>
      <c r="AG2" s="1">
        <f>+AF2+1</f>
        <v>2033</v>
      </c>
    </row>
    <row r="3" spans="1:56" s="4" customFormat="1">
      <c r="B3" s="4" t="s">
        <v>12</v>
      </c>
      <c r="C3" s="5"/>
      <c r="D3" s="5"/>
      <c r="E3" s="5">
        <v>5.6000000000000001E-2</v>
      </c>
      <c r="F3" s="5">
        <v>4.2000000000000003E-2</v>
      </c>
      <c r="G3" s="5">
        <v>7.7649999999999997</v>
      </c>
      <c r="H3" s="5">
        <v>16.036000000000001</v>
      </c>
      <c r="I3" s="5">
        <v>25.068000000000001</v>
      </c>
      <c r="J3" s="5">
        <v>43.137</v>
      </c>
      <c r="K3" s="5">
        <v>50.488</v>
      </c>
      <c r="L3" s="5">
        <v>72.596000000000004</v>
      </c>
      <c r="M3" s="5">
        <v>80</v>
      </c>
      <c r="N3" s="5">
        <f>+M3+10</f>
        <v>90</v>
      </c>
      <c r="O3" s="5"/>
      <c r="P3" s="5"/>
      <c r="Q3" s="5"/>
      <c r="R3" s="5"/>
      <c r="W3" s="4">
        <f>SUM(G3:J3)</f>
        <v>92.006</v>
      </c>
      <c r="X3" s="4">
        <f>SUM(K3:N3)</f>
        <v>293.084</v>
      </c>
      <c r="Y3" s="4">
        <f>+X3*1.5</f>
        <v>439.62599999999998</v>
      </c>
      <c r="Z3" s="4">
        <f>+Y3*1.5</f>
        <v>659.43899999999996</v>
      </c>
      <c r="AA3" s="4">
        <f>+Z3*1.5</f>
        <v>989.1585</v>
      </c>
      <c r="AB3" s="4">
        <f>+AA3*1.2</f>
        <v>1186.9902</v>
      </c>
      <c r="AC3" s="4">
        <f>+AB3*1.1</f>
        <v>1305.68922</v>
      </c>
      <c r="AD3" s="4">
        <f>+AC3*1.1</f>
        <v>1436.2581420000001</v>
      </c>
    </row>
    <row r="4" spans="1:56" s="4" customFormat="1">
      <c r="B4" s="4" t="s">
        <v>21</v>
      </c>
      <c r="C4" s="5"/>
      <c r="D4" s="5"/>
      <c r="E4" s="5">
        <v>3.7999999999999999E-2</v>
      </c>
      <c r="F4" s="5">
        <v>3.7999999999999999E-2</v>
      </c>
      <c r="G4" s="5">
        <v>3.7999999999999999E-2</v>
      </c>
      <c r="H4" s="5">
        <v>3.5999999999999997E-2</v>
      </c>
      <c r="I4" s="5">
        <v>140.74700000000001</v>
      </c>
      <c r="J4" s="5">
        <v>0.83399999999999996</v>
      </c>
      <c r="K4" s="5">
        <v>12.986000000000001</v>
      </c>
      <c r="L4" s="5">
        <v>0.87</v>
      </c>
      <c r="M4" s="5"/>
      <c r="N4" s="5"/>
      <c r="O4" s="5"/>
      <c r="P4" s="5"/>
      <c r="Q4" s="5"/>
      <c r="R4" s="5"/>
      <c r="W4" s="4">
        <f>SUM(G4:J4)</f>
        <v>141.65500000000003</v>
      </c>
      <c r="X4" s="4">
        <f>SUM(K4:N4)</f>
        <v>13.856</v>
      </c>
    </row>
    <row r="5" spans="1:56" s="6" customFormat="1" ht="13">
      <c r="B5" s="6" t="s">
        <v>20</v>
      </c>
      <c r="C5" s="7">
        <f>+C3+C4</f>
        <v>0</v>
      </c>
      <c r="D5" s="7">
        <f>+D3+D4</f>
        <v>0</v>
      </c>
      <c r="E5" s="7">
        <f>+E3+E4</f>
        <v>9.4E-2</v>
      </c>
      <c r="F5" s="7">
        <f>+F3+F4</f>
        <v>0.08</v>
      </c>
      <c r="G5" s="7">
        <f>+G3+G4</f>
        <v>7.8029999999999999</v>
      </c>
      <c r="H5" s="7">
        <f>+H3+H4</f>
        <v>16.072000000000003</v>
      </c>
      <c r="I5" s="7">
        <f>+I3+I4</f>
        <v>165.81500000000003</v>
      </c>
      <c r="J5" s="7">
        <f>+J3+J4</f>
        <v>43.971000000000004</v>
      </c>
      <c r="K5" s="7">
        <f>+K3+K4</f>
        <v>63.474000000000004</v>
      </c>
      <c r="L5" s="7">
        <f>+L3+L4</f>
        <v>73.466000000000008</v>
      </c>
      <c r="M5" s="7">
        <f>+M3+M4</f>
        <v>80</v>
      </c>
      <c r="N5" s="7">
        <f>+N3+N4</f>
        <v>90</v>
      </c>
      <c r="O5" s="7"/>
      <c r="P5" s="7"/>
      <c r="Q5" s="7"/>
      <c r="R5" s="7"/>
      <c r="W5" s="6">
        <f>W3+W4</f>
        <v>233.66100000000003</v>
      </c>
      <c r="X5" s="6">
        <f>X3+X4</f>
        <v>306.94</v>
      </c>
      <c r="Y5" s="6">
        <f>Y3+Y4</f>
        <v>439.62599999999998</v>
      </c>
      <c r="Z5" s="6">
        <f>Z3+Z4</f>
        <v>659.43899999999996</v>
      </c>
      <c r="AA5" s="6">
        <f>AA3+AA4</f>
        <v>989.1585</v>
      </c>
      <c r="AB5" s="6">
        <f>AB3+AB4</f>
        <v>1186.9902</v>
      </c>
      <c r="AC5" s="6">
        <f t="shared" ref="AC5:AD5" si="0">AC3+AC4</f>
        <v>1305.68922</v>
      </c>
      <c r="AD5" s="6">
        <f t="shared" si="0"/>
        <v>1436.2581420000001</v>
      </c>
    </row>
    <row r="6" spans="1:56" s="4" customFormat="1">
      <c r="B6" s="4" t="s">
        <v>22</v>
      </c>
      <c r="C6" s="5"/>
      <c r="D6" s="5"/>
      <c r="E6" s="5">
        <v>2E-3</v>
      </c>
      <c r="F6" s="5">
        <v>3.0000000000000001E-3</v>
      </c>
      <c r="G6" s="5">
        <v>0.85699999999999998</v>
      </c>
      <c r="H6" s="5">
        <v>1.911</v>
      </c>
      <c r="I6" s="5">
        <v>3.5089999999999999</v>
      </c>
      <c r="J6" s="5">
        <v>7.8550000000000004</v>
      </c>
      <c r="K6" s="5">
        <v>5.4409999999999998</v>
      </c>
      <c r="L6" s="5">
        <v>8.3040000000000003</v>
      </c>
      <c r="M6" s="5"/>
      <c r="N6" s="5"/>
      <c r="O6" s="5"/>
      <c r="P6" s="5"/>
      <c r="Q6" s="5"/>
      <c r="R6" s="5"/>
      <c r="W6" s="4">
        <f>SUM(G6:J6)</f>
        <v>14.132</v>
      </c>
      <c r="X6" s="4">
        <f>SUM(K6:N6)</f>
        <v>13.745000000000001</v>
      </c>
    </row>
    <row r="7" spans="1:56" s="4" customFormat="1">
      <c r="B7" s="4" t="s">
        <v>23</v>
      </c>
      <c r="C7" s="5">
        <f t="shared" ref="C7" si="1">+C5-C6</f>
        <v>0</v>
      </c>
      <c r="D7" s="5">
        <f t="shared" ref="D7" si="2">+D5-D6</f>
        <v>0</v>
      </c>
      <c r="E7" s="5">
        <f t="shared" ref="E7:K7" si="3">+E5-E6</f>
        <v>9.1999999999999998E-2</v>
      </c>
      <c r="F7" s="5">
        <f t="shared" ref="F7" si="4">+F5-F6</f>
        <v>7.6999999999999999E-2</v>
      </c>
      <c r="G7" s="5">
        <f t="shared" si="3"/>
        <v>6.9459999999999997</v>
      </c>
      <c r="H7" s="5">
        <f t="shared" si="3"/>
        <v>14.161000000000003</v>
      </c>
      <c r="I7" s="5">
        <f t="shared" si="3"/>
        <v>162.30600000000004</v>
      </c>
      <c r="J7" s="5">
        <f t="shared" si="3"/>
        <v>36.116</v>
      </c>
      <c r="K7" s="5">
        <f t="shared" si="3"/>
        <v>58.033000000000001</v>
      </c>
      <c r="L7" s="5">
        <f>+L5-L6</f>
        <v>65.162000000000006</v>
      </c>
      <c r="M7" s="5"/>
      <c r="N7" s="5"/>
      <c r="O7" s="5"/>
      <c r="P7" s="5"/>
      <c r="Q7" s="5"/>
      <c r="R7" s="5"/>
      <c r="W7" s="4">
        <f>+W5-W6</f>
        <v>219.52900000000002</v>
      </c>
      <c r="X7" s="4">
        <f>+X5-X6</f>
        <v>293.19499999999999</v>
      </c>
      <c r="Y7" s="4">
        <f>+Y5*0.9</f>
        <v>395.66339999999997</v>
      </c>
      <c r="Z7" s="4">
        <f>+Z5*0.9</f>
        <v>593.49509999999998</v>
      </c>
      <c r="AA7" s="4">
        <f>+AA5*0.9</f>
        <v>890.24265000000003</v>
      </c>
      <c r="AB7" s="4">
        <f>+AB5*0.9</f>
        <v>1068.2911799999999</v>
      </c>
      <c r="AC7" s="4">
        <f t="shared" ref="AC7:AD7" si="5">+AC5*0.9</f>
        <v>1175.120298</v>
      </c>
      <c r="AD7" s="4">
        <f t="shared" si="5"/>
        <v>1292.6323278000002</v>
      </c>
    </row>
    <row r="8" spans="1:56" s="4" customFormat="1">
      <c r="B8" s="4" t="s">
        <v>26</v>
      </c>
      <c r="C8" s="5"/>
      <c r="D8" s="5"/>
      <c r="E8" s="5">
        <v>20.800999999999998</v>
      </c>
      <c r="F8" s="5">
        <v>5.7530000000000001</v>
      </c>
      <c r="G8" s="5">
        <v>15.87</v>
      </c>
      <c r="H8" s="5">
        <v>28.122</v>
      </c>
      <c r="I8" s="5">
        <v>14.753</v>
      </c>
      <c r="J8" s="5">
        <v>17.449000000000002</v>
      </c>
      <c r="K8" s="5">
        <v>32.722000000000001</v>
      </c>
      <c r="L8" s="5">
        <v>17.556000000000001</v>
      </c>
      <c r="M8" s="5"/>
      <c r="N8" s="5"/>
      <c r="O8" s="5"/>
      <c r="P8" s="5"/>
      <c r="Q8" s="5"/>
      <c r="R8" s="5"/>
      <c r="W8" s="4">
        <f>SUM(G8:J8)</f>
        <v>76.194000000000003</v>
      </c>
      <c r="X8" s="4">
        <f>SUM(K8:N8)</f>
        <v>50.278000000000006</v>
      </c>
    </row>
    <row r="9" spans="1:56" s="4" customFormat="1">
      <c r="B9" s="4" t="s">
        <v>27</v>
      </c>
      <c r="C9" s="5"/>
      <c r="D9" s="5"/>
      <c r="E9" s="5">
        <v>14.254</v>
      </c>
      <c r="F9" s="5">
        <v>23.882000000000001</v>
      </c>
      <c r="G9" s="5">
        <v>28.068000000000001</v>
      </c>
      <c r="H9" s="5">
        <v>30.715</v>
      </c>
      <c r="I9" s="5">
        <v>32.768999999999998</v>
      </c>
      <c r="J9" s="5">
        <v>31.152000000000001</v>
      </c>
      <c r="K9" s="5">
        <v>24.581</v>
      </c>
      <c r="L9" s="5">
        <v>38.79</v>
      </c>
      <c r="M9" s="5">
        <f>+I9</f>
        <v>32.768999999999998</v>
      </c>
      <c r="N9" s="5">
        <f>+J9</f>
        <v>31.152000000000001</v>
      </c>
      <c r="O9" s="5"/>
      <c r="P9" s="5"/>
      <c r="Q9" s="5"/>
      <c r="R9" s="5"/>
      <c r="W9" s="4">
        <f>SUM(G9:J9)</f>
        <v>122.70399999999999</v>
      </c>
      <c r="X9" s="4">
        <f>SUM(K9:N9)</f>
        <v>127.29199999999999</v>
      </c>
      <c r="Y9" s="4">
        <f>+X9</f>
        <v>127.29199999999999</v>
      </c>
      <c r="Z9" s="4">
        <f>+Y9</f>
        <v>127.29199999999999</v>
      </c>
      <c r="AA9" s="4">
        <f>+Z9</f>
        <v>127.29199999999999</v>
      </c>
      <c r="AB9" s="4">
        <f>+AA9</f>
        <v>127.29199999999999</v>
      </c>
      <c r="AC9" s="4">
        <f t="shared" ref="AC9:AD9" si="6">+AB9</f>
        <v>127.29199999999999</v>
      </c>
      <c r="AD9" s="4">
        <f t="shared" si="6"/>
        <v>127.29199999999999</v>
      </c>
    </row>
    <row r="10" spans="1:56" s="4" customFormat="1">
      <c r="B10" s="4" t="s">
        <v>25</v>
      </c>
      <c r="C10" s="5">
        <f t="shared" ref="C10" si="7">+C8+C9</f>
        <v>0</v>
      </c>
      <c r="D10" s="5">
        <f>+D8+D9</f>
        <v>0</v>
      </c>
      <c r="E10" s="5">
        <f>+E8+E9</f>
        <v>35.055</v>
      </c>
      <c r="F10" s="5">
        <f t="shared" ref="F10" si="8">+F8+F9</f>
        <v>29.635000000000002</v>
      </c>
      <c r="G10" s="5">
        <f t="shared" ref="G10" si="9">+G8+G9</f>
        <v>43.938000000000002</v>
      </c>
      <c r="H10" s="5">
        <f>+H8+H9</f>
        <v>58.837000000000003</v>
      </c>
      <c r="I10" s="5">
        <f>+I8+I9</f>
        <v>47.521999999999998</v>
      </c>
      <c r="J10" s="5">
        <f t="shared" ref="J10:N10" si="10">+J8+J9</f>
        <v>48.600999999999999</v>
      </c>
      <c r="K10" s="5">
        <f t="shared" si="10"/>
        <v>57.302999999999997</v>
      </c>
      <c r="L10" s="5">
        <f t="shared" si="10"/>
        <v>56.346000000000004</v>
      </c>
      <c r="M10" s="5">
        <f t="shared" si="10"/>
        <v>32.768999999999998</v>
      </c>
      <c r="N10" s="5">
        <f t="shared" si="10"/>
        <v>31.152000000000001</v>
      </c>
      <c r="O10" s="5"/>
      <c r="P10" s="5"/>
      <c r="Q10" s="5"/>
      <c r="R10" s="5"/>
      <c r="W10" s="4">
        <f>+W9+W8</f>
        <v>198.898</v>
      </c>
      <c r="X10" s="4">
        <f>+X9+X8</f>
        <v>177.57</v>
      </c>
      <c r="Y10" s="4">
        <f>+Y9+Y8</f>
        <v>127.29199999999999</v>
      </c>
      <c r="Z10" s="4">
        <f>+Z9+Z8</f>
        <v>127.29199999999999</v>
      </c>
      <c r="AA10" s="4">
        <f>+AA9+AA8</f>
        <v>127.29199999999999</v>
      </c>
      <c r="AB10" s="4">
        <f>+AB9+AB8</f>
        <v>127.29199999999999</v>
      </c>
      <c r="AC10" s="4">
        <f t="shared" ref="AC10:AD10" si="11">+AC9+AC8</f>
        <v>127.29199999999999</v>
      </c>
      <c r="AD10" s="4">
        <f t="shared" si="11"/>
        <v>127.29199999999999</v>
      </c>
    </row>
    <row r="11" spans="1:56" s="4" customFormat="1">
      <c r="B11" s="4" t="s">
        <v>24</v>
      </c>
      <c r="C11" s="5">
        <f t="shared" ref="C11" si="12">+C7-C10</f>
        <v>0</v>
      </c>
      <c r="D11" s="5">
        <f>+D7-D10</f>
        <v>0</v>
      </c>
      <c r="E11" s="5">
        <f>+E7-E10</f>
        <v>-34.963000000000001</v>
      </c>
      <c r="F11" s="5">
        <f t="shared" ref="F11" si="13">+F7-F10</f>
        <v>-29.558</v>
      </c>
      <c r="G11" s="5">
        <f t="shared" ref="G11" si="14">+G7-G10</f>
        <v>-36.992000000000004</v>
      </c>
      <c r="H11" s="5">
        <f>+H7-H10</f>
        <v>-44.676000000000002</v>
      </c>
      <c r="I11" s="5">
        <f>+I7-I10</f>
        <v>114.78400000000005</v>
      </c>
      <c r="J11" s="5">
        <f t="shared" ref="J11:L11" si="15">+J7-J10</f>
        <v>-12.484999999999999</v>
      </c>
      <c r="K11" s="5">
        <f t="shared" si="15"/>
        <v>0.73000000000000398</v>
      </c>
      <c r="L11" s="5">
        <f t="shared" si="15"/>
        <v>8.8160000000000025</v>
      </c>
      <c r="M11" s="5"/>
      <c r="N11" s="5"/>
      <c r="O11" s="5"/>
      <c r="P11" s="5"/>
      <c r="Q11" s="5"/>
      <c r="R11" s="5"/>
      <c r="W11" s="4">
        <f>+W7-W10</f>
        <v>20.631000000000029</v>
      </c>
      <c r="X11" s="4">
        <f>+X7-X10</f>
        <v>115.625</v>
      </c>
      <c r="Y11" s="4">
        <f>+Y7-Y10</f>
        <v>268.37139999999999</v>
      </c>
      <c r="Z11" s="4">
        <f>+Z7-Z10</f>
        <v>466.20310000000001</v>
      </c>
      <c r="AA11" s="4">
        <f>+AA7-AA10</f>
        <v>762.95065</v>
      </c>
      <c r="AB11" s="4">
        <f>+AB7-AB10</f>
        <v>940.99917999999991</v>
      </c>
      <c r="AC11" s="4">
        <f t="shared" ref="AC11:AD11" si="16">+AC7-AC10</f>
        <v>1047.8282980000001</v>
      </c>
      <c r="AD11" s="4">
        <f t="shared" si="16"/>
        <v>1165.3403278000003</v>
      </c>
    </row>
    <row r="12" spans="1:56" s="4" customFormat="1">
      <c r="B12" s="4" t="s">
        <v>28</v>
      </c>
      <c r="C12" s="5"/>
      <c r="D12" s="5"/>
      <c r="E12" s="5">
        <v>-0.85499999999999998</v>
      </c>
      <c r="F12" s="5">
        <v>-0.93200000000000005</v>
      </c>
      <c r="G12" s="5">
        <v>-2.2400000000000002</v>
      </c>
      <c r="H12" s="5">
        <v>-2.2650000000000001</v>
      </c>
      <c r="I12" s="5">
        <v>-0.85399999999999998</v>
      </c>
      <c r="J12" s="5">
        <v>-1.5409999999999999</v>
      </c>
      <c r="K12" s="5">
        <v>-1.4079999999999999</v>
      </c>
      <c r="L12" s="5">
        <v>-2.9359999999999999</v>
      </c>
      <c r="M12" s="5"/>
      <c r="N12" s="5"/>
      <c r="O12" s="5"/>
      <c r="P12" s="5"/>
      <c r="Q12" s="5"/>
      <c r="R12" s="5"/>
      <c r="W12" s="4">
        <f>SUM(G12:J12)</f>
        <v>-6.9</v>
      </c>
      <c r="X12" s="4">
        <f>SUM(K12:N12)</f>
        <v>-4.3439999999999994</v>
      </c>
    </row>
    <row r="13" spans="1:56" s="4" customFormat="1">
      <c r="B13" s="4" t="s">
        <v>29</v>
      </c>
      <c r="C13" s="5">
        <f t="shared" ref="C13" si="17">+C11+C12</f>
        <v>0</v>
      </c>
      <c r="D13" s="5">
        <f t="shared" ref="D13" si="18">+D11+D12</f>
        <v>0</v>
      </c>
      <c r="E13" s="5">
        <f t="shared" ref="E13:K13" si="19">+E11+E12</f>
        <v>-35.817999999999998</v>
      </c>
      <c r="F13" s="5">
        <f t="shared" ref="F13" si="20">+F11+F12</f>
        <v>-30.49</v>
      </c>
      <c r="G13" s="5">
        <f t="shared" si="19"/>
        <v>-39.232000000000006</v>
      </c>
      <c r="H13" s="5">
        <f t="shared" si="19"/>
        <v>-46.941000000000003</v>
      </c>
      <c r="I13" s="5">
        <f t="shared" si="19"/>
        <v>113.93000000000005</v>
      </c>
      <c r="J13" s="5">
        <f t="shared" si="19"/>
        <v>-14.026</v>
      </c>
      <c r="K13" s="5">
        <f t="shared" si="19"/>
        <v>-0.67799999999999594</v>
      </c>
      <c r="L13" s="5">
        <f>+L11+L12</f>
        <v>5.8800000000000026</v>
      </c>
      <c r="M13" s="5"/>
      <c r="N13" s="5"/>
      <c r="O13" s="5"/>
      <c r="P13" s="5"/>
      <c r="Q13" s="5"/>
      <c r="R13" s="5"/>
      <c r="W13" s="4">
        <f>+W11+W12</f>
        <v>13.731000000000028</v>
      </c>
      <c r="X13" s="4">
        <f>+X11+X12</f>
        <v>111.28100000000001</v>
      </c>
      <c r="Y13" s="4">
        <f>+Y11+Y12</f>
        <v>268.37139999999999</v>
      </c>
      <c r="Z13" s="4">
        <f>+Z11+Z12</f>
        <v>466.20310000000001</v>
      </c>
      <c r="AA13" s="4">
        <f>+AA11+AA12</f>
        <v>762.95065</v>
      </c>
      <c r="AB13" s="4">
        <f>+AB11+AB12</f>
        <v>940.99917999999991</v>
      </c>
      <c r="AC13" s="4">
        <f t="shared" ref="AC13:AD13" si="21">+AC11+AC12</f>
        <v>1047.8282980000001</v>
      </c>
      <c r="AD13" s="4">
        <f t="shared" si="21"/>
        <v>1165.3403278000003</v>
      </c>
    </row>
    <row r="14" spans="1:56" s="4" customFormat="1">
      <c r="B14" s="4" t="s">
        <v>30</v>
      </c>
      <c r="C14" s="5"/>
      <c r="D14" s="5"/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0.39</v>
      </c>
      <c r="K14" s="5">
        <v>2.9000000000000001E-2</v>
      </c>
      <c r="L14" s="5">
        <v>-0.32800000000000001</v>
      </c>
      <c r="M14" s="5"/>
      <c r="N14" s="5"/>
      <c r="O14" s="5"/>
      <c r="P14" s="5"/>
      <c r="Q14" s="5"/>
      <c r="R14" s="5"/>
      <c r="W14" s="4">
        <f>SUM(G14:J14)</f>
        <v>0.39</v>
      </c>
      <c r="X14" s="4">
        <f>SUM(K14:N14)</f>
        <v>-0.29899999999999999</v>
      </c>
      <c r="Y14" s="4">
        <f>+Y13*0.2</f>
        <v>53.674280000000003</v>
      </c>
      <c r="Z14" s="4">
        <f>+Z13*0.2</f>
        <v>93.240620000000007</v>
      </c>
      <c r="AA14" s="4">
        <f>+AA13*0.2</f>
        <v>152.59013000000002</v>
      </c>
      <c r="AB14" s="4">
        <f>+AB13*0.2</f>
        <v>188.199836</v>
      </c>
      <c r="AC14" s="4">
        <f>+AC13*0.2</f>
        <v>209.56565960000003</v>
      </c>
      <c r="AD14" s="4">
        <f>+AD13*0.2</f>
        <v>233.06806556000006</v>
      </c>
    </row>
    <row r="15" spans="1:56">
      <c r="B15" s="1" t="s">
        <v>31</v>
      </c>
      <c r="C15" s="5">
        <f>+C13-C14</f>
        <v>0</v>
      </c>
      <c r="D15" s="5">
        <f>+D13-D14</f>
        <v>0</v>
      </c>
      <c r="E15" s="5">
        <f>+E13-E14</f>
        <v>-35.817999999999998</v>
      </c>
      <c r="F15" s="5">
        <f>+F13-F14</f>
        <v>-30.49</v>
      </c>
      <c r="G15" s="5">
        <f>+G13-G14</f>
        <v>-39.232000000000006</v>
      </c>
      <c r="H15" s="5">
        <f>+H13-H14</f>
        <v>-46.941000000000003</v>
      </c>
      <c r="I15" s="5">
        <f>+I13-I14</f>
        <v>113.93000000000005</v>
      </c>
      <c r="J15" s="5">
        <f>+J13-J14</f>
        <v>-14.416</v>
      </c>
      <c r="K15" s="5">
        <f>+K13-K14</f>
        <v>-0.70699999999999597</v>
      </c>
      <c r="L15" s="5">
        <f>+L13-L14</f>
        <v>6.2080000000000028</v>
      </c>
      <c r="W15" s="4">
        <f>+W13-W14</f>
        <v>13.341000000000028</v>
      </c>
      <c r="X15" s="4">
        <f>+X13-X14</f>
        <v>111.58000000000001</v>
      </c>
      <c r="Y15" s="4">
        <f>+Y13-Y14</f>
        <v>214.69711999999998</v>
      </c>
      <c r="Z15" s="4">
        <f>+Z13-Z14</f>
        <v>372.96248000000003</v>
      </c>
      <c r="AA15" s="4">
        <f>+AA13-AA14</f>
        <v>610.36051999999995</v>
      </c>
      <c r="AB15" s="4">
        <f>+AB13-AB14</f>
        <v>752.79934399999991</v>
      </c>
      <c r="AC15" s="4">
        <f t="shared" ref="AC15:AD15" si="22">+AC13-AC14</f>
        <v>838.26263840000013</v>
      </c>
      <c r="AD15" s="4">
        <f t="shared" si="22"/>
        <v>932.27226224000026</v>
      </c>
      <c r="AE15" s="4">
        <f>+AD15*(1+$AF$20)</f>
        <v>792.43142290400021</v>
      </c>
      <c r="AF15" s="4">
        <f>+AE15*(1+$AF$20)</f>
        <v>673.56670946840018</v>
      </c>
      <c r="AG15" s="4">
        <f>+AF15*(1+$AF$20)</f>
        <v>572.53170304814012</v>
      </c>
      <c r="AH15" s="4">
        <f>+AG15*(1+$AF$20)</f>
        <v>486.65194759091906</v>
      </c>
      <c r="AI15" s="4">
        <f>+AH15*(1+$AF$20)</f>
        <v>413.6541554522812</v>
      </c>
      <c r="AJ15" s="4">
        <f>+AI15*(1+$AF$20)</f>
        <v>351.60603213443903</v>
      </c>
      <c r="AK15" s="4">
        <f>+AJ15*(1+$AF$20)</f>
        <v>298.8651273142732</v>
      </c>
      <c r="AL15" s="4">
        <f>+AK15*(1+$AF$20)</f>
        <v>254.0353582171322</v>
      </c>
      <c r="AM15" s="4">
        <f>+AL15*(1+$AF$20)</f>
        <v>215.93005448456236</v>
      </c>
      <c r="AN15" s="4">
        <f>+AM15*(1+$AF$20)</f>
        <v>183.54054631187799</v>
      </c>
      <c r="AO15" s="4">
        <f>+AN15*(1+$AF$20)</f>
        <v>156.00946436509628</v>
      </c>
      <c r="AP15" s="4">
        <f>+AO15*(1+$AF$20)</f>
        <v>132.60804471033182</v>
      </c>
      <c r="AQ15" s="4">
        <f>+AP15*(1+$AF$20)</f>
        <v>112.71683800378204</v>
      </c>
      <c r="AR15" s="4">
        <f>+AQ15*(1+$AF$20)</f>
        <v>95.809312303214739</v>
      </c>
      <c r="AS15" s="4">
        <f>+AR15*(1+$AF$20)</f>
        <v>81.437915457732529</v>
      </c>
      <c r="AT15" s="4">
        <f>+AS15*(1+$AF$20)</f>
        <v>69.222228139072655</v>
      </c>
      <c r="AU15" s="4">
        <f>+AT15*(1+$AF$20)</f>
        <v>58.838893918211753</v>
      </c>
      <c r="AV15" s="4">
        <f>+AU15*(1+$AF$20)</f>
        <v>50.013059830479989</v>
      </c>
      <c r="AW15" s="4">
        <f>+AV15*(1+$AF$20)</f>
        <v>42.511100855907991</v>
      </c>
      <c r="AX15" s="4">
        <f>+AW15*(1+$AF$20)</f>
        <v>36.13443572752179</v>
      </c>
      <c r="AY15" s="4">
        <f>+AX15*(1+$AF$20)</f>
        <v>30.714270368393521</v>
      </c>
      <c r="AZ15" s="4">
        <f>+AY15*(1+$AF$20)</f>
        <v>26.107129813134492</v>
      </c>
      <c r="BA15" s="4">
        <f>+AZ15*(1+$AF$20)</f>
        <v>22.191060341164317</v>
      </c>
      <c r="BB15" s="4">
        <f>+BA15*(1+$AF$20)</f>
        <v>18.86240128998967</v>
      </c>
      <c r="BC15" s="4">
        <f>+BB15*(1+$AF$20)</f>
        <v>16.033041096491218</v>
      </c>
      <c r="BD15" s="4">
        <f>+BC15*(1+$AF$20)</f>
        <v>13.628084932017535</v>
      </c>
    </row>
    <row r="16" spans="1:56">
      <c r="B16" s="1" t="s">
        <v>32</v>
      </c>
      <c r="C16" s="9"/>
      <c r="D16" s="9"/>
      <c r="E16" s="9">
        <f>+E15/E17</f>
        <v>-0.264677342557605</v>
      </c>
      <c r="F16" s="9">
        <f>+F15/F17</f>
        <v>-0.22237820706990719</v>
      </c>
      <c r="G16" s="9">
        <f>+G15/G17</f>
        <v>-0.27960491466359233</v>
      </c>
      <c r="H16" s="9">
        <f>+H15/H17</f>
        <v>-0.3317297526090795</v>
      </c>
      <c r="I16" s="9">
        <f>+I15/I17</f>
        <v>0.73092141924961695</v>
      </c>
      <c r="K16" s="9">
        <f>+K15/K17</f>
        <v>-4.8355436395844031E-3</v>
      </c>
      <c r="L16" s="9">
        <f>+L15/L17</f>
        <v>3.8940289450673529E-2</v>
      </c>
      <c r="W16" s="9">
        <f t="shared" ref="W16:AB16" si="23">+W15/W17</f>
        <v>8.9871738962673975E-2</v>
      </c>
      <c r="X16" s="9">
        <f t="shared" si="23"/>
        <v>0.73015778151471966</v>
      </c>
      <c r="Y16" s="9">
        <f t="shared" si="23"/>
        <v>1.4049361250833439</v>
      </c>
      <c r="Z16" s="9">
        <f t="shared" si="23"/>
        <v>2.4405938069997131</v>
      </c>
      <c r="AA16" s="9">
        <f t="shared" si="23"/>
        <v>3.994080329874266</v>
      </c>
      <c r="AB16" s="9">
        <f t="shared" si="23"/>
        <v>4.9261722435989972</v>
      </c>
      <c r="AC16" s="9">
        <f t="shared" ref="AC16" si="24">+AC15/AC17</f>
        <v>5.4854273918338379</v>
      </c>
      <c r="AD16" s="9">
        <f t="shared" ref="AD16" si="25">+AD15/AD17</f>
        <v>6.1006080548921622</v>
      </c>
    </row>
    <row r="17" spans="2:32" s="4" customFormat="1">
      <c r="B17" s="4" t="s">
        <v>1</v>
      </c>
      <c r="C17" s="5"/>
      <c r="D17" s="5"/>
      <c r="E17" s="5">
        <v>135.327035</v>
      </c>
      <c r="F17" s="5">
        <v>137.10875899999999</v>
      </c>
      <c r="G17" s="5">
        <v>140.31226899999999</v>
      </c>
      <c r="H17" s="5">
        <v>141.503738</v>
      </c>
      <c r="I17" s="5">
        <v>155.87174899999999</v>
      </c>
      <c r="J17" s="5">
        <v>156.09178600000001</v>
      </c>
      <c r="K17" s="5">
        <v>146.209</v>
      </c>
      <c r="L17" s="5">
        <v>159.42357100000001</v>
      </c>
      <c r="M17" s="5"/>
      <c r="N17" s="5"/>
      <c r="O17" s="5"/>
      <c r="P17" s="5"/>
      <c r="Q17" s="5"/>
      <c r="R17" s="5"/>
      <c r="W17" s="4">
        <f>AVERAGE(G17:J17)</f>
        <v>148.4448855</v>
      </c>
      <c r="X17" s="4">
        <f>AVERAGE(K17:N17)</f>
        <v>152.81628549999999</v>
      </c>
      <c r="Y17" s="4">
        <f>+X17</f>
        <v>152.81628549999999</v>
      </c>
      <c r="Z17" s="4">
        <f>+Y17</f>
        <v>152.81628549999999</v>
      </c>
      <c r="AA17" s="4">
        <f>+Z17</f>
        <v>152.81628549999999</v>
      </c>
      <c r="AB17" s="4">
        <f>+AA17</f>
        <v>152.81628549999999</v>
      </c>
      <c r="AC17" s="4">
        <f t="shared" ref="AC17:AD17" si="26">+AB17</f>
        <v>152.81628549999999</v>
      </c>
      <c r="AD17" s="4">
        <f t="shared" si="26"/>
        <v>152.81628549999999</v>
      </c>
    </row>
    <row r="20" spans="2:32">
      <c r="B20" s="1" t="s">
        <v>38</v>
      </c>
      <c r="J20" s="10">
        <f>+J3/F3-1</f>
        <v>1026.0714285714284</v>
      </c>
      <c r="K20" s="10">
        <f>+K3/G3-1</f>
        <v>5.5019961365099812</v>
      </c>
      <c r="L20" s="10">
        <f>+L3/H3-1</f>
        <v>3.5270641057620349</v>
      </c>
      <c r="M20" s="10">
        <f>+M3/I3-1</f>
        <v>2.1913196106590074</v>
      </c>
      <c r="N20" s="10">
        <f>+N3/J3-1</f>
        <v>1.0863759649488838</v>
      </c>
      <c r="AE20" s="1" t="s">
        <v>46</v>
      </c>
      <c r="AF20" s="11">
        <v>-0.15</v>
      </c>
    </row>
    <row r="21" spans="2:32">
      <c r="B21" s="1" t="s">
        <v>33</v>
      </c>
      <c r="J21" s="10">
        <f>+J5/F5-1</f>
        <v>548.63750000000005</v>
      </c>
      <c r="K21" s="10">
        <f>+K5/G5-1</f>
        <v>7.1345636293733179</v>
      </c>
      <c r="L21" s="10">
        <f>+L5/H5-1</f>
        <v>3.5710552513688398</v>
      </c>
      <c r="M21" s="10">
        <f>+M5/I5-1</f>
        <v>-0.51753460181527622</v>
      </c>
      <c r="N21" s="10">
        <f>+N5/J5-1</f>
        <v>1.0468035750835778</v>
      </c>
      <c r="AE21" s="1" t="s">
        <v>47</v>
      </c>
      <c r="AF21" s="11">
        <v>0.08</v>
      </c>
    </row>
    <row r="22" spans="2:32">
      <c r="AE22" s="1" t="s">
        <v>48</v>
      </c>
      <c r="AF22" s="2">
        <f>NPV(AF21,Y15:BD15)</f>
        <v>4881.2662038929693</v>
      </c>
    </row>
    <row r="23" spans="2:32">
      <c r="AE23" s="1" t="s">
        <v>49</v>
      </c>
      <c r="AF23" s="12">
        <f>AF22/Main!J3</f>
        <v>31.528015117617525</v>
      </c>
    </row>
  </sheetData>
  <hyperlinks>
    <hyperlink ref="A1" location="Main!A1" display="Main" xr:uid="{625FFB6E-597C-4A24-A5EA-FACC8EFE57E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A51A-D604-43A9-B86E-1502A4248E31}">
  <dimension ref="A1:C3"/>
  <sheetViews>
    <sheetView zoomScale="175" zoomScaleNormal="175" workbookViewId="0"/>
  </sheetViews>
  <sheetFormatPr defaultRowHeight="12.5"/>
  <cols>
    <col min="1" max="1" width="4.25" style="1" bestFit="1" customWidth="1"/>
    <col min="2" max="16384" width="8.6640625" style="1"/>
  </cols>
  <sheetData>
    <row r="1" spans="1:3">
      <c r="A1" s="8" t="s">
        <v>7</v>
      </c>
    </row>
    <row r="2" spans="1:3">
      <c r="B2" s="1" t="s">
        <v>39</v>
      </c>
      <c r="C2" s="1" t="s">
        <v>12</v>
      </c>
    </row>
    <row r="3" spans="1:3">
      <c r="B3" s="1" t="s">
        <v>40</v>
      </c>
      <c r="C3" s="1" t="s">
        <v>41</v>
      </c>
    </row>
  </sheetData>
  <hyperlinks>
    <hyperlink ref="A1" location="Main!A1" display="Main" xr:uid="{31CA2FCB-B711-4CEE-B294-9C0424FFC8B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Briumvi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2024-10-15T20:07:20Z</dcterms:created>
  <dcterms:modified xsi:type="dcterms:W3CDTF">2024-10-15T21:43:21Z</dcterms:modified>
</cp:coreProperties>
</file>