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4D644C-1374-45D3-8561-9CD94D504F7C}" xr6:coauthVersionLast="47" xr6:coauthVersionMax="47" xr10:uidLastSave="{00000000-0000-0000-0000-000000000000}"/>
  <bookViews>
    <workbookView xWindow="30000" yWindow="765" windowWidth="19485" windowHeight="19590" activeTab="1" xr2:uid="{39D8066A-4BAE-4C84-863D-2ABA124BAD3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2" l="1"/>
  <c r="H52" i="2"/>
  <c r="H65" i="2"/>
  <c r="H54" i="2"/>
  <c r="H45" i="2"/>
  <c r="C29" i="2"/>
  <c r="C27" i="2"/>
  <c r="C23" i="2"/>
  <c r="C20" i="2"/>
  <c r="G56" i="2"/>
  <c r="G65" i="2"/>
  <c r="G52" i="2"/>
  <c r="G54" i="2"/>
  <c r="G45" i="2"/>
  <c r="L94" i="2"/>
  <c r="K94" i="2"/>
  <c r="H94" i="2"/>
  <c r="G94" i="2"/>
  <c r="L92" i="2"/>
  <c r="L91" i="2"/>
  <c r="L89" i="2"/>
  <c r="L88" i="2"/>
  <c r="L87" i="2"/>
  <c r="L86" i="2"/>
  <c r="L85" i="2"/>
  <c r="L84" i="2"/>
  <c r="H92" i="2"/>
  <c r="H91" i="2"/>
  <c r="H89" i="2"/>
  <c r="H88" i="2"/>
  <c r="H87" i="2"/>
  <c r="H86" i="2"/>
  <c r="H85" i="2"/>
  <c r="H84" i="2"/>
  <c r="H82" i="2"/>
  <c r="H81" i="2"/>
  <c r="H80" i="2"/>
  <c r="H79" i="2"/>
  <c r="H78" i="2"/>
  <c r="L82" i="2"/>
  <c r="L81" i="2"/>
  <c r="L80" i="2"/>
  <c r="L79" i="2"/>
  <c r="L78" i="2"/>
  <c r="H76" i="2"/>
  <c r="H75" i="2"/>
  <c r="H74" i="2"/>
  <c r="H73" i="2"/>
  <c r="H72" i="2"/>
  <c r="H71" i="2"/>
  <c r="H70" i="2"/>
  <c r="H69" i="2"/>
  <c r="H68" i="2"/>
  <c r="L76" i="2"/>
  <c r="L75" i="2"/>
  <c r="L74" i="2"/>
  <c r="L73" i="2"/>
  <c r="L72" i="2"/>
  <c r="L71" i="2"/>
  <c r="L70" i="2"/>
  <c r="L69" i="2"/>
  <c r="L68" i="2"/>
  <c r="L67" i="2"/>
  <c r="H67" i="2"/>
  <c r="K92" i="2"/>
  <c r="G89" i="2"/>
  <c r="K89" i="2"/>
  <c r="K84" i="2"/>
  <c r="G82" i="2"/>
  <c r="K82" i="2"/>
  <c r="K76" i="2"/>
  <c r="K67" i="2"/>
  <c r="G76" i="2"/>
  <c r="G92" i="2" s="1"/>
  <c r="G67" i="2"/>
  <c r="G18" i="2"/>
  <c r="K18" i="2"/>
  <c r="K40" i="2" s="1"/>
  <c r="G41" i="2"/>
  <c r="G40" i="2"/>
  <c r="K41" i="2"/>
  <c r="K38" i="2"/>
  <c r="K37" i="2"/>
  <c r="G29" i="2"/>
  <c r="G27" i="2"/>
  <c r="G23" i="2"/>
  <c r="K31" i="2"/>
  <c r="K29" i="2"/>
  <c r="K27" i="2"/>
  <c r="K23" i="2"/>
  <c r="G20" i="2"/>
  <c r="K20" i="2"/>
  <c r="K56" i="2"/>
  <c r="K52" i="2"/>
  <c r="K54" i="2" s="1"/>
  <c r="K65" i="2"/>
  <c r="K45" i="2"/>
  <c r="C24" i="2" l="1"/>
  <c r="C28" i="2" s="1"/>
  <c r="C30" i="2" s="1"/>
  <c r="C32" i="2" s="1"/>
  <c r="C33" i="2" s="1"/>
  <c r="G24" i="2"/>
  <c r="G42" i="2" s="1"/>
  <c r="K39" i="2"/>
  <c r="K24" i="2"/>
  <c r="K42" i="2" s="1"/>
  <c r="K28" i="2"/>
  <c r="G28" i="2"/>
  <c r="G30" i="2" s="1"/>
  <c r="G32" i="2" s="1"/>
  <c r="G33" i="2" s="1"/>
  <c r="H7" i="1" l="1"/>
  <c r="D6" i="1"/>
  <c r="D5" i="1"/>
  <c r="D4" i="1"/>
  <c r="D3" i="1"/>
  <c r="C6" i="1"/>
  <c r="C5" i="1"/>
  <c r="C4" i="1"/>
  <c r="C3" i="1"/>
  <c r="H18" i="2"/>
  <c r="H40" i="2" s="1"/>
  <c r="L18" i="2"/>
  <c r="L40" i="2" s="1"/>
  <c r="H31" i="2"/>
  <c r="K30" i="2"/>
  <c r="K32" i="2" s="1"/>
  <c r="K33" i="2" s="1"/>
  <c r="J30" i="2"/>
  <c r="J32" i="2" s="1"/>
  <c r="I30" i="2"/>
  <c r="I32" i="2" s="1"/>
  <c r="H29" i="2"/>
  <c r="L31" i="2"/>
  <c r="L29" i="2"/>
  <c r="H27" i="2"/>
  <c r="L27" i="2"/>
  <c r="H41" i="2"/>
  <c r="L41" i="2"/>
  <c r="L23" i="2"/>
  <c r="H23" i="2"/>
  <c r="L38" i="2"/>
  <c r="L56" i="2"/>
  <c r="L65" i="2" s="1"/>
  <c r="L52" i="2"/>
  <c r="L45" i="2"/>
  <c r="H4" i="1"/>
  <c r="H20" i="2" l="1"/>
  <c r="L20" i="2"/>
  <c r="L37" i="2"/>
  <c r="H24" i="2"/>
  <c r="H42" i="2" s="1"/>
  <c r="L54" i="2"/>
  <c r="L39" i="2" l="1"/>
  <c r="L24" i="2"/>
  <c r="L42" i="2"/>
  <c r="L28" i="2"/>
  <c r="L30" i="2" s="1"/>
  <c r="L32" i="2" s="1"/>
  <c r="L33" i="2" s="1"/>
  <c r="H28" i="2"/>
  <c r="H30" i="2" s="1"/>
  <c r="H32" i="2" s="1"/>
  <c r="H33" i="2" s="1"/>
</calcChain>
</file>

<file path=xl/sharedStrings.xml><?xml version="1.0" encoding="utf-8"?>
<sst xmlns="http://schemas.openxmlformats.org/spreadsheetml/2006/main" count="117" uniqueCount="99">
  <si>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</si>
  <si>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</si>
  <si>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</si>
  <si>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</si>
  <si>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</si>
  <si>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</si>
  <si>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</si>
  <si>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</si>
  <si>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</si>
  <si>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</si>
  <si>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</si>
  <si>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</si>
  <si>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</si>
  <si>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</si>
  <si>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</si>
  <si>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</si>
  <si>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</si>
  <si>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</si>
  <si>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</si>
  <si>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</si>
  <si>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</si>
  <si>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</si>
  <si>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</si>
  <si>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</si>
  <si>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Inventories</t>
  </si>
  <si>
    <t>Contract</t>
  </si>
  <si>
    <t>OCA</t>
  </si>
  <si>
    <t>PP&amp;E</t>
  </si>
  <si>
    <t>Goodwill</t>
  </si>
  <si>
    <t>Other</t>
  </si>
  <si>
    <t>Assets</t>
  </si>
  <si>
    <t>AP</t>
  </si>
  <si>
    <t>Employees</t>
  </si>
  <si>
    <t>OA</t>
  </si>
  <si>
    <t>DT</t>
  </si>
  <si>
    <t>L+SE</t>
  </si>
  <si>
    <t>SE</t>
  </si>
  <si>
    <t>MI</t>
  </si>
  <si>
    <t>OLTL</t>
  </si>
  <si>
    <t>Product</t>
  </si>
  <si>
    <t>Services</t>
  </si>
  <si>
    <t>Product y/y</t>
  </si>
  <si>
    <t>Services y/y</t>
  </si>
  <si>
    <t>Revenue y/y</t>
  </si>
  <si>
    <t>COP</t>
  </si>
  <si>
    <t>COS</t>
  </si>
  <si>
    <t>COGS</t>
  </si>
  <si>
    <t>Gross Margin</t>
  </si>
  <si>
    <t>SG&amp;A</t>
  </si>
  <si>
    <t>R&amp;D</t>
  </si>
  <si>
    <t>Operating Expenses</t>
  </si>
  <si>
    <t>Operating Income</t>
  </si>
  <si>
    <t>Services GM%</t>
  </si>
  <si>
    <t>Product GM%</t>
  </si>
  <si>
    <t>Net Income</t>
  </si>
  <si>
    <t>MI+Taxes</t>
  </si>
  <si>
    <t>Pretax Income</t>
  </si>
  <si>
    <t>Interest Income</t>
  </si>
  <si>
    <t>EPS</t>
  </si>
  <si>
    <t>Consumables</t>
  </si>
  <si>
    <t>Instruments</t>
  </si>
  <si>
    <t>North America</t>
  </si>
  <si>
    <t>Europe</t>
  </si>
  <si>
    <t>Asia-Pac</t>
  </si>
  <si>
    <t>Life Sciences</t>
  </si>
  <si>
    <t>Analytical Instruments</t>
  </si>
  <si>
    <t>Diagnostics</t>
  </si>
  <si>
    <t>Lab Products &amp; Biopharma Services</t>
  </si>
  <si>
    <t>% of rev</t>
  </si>
  <si>
    <t>Margin</t>
  </si>
  <si>
    <t xml:space="preserve">  China</t>
  </si>
  <si>
    <t xml:space="preserve">  US</t>
  </si>
  <si>
    <t>Acquisitions</t>
  </si>
  <si>
    <t>Novasep viral - 1/15/21, $830m</t>
  </si>
  <si>
    <t>Mesa Biotech - 2/25/21, $410m</t>
  </si>
  <si>
    <t>CSL facility - 9/30/21, $560m guaranteed lease payments</t>
  </si>
  <si>
    <t>PPD - 12/8/21, $16B</t>
  </si>
  <si>
    <t>PeproTech - 12/30/21, $1.86B</t>
  </si>
  <si>
    <t>Net Debt</t>
  </si>
  <si>
    <t>AR</t>
  </si>
  <si>
    <t>Model NI</t>
  </si>
  <si>
    <t>Reported NI</t>
  </si>
  <si>
    <t>CFFO</t>
  </si>
  <si>
    <t>WC</t>
  </si>
  <si>
    <t>Non-Cash</t>
  </si>
  <si>
    <t>SBC</t>
  </si>
  <si>
    <t>Early Debt</t>
  </si>
  <si>
    <t>Intangibles</t>
  </si>
  <si>
    <t>Depreciation</t>
  </si>
  <si>
    <t>CFFI</t>
  </si>
  <si>
    <t>CapEx</t>
  </si>
  <si>
    <t>Sale of PPE</t>
  </si>
  <si>
    <t>Buyback</t>
  </si>
  <si>
    <t>Dividends</t>
  </si>
  <si>
    <t>ESOP</t>
  </si>
  <si>
    <t>CFFF</t>
  </si>
  <si>
    <t>CIC</t>
  </si>
  <si>
    <t>FX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</si>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</sst>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53578</xdr:colOff>
      <xdr:row>0</xdr:row>
      <xdr:rowOff>23812</xdr:rowOff>
    </xdr:from>
    <xdr:to>
      <xdr:col>12</xdr:col>
      <xdr:colOff>53578</xdr:colOff>
      <xdr:row>99</xdr:row>
      <xdr:rowOff>26276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FC88D8-9FE2-3F3A-1CAC-1DAEDC176DAB}"/>
            </a:ext>
          </a:extLst>
        </xdr:cNvPr>
        <xdr:cNvCxnSpPr/>
      </xdr:nvCxnSpPr>
      <xdr:spPr>
        <a:xfrm>
          <a:off x="7535630" y="23812"/>
          <a:ext cx="0" cy="16260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CE91-DBC8-479B-BD26-FFB1E616BEC4}">
  <dimension ref="B2:I18"/>
  <sheetViews>
    <sheetView zoomScale="205" zoomScaleNormal="205" workbookViewId="0">
      <selection activeCell="H8" sqref="H8"/>
    </sheetView>
  </sheetViews>
  <sheetFormatPr defaultRowHeight="12.75" x14ac:dyDescent="0.2"/>
  <cols>
    <col min="1" max="1" width="4.7109375" customWidth="1"/>
    <col min="2" max="2" width="13.5703125" customWidth="1"/>
    <col min="8" max="8" width="9.5703125" customWidth="1"/>
  </cols>
  <sheetData>
    <row r="2" spans="2:9" x14ac:dyDescent="0.2">
      <c r="C2" t="s">
        <v>68</v>
      </c>
      <c r="D2" t="s">
        <v>69</v>
      </c>
      <c r="G2" t="s">
        <v>0</v>
      </c>
      <c r="H2">
        <v>541.28</v>
      </c>
    </row>
    <row r="3" spans="2:9" x14ac:dyDescent="0.2">
      <c r="B3" t="s">
        <v>64</v>
      </c>
      <c r="C3" s="16">
        <f>3292/10970</f>
        <v>0.30009115770282591</v>
      </c>
      <c r="D3" s="16">
        <f>1327/3292</f>
        <v>0.40309842041312272</v>
      </c>
      <c r="G3" t="s">
        <v>1</v>
      </c>
      <c r="H3" s="1">
        <v>391.78896200000003</v>
      </c>
      <c r="I3" s="2" t="s">
        <v>6</v>
      </c>
    </row>
    <row r="4" spans="2:9" x14ac:dyDescent="0.2">
      <c r="B4" t="s">
        <v>60</v>
      </c>
      <c r="C4" s="16">
        <f>1607/10970</f>
        <v>0.14649042844120327</v>
      </c>
      <c r="D4" s="16">
        <f>344/1607</f>
        <v>0.21406347230864967</v>
      </c>
      <c r="G4" t="s">
        <v>2</v>
      </c>
      <c r="H4" s="1">
        <f>+H2*H3</f>
        <v>212067.52935135999</v>
      </c>
    </row>
    <row r="5" spans="2:9" x14ac:dyDescent="0.2">
      <c r="B5" t="s">
        <v>66</v>
      </c>
      <c r="C5" s="16">
        <f>1101/10970</f>
        <v>0.10036463081130355</v>
      </c>
      <c r="D5" s="16">
        <f>243/1101</f>
        <v>0.22070844686648503</v>
      </c>
      <c r="G5" t="s">
        <v>3</v>
      </c>
      <c r="H5" s="1">
        <v>1888</v>
      </c>
      <c r="I5" s="2" t="s">
        <v>6</v>
      </c>
    </row>
    <row r="6" spans="2:9" x14ac:dyDescent="0.2">
      <c r="B6" t="s">
        <v>40</v>
      </c>
      <c r="C6" s="16">
        <f>5537/10970</f>
        <v>0.50474020054694624</v>
      </c>
      <c r="D6" s="16">
        <f>691/5537</f>
        <v>0.12479682138342063</v>
      </c>
      <c r="G6" t="s">
        <v>4</v>
      </c>
      <c r="H6" s="1">
        <v>30260</v>
      </c>
      <c r="I6" s="2" t="s">
        <v>6</v>
      </c>
    </row>
    <row r="7" spans="2:9" x14ac:dyDescent="0.2">
      <c r="G7" t="s">
        <v>5</v>
      </c>
      <c r="H7" s="1">
        <f>+H4-H5+H6</f>
        <v>240439.52935135999</v>
      </c>
    </row>
    <row r="13" spans="2:9" x14ac:dyDescent="0.2">
      <c r="B13" s="17" t="s">
        <v>72</v>
      </c>
    </row>
    <row r="14" spans="2:9" x14ac:dyDescent="0.2">
      <c r="B14" t="s">
        <v>73</v>
      </c>
    </row>
    <row r="15" spans="2:9" x14ac:dyDescent="0.2">
      <c r="B15" t="s">
        <v>74</v>
      </c>
    </row>
    <row r="16" spans="2:9" x14ac:dyDescent="0.2">
      <c r="B16" t="s">
        <v>75</v>
      </c>
    </row>
    <row r="17" spans="2:2" x14ac:dyDescent="0.2">
      <c r="B17" t="s">
        <v>76</v>
      </c>
    </row>
    <row r="18" spans="2:2" x14ac:dyDescent="0.2">
      <c r="B18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7D04-3A5F-4B4F-9912-74F719AA9EA8}">
  <dimension ref="A1:R94"/>
  <sheetViews>
    <sheetView tabSelected="1" zoomScale="145" zoomScaleNormal="145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F85" sqref="F85"/>
    </sheetView>
  </sheetViews>
  <sheetFormatPr defaultRowHeight="12.75" x14ac:dyDescent="0.2"/>
  <cols>
    <col min="1" max="1" width="5" bestFit="1" customWidth="1"/>
    <col min="2" max="2" width="15.5703125" customWidth="1"/>
    <col min="3" max="14" width="9.140625" style="2"/>
  </cols>
  <sheetData>
    <row r="1" spans="1:18" x14ac:dyDescent="0.2">
      <c r="A1" t="s">
        <v>7</v>
      </c>
    </row>
    <row r="3" spans="1:18" x14ac:dyDescent="0.2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6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</row>
    <row r="4" spans="1:18" s="1" customFormat="1" x14ac:dyDescent="0.2">
      <c r="B4" s="1" t="s">
        <v>71</v>
      </c>
      <c r="C4" s="3"/>
      <c r="D4" s="3"/>
      <c r="E4" s="3"/>
      <c r="F4" s="3"/>
      <c r="G4" s="3">
        <v>4892</v>
      </c>
      <c r="H4" s="3">
        <v>4355</v>
      </c>
      <c r="I4" s="3"/>
      <c r="J4" s="3"/>
      <c r="K4" s="3">
        <v>6097</v>
      </c>
      <c r="L4" s="3">
        <v>5846</v>
      </c>
      <c r="M4" s="3"/>
      <c r="N4" s="3"/>
      <c r="O4" s="3"/>
      <c r="P4" s="3"/>
      <c r="Q4" s="3"/>
      <c r="R4" s="3"/>
    </row>
    <row r="5" spans="1:18" s="1" customFormat="1" x14ac:dyDescent="0.2">
      <c r="B5" s="1" t="s">
        <v>61</v>
      </c>
      <c r="C5" s="3"/>
      <c r="D5" s="3"/>
      <c r="E5" s="3"/>
      <c r="F5" s="3"/>
      <c r="G5" s="3">
        <v>5101</v>
      </c>
      <c r="H5" s="3">
        <v>4529</v>
      </c>
      <c r="I5" s="3"/>
      <c r="J5" s="3"/>
      <c r="K5" s="3">
        <v>6323</v>
      </c>
      <c r="L5" s="3">
        <v>6032</v>
      </c>
      <c r="M5" s="3"/>
      <c r="N5" s="3"/>
      <c r="O5" s="3"/>
      <c r="P5" s="3"/>
      <c r="Q5" s="3"/>
      <c r="R5" s="3"/>
    </row>
    <row r="6" spans="1:18" s="1" customFormat="1" x14ac:dyDescent="0.2">
      <c r="B6" s="1" t="s">
        <v>62</v>
      </c>
      <c r="C6" s="3"/>
      <c r="D6" s="3"/>
      <c r="E6" s="3"/>
      <c r="F6" s="3"/>
      <c r="G6" s="3">
        <v>2785</v>
      </c>
      <c r="H6" s="3">
        <v>2695</v>
      </c>
      <c r="I6" s="3"/>
      <c r="J6" s="3"/>
      <c r="K6" s="3">
        <v>3050</v>
      </c>
      <c r="L6" s="3">
        <v>2551</v>
      </c>
      <c r="M6" s="3"/>
      <c r="N6" s="3"/>
      <c r="O6" s="3"/>
      <c r="P6" s="3"/>
      <c r="Q6" s="3"/>
      <c r="R6" s="3"/>
    </row>
    <row r="7" spans="1:18" s="1" customFormat="1" x14ac:dyDescent="0.2">
      <c r="B7" s="1" t="s">
        <v>70</v>
      </c>
      <c r="C7" s="3"/>
      <c r="D7" s="3"/>
      <c r="E7" s="3"/>
      <c r="F7" s="3"/>
      <c r="G7" s="3">
        <v>775</v>
      </c>
      <c r="H7" s="3">
        <v>794</v>
      </c>
      <c r="I7" s="3"/>
      <c r="J7" s="3"/>
      <c r="K7" s="3">
        <v>910</v>
      </c>
      <c r="L7" s="3">
        <v>1001</v>
      </c>
      <c r="M7" s="3"/>
      <c r="N7" s="3"/>
      <c r="O7" s="3"/>
      <c r="P7" s="3"/>
      <c r="Q7" s="3"/>
      <c r="R7" s="3"/>
    </row>
    <row r="8" spans="1:18" s="1" customFormat="1" x14ac:dyDescent="0.2">
      <c r="B8" s="1" t="s">
        <v>63</v>
      </c>
      <c r="C8" s="3"/>
      <c r="D8" s="3"/>
      <c r="E8" s="3"/>
      <c r="F8" s="3"/>
      <c r="G8" s="3">
        <v>1709</v>
      </c>
      <c r="H8" s="3">
        <v>1749</v>
      </c>
      <c r="I8" s="3"/>
      <c r="J8" s="3"/>
      <c r="K8" s="3">
        <v>2064</v>
      </c>
      <c r="L8" s="3">
        <v>2042</v>
      </c>
      <c r="M8" s="3"/>
      <c r="N8" s="3"/>
      <c r="O8" s="3"/>
      <c r="P8" s="3"/>
      <c r="Q8" s="3"/>
      <c r="R8" s="3"/>
    </row>
    <row r="9" spans="1:18" s="1" customFormat="1" x14ac:dyDescent="0.2">
      <c r="B9" s="1" t="s">
        <v>29</v>
      </c>
      <c r="C9" s="3"/>
      <c r="D9" s="3"/>
      <c r="E9" s="3"/>
      <c r="F9" s="3"/>
      <c r="G9" s="3">
        <v>311</v>
      </c>
      <c r="H9" s="3">
        <v>300</v>
      </c>
      <c r="I9" s="3"/>
      <c r="J9" s="3"/>
      <c r="K9" s="3">
        <v>381</v>
      </c>
      <c r="L9" s="3">
        <v>345</v>
      </c>
      <c r="M9" s="3"/>
      <c r="N9" s="3"/>
      <c r="O9" s="3"/>
      <c r="P9" s="3"/>
      <c r="Q9" s="3"/>
      <c r="R9" s="3"/>
    </row>
    <row r="10" spans="1:18" s="1" customFormat="1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" customFormat="1" x14ac:dyDescent="0.2">
      <c r="B11" s="1" t="s">
        <v>64</v>
      </c>
      <c r="C11" s="3"/>
      <c r="D11" s="3"/>
      <c r="E11" s="3"/>
      <c r="F11" s="3"/>
      <c r="G11" s="3">
        <v>4203</v>
      </c>
      <c r="H11" s="3">
        <v>3292</v>
      </c>
      <c r="I11" s="3"/>
      <c r="J11" s="3"/>
      <c r="K11" s="3">
        <v>4231</v>
      </c>
      <c r="L11" s="3">
        <v>3292</v>
      </c>
      <c r="M11" s="3"/>
      <c r="N11" s="3"/>
      <c r="O11" s="3"/>
      <c r="P11" s="3"/>
      <c r="Q11" s="3"/>
      <c r="R11" s="3"/>
    </row>
    <row r="12" spans="1:18" s="1" customFormat="1" x14ac:dyDescent="0.2">
      <c r="B12" s="1" t="s">
        <v>65</v>
      </c>
      <c r="C12" s="3"/>
      <c r="D12" s="3"/>
      <c r="E12" s="3"/>
      <c r="F12" s="3"/>
      <c r="G12" s="3">
        <v>1387</v>
      </c>
      <c r="H12" s="3">
        <v>1607</v>
      </c>
      <c r="I12" s="3"/>
      <c r="J12" s="3"/>
      <c r="K12" s="3">
        <v>1518</v>
      </c>
      <c r="L12" s="3">
        <v>1607</v>
      </c>
      <c r="M12" s="3"/>
      <c r="N12" s="3"/>
      <c r="O12" s="3"/>
      <c r="P12" s="3"/>
      <c r="Q12" s="3"/>
      <c r="R12" s="3"/>
    </row>
    <row r="13" spans="1:18" s="1" customFormat="1" x14ac:dyDescent="0.2">
      <c r="B13" s="1" t="s">
        <v>66</v>
      </c>
      <c r="C13" s="3"/>
      <c r="D13" s="3"/>
      <c r="E13" s="3"/>
      <c r="F13" s="3"/>
      <c r="G13" s="3">
        <v>1615</v>
      </c>
      <c r="H13" s="3">
        <v>1101</v>
      </c>
      <c r="I13" s="3"/>
      <c r="J13" s="3"/>
      <c r="K13" s="3">
        <v>1482</v>
      </c>
      <c r="L13" s="3">
        <v>1101</v>
      </c>
      <c r="M13" s="3"/>
      <c r="N13" s="3"/>
      <c r="O13" s="3"/>
      <c r="P13" s="3"/>
      <c r="Q13" s="3"/>
      <c r="R13" s="3"/>
    </row>
    <row r="14" spans="1:18" s="1" customFormat="1" x14ac:dyDescent="0.2">
      <c r="B14" s="1" t="s">
        <v>67</v>
      </c>
      <c r="C14" s="3"/>
      <c r="D14" s="3"/>
      <c r="E14" s="3"/>
      <c r="F14" s="3"/>
      <c r="G14" s="3">
        <v>3597</v>
      </c>
      <c r="H14" s="3">
        <v>5537</v>
      </c>
      <c r="I14" s="3"/>
      <c r="J14" s="3"/>
      <c r="K14" s="3">
        <v>5442</v>
      </c>
      <c r="L14" s="3">
        <v>5537</v>
      </c>
      <c r="M14" s="3"/>
      <c r="N14" s="3"/>
      <c r="O14" s="3"/>
      <c r="P14" s="3"/>
      <c r="Q14" s="3"/>
      <c r="R14" s="3"/>
    </row>
    <row r="15" spans="1:18" x14ac:dyDescent="0.2">
      <c r="O15" s="2"/>
      <c r="P15" s="2"/>
      <c r="Q15" s="2"/>
      <c r="R15" s="2"/>
    </row>
    <row r="16" spans="1:18" s="1" customFormat="1" x14ac:dyDescent="0.2">
      <c r="B16" s="1" t="s">
        <v>59</v>
      </c>
      <c r="C16" s="3"/>
      <c r="D16" s="3"/>
      <c r="E16" s="3"/>
      <c r="F16" s="3"/>
      <c r="G16" s="3">
        <v>5964</v>
      </c>
      <c r="H16" s="3">
        <v>5372</v>
      </c>
      <c r="I16" s="3"/>
      <c r="J16" s="3"/>
      <c r="K16" s="3">
        <v>6110</v>
      </c>
      <c r="L16" s="3">
        <v>4993</v>
      </c>
      <c r="M16" s="3"/>
      <c r="N16" s="3"/>
      <c r="O16" s="3"/>
      <c r="P16" s="3"/>
      <c r="Q16" s="3"/>
      <c r="R16" s="3"/>
    </row>
    <row r="17" spans="2:18" s="1" customFormat="1" x14ac:dyDescent="0.2">
      <c r="B17" s="1" t="s">
        <v>60</v>
      </c>
      <c r="C17" s="3"/>
      <c r="D17" s="3"/>
      <c r="E17" s="3"/>
      <c r="F17" s="3"/>
      <c r="G17" s="3">
        <v>1892</v>
      </c>
      <c r="H17" s="3">
        <v>1842</v>
      </c>
      <c r="I17" s="3"/>
      <c r="J17" s="3"/>
      <c r="K17" s="3">
        <v>1907</v>
      </c>
      <c r="L17" s="3">
        <v>2010</v>
      </c>
      <c r="M17" s="3"/>
      <c r="N17" s="3"/>
      <c r="O17" s="3"/>
      <c r="P17" s="3"/>
      <c r="Q17" s="3"/>
      <c r="R17" s="3"/>
    </row>
    <row r="18" spans="2:18" s="1" customFormat="1" x14ac:dyDescent="0.2">
      <c r="B18" s="1" t="s">
        <v>39</v>
      </c>
      <c r="C18" s="3">
        <v>4630</v>
      </c>
      <c r="D18" s="3"/>
      <c r="E18" s="3"/>
      <c r="F18" s="3"/>
      <c r="G18" s="3">
        <f>+G16+G17</f>
        <v>7856</v>
      </c>
      <c r="H18" s="3">
        <f>+H16+H17</f>
        <v>7214</v>
      </c>
      <c r="I18" s="3"/>
      <c r="J18" s="3"/>
      <c r="K18" s="3">
        <f>+K16+K17</f>
        <v>8017</v>
      </c>
      <c r="L18" s="3">
        <f>+L16+L17</f>
        <v>7003</v>
      </c>
      <c r="M18" s="3"/>
      <c r="N18" s="3"/>
    </row>
    <row r="19" spans="2:18" s="1" customFormat="1" x14ac:dyDescent="0.2">
      <c r="B19" s="1" t="s">
        <v>40</v>
      </c>
      <c r="C19" s="3">
        <v>1600</v>
      </c>
      <c r="D19" s="3"/>
      <c r="E19" s="3"/>
      <c r="F19" s="3"/>
      <c r="G19" s="3">
        <v>2050</v>
      </c>
      <c r="H19" s="3">
        <v>2059</v>
      </c>
      <c r="I19" s="3"/>
      <c r="J19" s="3"/>
      <c r="K19" s="3">
        <v>3801</v>
      </c>
      <c r="L19" s="3">
        <v>3967</v>
      </c>
      <c r="M19" s="3"/>
      <c r="N19" s="3"/>
    </row>
    <row r="20" spans="2:18" s="6" customFormat="1" x14ac:dyDescent="0.2">
      <c r="B20" s="6" t="s">
        <v>8</v>
      </c>
      <c r="C20" s="7">
        <f>C18+C19</f>
        <v>6230</v>
      </c>
      <c r="D20" s="7"/>
      <c r="E20" s="7"/>
      <c r="F20" s="7"/>
      <c r="G20" s="7">
        <f>G18+G19</f>
        <v>9906</v>
      </c>
      <c r="H20" s="7">
        <f>H18+H19</f>
        <v>9273</v>
      </c>
      <c r="I20" s="7"/>
      <c r="J20" s="7"/>
      <c r="K20" s="7">
        <f>K18+K19</f>
        <v>11818</v>
      </c>
      <c r="L20" s="7">
        <f>L18+L19</f>
        <v>10970</v>
      </c>
      <c r="M20" s="7"/>
      <c r="N20" s="7"/>
    </row>
    <row r="21" spans="2:18" s="13" customFormat="1" x14ac:dyDescent="0.2">
      <c r="B21" s="13" t="s">
        <v>44</v>
      </c>
      <c r="C21" s="14">
        <v>2340</v>
      </c>
      <c r="D21" s="14"/>
      <c r="E21" s="14"/>
      <c r="F21" s="14"/>
      <c r="G21" s="14">
        <v>3327</v>
      </c>
      <c r="H21" s="14">
        <v>3352</v>
      </c>
      <c r="I21" s="14"/>
      <c r="J21" s="14"/>
      <c r="K21" s="14">
        <v>3555</v>
      </c>
      <c r="L21" s="14">
        <v>3516</v>
      </c>
      <c r="M21" s="14"/>
      <c r="N21" s="14"/>
    </row>
    <row r="22" spans="2:18" s="13" customFormat="1" x14ac:dyDescent="0.2">
      <c r="B22" s="13" t="s">
        <v>45</v>
      </c>
      <c r="C22" s="14">
        <v>1150</v>
      </c>
      <c r="D22" s="14"/>
      <c r="E22" s="14"/>
      <c r="F22" s="14"/>
      <c r="G22" s="14">
        <v>1370</v>
      </c>
      <c r="H22" s="14">
        <v>1397</v>
      </c>
      <c r="I22" s="14"/>
      <c r="J22" s="14"/>
      <c r="K22" s="14">
        <v>2799</v>
      </c>
      <c r="L22" s="14">
        <v>2855</v>
      </c>
      <c r="M22" s="14"/>
      <c r="N22" s="14"/>
    </row>
    <row r="23" spans="2:18" s="13" customFormat="1" x14ac:dyDescent="0.2">
      <c r="B23" s="13" t="s">
        <v>46</v>
      </c>
      <c r="C23" s="14">
        <f>+C21+C22</f>
        <v>3490</v>
      </c>
      <c r="D23" s="14"/>
      <c r="E23" s="14"/>
      <c r="F23" s="14"/>
      <c r="G23" s="14">
        <f>+G21+G22</f>
        <v>4697</v>
      </c>
      <c r="H23" s="14">
        <f>+H21+H22</f>
        <v>4749</v>
      </c>
      <c r="I23" s="14"/>
      <c r="J23" s="14"/>
      <c r="K23" s="14">
        <f>+K21+K22</f>
        <v>6354</v>
      </c>
      <c r="L23" s="14">
        <f>+L21+L22</f>
        <v>6371</v>
      </c>
      <c r="M23" s="14"/>
      <c r="N23" s="14"/>
    </row>
    <row r="24" spans="2:18" s="13" customFormat="1" x14ac:dyDescent="0.2">
      <c r="B24" s="13" t="s">
        <v>47</v>
      </c>
      <c r="C24" s="14">
        <f>+C20-C23</f>
        <v>2740</v>
      </c>
      <c r="D24" s="14"/>
      <c r="E24" s="14"/>
      <c r="F24" s="14"/>
      <c r="G24" s="14">
        <f>+G20-G23</f>
        <v>5209</v>
      </c>
      <c r="H24" s="14">
        <f>+H20-H23</f>
        <v>4524</v>
      </c>
      <c r="I24" s="14"/>
      <c r="J24" s="14"/>
      <c r="K24" s="14">
        <f>+K20-K23</f>
        <v>5464</v>
      </c>
      <c r="L24" s="14">
        <f>+L20-L23</f>
        <v>4599</v>
      </c>
      <c r="M24" s="14"/>
      <c r="N24" s="14"/>
    </row>
    <row r="25" spans="2:18" s="13" customFormat="1" x14ac:dyDescent="0.2">
      <c r="B25" s="13" t="s">
        <v>48</v>
      </c>
      <c r="C25" s="14">
        <v>1551</v>
      </c>
      <c r="D25" s="14"/>
      <c r="E25" s="14"/>
      <c r="F25" s="14"/>
      <c r="G25" s="14">
        <v>1826</v>
      </c>
      <c r="H25" s="14">
        <v>1899</v>
      </c>
      <c r="I25" s="14"/>
      <c r="J25" s="14"/>
      <c r="K25" s="14">
        <v>2277</v>
      </c>
      <c r="L25" s="14">
        <v>2209</v>
      </c>
      <c r="M25" s="14"/>
      <c r="N25" s="14"/>
    </row>
    <row r="26" spans="2:18" s="13" customFormat="1" x14ac:dyDescent="0.2">
      <c r="B26" s="13" t="s">
        <v>49</v>
      </c>
      <c r="C26" s="14">
        <v>245</v>
      </c>
      <c r="D26" s="14"/>
      <c r="E26" s="14"/>
      <c r="F26" s="14"/>
      <c r="G26" s="14">
        <v>320</v>
      </c>
      <c r="H26" s="14">
        <v>343</v>
      </c>
      <c r="I26" s="14"/>
      <c r="J26" s="14"/>
      <c r="K26" s="14">
        <v>364</v>
      </c>
      <c r="L26" s="14">
        <v>365</v>
      </c>
      <c r="M26" s="14"/>
      <c r="N26" s="14"/>
    </row>
    <row r="27" spans="2:18" s="13" customFormat="1" x14ac:dyDescent="0.2">
      <c r="B27" s="13" t="s">
        <v>50</v>
      </c>
      <c r="C27" s="14">
        <f>+C25+C26</f>
        <v>1796</v>
      </c>
      <c r="D27" s="14"/>
      <c r="E27" s="14"/>
      <c r="F27" s="14"/>
      <c r="G27" s="14">
        <f>+G25+G26</f>
        <v>2146</v>
      </c>
      <c r="H27" s="14">
        <f>+H25+H26</f>
        <v>2242</v>
      </c>
      <c r="I27" s="14"/>
      <c r="J27" s="14"/>
      <c r="K27" s="14">
        <f>+K25+K26</f>
        <v>2641</v>
      </c>
      <c r="L27" s="14">
        <f>+L25+L26</f>
        <v>2574</v>
      </c>
      <c r="M27" s="14"/>
      <c r="N27" s="14"/>
    </row>
    <row r="28" spans="2:18" s="13" customFormat="1" x14ac:dyDescent="0.2">
      <c r="B28" s="13" t="s">
        <v>51</v>
      </c>
      <c r="C28" s="14">
        <f>+C24-C27</f>
        <v>944</v>
      </c>
      <c r="D28" s="14"/>
      <c r="E28" s="14"/>
      <c r="F28" s="14"/>
      <c r="G28" s="14">
        <f>+G24-G27</f>
        <v>3063</v>
      </c>
      <c r="H28" s="14">
        <f>+H24-H27</f>
        <v>2282</v>
      </c>
      <c r="I28" s="14"/>
      <c r="J28" s="14"/>
      <c r="K28" s="14">
        <f>+K24-K27</f>
        <v>2823</v>
      </c>
      <c r="L28" s="14">
        <f>+L24-L27</f>
        <v>2025</v>
      </c>
      <c r="M28" s="14"/>
      <c r="N28" s="14"/>
    </row>
    <row r="29" spans="2:18" s="13" customFormat="1" x14ac:dyDescent="0.2">
      <c r="B29" s="13" t="s">
        <v>57</v>
      </c>
      <c r="C29" s="14">
        <f>36-126+12</f>
        <v>-78</v>
      </c>
      <c r="D29" s="14"/>
      <c r="E29" s="14"/>
      <c r="F29" s="14"/>
      <c r="G29" s="14">
        <f>12-125-183</f>
        <v>-296</v>
      </c>
      <c r="H29" s="14">
        <f>11-122-3</f>
        <v>-114</v>
      </c>
      <c r="I29" s="14"/>
      <c r="J29" s="14"/>
      <c r="K29" s="14">
        <f>18-136-163</f>
        <v>-281</v>
      </c>
      <c r="L29" s="14">
        <f>36-148+28</f>
        <v>-84</v>
      </c>
      <c r="M29" s="14"/>
      <c r="N29" s="14"/>
    </row>
    <row r="30" spans="2:18" s="13" customFormat="1" x14ac:dyDescent="0.2">
      <c r="B30" s="13" t="s">
        <v>56</v>
      </c>
      <c r="C30" s="14">
        <f t="shared" ref="C30" si="0">+C28+C29</f>
        <v>866</v>
      </c>
      <c r="D30" s="14"/>
      <c r="E30" s="14"/>
      <c r="F30" s="14"/>
      <c r="G30" s="14">
        <f t="shared" ref="G30:K30" si="1">+G28+G29</f>
        <v>2767</v>
      </c>
      <c r="H30" s="14">
        <f t="shared" si="1"/>
        <v>2168</v>
      </c>
      <c r="I30" s="14">
        <f t="shared" si="1"/>
        <v>0</v>
      </c>
      <c r="J30" s="14">
        <f t="shared" si="1"/>
        <v>0</v>
      </c>
      <c r="K30" s="14">
        <f t="shared" si="1"/>
        <v>2542</v>
      </c>
      <c r="L30" s="14">
        <f>+L28+L29</f>
        <v>1941</v>
      </c>
      <c r="M30" s="14"/>
      <c r="N30" s="14"/>
    </row>
    <row r="31" spans="2:18" s="13" customFormat="1" x14ac:dyDescent="0.2">
      <c r="B31" s="13" t="s">
        <v>55</v>
      </c>
      <c r="C31" s="14">
        <v>40</v>
      </c>
      <c r="D31" s="14"/>
      <c r="E31" s="14"/>
      <c r="F31" s="14"/>
      <c r="G31" s="14">
        <v>416</v>
      </c>
      <c r="H31" s="14">
        <f>219+1+1</f>
        <v>221</v>
      </c>
      <c r="I31" s="14"/>
      <c r="J31" s="14"/>
      <c r="K31" s="14">
        <f>301+19+5</f>
        <v>325</v>
      </c>
      <c r="L31" s="14">
        <f>198+51+4</f>
        <v>253</v>
      </c>
      <c r="M31" s="14"/>
      <c r="N31" s="14"/>
    </row>
    <row r="32" spans="2:18" s="13" customFormat="1" x14ac:dyDescent="0.2">
      <c r="B32" s="13" t="s">
        <v>54</v>
      </c>
      <c r="C32" s="14">
        <f t="shared" ref="C32" si="2">+C30-C31</f>
        <v>826</v>
      </c>
      <c r="D32" s="14"/>
      <c r="E32" s="14"/>
      <c r="F32" s="14"/>
      <c r="G32" s="14">
        <f t="shared" ref="G32:K32" si="3">+G30-G31</f>
        <v>2351</v>
      </c>
      <c r="H32" s="14">
        <f t="shared" si="3"/>
        <v>1947</v>
      </c>
      <c r="I32" s="14">
        <f t="shared" si="3"/>
        <v>0</v>
      </c>
      <c r="J32" s="14">
        <f t="shared" si="3"/>
        <v>0</v>
      </c>
      <c r="K32" s="14">
        <f t="shared" si="3"/>
        <v>2217</v>
      </c>
      <c r="L32" s="14">
        <f>+L30-L31</f>
        <v>1688</v>
      </c>
      <c r="M32" s="14"/>
      <c r="N32" s="14"/>
    </row>
    <row r="33" spans="2:14" s="13" customFormat="1" x14ac:dyDescent="0.2">
      <c r="B33" s="13" t="s">
        <v>58</v>
      </c>
      <c r="C33" s="15">
        <f>+C32/C34</f>
        <v>2.0649999999999999</v>
      </c>
      <c r="D33" s="14"/>
      <c r="E33" s="14"/>
      <c r="F33" s="14"/>
      <c r="G33" s="15">
        <f>+G32/G34</f>
        <v>5.9219143576826196</v>
      </c>
      <c r="H33" s="15">
        <f>+H32/H34</f>
        <v>4.916666666666667</v>
      </c>
      <c r="I33" s="14"/>
      <c r="J33" s="14"/>
      <c r="K33" s="15">
        <f>+K32/K34</f>
        <v>5.612658227848101</v>
      </c>
      <c r="L33" s="15">
        <f>+L32/L34</f>
        <v>4.2842639593908629</v>
      </c>
      <c r="M33" s="14"/>
      <c r="N33" s="14"/>
    </row>
    <row r="34" spans="2:14" s="13" customFormat="1" x14ac:dyDescent="0.2">
      <c r="B34" s="13" t="s">
        <v>1</v>
      </c>
      <c r="C34" s="14">
        <v>400</v>
      </c>
      <c r="D34" s="14"/>
      <c r="E34" s="14"/>
      <c r="F34" s="14"/>
      <c r="G34" s="14">
        <v>397</v>
      </c>
      <c r="H34" s="14">
        <v>396</v>
      </c>
      <c r="I34" s="14"/>
      <c r="J34" s="14"/>
      <c r="K34" s="14">
        <v>395</v>
      </c>
      <c r="L34" s="14">
        <v>394</v>
      </c>
      <c r="M34" s="14"/>
      <c r="N34" s="14"/>
    </row>
    <row r="35" spans="2:14" s="13" customFormat="1" x14ac:dyDescent="0.2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7" spans="2:14" x14ac:dyDescent="0.2">
      <c r="B37" t="s">
        <v>41</v>
      </c>
      <c r="K37" s="8">
        <f>K18/G18-1</f>
        <v>2.0493890020366612E-2</v>
      </c>
      <c r="L37" s="8">
        <f>L18/H18-1</f>
        <v>-2.9248683116163021E-2</v>
      </c>
    </row>
    <row r="38" spans="2:14" x14ac:dyDescent="0.2">
      <c r="B38" t="s">
        <v>42</v>
      </c>
      <c r="K38" s="8">
        <f t="shared" ref="K38:L39" si="4">K19/G19-1</f>
        <v>0.85414634146341473</v>
      </c>
      <c r="L38" s="8">
        <f t="shared" si="4"/>
        <v>0.92666342884895569</v>
      </c>
    </row>
    <row r="39" spans="2:14" s="4" customFormat="1" x14ac:dyDescent="0.2">
      <c r="B39" s="4" t="s">
        <v>43</v>
      </c>
      <c r="C39" s="5"/>
      <c r="D39" s="5"/>
      <c r="E39" s="5"/>
      <c r="F39" s="5"/>
      <c r="G39" s="5"/>
      <c r="H39" s="5"/>
      <c r="I39" s="5"/>
      <c r="J39" s="5"/>
      <c r="K39" s="9">
        <f t="shared" si="4"/>
        <v>0.19301433474661822</v>
      </c>
      <c r="L39" s="9">
        <f t="shared" si="4"/>
        <v>0.18300442143858509</v>
      </c>
      <c r="M39" s="5"/>
      <c r="N39" s="5"/>
    </row>
    <row r="40" spans="2:14" s="10" customFormat="1" x14ac:dyDescent="0.2">
      <c r="B40" s="10" t="s">
        <v>53</v>
      </c>
      <c r="C40" s="11"/>
      <c r="D40" s="11"/>
      <c r="E40" s="11"/>
      <c r="F40" s="11"/>
      <c r="G40" s="12">
        <f>(G18-G21)/G18</f>
        <v>0.57650203665987776</v>
      </c>
      <c r="H40" s="12">
        <f>(H18-H21)/H18</f>
        <v>0.53534793457166618</v>
      </c>
      <c r="I40" s="11"/>
      <c r="J40" s="11"/>
      <c r="K40" s="12">
        <f>(K18-K21)/K18</f>
        <v>0.55656729449918918</v>
      </c>
      <c r="L40" s="12">
        <f>(L18-L21)/L18</f>
        <v>0.49792945880336997</v>
      </c>
      <c r="M40" s="11"/>
      <c r="N40" s="11"/>
    </row>
    <row r="41" spans="2:14" s="10" customFormat="1" x14ac:dyDescent="0.2">
      <c r="B41" s="10" t="s">
        <v>52</v>
      </c>
      <c r="C41" s="11"/>
      <c r="D41" s="11"/>
      <c r="E41" s="11"/>
      <c r="F41" s="11"/>
      <c r="G41" s="12">
        <f>(G19-G22)/G19</f>
        <v>0.33170731707317075</v>
      </c>
      <c r="H41" s="12">
        <f>(H19-H22)/H19</f>
        <v>0.32151529868868384</v>
      </c>
      <c r="I41" s="11"/>
      <c r="J41" s="11"/>
      <c r="K41" s="12">
        <f>(K19-K22)/K19</f>
        <v>0.26361483820047354</v>
      </c>
      <c r="L41" s="12">
        <f>(L19-L22)/L19</f>
        <v>0.28031257877489285</v>
      </c>
      <c r="M41" s="11"/>
      <c r="N41" s="11"/>
    </row>
    <row r="42" spans="2:14" s="10" customFormat="1" x14ac:dyDescent="0.2">
      <c r="B42" s="10" t="s">
        <v>47</v>
      </c>
      <c r="C42" s="11"/>
      <c r="D42" s="11"/>
      <c r="E42" s="11"/>
      <c r="F42" s="11"/>
      <c r="G42" s="12">
        <f>+G24/G20</f>
        <v>0.5258429234807187</v>
      </c>
      <c r="H42" s="12">
        <f>+H24/H20</f>
        <v>0.48786800388223878</v>
      </c>
      <c r="I42" s="11"/>
      <c r="J42" s="11"/>
      <c r="K42" s="12">
        <f>+K24/K20</f>
        <v>0.46234557454730074</v>
      </c>
      <c r="L42" s="12">
        <f>+L24/L20</f>
        <v>0.41923427529626256</v>
      </c>
      <c r="M42" s="11"/>
      <c r="N42" s="11"/>
    </row>
    <row r="43" spans="2:14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9"/>
      <c r="M43" s="5"/>
      <c r="N43" s="5"/>
    </row>
    <row r="44" spans="2:14" s="4" customFormat="1" x14ac:dyDescent="0.2">
      <c r="C44" s="5"/>
      <c r="D44" s="5"/>
      <c r="E44" s="5"/>
      <c r="F44" s="5"/>
      <c r="G44" s="5"/>
      <c r="H44" s="5"/>
      <c r="I44" s="5"/>
      <c r="J44" s="5"/>
      <c r="K44" s="5"/>
      <c r="L44" s="9"/>
      <c r="M44" s="5"/>
      <c r="N44" s="5"/>
    </row>
    <row r="45" spans="2:14" x14ac:dyDescent="0.2">
      <c r="B45" s="10" t="s">
        <v>78</v>
      </c>
      <c r="G45" s="3">
        <f>G46-G56</f>
        <v>-13062</v>
      </c>
      <c r="H45" s="3">
        <f t="shared" ref="H45" si="5">H46-H56</f>
        <v>-11754</v>
      </c>
      <c r="K45" s="3">
        <f>K46-K56</f>
        <v>-30503</v>
      </c>
      <c r="L45" s="3">
        <f>L46-L56</f>
        <v>-28372</v>
      </c>
    </row>
    <row r="46" spans="2:14" s="1" customFormat="1" x14ac:dyDescent="0.2">
      <c r="B46" s="1" t="s">
        <v>3</v>
      </c>
      <c r="C46" s="3"/>
      <c r="D46" s="3"/>
      <c r="E46" s="3"/>
      <c r="F46" s="3"/>
      <c r="G46" s="3">
        <v>5583</v>
      </c>
      <c r="H46" s="3">
        <v>7023</v>
      </c>
      <c r="I46" s="3"/>
      <c r="J46" s="3"/>
      <c r="K46" s="3">
        <v>2752</v>
      </c>
      <c r="L46" s="3">
        <v>1888</v>
      </c>
      <c r="M46" s="3"/>
      <c r="N46" s="3"/>
    </row>
    <row r="47" spans="2:14" s="1" customFormat="1" x14ac:dyDescent="0.2">
      <c r="B47" s="1" t="s">
        <v>79</v>
      </c>
      <c r="C47" s="3"/>
      <c r="D47" s="3"/>
      <c r="E47" s="3"/>
      <c r="F47" s="3"/>
      <c r="G47" s="3">
        <v>5554</v>
      </c>
      <c r="H47" s="3">
        <v>5476</v>
      </c>
      <c r="I47" s="3"/>
      <c r="J47" s="3"/>
      <c r="K47" s="3">
        <v>7889</v>
      </c>
      <c r="L47" s="3">
        <v>7445</v>
      </c>
      <c r="M47" s="3"/>
      <c r="N47" s="3"/>
    </row>
    <row r="48" spans="2:14" s="1" customFormat="1" x14ac:dyDescent="0.2">
      <c r="B48" s="1" t="s">
        <v>24</v>
      </c>
      <c r="C48" s="3"/>
      <c r="D48" s="3"/>
      <c r="E48" s="3"/>
      <c r="F48" s="3"/>
      <c r="G48" s="3">
        <v>4342</v>
      </c>
      <c r="H48" s="3">
        <v>4625</v>
      </c>
      <c r="I48" s="3"/>
      <c r="J48" s="3"/>
      <c r="K48" s="3">
        <v>5483</v>
      </c>
      <c r="L48" s="3">
        <v>5668</v>
      </c>
      <c r="M48" s="3"/>
      <c r="N48" s="3"/>
    </row>
    <row r="49" spans="2:14" s="1" customFormat="1" x14ac:dyDescent="0.2">
      <c r="B49" s="1" t="s">
        <v>25</v>
      </c>
      <c r="C49" s="3"/>
      <c r="D49" s="3"/>
      <c r="E49" s="3"/>
      <c r="F49" s="3"/>
      <c r="G49" s="3">
        <v>783</v>
      </c>
      <c r="H49" s="3">
        <v>804</v>
      </c>
      <c r="I49" s="3"/>
      <c r="J49" s="3"/>
      <c r="K49" s="3">
        <v>1064</v>
      </c>
      <c r="L49" s="3">
        <v>1147</v>
      </c>
      <c r="M49" s="3"/>
      <c r="N49" s="3"/>
    </row>
    <row r="50" spans="2:14" s="1" customFormat="1" x14ac:dyDescent="0.2">
      <c r="B50" s="1" t="s">
        <v>26</v>
      </c>
      <c r="C50" s="3"/>
      <c r="D50" s="3"/>
      <c r="E50" s="3"/>
      <c r="F50" s="3"/>
      <c r="G50" s="3">
        <v>1423</v>
      </c>
      <c r="H50" s="3">
        <v>1332</v>
      </c>
      <c r="I50" s="3"/>
      <c r="J50" s="3"/>
      <c r="K50" s="3">
        <v>1588</v>
      </c>
      <c r="L50" s="3">
        <v>1652</v>
      </c>
      <c r="M50" s="3"/>
      <c r="N50" s="3"/>
    </row>
    <row r="51" spans="2:14" s="1" customFormat="1" x14ac:dyDescent="0.2">
      <c r="B51" s="1" t="s">
        <v>27</v>
      </c>
      <c r="C51" s="3"/>
      <c r="D51" s="3"/>
      <c r="E51" s="3"/>
      <c r="F51" s="3"/>
      <c r="G51" s="3">
        <v>6133</v>
      </c>
      <c r="H51" s="3">
        <v>6560</v>
      </c>
      <c r="I51" s="3"/>
      <c r="J51" s="3"/>
      <c r="K51" s="3">
        <v>8448</v>
      </c>
      <c r="L51" s="3">
        <v>8529</v>
      </c>
      <c r="M51" s="3"/>
      <c r="N51" s="3"/>
    </row>
    <row r="52" spans="2:14" s="1" customFormat="1" x14ac:dyDescent="0.2">
      <c r="B52" s="1" t="s">
        <v>28</v>
      </c>
      <c r="C52" s="3"/>
      <c r="D52" s="3"/>
      <c r="E52" s="3"/>
      <c r="F52" s="3"/>
      <c r="G52" s="3">
        <f>12831+26823</f>
        <v>39654</v>
      </c>
      <c r="H52" s="3">
        <f>12390+26904</f>
        <v>39294</v>
      </c>
      <c r="I52" s="3"/>
      <c r="J52" s="3"/>
      <c r="K52" s="3">
        <f>19378+41721</f>
        <v>61099</v>
      </c>
      <c r="L52" s="3">
        <f>18578+41066</f>
        <v>59644</v>
      </c>
      <c r="M52" s="3"/>
      <c r="N52" s="3"/>
    </row>
    <row r="53" spans="2:14" s="1" customFormat="1" x14ac:dyDescent="0.2">
      <c r="B53" s="1" t="s">
        <v>29</v>
      </c>
      <c r="C53" s="3"/>
      <c r="D53" s="3"/>
      <c r="E53" s="3"/>
      <c r="F53" s="3"/>
      <c r="G53" s="3">
        <v>2459</v>
      </c>
      <c r="H53" s="3">
        <v>2584</v>
      </c>
      <c r="I53" s="3"/>
      <c r="J53" s="3"/>
      <c r="K53" s="3">
        <v>4424</v>
      </c>
      <c r="L53" s="3">
        <v>4306</v>
      </c>
      <c r="M53" s="3"/>
      <c r="N53" s="3"/>
    </row>
    <row r="54" spans="2:14" s="1" customFormat="1" x14ac:dyDescent="0.2">
      <c r="B54" s="1" t="s">
        <v>30</v>
      </c>
      <c r="C54" s="3"/>
      <c r="D54" s="3"/>
      <c r="E54" s="3"/>
      <c r="F54" s="3"/>
      <c r="G54" s="3">
        <f>SUM(G46:G53)</f>
        <v>65931</v>
      </c>
      <c r="H54" s="3">
        <f t="shared" ref="H54" si="6">SUM(H46:H53)</f>
        <v>67698</v>
      </c>
      <c r="I54" s="3"/>
      <c r="J54" s="3"/>
      <c r="K54" s="3">
        <f>SUM(K46:K53)</f>
        <v>92747</v>
      </c>
      <c r="L54" s="3">
        <f>SUM(L46:L53)</f>
        <v>90279</v>
      </c>
      <c r="M54" s="3"/>
      <c r="N54" s="3"/>
    </row>
    <row r="56" spans="2:14" s="1" customFormat="1" x14ac:dyDescent="0.2">
      <c r="B56" s="1" t="s">
        <v>4</v>
      </c>
      <c r="C56" s="3"/>
      <c r="D56" s="3"/>
      <c r="E56" s="3"/>
      <c r="F56" s="3"/>
      <c r="G56" s="3">
        <f>4+18641</f>
        <v>18645</v>
      </c>
      <c r="H56" s="3">
        <f>4+18773</f>
        <v>18777</v>
      </c>
      <c r="I56" s="3"/>
      <c r="J56" s="3"/>
      <c r="K56" s="3">
        <f>1866+31389</f>
        <v>33255</v>
      </c>
      <c r="L56" s="3">
        <f>1010+29250</f>
        <v>30260</v>
      </c>
      <c r="M56" s="3"/>
      <c r="N56" s="3"/>
    </row>
    <row r="57" spans="2:14" s="1" customFormat="1" x14ac:dyDescent="0.2">
      <c r="B57" s="1" t="s">
        <v>31</v>
      </c>
      <c r="C57" s="3"/>
      <c r="D57" s="3"/>
      <c r="E57" s="3"/>
      <c r="F57" s="3"/>
      <c r="G57" s="3">
        <v>2146</v>
      </c>
      <c r="H57" s="3">
        <v>2098</v>
      </c>
      <c r="I57" s="3"/>
      <c r="J57" s="3"/>
      <c r="K57" s="3">
        <v>2667</v>
      </c>
      <c r="L57" s="3">
        <v>2586</v>
      </c>
      <c r="M57" s="3"/>
      <c r="N57" s="3"/>
    </row>
    <row r="58" spans="2:14" s="1" customFormat="1" x14ac:dyDescent="0.2">
      <c r="B58" s="1" t="s">
        <v>32</v>
      </c>
      <c r="C58" s="3"/>
      <c r="D58" s="3"/>
      <c r="E58" s="3"/>
      <c r="F58" s="3"/>
      <c r="G58" s="3">
        <v>1314</v>
      </c>
      <c r="H58" s="3">
        <v>1492</v>
      </c>
      <c r="I58" s="3"/>
      <c r="J58" s="3"/>
      <c r="K58" s="3">
        <v>1634</v>
      </c>
      <c r="L58" s="3">
        <v>1722</v>
      </c>
      <c r="M58" s="3"/>
      <c r="N58" s="3"/>
    </row>
    <row r="59" spans="2:14" s="1" customFormat="1" x14ac:dyDescent="0.2">
      <c r="B59" s="1" t="s">
        <v>25</v>
      </c>
      <c r="C59" s="3"/>
      <c r="D59" s="3"/>
      <c r="E59" s="3"/>
      <c r="F59" s="3"/>
      <c r="G59" s="3">
        <v>1396</v>
      </c>
      <c r="H59" s="3">
        <v>1470</v>
      </c>
      <c r="I59" s="3"/>
      <c r="J59" s="3"/>
      <c r="K59" s="3">
        <v>2871</v>
      </c>
      <c r="L59" s="3">
        <v>2722</v>
      </c>
      <c r="M59" s="3"/>
      <c r="N59" s="3"/>
    </row>
    <row r="60" spans="2:14" s="1" customFormat="1" x14ac:dyDescent="0.2">
      <c r="B60" s="1" t="s">
        <v>33</v>
      </c>
      <c r="C60" s="3"/>
      <c r="D60" s="3"/>
      <c r="E60" s="3"/>
      <c r="F60" s="3"/>
      <c r="G60" s="3">
        <v>2135</v>
      </c>
      <c r="H60" s="3">
        <v>1861</v>
      </c>
      <c r="I60" s="3"/>
      <c r="J60" s="3"/>
      <c r="K60" s="3">
        <v>3032</v>
      </c>
      <c r="L60" s="3">
        <v>2957</v>
      </c>
      <c r="M60" s="3"/>
      <c r="N60" s="3"/>
    </row>
    <row r="61" spans="2:14" s="1" customFormat="1" x14ac:dyDescent="0.2">
      <c r="B61" s="1" t="s">
        <v>34</v>
      </c>
      <c r="C61" s="3"/>
      <c r="D61" s="3"/>
      <c r="E61" s="3"/>
      <c r="F61" s="3"/>
      <c r="G61" s="3">
        <v>1885</v>
      </c>
      <c r="H61" s="3">
        <v>1632</v>
      </c>
      <c r="I61" s="3"/>
      <c r="J61" s="3"/>
      <c r="K61" s="3">
        <v>3493</v>
      </c>
      <c r="L61" s="3">
        <v>3327</v>
      </c>
      <c r="M61" s="3"/>
      <c r="N61" s="3"/>
    </row>
    <row r="62" spans="2:14" s="1" customFormat="1" x14ac:dyDescent="0.2">
      <c r="B62" s="1" t="s">
        <v>38</v>
      </c>
      <c r="C62" s="3"/>
      <c r="D62" s="3"/>
      <c r="E62" s="3"/>
      <c r="F62" s="3"/>
      <c r="G62" s="3">
        <v>3352</v>
      </c>
      <c r="H62" s="3">
        <v>3514</v>
      </c>
      <c r="I62" s="3"/>
      <c r="J62" s="3"/>
      <c r="K62" s="3">
        <v>4664</v>
      </c>
      <c r="L62" s="3">
        <v>4534</v>
      </c>
      <c r="M62" s="3"/>
      <c r="N62" s="3"/>
    </row>
    <row r="63" spans="2:14" s="1" customFormat="1" x14ac:dyDescent="0.2">
      <c r="B63" s="1" t="s">
        <v>37</v>
      </c>
      <c r="C63" s="3"/>
      <c r="D63" s="3"/>
      <c r="E63" s="3"/>
      <c r="F63" s="3"/>
      <c r="G63" s="3">
        <v>0</v>
      </c>
      <c r="H63" s="3">
        <v>0</v>
      </c>
      <c r="I63" s="3"/>
      <c r="J63" s="3"/>
      <c r="K63" s="3">
        <v>113</v>
      </c>
      <c r="L63" s="3">
        <v>117</v>
      </c>
      <c r="M63" s="3"/>
      <c r="N63" s="3"/>
    </row>
    <row r="64" spans="2:14" s="1" customFormat="1" x14ac:dyDescent="0.2">
      <c r="B64" s="1" t="s">
        <v>36</v>
      </c>
      <c r="C64" s="3"/>
      <c r="D64" s="3"/>
      <c r="E64" s="3"/>
      <c r="F64" s="3"/>
      <c r="G64" s="3">
        <v>35058</v>
      </c>
      <c r="H64" s="3">
        <v>36854</v>
      </c>
      <c r="I64" s="3"/>
      <c r="J64" s="3"/>
      <c r="K64" s="3">
        <v>41018</v>
      </c>
      <c r="L64" s="3">
        <v>42354</v>
      </c>
      <c r="M64" s="3"/>
      <c r="N64" s="3"/>
    </row>
    <row r="65" spans="2:14" s="1" customFormat="1" x14ac:dyDescent="0.2">
      <c r="B65" s="1" t="s">
        <v>35</v>
      </c>
      <c r="C65" s="3"/>
      <c r="D65" s="3"/>
      <c r="E65" s="3"/>
      <c r="F65" s="3"/>
      <c r="G65" s="3">
        <f>SUM(G56:G64)</f>
        <v>65931</v>
      </c>
      <c r="H65" s="3">
        <f t="shared" ref="H65" si="7">SUM(H56:H64)</f>
        <v>67698</v>
      </c>
      <c r="I65" s="3"/>
      <c r="J65" s="3"/>
      <c r="K65" s="3">
        <f>SUM(K56:K64)</f>
        <v>92747</v>
      </c>
      <c r="L65" s="3">
        <f>SUM(L56:L64)</f>
        <v>90579</v>
      </c>
      <c r="M65" s="3"/>
      <c r="N65" s="3"/>
    </row>
    <row r="67" spans="2:14" x14ac:dyDescent="0.2">
      <c r="B67" s="1" t="s">
        <v>80</v>
      </c>
      <c r="G67" s="3">
        <f>+G32</f>
        <v>2351</v>
      </c>
      <c r="H67" s="3">
        <f>+H32</f>
        <v>1947</v>
      </c>
      <c r="K67" s="3">
        <f>+K32</f>
        <v>2217</v>
      </c>
      <c r="L67" s="3">
        <f>+L32</f>
        <v>1688</v>
      </c>
    </row>
    <row r="68" spans="2:14" s="1" customFormat="1" x14ac:dyDescent="0.2">
      <c r="B68" s="1" t="s">
        <v>81</v>
      </c>
      <c r="C68" s="3"/>
      <c r="D68" s="3"/>
      <c r="E68" s="3"/>
      <c r="F68" s="3"/>
      <c r="G68" s="3">
        <v>2337</v>
      </c>
      <c r="H68" s="3">
        <f>4166-G68</f>
        <v>1829</v>
      </c>
      <c r="I68" s="3"/>
      <c r="J68" s="3"/>
      <c r="K68" s="3">
        <v>2220</v>
      </c>
      <c r="L68" s="3">
        <f>3888-K68</f>
        <v>1668</v>
      </c>
      <c r="M68" s="3"/>
      <c r="N68" s="3"/>
    </row>
    <row r="69" spans="2:14" s="1" customFormat="1" x14ac:dyDescent="0.2">
      <c r="B69" s="1" t="s">
        <v>88</v>
      </c>
      <c r="C69" s="3"/>
      <c r="D69" s="3"/>
      <c r="E69" s="3"/>
      <c r="F69" s="3"/>
      <c r="G69" s="3">
        <v>198</v>
      </c>
      <c r="H69" s="3">
        <f>409-G69</f>
        <v>211</v>
      </c>
      <c r="I69" s="3"/>
      <c r="J69" s="3"/>
      <c r="K69" s="3">
        <v>250</v>
      </c>
      <c r="L69" s="3">
        <f>486-K69</f>
        <v>236</v>
      </c>
      <c r="M69" s="3"/>
      <c r="N69" s="3"/>
    </row>
    <row r="70" spans="2:14" s="1" customFormat="1" x14ac:dyDescent="0.2">
      <c r="B70" s="1" t="s">
        <v>87</v>
      </c>
      <c r="C70" s="3"/>
      <c r="D70" s="3"/>
      <c r="E70" s="3"/>
      <c r="F70" s="3"/>
      <c r="G70" s="3">
        <v>423</v>
      </c>
      <c r="H70" s="3">
        <f>872-G70</f>
        <v>449</v>
      </c>
      <c r="I70" s="3"/>
      <c r="J70" s="3"/>
      <c r="K70" s="3">
        <v>609</v>
      </c>
      <c r="L70" s="3">
        <f>1209-K70</f>
        <v>600</v>
      </c>
      <c r="M70" s="3"/>
      <c r="N70" s="3"/>
    </row>
    <row r="71" spans="2:14" s="1" customFormat="1" x14ac:dyDescent="0.2">
      <c r="B71" s="1" t="s">
        <v>34</v>
      </c>
      <c r="C71" s="3"/>
      <c r="D71" s="3"/>
      <c r="E71" s="3"/>
      <c r="F71" s="3"/>
      <c r="G71" s="3">
        <v>24</v>
      </c>
      <c r="H71" s="3">
        <f>-307-G71</f>
        <v>-331</v>
      </c>
      <c r="I71" s="3"/>
      <c r="J71" s="3"/>
      <c r="K71" s="3">
        <v>-339</v>
      </c>
      <c r="L71" s="3">
        <f>-601-K71</f>
        <v>-262</v>
      </c>
      <c r="M71" s="3"/>
      <c r="N71" s="3"/>
    </row>
    <row r="72" spans="2:14" s="1" customFormat="1" x14ac:dyDescent="0.2">
      <c r="B72" s="1" t="s">
        <v>86</v>
      </c>
      <c r="C72" s="3"/>
      <c r="D72" s="3"/>
      <c r="E72" s="3"/>
      <c r="F72" s="3"/>
      <c r="G72" s="3">
        <v>197</v>
      </c>
      <c r="H72" s="3">
        <f>197-G72</f>
        <v>0</v>
      </c>
      <c r="I72" s="3"/>
      <c r="J72" s="3"/>
      <c r="K72" s="3">
        <v>26</v>
      </c>
      <c r="L72" s="3">
        <f>26-K72</f>
        <v>0</v>
      </c>
      <c r="M72" s="3"/>
      <c r="N72" s="3"/>
    </row>
    <row r="73" spans="2:14" s="1" customFormat="1" x14ac:dyDescent="0.2">
      <c r="B73" s="1" t="s">
        <v>85</v>
      </c>
      <c r="C73" s="3"/>
      <c r="D73" s="3"/>
      <c r="E73" s="3"/>
      <c r="F73" s="3"/>
      <c r="G73" s="3">
        <v>51</v>
      </c>
      <c r="H73" s="3">
        <f>102-G73</f>
        <v>51</v>
      </c>
      <c r="I73" s="3"/>
      <c r="J73" s="3"/>
      <c r="K73" s="3">
        <v>78</v>
      </c>
      <c r="L73" s="3">
        <f>155-K73</f>
        <v>77</v>
      </c>
      <c r="M73" s="3"/>
      <c r="N73" s="3"/>
    </row>
    <row r="74" spans="2:14" s="1" customFormat="1" x14ac:dyDescent="0.2">
      <c r="B74" s="1" t="s">
        <v>84</v>
      </c>
      <c r="C74" s="3"/>
      <c r="D74" s="3"/>
      <c r="E74" s="3"/>
      <c r="F74" s="3"/>
      <c r="G74" s="3">
        <v>69</v>
      </c>
      <c r="H74" s="3">
        <f>213-G74</f>
        <v>144</v>
      </c>
      <c r="I74" s="3"/>
      <c r="J74" s="3"/>
      <c r="K74" s="3">
        <v>233</v>
      </c>
      <c r="L74" s="3">
        <f>291-K74</f>
        <v>58</v>
      </c>
      <c r="M74" s="3"/>
      <c r="N74" s="3"/>
    </row>
    <row r="75" spans="2:14" s="1" customFormat="1" x14ac:dyDescent="0.2">
      <c r="B75" s="1" t="s">
        <v>83</v>
      </c>
      <c r="C75" s="3"/>
      <c r="D75" s="3"/>
      <c r="E75" s="3"/>
      <c r="F75" s="3"/>
      <c r="G75" s="3">
        <v>-1321</v>
      </c>
      <c r="H75" s="3">
        <f>-1447-G75</f>
        <v>-126</v>
      </c>
      <c r="I75" s="3"/>
      <c r="J75" s="3"/>
      <c r="K75" s="3">
        <v>-875</v>
      </c>
      <c r="L75" s="3">
        <f>-1724-K75</f>
        <v>-849</v>
      </c>
      <c r="M75" s="3"/>
      <c r="N75" s="3"/>
    </row>
    <row r="76" spans="2:14" s="1" customFormat="1" x14ac:dyDescent="0.2">
      <c r="B76" s="1" t="s">
        <v>82</v>
      </c>
      <c r="C76" s="3"/>
      <c r="D76" s="3"/>
      <c r="E76" s="3"/>
      <c r="F76" s="3"/>
      <c r="G76" s="3">
        <f>SUM(G68:G75)</f>
        <v>1978</v>
      </c>
      <c r="H76" s="3">
        <f>SUM(H68:H75)</f>
        <v>2227</v>
      </c>
      <c r="I76" s="3"/>
      <c r="J76" s="3"/>
      <c r="K76" s="3">
        <f>SUM(K68:K75)</f>
        <v>2202</v>
      </c>
      <c r="L76" s="3">
        <f>SUM(L68:L75)</f>
        <v>1528</v>
      </c>
      <c r="M76" s="3"/>
      <c r="N76" s="3"/>
    </row>
    <row r="78" spans="2:14" s="1" customFormat="1" x14ac:dyDescent="0.2">
      <c r="B78" s="1" t="s">
        <v>72</v>
      </c>
      <c r="C78" s="3"/>
      <c r="D78" s="3"/>
      <c r="E78" s="3"/>
      <c r="F78" s="3"/>
      <c r="G78" s="3">
        <v>-1343</v>
      </c>
      <c r="H78" s="3">
        <f>-1425-G78</f>
        <v>-82</v>
      </c>
      <c r="I78" s="3"/>
      <c r="J78" s="3"/>
      <c r="K78" s="3">
        <v>-40</v>
      </c>
      <c r="L78" s="3">
        <f>-40-K78</f>
        <v>0</v>
      </c>
      <c r="M78" s="3"/>
      <c r="N78" s="3"/>
    </row>
    <row r="79" spans="2:14" s="1" customFormat="1" x14ac:dyDescent="0.2">
      <c r="B79" s="1" t="s">
        <v>90</v>
      </c>
      <c r="C79" s="3"/>
      <c r="D79" s="3"/>
      <c r="E79" s="3"/>
      <c r="F79" s="3"/>
      <c r="G79" s="3">
        <v>-628</v>
      </c>
      <c r="H79" s="3">
        <f>-1168-G79</f>
        <v>-540</v>
      </c>
      <c r="I79" s="3"/>
      <c r="J79" s="3"/>
      <c r="K79" s="3">
        <v>-640</v>
      </c>
      <c r="L79" s="3">
        <f>-1146-K79</f>
        <v>-506</v>
      </c>
      <c r="M79" s="3"/>
      <c r="N79" s="3"/>
    </row>
    <row r="80" spans="2:14" s="1" customFormat="1" x14ac:dyDescent="0.2">
      <c r="B80" s="1" t="s">
        <v>91</v>
      </c>
      <c r="C80" s="3"/>
      <c r="D80" s="3"/>
      <c r="E80" s="3"/>
      <c r="F80" s="3"/>
      <c r="G80" s="3">
        <v>5</v>
      </c>
      <c r="H80" s="3">
        <f>5-G80</f>
        <v>0</v>
      </c>
      <c r="I80" s="3"/>
      <c r="J80" s="3"/>
      <c r="K80" s="3">
        <v>2</v>
      </c>
      <c r="L80" s="3">
        <f>14-K80</f>
        <v>12</v>
      </c>
      <c r="M80" s="3"/>
      <c r="N80" s="3"/>
    </row>
    <row r="81" spans="2:14" s="1" customFormat="1" x14ac:dyDescent="0.2">
      <c r="B81" s="1" t="s">
        <v>29</v>
      </c>
      <c r="C81" s="3"/>
      <c r="D81" s="3"/>
      <c r="E81" s="3"/>
      <c r="F81" s="3"/>
      <c r="G81" s="3">
        <v>-32</v>
      </c>
      <c r="H81" s="3">
        <f>-36-G81</f>
        <v>-4</v>
      </c>
      <c r="I81" s="3"/>
      <c r="J81" s="3"/>
      <c r="K81" s="3">
        <v>8</v>
      </c>
      <c r="L81" s="3">
        <f>83-K81</f>
        <v>75</v>
      </c>
      <c r="M81" s="3"/>
      <c r="N81" s="3"/>
    </row>
    <row r="82" spans="2:14" s="1" customFormat="1" x14ac:dyDescent="0.2">
      <c r="B82" s="1" t="s">
        <v>89</v>
      </c>
      <c r="C82" s="3"/>
      <c r="D82" s="3"/>
      <c r="E82" s="3"/>
      <c r="F82" s="3"/>
      <c r="G82" s="3">
        <f>SUM(G78:G81)</f>
        <v>-1998</v>
      </c>
      <c r="H82" s="3">
        <f>SUM(H78:H81)</f>
        <v>-626</v>
      </c>
      <c r="I82" s="3"/>
      <c r="J82" s="3"/>
      <c r="K82" s="3">
        <f>SUM(K78:K81)</f>
        <v>-670</v>
      </c>
      <c r="L82" s="3">
        <f>SUM(L78:L81)</f>
        <v>-419</v>
      </c>
      <c r="M82" s="3"/>
      <c r="N82" s="3"/>
    </row>
    <row r="84" spans="2:14" s="1" customFormat="1" x14ac:dyDescent="0.2">
      <c r="B84" s="1" t="s">
        <v>4</v>
      </c>
      <c r="C84" s="3"/>
      <c r="D84" s="3"/>
      <c r="E84" s="3"/>
      <c r="F84" s="3"/>
      <c r="G84" s="3">
        <v>-2803</v>
      </c>
      <c r="H84" s="3">
        <f>-2803-G84</f>
        <v>0</v>
      </c>
      <c r="I84" s="3"/>
      <c r="J84" s="3"/>
      <c r="K84" s="3">
        <f>-375+626-1259</f>
        <v>-1008</v>
      </c>
      <c r="L84" s="3">
        <f>-375+1032-3490-K84</f>
        <v>-1825</v>
      </c>
      <c r="M84" s="3"/>
      <c r="N84" s="3"/>
    </row>
    <row r="85" spans="2:14" s="1" customFormat="1" x14ac:dyDescent="0.2">
      <c r="B85" s="1" t="s">
        <v>92</v>
      </c>
      <c r="C85" s="3"/>
      <c r="D85" s="3"/>
      <c r="E85" s="3"/>
      <c r="F85" s="3"/>
      <c r="G85" s="3">
        <v>-2000</v>
      </c>
      <c r="H85" s="3">
        <f>-2000-G85</f>
        <v>0</v>
      </c>
      <c r="I85" s="3"/>
      <c r="J85" s="3"/>
      <c r="K85" s="3">
        <v>-2000</v>
      </c>
      <c r="L85" s="3">
        <f>-2000-K85</f>
        <v>0</v>
      </c>
      <c r="M85" s="3"/>
      <c r="N85" s="3"/>
    </row>
    <row r="86" spans="2:14" s="1" customFormat="1" x14ac:dyDescent="0.2">
      <c r="B86" s="1" t="s">
        <v>93</v>
      </c>
      <c r="C86" s="3"/>
      <c r="D86" s="3"/>
      <c r="E86" s="3"/>
      <c r="F86" s="3"/>
      <c r="G86" s="3">
        <v>-87</v>
      </c>
      <c r="H86" s="3">
        <f>-190-G86</f>
        <v>-103</v>
      </c>
      <c r="I86" s="3"/>
      <c r="J86" s="3"/>
      <c r="K86" s="3">
        <v>-103</v>
      </c>
      <c r="L86" s="3">
        <f>-220-K86</f>
        <v>-117</v>
      </c>
      <c r="M86" s="3"/>
      <c r="N86" s="3"/>
    </row>
    <row r="87" spans="2:14" s="1" customFormat="1" x14ac:dyDescent="0.2">
      <c r="B87" s="1" t="s">
        <v>94</v>
      </c>
      <c r="C87" s="3"/>
      <c r="D87" s="3"/>
      <c r="E87" s="3"/>
      <c r="F87" s="3"/>
      <c r="G87" s="3">
        <v>20</v>
      </c>
      <c r="H87" s="3">
        <f>72-G87</f>
        <v>52</v>
      </c>
      <c r="I87" s="3"/>
      <c r="J87" s="3"/>
      <c r="K87" s="3">
        <v>2</v>
      </c>
      <c r="L87" s="3">
        <f>51-K87</f>
        <v>49</v>
      </c>
      <c r="M87" s="3"/>
      <c r="N87" s="3"/>
    </row>
    <row r="88" spans="2:14" s="1" customFormat="1" x14ac:dyDescent="0.2">
      <c r="B88" s="1" t="s">
        <v>29</v>
      </c>
      <c r="C88" s="3"/>
      <c r="D88" s="3"/>
      <c r="E88" s="3"/>
      <c r="F88" s="3"/>
      <c r="G88" s="3">
        <v>20</v>
      </c>
      <c r="H88" s="3">
        <f>-5-G88</f>
        <v>-25</v>
      </c>
      <c r="I88" s="3"/>
      <c r="J88" s="3"/>
      <c r="K88" s="3">
        <v>-36</v>
      </c>
      <c r="L88" s="3">
        <f>-48-K88</f>
        <v>-12</v>
      </c>
      <c r="M88" s="3"/>
      <c r="N88" s="3"/>
    </row>
    <row r="89" spans="2:14" s="1" customFormat="1" x14ac:dyDescent="0.2">
      <c r="B89" s="1" t="s">
        <v>95</v>
      </c>
      <c r="C89" s="3"/>
      <c r="D89" s="3"/>
      <c r="E89" s="3"/>
      <c r="F89" s="3"/>
      <c r="G89" s="3">
        <f>SUM(G84:G88)</f>
        <v>-4850</v>
      </c>
      <c r="H89" s="3">
        <f>SUM(H84:H88)</f>
        <v>-76</v>
      </c>
      <c r="I89" s="3"/>
      <c r="J89" s="3"/>
      <c r="K89" s="3">
        <f>SUM(K84:K88)</f>
        <v>-3145</v>
      </c>
      <c r="L89" s="3">
        <f>SUM(L84:L88)</f>
        <v>-1905</v>
      </c>
      <c r="M89" s="3"/>
      <c r="N89" s="3"/>
    </row>
    <row r="91" spans="2:14" x14ac:dyDescent="0.2">
      <c r="B91" s="1" t="s">
        <v>97</v>
      </c>
      <c r="G91" s="2">
        <v>137</v>
      </c>
      <c r="H91" s="2">
        <f>44-G91</f>
        <v>-93</v>
      </c>
      <c r="K91" s="2">
        <v>-99</v>
      </c>
      <c r="L91" s="2">
        <f>-177-K91</f>
        <v>-78</v>
      </c>
    </row>
    <row r="92" spans="2:14" x14ac:dyDescent="0.2">
      <c r="B92" s="1" t="s">
        <v>96</v>
      </c>
      <c r="G92" s="3">
        <f>+G76+G82+G89+G91</f>
        <v>-4733</v>
      </c>
      <c r="H92" s="3">
        <f>+H76+H82+H89+H91</f>
        <v>1432</v>
      </c>
      <c r="K92" s="3">
        <f>+K76+K82+K89+K91</f>
        <v>-1712</v>
      </c>
      <c r="L92" s="3">
        <f>+L76+L82+L89+L91</f>
        <v>-874</v>
      </c>
    </row>
    <row r="94" spans="2:14" x14ac:dyDescent="0.2">
      <c r="B94" s="1" t="s">
        <v>98</v>
      </c>
      <c r="G94" s="3">
        <f>+G76+G79</f>
        <v>1350</v>
      </c>
      <c r="H94" s="3">
        <f>+H76+H79</f>
        <v>1687</v>
      </c>
      <c r="K94" s="3">
        <f>+K76+K79</f>
        <v>1562</v>
      </c>
      <c r="L94" s="3">
        <f>+L76+L79</f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2022-09-19T02:30:39Z</dcterms:created>
  <dcterms:modified xsi:type="dcterms:W3CDTF">2022-09-19T07:03:47Z</dcterms:modified>
</cp:coreProperties>
</file>