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520FD5EB-8860-434C-BEF2-C134E6210B34}" xr6:coauthVersionLast="47" xr6:coauthVersionMax="47" xr10:uidLastSave="{00000000-0000-0000-0000-000000000000}"/>
  <bookViews>
    <workbookView xWindow="0" yWindow="760" windowWidth="34560" windowHeight="21580" xr2:uid="{DC4A1546-EBD5-4FB0-9E22-675482048C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2" l="1"/>
  <c r="X30" i="2"/>
  <c r="W30" i="2"/>
  <c r="V30" i="2"/>
  <c r="Y29" i="2"/>
  <c r="Y28" i="2"/>
  <c r="Y25" i="2"/>
  <c r="X25" i="2"/>
  <c r="W25" i="2"/>
  <c r="V25" i="2"/>
  <c r="V21" i="2"/>
  <c r="W21" i="2"/>
  <c r="X21" i="2"/>
  <c r="Y19" i="2"/>
  <c r="Y17" i="2"/>
  <c r="Y18" i="2" s="1"/>
  <c r="Y22" i="2"/>
  <c r="X18" i="2"/>
  <c r="X20" i="2" s="1"/>
  <c r="W18" i="2"/>
  <c r="W20" i="2" s="1"/>
  <c r="V18" i="2"/>
  <c r="V20" i="2" s="1"/>
  <c r="Y15" i="2"/>
  <c r="Y16" i="2" s="1"/>
  <c r="X15" i="2"/>
  <c r="X16" i="2" s="1"/>
  <c r="W15" i="2"/>
  <c r="W16" i="2" s="1"/>
  <c r="V15" i="2"/>
  <c r="V16" i="2" s="1"/>
  <c r="Y14" i="2"/>
  <c r="Y13" i="2"/>
  <c r="Y12" i="2"/>
  <c r="S21" i="2"/>
  <c r="R21" i="2"/>
  <c r="S22" i="2"/>
  <c r="R22" i="2"/>
  <c r="S20" i="2"/>
  <c r="R20" i="2"/>
  <c r="S18" i="2"/>
  <c r="R18" i="2"/>
  <c r="S16" i="2"/>
  <c r="R16" i="2"/>
  <c r="S15" i="2"/>
  <c r="R15" i="2"/>
  <c r="S12" i="2"/>
  <c r="R12" i="2"/>
  <c r="Y11" i="2"/>
  <c r="Y10" i="2"/>
  <c r="S10" i="2"/>
  <c r="R10" i="2"/>
  <c r="S11" i="2"/>
  <c r="R11" i="2"/>
  <c r="R25" i="2" s="1"/>
  <c r="S25" i="2"/>
  <c r="X11" i="2"/>
  <c r="W11" i="2"/>
  <c r="V11" i="2"/>
  <c r="W24" i="2"/>
  <c r="X24" i="2"/>
  <c r="Y24" i="2"/>
  <c r="Y8" i="2"/>
  <c r="S8" i="2"/>
  <c r="R8" i="2"/>
  <c r="Y9" i="2"/>
  <c r="X9" i="2"/>
  <c r="W9" i="2"/>
  <c r="V9" i="2"/>
  <c r="Y20" i="2" l="1"/>
  <c r="Y21" i="2" s="1"/>
  <c r="Y7" i="2" l="1"/>
  <c r="S7" i="2"/>
  <c r="R7" i="2"/>
  <c r="Y6" i="2"/>
  <c r="S6" i="2"/>
  <c r="R6" i="2"/>
  <c r="S9" i="2"/>
  <c r="Y3" i="2"/>
  <c r="S3" i="2"/>
  <c r="R3" i="2"/>
  <c r="J30" i="2"/>
  <c r="N30" i="2"/>
  <c r="N21" i="2"/>
  <c r="N20" i="2"/>
  <c r="N18" i="2"/>
  <c r="N16" i="2"/>
  <c r="N15" i="2"/>
  <c r="N9" i="2"/>
  <c r="N25" i="2" s="1"/>
  <c r="N8" i="2"/>
  <c r="K30" i="2"/>
  <c r="O30" i="2"/>
  <c r="K21" i="2"/>
  <c r="K20" i="2"/>
  <c r="K18" i="2"/>
  <c r="K17" i="2"/>
  <c r="K15" i="2"/>
  <c r="K16" i="2" s="1"/>
  <c r="K11" i="2"/>
  <c r="K9" i="2"/>
  <c r="K25" i="2" s="1"/>
  <c r="O21" i="2"/>
  <c r="O20" i="2"/>
  <c r="O18" i="2"/>
  <c r="O17" i="2"/>
  <c r="O15" i="2"/>
  <c r="O16" i="2" s="1"/>
  <c r="O11" i="2"/>
  <c r="O25" i="2" s="1"/>
  <c r="O9" i="2"/>
  <c r="Q30" i="2"/>
  <c r="M30" i="2"/>
  <c r="M11" i="2"/>
  <c r="M16" i="2"/>
  <c r="M18" i="2" s="1"/>
  <c r="M20" i="2" s="1"/>
  <c r="M21" i="2" s="1"/>
  <c r="L16" i="2"/>
  <c r="P16" i="2"/>
  <c r="M15" i="2"/>
  <c r="L15" i="2"/>
  <c r="Q15" i="2"/>
  <c r="Q11" i="2"/>
  <c r="Q16" i="2" s="1"/>
  <c r="Q18" i="2" s="1"/>
  <c r="Q20" i="2" s="1"/>
  <c r="Q21" i="2" s="1"/>
  <c r="Q9" i="2"/>
  <c r="P30" i="2"/>
  <c r="L30" i="2"/>
  <c r="P15" i="2"/>
  <c r="L9" i="2"/>
  <c r="L11" i="2" s="1"/>
  <c r="P9" i="2"/>
  <c r="P11" i="2" s="1"/>
  <c r="P25" i="2" s="1"/>
  <c r="M25" i="2"/>
  <c r="J25" i="2"/>
  <c r="N24" i="2"/>
  <c r="M24" i="2"/>
  <c r="K7" i="1"/>
  <c r="K5" i="1"/>
  <c r="K4" i="1"/>
  <c r="R9" i="2" l="1"/>
  <c r="O24" i="2"/>
  <c r="Q25" i="2"/>
  <c r="Q24" i="2"/>
  <c r="P18" i="2"/>
  <c r="P20" i="2" s="1"/>
  <c r="P21" i="2" s="1"/>
  <c r="L18" i="2"/>
  <c r="L20" i="2" s="1"/>
  <c r="L21" i="2" s="1"/>
  <c r="L25" i="2"/>
  <c r="P24" i="2"/>
</calcChain>
</file>

<file path=xl/sharedStrings.xml><?xml version="1.0" encoding="utf-8"?>
<sst xmlns="http://schemas.openxmlformats.org/spreadsheetml/2006/main" count="47" uniqueCount="43">
  <si>
    <t>Price</t>
  </si>
  <si>
    <t>Shares</t>
  </si>
  <si>
    <t>MC</t>
  </si>
  <si>
    <t>Cash</t>
  </si>
  <si>
    <t>Debt</t>
  </si>
  <si>
    <t>EV</t>
  </si>
  <si>
    <t>Revenue</t>
  </si>
  <si>
    <t>Main</t>
  </si>
  <si>
    <t>Subscription</t>
  </si>
  <si>
    <t>Tech</t>
  </si>
  <si>
    <t>Hardware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</si>
  <si>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</si>
  <si>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</si>
  <si>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</si>
  <si>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</si>
  <si>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</si>
  <si>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</si>
  <si>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</si>
  <si>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</si>
  <si>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</si>
  <si>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</si>
  <si>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</si>
  <si>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</si>
  <si>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</si>
  <si>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Revenue y/y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</si>
  <si>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</si>
  <si>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</si>
  <si>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</si>
  <si>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</si>
  <si>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</si>
  <si>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</si>
  <si>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</si>
  <si>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</si>
  <si>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</si>
  <si>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</si>
  <si>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</si>
  <si>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</si>
  <si>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</si>
  <si>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CapEx</t>
  </si>
  <si>
    <t>FCF</t>
  </si>
  <si>
    <t>GPV</t>
  </si>
  <si>
    <t>Locations</t>
  </si>
  <si>
    <t>Founded: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</si>
</sst>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1F55EB-CF3E-4C56-94D1-47F70FE6D3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27878</xdr:colOff>
      <xdr:row>0</xdr:row>
      <xdr:rowOff>27878</xdr:rowOff>
    </xdr:from>
    <xdr:to>
      <xdr:col>17</xdr:col>
      <xdr:colOff>27878</xdr:colOff>
      <xdr:row>33</xdr:row>
      <xdr:rowOff>139390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F20D21-0304-8605-C6B8-380ABEEDFCBC}"/>
            </a:ext>
          </a:extLst>
        </xdr:cNvPr>
        <xdr:cNvCxnSpPr/>
      </xdr:nvCxnSpPr>
      <xdr:spPr>
        <a:xfrm>
          <a:off x="10361341" y="27878"/>
          <a:ext cx="0" cy="49901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736E-C9D5-4EC4-B6F4-232F40346A1A}">
  <dimension ref="J2:L10"/>
  <sheetViews>
    <sheetView tabSelected="1" zoomScale="205" zoomScaleNormal="205" workbookViewId="0">
      <selection activeCell="L3" sqref="L3"/>
    </sheetView>
  </sheetViews>
  <sheetFormatPr baseColWidth="10" defaultColWidth="8.83203125" defaultRowHeight="13" x14ac:dyDescent="0.15"/>
  <sheetData>
    <row r="2" spans="10:12" x14ac:dyDescent="0.15">
      <c r="J2" t="s">
        <v>0</v>
      </c>
      <c r="K2" s="1">
        <v>27.5</v>
      </c>
    </row>
    <row r="3" spans="10:12" x14ac:dyDescent="0.15">
      <c r="J3" t="s">
        <v>1</v>
      </c>
      <c r="K3" s="2">
        <v>535.6</v>
      </c>
      <c r="L3" s="3" t="s">
        <v>20</v>
      </c>
    </row>
    <row r="4" spans="10:12" x14ac:dyDescent="0.15">
      <c r="J4" t="s">
        <v>2</v>
      </c>
      <c r="K4" s="2">
        <f>+K2*K3</f>
        <v>14729</v>
      </c>
    </row>
    <row r="5" spans="10:12" x14ac:dyDescent="0.15">
      <c r="J5" t="s">
        <v>3</v>
      </c>
      <c r="K5" s="2">
        <f>578+537</f>
        <v>1115</v>
      </c>
      <c r="L5" s="3" t="s">
        <v>20</v>
      </c>
    </row>
    <row r="6" spans="10:12" x14ac:dyDescent="0.15">
      <c r="J6" t="s">
        <v>4</v>
      </c>
      <c r="K6" s="2">
        <v>0</v>
      </c>
      <c r="L6" s="3" t="s">
        <v>20</v>
      </c>
    </row>
    <row r="7" spans="10:12" x14ac:dyDescent="0.15">
      <c r="J7" t="s">
        <v>5</v>
      </c>
      <c r="K7" s="2">
        <f>+K4-K5+K6</f>
        <v>13614</v>
      </c>
    </row>
    <row r="10" spans="10:12" x14ac:dyDescent="0.15">
      <c r="J1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8E1F-2C33-4B6B-9BBC-EA165705D1AC}">
  <dimension ref="A1:Y30"/>
  <sheetViews>
    <sheetView zoomScale="160" zoomScaleNormal="16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T6" sqref="T6"/>
    </sheetView>
  </sheetViews>
  <sheetFormatPr baseColWidth="10" defaultColWidth="8.83203125" defaultRowHeight="13" x14ac:dyDescent="0.15"/>
  <cols>
    <col min="1" max="1" width="5" bestFit="1" customWidth="1"/>
    <col min="2" max="2" width="13" customWidth="1"/>
    <col min="3" max="14" width="9.1640625" style="3"/>
  </cols>
  <sheetData>
    <row r="1" spans="1:25" x14ac:dyDescent="0.15">
      <c r="A1" t="s">
        <v>7</v>
      </c>
    </row>
    <row r="2" spans="1:25" x14ac:dyDescent="0.15"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V2">
        <v>2021</v>
      </c>
      <c r="W2">
        <v>2022</v>
      </c>
      <c r="X2">
        <v>2023</v>
      </c>
      <c r="Y2">
        <v>2024</v>
      </c>
    </row>
    <row r="3" spans="1:25" x14ac:dyDescent="0.15">
      <c r="B3" t="s">
        <v>40</v>
      </c>
      <c r="L3" s="3">
        <v>26.7</v>
      </c>
      <c r="M3" s="3">
        <v>32.1</v>
      </c>
      <c r="N3" s="3">
        <v>33.700000000000003</v>
      </c>
      <c r="O3" s="3">
        <v>33.700000000000003</v>
      </c>
      <c r="P3" s="3">
        <v>34.700000000000003</v>
      </c>
      <c r="Q3" s="3">
        <v>40.5</v>
      </c>
      <c r="R3" s="3">
        <f>+Q3+3</f>
        <v>43.5</v>
      </c>
      <c r="S3" s="3">
        <f>+R3+3</f>
        <v>46.5</v>
      </c>
      <c r="W3">
        <v>91.7</v>
      </c>
      <c r="X3">
        <v>126.1</v>
      </c>
      <c r="Y3">
        <f>SUM(P3:S3)</f>
        <v>165.2</v>
      </c>
    </row>
    <row r="4" spans="1:25" x14ac:dyDescent="0.15">
      <c r="B4" t="s">
        <v>41</v>
      </c>
      <c r="N4" s="3">
        <v>99</v>
      </c>
      <c r="O4" s="3">
        <v>106</v>
      </c>
      <c r="P4" s="3"/>
      <c r="Q4" s="3">
        <v>120</v>
      </c>
      <c r="R4" s="3"/>
      <c r="S4" s="3"/>
    </row>
    <row r="5" spans="1:25" x14ac:dyDescent="0.15">
      <c r="O5" s="3"/>
      <c r="P5" s="3"/>
      <c r="Q5" s="3"/>
      <c r="R5" s="3"/>
      <c r="S5" s="3"/>
    </row>
    <row r="6" spans="1:25" s="2" customFormat="1" x14ac:dyDescent="0.15">
      <c r="B6" s="2" t="s">
        <v>8</v>
      </c>
      <c r="C6" s="9"/>
      <c r="D6" s="9"/>
      <c r="E6" s="9"/>
      <c r="F6" s="9"/>
      <c r="G6" s="9"/>
      <c r="H6" s="9"/>
      <c r="I6" s="9"/>
      <c r="J6" s="9"/>
      <c r="K6" s="9">
        <v>95</v>
      </c>
      <c r="L6" s="9">
        <v>107</v>
      </c>
      <c r="M6" s="9"/>
      <c r="N6" s="9">
        <v>131</v>
      </c>
      <c r="O6" s="2">
        <v>142</v>
      </c>
      <c r="P6" s="2">
        <v>151</v>
      </c>
      <c r="Q6" s="2">
        <v>166</v>
      </c>
      <c r="R6" s="2">
        <f>+Q6+10</f>
        <v>176</v>
      </c>
      <c r="S6" s="2">
        <f>+R6+10</f>
        <v>186</v>
      </c>
      <c r="V6" s="2">
        <v>169</v>
      </c>
      <c r="W6" s="2">
        <v>324</v>
      </c>
      <c r="X6" s="2">
        <v>500</v>
      </c>
      <c r="Y6" s="2">
        <f>SUM(P6:S6)</f>
        <v>679</v>
      </c>
    </row>
    <row r="7" spans="1:25" s="2" customFormat="1" x14ac:dyDescent="0.15">
      <c r="B7" s="2" t="s">
        <v>9</v>
      </c>
      <c r="C7" s="9"/>
      <c r="D7" s="9"/>
      <c r="E7" s="9"/>
      <c r="F7" s="9"/>
      <c r="G7" s="9"/>
      <c r="H7" s="9"/>
      <c r="I7" s="9"/>
      <c r="J7" s="9"/>
      <c r="K7" s="9">
        <v>640</v>
      </c>
      <c r="L7" s="9">
        <v>673</v>
      </c>
      <c r="M7" s="9"/>
      <c r="N7" s="9">
        <v>856</v>
      </c>
      <c r="O7" s="9">
        <v>851</v>
      </c>
      <c r="P7" s="2">
        <v>873</v>
      </c>
      <c r="Q7" s="9">
        <v>1023</v>
      </c>
      <c r="R7" s="2">
        <f>+Q7+50</f>
        <v>1073</v>
      </c>
      <c r="S7" s="2">
        <f>+R7+50</f>
        <v>1123</v>
      </c>
      <c r="V7" s="2">
        <v>1406</v>
      </c>
      <c r="W7" s="2">
        <v>2268</v>
      </c>
      <c r="X7" s="2">
        <v>3189</v>
      </c>
      <c r="Y7" s="2">
        <f>SUM(P7:S7)</f>
        <v>4092</v>
      </c>
    </row>
    <row r="8" spans="1:25" x14ac:dyDescent="0.15">
      <c r="B8" t="s">
        <v>10</v>
      </c>
      <c r="K8" s="3">
        <v>34</v>
      </c>
      <c r="L8" s="3">
        <v>39</v>
      </c>
      <c r="N8" s="3">
        <f>34+11</f>
        <v>45</v>
      </c>
      <c r="O8" s="3">
        <v>43</v>
      </c>
      <c r="P8">
        <v>51</v>
      </c>
      <c r="Q8" s="9">
        <v>53</v>
      </c>
      <c r="R8" s="2">
        <f>+Q8</f>
        <v>53</v>
      </c>
      <c r="S8" s="2">
        <f>+R8</f>
        <v>53</v>
      </c>
      <c r="V8">
        <v>130</v>
      </c>
      <c r="W8">
        <v>139</v>
      </c>
      <c r="X8">
        <v>176</v>
      </c>
      <c r="Y8" s="2">
        <f>SUM(P8:S8)</f>
        <v>210</v>
      </c>
    </row>
    <row r="9" spans="1:25" s="5" customFormat="1" x14ac:dyDescent="0.15">
      <c r="B9" s="5" t="s">
        <v>6</v>
      </c>
      <c r="C9" s="5">
        <v>236.8</v>
      </c>
      <c r="D9" s="5">
        <v>282</v>
      </c>
      <c r="E9" s="5">
        <v>426</v>
      </c>
      <c r="F9" s="5">
        <v>486</v>
      </c>
      <c r="G9" s="5">
        <v>511</v>
      </c>
      <c r="H9" s="5">
        <v>535</v>
      </c>
      <c r="I9" s="5">
        <v>675</v>
      </c>
      <c r="J9" s="5">
        <v>752</v>
      </c>
      <c r="K9" s="5">
        <f>SUM(K6:K8)</f>
        <v>769</v>
      </c>
      <c r="L9" s="5">
        <f>SUM(L6:L8)</f>
        <v>819</v>
      </c>
      <c r="M9" s="5">
        <v>978</v>
      </c>
      <c r="N9" s="5">
        <f>SUM(N6:N8)</f>
        <v>1032</v>
      </c>
      <c r="O9" s="5">
        <f>SUM(O6:O8)</f>
        <v>1036</v>
      </c>
      <c r="P9" s="5">
        <f>SUM(P6:P8)</f>
        <v>1075</v>
      </c>
      <c r="Q9" s="5">
        <f>SUM(Q6:Q8)</f>
        <v>1242</v>
      </c>
      <c r="R9" s="5">
        <f t="shared" ref="R9:S9" si="0">SUM(R6:R8)</f>
        <v>1302</v>
      </c>
      <c r="S9" s="5">
        <f t="shared" si="0"/>
        <v>1362</v>
      </c>
      <c r="V9" s="5">
        <f t="shared" ref="V9:Y9" si="1">SUM(V6:V8)</f>
        <v>1705</v>
      </c>
      <c r="W9" s="5">
        <f t="shared" si="1"/>
        <v>2731</v>
      </c>
      <c r="X9" s="5">
        <f t="shared" si="1"/>
        <v>3865</v>
      </c>
      <c r="Y9" s="5">
        <f t="shared" si="1"/>
        <v>4981</v>
      </c>
    </row>
    <row r="10" spans="1:25" s="2" customFormat="1" x14ac:dyDescent="0.15">
      <c r="B10" s="2" t="s">
        <v>25</v>
      </c>
      <c r="C10" s="2">
        <v>188.4</v>
      </c>
      <c r="D10" s="2">
        <v>213</v>
      </c>
      <c r="E10" s="2">
        <v>337</v>
      </c>
      <c r="F10" s="2">
        <v>403</v>
      </c>
      <c r="G10" s="2">
        <v>438</v>
      </c>
      <c r="H10" s="2">
        <v>446</v>
      </c>
      <c r="I10" s="2">
        <v>562</v>
      </c>
      <c r="J10" s="2">
        <v>601</v>
      </c>
      <c r="K10" s="2">
        <v>611</v>
      </c>
      <c r="L10" s="2">
        <v>645</v>
      </c>
      <c r="M10" s="2">
        <v>770</v>
      </c>
      <c r="N10" s="2">
        <v>806</v>
      </c>
      <c r="O10" s="2">
        <v>810</v>
      </c>
      <c r="P10" s="2">
        <v>826</v>
      </c>
      <c r="Q10" s="2">
        <v>956</v>
      </c>
      <c r="R10" s="2">
        <f>+R9-R11</f>
        <v>1002.54</v>
      </c>
      <c r="S10" s="2">
        <f>+S9-S11</f>
        <v>1048.74</v>
      </c>
      <c r="V10" s="2">
        <v>1391</v>
      </c>
      <c r="W10" s="2">
        <v>2220</v>
      </c>
      <c r="X10" s="2">
        <v>3031</v>
      </c>
      <c r="Y10" s="2">
        <f>SUM(P10:S10)</f>
        <v>3833.2799999999997</v>
      </c>
    </row>
    <row r="11" spans="1:25" s="2" customFormat="1" x14ac:dyDescent="0.15">
      <c r="B11" s="2" t="s">
        <v>26</v>
      </c>
      <c r="C11" s="2">
        <v>48.3</v>
      </c>
      <c r="D11" s="2">
        <v>69</v>
      </c>
      <c r="E11" s="2">
        <v>89</v>
      </c>
      <c r="F11" s="2">
        <v>83</v>
      </c>
      <c r="G11" s="2">
        <v>73</v>
      </c>
      <c r="H11" s="2">
        <v>89</v>
      </c>
      <c r="I11" s="2">
        <v>113</v>
      </c>
      <c r="J11" s="2">
        <v>151</v>
      </c>
      <c r="K11" s="2">
        <f>+K9-K10</f>
        <v>158</v>
      </c>
      <c r="L11" s="2">
        <f>+L9-L10</f>
        <v>174</v>
      </c>
      <c r="M11" s="2">
        <f>+M9-M10</f>
        <v>208</v>
      </c>
      <c r="N11" s="2">
        <v>226</v>
      </c>
      <c r="O11" s="2">
        <f>+O9-O10</f>
        <v>226</v>
      </c>
      <c r="P11" s="2">
        <f>+P9-P10</f>
        <v>249</v>
      </c>
      <c r="Q11" s="2">
        <f>+Q9-Q10</f>
        <v>286</v>
      </c>
      <c r="R11" s="2">
        <f>+R9*0.23</f>
        <v>299.46000000000004</v>
      </c>
      <c r="S11" s="2">
        <f>+S9*0.23</f>
        <v>313.26</v>
      </c>
      <c r="V11" s="2">
        <f>+V9-V10</f>
        <v>314</v>
      </c>
      <c r="W11" s="2">
        <f>+W9-W10</f>
        <v>511</v>
      </c>
      <c r="X11" s="2">
        <f>+X9-X10</f>
        <v>834</v>
      </c>
      <c r="Y11" s="2">
        <f>+Y9-Y10</f>
        <v>1147.7200000000003</v>
      </c>
    </row>
    <row r="12" spans="1:25" s="2" customFormat="1" x14ac:dyDescent="0.15">
      <c r="B12" s="2" t="s">
        <v>27</v>
      </c>
      <c r="K12" s="2">
        <v>87</v>
      </c>
      <c r="L12" s="2">
        <v>99</v>
      </c>
      <c r="M12" s="2">
        <v>100</v>
      </c>
      <c r="N12" s="2">
        <v>100</v>
      </c>
      <c r="O12" s="2">
        <v>102</v>
      </c>
      <c r="P12" s="2">
        <v>107</v>
      </c>
      <c r="Q12" s="2">
        <v>115</v>
      </c>
      <c r="R12" s="2">
        <f>+N12</f>
        <v>100</v>
      </c>
      <c r="S12" s="2">
        <f>+O12</f>
        <v>102</v>
      </c>
      <c r="V12" s="2">
        <v>190</v>
      </c>
      <c r="W12" s="2">
        <v>319</v>
      </c>
      <c r="X12" s="2">
        <v>401</v>
      </c>
      <c r="Y12" s="2">
        <f>SUM(P12:S12)</f>
        <v>424</v>
      </c>
    </row>
    <row r="13" spans="1:25" s="2" customFormat="1" x14ac:dyDescent="0.15">
      <c r="B13" s="2" t="s">
        <v>28</v>
      </c>
      <c r="C13" s="2">
        <v>34.299999999999997</v>
      </c>
      <c r="D13" s="2">
        <v>23</v>
      </c>
      <c r="E13" s="2">
        <v>50</v>
      </c>
      <c r="F13" s="2">
        <v>40</v>
      </c>
      <c r="G13" s="2">
        <v>50</v>
      </c>
      <c r="H13" s="2">
        <v>62</v>
      </c>
      <c r="I13" s="2">
        <v>67</v>
      </c>
      <c r="J13" s="2">
        <v>74</v>
      </c>
      <c r="K13" s="2">
        <v>79</v>
      </c>
      <c r="L13" s="2">
        <v>85</v>
      </c>
      <c r="M13" s="2">
        <v>92</v>
      </c>
      <c r="N13" s="2">
        <v>87</v>
      </c>
      <c r="O13" s="2">
        <v>94</v>
      </c>
      <c r="P13" s="2">
        <v>83</v>
      </c>
      <c r="Q13" s="2">
        <v>87</v>
      </c>
      <c r="R13" s="2">
        <v>87</v>
      </c>
      <c r="S13" s="2">
        <v>87</v>
      </c>
      <c r="V13" s="2">
        <v>163</v>
      </c>
      <c r="W13" s="2">
        <v>282</v>
      </c>
      <c r="X13" s="2">
        <v>358</v>
      </c>
      <c r="Y13" s="2">
        <f>SUM(P13:S13)</f>
        <v>344</v>
      </c>
    </row>
    <row r="14" spans="1:25" s="2" customFormat="1" x14ac:dyDescent="0.15">
      <c r="B14" s="2" t="s">
        <v>29</v>
      </c>
      <c r="K14" s="2">
        <v>91</v>
      </c>
      <c r="L14" s="2">
        <v>82</v>
      </c>
      <c r="M14" s="2">
        <v>96</v>
      </c>
      <c r="N14" s="2">
        <v>98</v>
      </c>
      <c r="O14" s="2">
        <v>86</v>
      </c>
      <c r="P14" s="2">
        <v>74</v>
      </c>
      <c r="Q14" s="2">
        <v>75</v>
      </c>
      <c r="R14" s="2">
        <v>75</v>
      </c>
      <c r="S14" s="2">
        <v>75</v>
      </c>
      <c r="V14" s="2">
        <v>189</v>
      </c>
      <c r="W14" s="2">
        <v>294</v>
      </c>
      <c r="X14" s="2">
        <v>362</v>
      </c>
      <c r="Y14" s="2">
        <f>SUM(P14:S14)</f>
        <v>299</v>
      </c>
    </row>
    <row r="15" spans="1:25" s="2" customFormat="1" x14ac:dyDescent="0.15">
      <c r="B15" s="2" t="s">
        <v>30</v>
      </c>
      <c r="C15" s="2">
        <v>87</v>
      </c>
      <c r="D15" s="2">
        <v>74</v>
      </c>
      <c r="E15" s="2">
        <v>140</v>
      </c>
      <c r="F15" s="2">
        <v>138</v>
      </c>
      <c r="G15" s="2">
        <v>190</v>
      </c>
      <c r="H15" s="2">
        <v>190</v>
      </c>
      <c r="I15" s="2">
        <v>212</v>
      </c>
      <c r="J15" s="2">
        <v>236</v>
      </c>
      <c r="K15" s="2">
        <f t="shared" ref="K15:N15" si="2">SUM(K12:K14)</f>
        <v>257</v>
      </c>
      <c r="L15" s="2">
        <f t="shared" si="2"/>
        <v>266</v>
      </c>
      <c r="M15" s="2">
        <f t="shared" si="2"/>
        <v>288</v>
      </c>
      <c r="N15" s="2">
        <f t="shared" si="2"/>
        <v>285</v>
      </c>
      <c r="O15" s="2">
        <f>SUM(O12:O14)</f>
        <v>282</v>
      </c>
      <c r="P15" s="2">
        <f>SUM(P12:P14)</f>
        <v>264</v>
      </c>
      <c r="Q15" s="2">
        <f>SUM(Q12:Q14)</f>
        <v>277</v>
      </c>
      <c r="R15" s="2">
        <f>SUM(R12:R14)</f>
        <v>262</v>
      </c>
      <c r="S15" s="2">
        <f>SUM(S12:S14)</f>
        <v>264</v>
      </c>
      <c r="V15" s="2">
        <f>SUM(V12:V14)</f>
        <v>542</v>
      </c>
      <c r="W15" s="2">
        <f>SUM(W12:W14)</f>
        <v>895</v>
      </c>
      <c r="X15" s="2">
        <f>SUM(X12:X14)</f>
        <v>1121</v>
      </c>
      <c r="Y15" s="2">
        <f>SUM(Y12:Y14)</f>
        <v>1067</v>
      </c>
    </row>
    <row r="16" spans="1:25" s="2" customFormat="1" x14ac:dyDescent="0.15">
      <c r="B16" s="2" t="s">
        <v>31</v>
      </c>
      <c r="C16" s="2">
        <v>20.5</v>
      </c>
      <c r="D16" s="2">
        <v>19</v>
      </c>
      <c r="E16" s="2">
        <v>49</v>
      </c>
      <c r="F16" s="2">
        <v>42</v>
      </c>
      <c r="G16" s="2">
        <v>79</v>
      </c>
      <c r="H16" s="2">
        <v>57</v>
      </c>
      <c r="I16" s="2">
        <v>68</v>
      </c>
      <c r="J16" s="2">
        <v>78</v>
      </c>
      <c r="K16" s="2">
        <f t="shared" ref="K16:N16" si="3">+K11-K15</f>
        <v>-99</v>
      </c>
      <c r="L16" s="2">
        <f t="shared" si="3"/>
        <v>-92</v>
      </c>
      <c r="M16" s="2">
        <f t="shared" si="3"/>
        <v>-80</v>
      </c>
      <c r="N16" s="2">
        <f t="shared" si="3"/>
        <v>-59</v>
      </c>
      <c r="O16" s="2">
        <f t="shared" ref="O16:P16" si="4">+O11-O15</f>
        <v>-56</v>
      </c>
      <c r="P16" s="2">
        <f t="shared" si="4"/>
        <v>-15</v>
      </c>
      <c r="Q16" s="2">
        <f>+Q11-Q15</f>
        <v>9</v>
      </c>
      <c r="R16" s="2">
        <f>+R11-R15</f>
        <v>37.460000000000036</v>
      </c>
      <c r="S16" s="2">
        <f>+S11-S15</f>
        <v>49.259999999999991</v>
      </c>
      <c r="V16" s="2">
        <f>+V11-V15</f>
        <v>-228</v>
      </c>
      <c r="W16" s="2">
        <f>+W11-W15</f>
        <v>-384</v>
      </c>
      <c r="X16" s="2">
        <f>+X11-X15</f>
        <v>-287</v>
      </c>
      <c r="Y16" s="2">
        <f>+Y11-Y15</f>
        <v>80.720000000000255</v>
      </c>
    </row>
    <row r="17" spans="2:25" s="2" customFormat="1" x14ac:dyDescent="0.15">
      <c r="B17" s="2" t="s">
        <v>32</v>
      </c>
      <c r="C17" s="2">
        <v>-23.8</v>
      </c>
      <c r="D17" s="2">
        <v>-94</v>
      </c>
      <c r="E17" s="2">
        <v>-88</v>
      </c>
      <c r="F17" s="2">
        <v>-199</v>
      </c>
      <c r="G17" s="2">
        <v>119</v>
      </c>
      <c r="H17" s="2">
        <v>78</v>
      </c>
      <c r="I17" s="2">
        <v>45</v>
      </c>
      <c r="J17" s="2">
        <v>-17</v>
      </c>
      <c r="K17" s="2">
        <f>6+3</f>
        <v>9</v>
      </c>
      <c r="L17" s="2">
        <v>11</v>
      </c>
      <c r="M17" s="2">
        <v>9</v>
      </c>
      <c r="N17" s="2">
        <v>10</v>
      </c>
      <c r="O17" s="2">
        <f>10+3</f>
        <v>13</v>
      </c>
      <c r="P17" s="2">
        <v>-26</v>
      </c>
      <c r="Q17" s="2">
        <v>10</v>
      </c>
      <c r="R17" s="2">
        <v>10</v>
      </c>
      <c r="S17" s="2">
        <v>10</v>
      </c>
      <c r="V17" s="2">
        <v>-12</v>
      </c>
      <c r="W17" s="2">
        <v>11</v>
      </c>
      <c r="X17" s="2">
        <v>37</v>
      </c>
      <c r="Y17" s="2">
        <f>SUM(P17:S17)</f>
        <v>4</v>
      </c>
    </row>
    <row r="18" spans="2:25" s="2" customFormat="1" x14ac:dyDescent="0.15">
      <c r="B18" s="2" t="s">
        <v>33</v>
      </c>
      <c r="K18" s="2">
        <f t="shared" ref="K18:S18" si="5">+K16+K17</f>
        <v>-90</v>
      </c>
      <c r="L18" s="2">
        <f t="shared" si="5"/>
        <v>-81</v>
      </c>
      <c r="M18" s="2">
        <f t="shared" si="5"/>
        <v>-71</v>
      </c>
      <c r="N18" s="2">
        <f t="shared" si="5"/>
        <v>-49</v>
      </c>
      <c r="O18" s="2">
        <f t="shared" si="5"/>
        <v>-43</v>
      </c>
      <c r="P18" s="2">
        <f t="shared" si="5"/>
        <v>-41</v>
      </c>
      <c r="Q18" s="2">
        <f t="shared" si="5"/>
        <v>19</v>
      </c>
      <c r="R18" s="2">
        <f t="shared" si="5"/>
        <v>47.460000000000036</v>
      </c>
      <c r="S18" s="2">
        <f t="shared" si="5"/>
        <v>59.259999999999991</v>
      </c>
      <c r="V18" s="2">
        <f t="shared" ref="V18:Y18" si="6">+V16+V17</f>
        <v>-240</v>
      </c>
      <c r="W18" s="2">
        <f t="shared" si="6"/>
        <v>-373</v>
      </c>
      <c r="X18" s="2">
        <f t="shared" si="6"/>
        <v>-250</v>
      </c>
      <c r="Y18" s="2">
        <f t="shared" si="6"/>
        <v>84.720000000000255</v>
      </c>
    </row>
    <row r="19" spans="2:25" s="2" customFormat="1" x14ac:dyDescent="0.15">
      <c r="B19" s="2" t="s">
        <v>34</v>
      </c>
      <c r="C19" s="2">
        <v>0.1</v>
      </c>
      <c r="D19" s="2">
        <v>0</v>
      </c>
      <c r="E19" s="2">
        <v>-4</v>
      </c>
      <c r="F19" s="2">
        <v>0</v>
      </c>
      <c r="G19" s="2">
        <v>1</v>
      </c>
      <c r="H19" s="2">
        <v>0</v>
      </c>
      <c r="I19" s="2">
        <v>0</v>
      </c>
      <c r="J19" s="2">
        <v>-4</v>
      </c>
      <c r="K19" s="2">
        <v>2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V19" s="2">
        <v>-3</v>
      </c>
      <c r="W19" s="2">
        <v>-2</v>
      </c>
      <c r="X19" s="2">
        <v>2</v>
      </c>
      <c r="Y19" s="2">
        <f>SUM(P19:S19)</f>
        <v>1</v>
      </c>
    </row>
    <row r="20" spans="2:25" s="2" customFormat="1" x14ac:dyDescent="0.15">
      <c r="B20" s="2" t="s">
        <v>35</v>
      </c>
      <c r="C20" s="2">
        <v>-62.6</v>
      </c>
      <c r="D20" s="2">
        <v>-99</v>
      </c>
      <c r="E20" s="2">
        <v>-135</v>
      </c>
      <c r="F20" s="2">
        <v>-254</v>
      </c>
      <c r="G20" s="2">
        <v>1</v>
      </c>
      <c r="H20" s="2">
        <v>-23</v>
      </c>
      <c r="I20" s="2">
        <v>-54</v>
      </c>
      <c r="J20" s="2">
        <v>-98</v>
      </c>
      <c r="K20" s="2">
        <f t="shared" ref="K20:S20" si="7">+K18-K19</f>
        <v>-92</v>
      </c>
      <c r="L20" s="2">
        <f t="shared" si="7"/>
        <v>-81</v>
      </c>
      <c r="M20" s="2">
        <f t="shared" si="7"/>
        <v>-72</v>
      </c>
      <c r="N20" s="2">
        <f t="shared" si="7"/>
        <v>-49</v>
      </c>
      <c r="O20" s="2">
        <f t="shared" si="7"/>
        <v>-44</v>
      </c>
      <c r="P20" s="2">
        <f t="shared" si="7"/>
        <v>-42</v>
      </c>
      <c r="Q20" s="2">
        <f t="shared" si="7"/>
        <v>19</v>
      </c>
      <c r="R20" s="2">
        <f t="shared" si="7"/>
        <v>47.460000000000036</v>
      </c>
      <c r="S20" s="2">
        <f t="shared" si="7"/>
        <v>59.259999999999991</v>
      </c>
      <c r="V20" s="2">
        <f t="shared" ref="V20:Y20" si="8">+V18-V19</f>
        <v>-237</v>
      </c>
      <c r="W20" s="2">
        <f t="shared" si="8"/>
        <v>-371</v>
      </c>
      <c r="X20" s="2">
        <f t="shared" si="8"/>
        <v>-252</v>
      </c>
      <c r="Y20" s="2">
        <f t="shared" si="8"/>
        <v>83.720000000000255</v>
      </c>
    </row>
    <row r="21" spans="2:25" x14ac:dyDescent="0.15">
      <c r="B21" s="2" t="s">
        <v>36</v>
      </c>
      <c r="K21" s="1">
        <f t="shared" ref="K21:S21" si="9">+K20/K22</f>
        <v>-0.17726396917148363</v>
      </c>
      <c r="L21" s="1">
        <f t="shared" si="9"/>
        <v>-0.15428571428571428</v>
      </c>
      <c r="M21" s="1">
        <f t="shared" si="9"/>
        <v>-0.13610586011342155</v>
      </c>
      <c r="N21" s="1">
        <f t="shared" si="9"/>
        <v>-9.1295297626834443E-2</v>
      </c>
      <c r="O21" s="1">
        <f t="shared" si="9"/>
        <v>-8.1330868761552683E-2</v>
      </c>
      <c r="P21" s="1">
        <f t="shared" si="9"/>
        <v>-7.6782449725776969E-2</v>
      </c>
      <c r="Q21" s="1">
        <f t="shared" si="9"/>
        <v>3.2367972742759793E-2</v>
      </c>
      <c r="R21" s="1">
        <f t="shared" si="9"/>
        <v>8.0851788756388474E-2</v>
      </c>
      <c r="S21" s="1">
        <f t="shared" si="9"/>
        <v>0.100954003407155</v>
      </c>
      <c r="V21" s="1">
        <f>+V20/V22</f>
        <v>-0.8172413793103448</v>
      </c>
      <c r="W21" s="1">
        <f>+W20/W22</f>
        <v>-0.724609375</v>
      </c>
      <c r="X21" s="1">
        <f>+X20/X22</f>
        <v>-0.4727954971857411</v>
      </c>
      <c r="Y21" s="1">
        <f>+Y20/Y22</f>
        <v>0.14509532062391725</v>
      </c>
    </row>
    <row r="22" spans="2:25" x14ac:dyDescent="0.15">
      <c r="B22" s="2" t="s">
        <v>1</v>
      </c>
      <c r="K22" s="3">
        <v>519</v>
      </c>
      <c r="L22" s="3">
        <v>525</v>
      </c>
      <c r="M22" s="3">
        <v>529</v>
      </c>
      <c r="N22" s="9">
        <v>536.71986700000002</v>
      </c>
      <c r="O22">
        <v>541</v>
      </c>
      <c r="P22">
        <v>547</v>
      </c>
      <c r="Q22">
        <v>587</v>
      </c>
      <c r="R22">
        <f>+Q22</f>
        <v>587</v>
      </c>
      <c r="S22">
        <f>+R22</f>
        <v>587</v>
      </c>
      <c r="V22">
        <v>290</v>
      </c>
      <c r="W22">
        <v>512</v>
      </c>
      <c r="X22">
        <v>533</v>
      </c>
      <c r="Y22">
        <f>AVERAGE(P22:S22)</f>
        <v>577</v>
      </c>
    </row>
    <row r="24" spans="2:25" s="4" customFormat="1" x14ac:dyDescent="0.15">
      <c r="B24" s="4" t="s">
        <v>24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8">
        <f t="shared" ref="M24:O24" si="10">+M9/I9-1</f>
        <v>0.44888888888888889</v>
      </c>
      <c r="N24" s="8">
        <f t="shared" si="10"/>
        <v>0.37234042553191493</v>
      </c>
      <c r="O24" s="8">
        <f t="shared" si="10"/>
        <v>0.3472041612483745</v>
      </c>
      <c r="P24" s="8">
        <f>+P9/L9-1</f>
        <v>0.31257631257631258</v>
      </c>
      <c r="Q24" s="8">
        <f>+Q9/M9-1</f>
        <v>0.26993865030674846</v>
      </c>
      <c r="V24" s="8"/>
      <c r="W24" s="8">
        <f>+W9/V9-1</f>
        <v>0.6017595307917889</v>
      </c>
      <c r="X24" s="8">
        <f>+X9/W9-1</f>
        <v>0.41523251556206509</v>
      </c>
      <c r="Y24" s="8">
        <f>+Y9/X9-1</f>
        <v>0.28874514877102198</v>
      </c>
    </row>
    <row r="25" spans="2:25" x14ac:dyDescent="0.15">
      <c r="B25" t="s">
        <v>23</v>
      </c>
      <c r="J25" s="6">
        <f t="shared" ref="J25:O25" si="11">+J11/J9</f>
        <v>0.20079787234042554</v>
      </c>
      <c r="K25" s="6">
        <f t="shared" si="11"/>
        <v>0.20546163849154747</v>
      </c>
      <c r="L25" s="6">
        <f t="shared" si="11"/>
        <v>0.21245421245421245</v>
      </c>
      <c r="M25" s="6">
        <f t="shared" si="11"/>
        <v>0.21267893660531698</v>
      </c>
      <c r="N25" s="6">
        <f t="shared" si="11"/>
        <v>0.2189922480620155</v>
      </c>
      <c r="O25" s="6">
        <f t="shared" si="11"/>
        <v>0.21814671814671815</v>
      </c>
      <c r="P25" s="6">
        <f>+P11/P9</f>
        <v>0.23162790697674418</v>
      </c>
      <c r="Q25" s="6">
        <f>+Q11/Q9</f>
        <v>0.23027375201288244</v>
      </c>
      <c r="R25" s="6">
        <f>+R11/R9</f>
        <v>0.23000000000000004</v>
      </c>
      <c r="S25" s="6">
        <f>+S11/S9</f>
        <v>0.22999999999999998</v>
      </c>
      <c r="V25" s="6">
        <f t="shared" ref="V25:Y25" si="12">+V11/V9</f>
        <v>0.1841642228739003</v>
      </c>
      <c r="W25" s="6">
        <f t="shared" si="12"/>
        <v>0.18711094837056022</v>
      </c>
      <c r="X25" s="6">
        <f t="shared" si="12"/>
        <v>0.21578266494178525</v>
      </c>
      <c r="Y25" s="6">
        <f t="shared" si="12"/>
        <v>0.23041959445894403</v>
      </c>
    </row>
    <row r="28" spans="2:25" x14ac:dyDescent="0.15">
      <c r="B28" t="s">
        <v>37</v>
      </c>
      <c r="J28" s="3">
        <v>-69</v>
      </c>
      <c r="K28" s="3">
        <v>-19</v>
      </c>
      <c r="L28" s="3">
        <v>-55</v>
      </c>
      <c r="M28" s="3">
        <v>50</v>
      </c>
      <c r="N28" s="3">
        <v>47</v>
      </c>
      <c r="O28">
        <v>92</v>
      </c>
      <c r="P28">
        <v>-20</v>
      </c>
      <c r="Q28">
        <v>124</v>
      </c>
      <c r="V28">
        <v>2</v>
      </c>
      <c r="W28">
        <v>-156</v>
      </c>
      <c r="X28">
        <v>135</v>
      </c>
      <c r="Y28">
        <f>SUM(P28:S28)</f>
        <v>104</v>
      </c>
    </row>
    <row r="29" spans="2:25" x14ac:dyDescent="0.15">
      <c r="B29" t="s">
        <v>38</v>
      </c>
      <c r="J29" s="3">
        <v>-6</v>
      </c>
      <c r="K29" s="3">
        <v>-10</v>
      </c>
      <c r="L29" s="3">
        <v>-10</v>
      </c>
      <c r="M29" s="3">
        <v>-11</v>
      </c>
      <c r="N29" s="3">
        <v>0</v>
      </c>
      <c r="O29" s="3">
        <v>-11</v>
      </c>
      <c r="P29">
        <v>-13</v>
      </c>
      <c r="Q29">
        <v>-16</v>
      </c>
      <c r="V29">
        <v>-19</v>
      </c>
      <c r="W29">
        <v>-33</v>
      </c>
      <c r="X29">
        <v>-42</v>
      </c>
      <c r="Y29">
        <f>SUM(P29:S29)</f>
        <v>-29</v>
      </c>
    </row>
    <row r="30" spans="2:25" x14ac:dyDescent="0.15">
      <c r="B30" t="s">
        <v>39</v>
      </c>
      <c r="J30" s="3">
        <f t="shared" ref="J30:Q30" si="13">+J28+J29</f>
        <v>-75</v>
      </c>
      <c r="K30" s="3">
        <f t="shared" si="13"/>
        <v>-29</v>
      </c>
      <c r="L30" s="3">
        <f t="shared" si="13"/>
        <v>-65</v>
      </c>
      <c r="M30" s="3">
        <f t="shared" si="13"/>
        <v>39</v>
      </c>
      <c r="N30" s="3">
        <f t="shared" si="13"/>
        <v>47</v>
      </c>
      <c r="O30" s="3">
        <f t="shared" si="13"/>
        <v>81</v>
      </c>
      <c r="P30" s="3">
        <f t="shared" si="13"/>
        <v>-33</v>
      </c>
      <c r="Q30" s="3">
        <f t="shared" si="13"/>
        <v>108</v>
      </c>
      <c r="V30">
        <f>+V28+V29</f>
        <v>-17</v>
      </c>
      <c r="W30">
        <f>+W28+W29</f>
        <v>-189</v>
      </c>
      <c r="X30">
        <f>+X28+X29</f>
        <v>93</v>
      </c>
      <c r="Y30">
        <f>+Y28+Y29</f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2024-10-03T14:39:25Z</dcterms:created>
  <dcterms:modified xsi:type="dcterms:W3CDTF">2024-10-03T18:57:33Z</dcterms:modified>
</cp:coreProperties>
</file>