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85740BE-6414-4A23-AAE7-E3768EDCA2B5}" xr6:coauthVersionLast="47" xr6:coauthVersionMax="47" xr10:uidLastSave="{00000000-0000-0000-0000-000000000000}"/>
  <bookViews>
    <workbookView xWindow="-31755" yWindow="2070" windowWidth="26475" windowHeight="13410" activeTab="1" xr2:uid="{1FCDE9DA-E937-4AB9-B319-0E6E3C36BA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" i="2" l="1"/>
  <c r="AT25" i="2" s="1"/>
  <c r="AU11" i="2"/>
  <c r="AR48" i="2"/>
  <c r="AQ48" i="2"/>
  <c r="AS48" i="2"/>
  <c r="AS41" i="2"/>
  <c r="AS44" i="2" s="1"/>
  <c r="AS29" i="2"/>
  <c r="AS35" i="2" s="1"/>
  <c r="AS18" i="2"/>
  <c r="AS13" i="2"/>
  <c r="AS25" i="2"/>
  <c r="BB23" i="2"/>
  <c r="BA23" i="2"/>
  <c r="AZ23" i="2"/>
  <c r="BB20" i="2"/>
  <c r="BA20" i="2"/>
  <c r="AZ20" i="2"/>
  <c r="BB18" i="2"/>
  <c r="AZ18" i="2"/>
  <c r="BB14" i="2"/>
  <c r="BA14" i="2"/>
  <c r="AZ14" i="2"/>
  <c r="BB12" i="2"/>
  <c r="BA12" i="2"/>
  <c r="AZ12" i="2"/>
  <c r="BB11" i="2"/>
  <c r="BA11" i="2"/>
  <c r="AZ11" i="2"/>
  <c r="N25" i="2"/>
  <c r="M25" i="2"/>
  <c r="L25" i="2"/>
  <c r="K25" i="2"/>
  <c r="J25" i="2"/>
  <c r="I25" i="2"/>
  <c r="H25" i="2"/>
  <c r="G25" i="2"/>
  <c r="E15" i="2"/>
  <c r="E16" i="2" s="1"/>
  <c r="D15" i="2"/>
  <c r="D16" i="2" s="1"/>
  <c r="D13" i="2"/>
  <c r="E13" i="2"/>
  <c r="C15" i="2"/>
  <c r="C16" i="2"/>
  <c r="C13" i="2"/>
  <c r="C26" i="2" s="1"/>
  <c r="G15" i="2"/>
  <c r="G16" i="2" s="1"/>
  <c r="G13" i="2"/>
  <c r="G26" i="2" s="1"/>
  <c r="F15" i="2"/>
  <c r="F16" i="2" s="1"/>
  <c r="F13" i="2"/>
  <c r="F26" i="2" s="1"/>
  <c r="I15" i="2"/>
  <c r="I16" i="2" s="1"/>
  <c r="I13" i="2"/>
  <c r="I26" i="2" s="1"/>
  <c r="J15" i="2"/>
  <c r="J16" i="2" s="1"/>
  <c r="J13" i="2"/>
  <c r="J26" i="2" s="1"/>
  <c r="S25" i="2"/>
  <c r="R25" i="2"/>
  <c r="Q25" i="2"/>
  <c r="P25" i="2"/>
  <c r="O25" i="2"/>
  <c r="H18" i="2"/>
  <c r="BA18" i="2" s="1"/>
  <c r="H15" i="2"/>
  <c r="H16" i="2" s="1"/>
  <c r="H13" i="2"/>
  <c r="H26" i="2" s="1"/>
  <c r="L15" i="2"/>
  <c r="L16" i="2" s="1"/>
  <c r="L13" i="2"/>
  <c r="L26" i="2" s="1"/>
  <c r="J6" i="1"/>
  <c r="BI23" i="2"/>
  <c r="BH23" i="2"/>
  <c r="BG23" i="2"/>
  <c r="BF23" i="2"/>
  <c r="BE23" i="2"/>
  <c r="BD23" i="2"/>
  <c r="BC23" i="2"/>
  <c r="BI20" i="2"/>
  <c r="BH20" i="2"/>
  <c r="BG20" i="2"/>
  <c r="BF20" i="2"/>
  <c r="BE20" i="2"/>
  <c r="BD20" i="2"/>
  <c r="BC20" i="2"/>
  <c r="BI18" i="2"/>
  <c r="BH18" i="2"/>
  <c r="BG18" i="2"/>
  <c r="BF18" i="2"/>
  <c r="BE18" i="2"/>
  <c r="BD18" i="2"/>
  <c r="BC18" i="2"/>
  <c r="AT15" i="2"/>
  <c r="AT14" i="2"/>
  <c r="AS16" i="2"/>
  <c r="BI15" i="2"/>
  <c r="BI14" i="2"/>
  <c r="BH14" i="2"/>
  <c r="BG14" i="2"/>
  <c r="BF14" i="2"/>
  <c r="BE14" i="2"/>
  <c r="BD14" i="2"/>
  <c r="BC14" i="2"/>
  <c r="K15" i="2"/>
  <c r="K16" i="2"/>
  <c r="K13" i="2"/>
  <c r="K26" i="2" s="1"/>
  <c r="N15" i="2"/>
  <c r="N16" i="2" s="1"/>
  <c r="N13" i="2"/>
  <c r="N26" i="2" s="1"/>
  <c r="O15" i="2"/>
  <c r="O16" i="2" s="1"/>
  <c r="O13" i="2"/>
  <c r="O26" i="2" s="1"/>
  <c r="BD12" i="2"/>
  <c r="BC12" i="2"/>
  <c r="T25" i="2"/>
  <c r="U25" i="2"/>
  <c r="M15" i="2"/>
  <c r="M16" i="2" s="1"/>
  <c r="M13" i="2"/>
  <c r="M26" i="2" s="1"/>
  <c r="Q15" i="2"/>
  <c r="Q16" i="2" s="1"/>
  <c r="Q13" i="2"/>
  <c r="Q26" i="2" s="1"/>
  <c r="V25" i="2"/>
  <c r="W25" i="2"/>
  <c r="X25" i="2"/>
  <c r="P15" i="2"/>
  <c r="P16" i="2" s="1"/>
  <c r="P13" i="2"/>
  <c r="P26" i="2" s="1"/>
  <c r="S15" i="2"/>
  <c r="S16" i="2" s="1"/>
  <c r="S13" i="2"/>
  <c r="S26" i="2" s="1"/>
  <c r="T15" i="2"/>
  <c r="T16" i="2" s="1"/>
  <c r="T13" i="2"/>
  <c r="T26" i="2" s="1"/>
  <c r="BC11" i="2"/>
  <c r="BD11" i="2"/>
  <c r="BH11" i="2"/>
  <c r="BF12" i="2"/>
  <c r="BG12" i="2"/>
  <c r="BH12" i="2"/>
  <c r="BI12" i="2"/>
  <c r="BI11" i="2"/>
  <c r="BE12" i="2"/>
  <c r="BE11" i="2"/>
  <c r="BF11" i="2"/>
  <c r="Y25" i="2"/>
  <c r="Z25" i="2"/>
  <c r="AA25" i="2"/>
  <c r="AB25" i="2"/>
  <c r="AC25" i="2"/>
  <c r="AD25" i="2"/>
  <c r="AE25" i="2"/>
  <c r="AF25" i="2"/>
  <c r="AG25" i="2"/>
  <c r="AH25" i="2"/>
  <c r="R15" i="2"/>
  <c r="R16" i="2" s="1"/>
  <c r="R13" i="2"/>
  <c r="R26" i="2" s="1"/>
  <c r="V15" i="2"/>
  <c r="V16" i="2" s="1"/>
  <c r="V13" i="2"/>
  <c r="V26" i="2" s="1"/>
  <c r="U15" i="2"/>
  <c r="U16" i="2" s="1"/>
  <c r="U13" i="2"/>
  <c r="U26" i="2" s="1"/>
  <c r="X15" i="2"/>
  <c r="X16" i="2" s="1"/>
  <c r="X13" i="2"/>
  <c r="X26" i="2" s="1"/>
  <c r="Y15" i="2"/>
  <c r="Y16" i="2" s="1"/>
  <c r="Y13" i="2"/>
  <c r="Y26" i="2" s="1"/>
  <c r="W15" i="2"/>
  <c r="W16" i="2" s="1"/>
  <c r="W13" i="2"/>
  <c r="W26" i="2" s="1"/>
  <c r="AA15" i="2"/>
  <c r="AA16" i="2"/>
  <c r="AA13" i="2"/>
  <c r="AA26" i="2" s="1"/>
  <c r="BG11" i="2"/>
  <c r="Z15" i="2"/>
  <c r="Z16" i="2" s="1"/>
  <c r="Z13" i="2"/>
  <c r="Z26" i="2" s="1"/>
  <c r="AC15" i="2"/>
  <c r="AC16" i="2" s="1"/>
  <c r="AC13" i="2"/>
  <c r="AC26" i="2" s="1"/>
  <c r="AD15" i="2"/>
  <c r="AD16" i="2" s="1"/>
  <c r="AD13" i="2"/>
  <c r="AD26" i="2" s="1"/>
  <c r="AB15" i="2"/>
  <c r="AB16" i="2" s="1"/>
  <c r="AB13" i="2"/>
  <c r="AB26" i="2" s="1"/>
  <c r="AI25" i="2"/>
  <c r="AJ25" i="2"/>
  <c r="AF15" i="2"/>
  <c r="AF16" i="2" s="1"/>
  <c r="AF13" i="2"/>
  <c r="AF26" i="2" s="1"/>
  <c r="AK25" i="2"/>
  <c r="AO25" i="2"/>
  <c r="AN25" i="2"/>
  <c r="AM25" i="2"/>
  <c r="AL25" i="2"/>
  <c r="AE15" i="2"/>
  <c r="AE16" i="2" s="1"/>
  <c r="AE13" i="2"/>
  <c r="AE26" i="2" s="1"/>
  <c r="AH15" i="2"/>
  <c r="AH16" i="2" s="1"/>
  <c r="AH13" i="2"/>
  <c r="AH26" i="2" s="1"/>
  <c r="AI16" i="2"/>
  <c r="AI13" i="2"/>
  <c r="AI26" i="2" s="1"/>
  <c r="BG2" i="2"/>
  <c r="BH2" i="2" s="1"/>
  <c r="BI2" i="2" s="1"/>
  <c r="BJ2" i="2" s="1"/>
  <c r="BK2" i="2" s="1"/>
  <c r="BL2" i="2" s="1"/>
  <c r="BM2" i="2" s="1"/>
  <c r="BN2" i="2" s="1"/>
  <c r="BO2" i="2" s="1"/>
  <c r="BP2" i="2" s="1"/>
  <c r="AG15" i="2"/>
  <c r="AG16" i="2" s="1"/>
  <c r="AG13" i="2"/>
  <c r="AG26" i="2" s="1"/>
  <c r="AJ15" i="2"/>
  <c r="AJ16" i="2" s="1"/>
  <c r="AJ13" i="2"/>
  <c r="AJ26" i="2" s="1"/>
  <c r="AK15" i="2"/>
  <c r="AK16" i="2" s="1"/>
  <c r="AK13" i="2"/>
  <c r="AK26" i="2" s="1"/>
  <c r="AP25" i="2"/>
  <c r="AL16" i="2"/>
  <c r="AL13" i="2"/>
  <c r="AL26" i="2" s="1"/>
  <c r="AO16" i="2"/>
  <c r="AO13" i="2"/>
  <c r="AO26" i="2" s="1"/>
  <c r="AQ25" i="2"/>
  <c r="AM16" i="2"/>
  <c r="AM13" i="2"/>
  <c r="AP16" i="2"/>
  <c r="AP13" i="2"/>
  <c r="AP26" i="2" s="1"/>
  <c r="AS28" i="2" l="1"/>
  <c r="BB13" i="2"/>
  <c r="BB26" i="2" s="1"/>
  <c r="BC25" i="2"/>
  <c r="BA15" i="2"/>
  <c r="BA16" i="2" s="1"/>
  <c r="BA13" i="2"/>
  <c r="BA26" i="2" s="1"/>
  <c r="AZ15" i="2"/>
  <c r="AZ16" i="2" s="1"/>
  <c r="BH13" i="2"/>
  <c r="BH26" i="2" s="1"/>
  <c r="BB15" i="2"/>
  <c r="BB16" i="2" s="1"/>
  <c r="BA25" i="2"/>
  <c r="AZ13" i="2"/>
  <c r="AZ26" i="2" s="1"/>
  <c r="BE25" i="2"/>
  <c r="BB25" i="2"/>
  <c r="BF15" i="2"/>
  <c r="BF16" i="2" s="1"/>
  <c r="BJ15" i="2"/>
  <c r="BK15" i="2" s="1"/>
  <c r="BL15" i="2" s="1"/>
  <c r="BM15" i="2" s="1"/>
  <c r="BN15" i="2" s="1"/>
  <c r="BO15" i="2" s="1"/>
  <c r="BP15" i="2" s="1"/>
  <c r="BF13" i="2"/>
  <c r="D17" i="2"/>
  <c r="D19" i="2" s="1"/>
  <c r="D21" i="2" s="1"/>
  <c r="D22" i="2" s="1"/>
  <c r="D26" i="2"/>
  <c r="E17" i="2"/>
  <c r="E19" i="2" s="1"/>
  <c r="E21" i="2" s="1"/>
  <c r="E22" i="2" s="1"/>
  <c r="E26" i="2"/>
  <c r="C17" i="2"/>
  <c r="C19" i="2" s="1"/>
  <c r="C21" i="2" s="1"/>
  <c r="C22" i="2" s="1"/>
  <c r="G17" i="2"/>
  <c r="G19" i="2" s="1"/>
  <c r="G21" i="2" s="1"/>
  <c r="G22" i="2" s="1"/>
  <c r="F17" i="2"/>
  <c r="F19" i="2" s="1"/>
  <c r="F21" i="2" s="1"/>
  <c r="F22" i="2" s="1"/>
  <c r="I17" i="2"/>
  <c r="I19" i="2" s="1"/>
  <c r="I21" i="2" s="1"/>
  <c r="I22" i="2" s="1"/>
  <c r="J17" i="2"/>
  <c r="J19" i="2" s="1"/>
  <c r="J21" i="2" s="1"/>
  <c r="J22" i="2" s="1"/>
  <c r="AT18" i="2"/>
  <c r="BJ18" i="2" s="1"/>
  <c r="BK18" i="2" s="1"/>
  <c r="BL18" i="2" s="1"/>
  <c r="BM18" i="2" s="1"/>
  <c r="BN18" i="2" s="1"/>
  <c r="BG25" i="2"/>
  <c r="BH15" i="2"/>
  <c r="BH16" i="2" s="1"/>
  <c r="BI16" i="2"/>
  <c r="BD13" i="2"/>
  <c r="BD26" i="2" s="1"/>
  <c r="H17" i="2"/>
  <c r="H19" i="2" s="1"/>
  <c r="H21" i="2" s="1"/>
  <c r="H22" i="2" s="1"/>
  <c r="L17" i="2"/>
  <c r="L19" i="2" s="1"/>
  <c r="L21" i="2" s="1"/>
  <c r="L22" i="2" s="1"/>
  <c r="BJ14" i="2"/>
  <c r="AT16" i="2"/>
  <c r="BF25" i="2"/>
  <c r="BG15" i="2"/>
  <c r="BG16" i="2" s="1"/>
  <c r="AT23" i="2"/>
  <c r="BJ23" i="2" s="1"/>
  <c r="BK23" i="2" s="1"/>
  <c r="BL23" i="2" s="1"/>
  <c r="BM23" i="2" s="1"/>
  <c r="BN23" i="2" s="1"/>
  <c r="BO23" i="2" s="1"/>
  <c r="BP23" i="2" s="1"/>
  <c r="BC15" i="2"/>
  <c r="BC16" i="2" s="1"/>
  <c r="BE13" i="2"/>
  <c r="BE26" i="2" s="1"/>
  <c r="BD15" i="2"/>
  <c r="BD16" i="2" s="1"/>
  <c r="BI13" i="2"/>
  <c r="BI26" i="2" s="1"/>
  <c r="BE15" i="2"/>
  <c r="BE16" i="2" s="1"/>
  <c r="K17" i="2"/>
  <c r="K19" i="2" s="1"/>
  <c r="K21" i="2" s="1"/>
  <c r="K22" i="2" s="1"/>
  <c r="N17" i="2"/>
  <c r="N19" i="2" s="1"/>
  <c r="N21" i="2" s="1"/>
  <c r="N22" i="2" s="1"/>
  <c r="BC13" i="2"/>
  <c r="BC26" i="2" s="1"/>
  <c r="O17" i="2"/>
  <c r="O19" i="2" s="1"/>
  <c r="O21" i="2" s="1"/>
  <c r="O22" i="2" s="1"/>
  <c r="BD25" i="2"/>
  <c r="M17" i="2"/>
  <c r="M19" i="2" s="1"/>
  <c r="M21" i="2" s="1"/>
  <c r="M22" i="2" s="1"/>
  <c r="Q17" i="2"/>
  <c r="Q19" i="2" s="1"/>
  <c r="Q21" i="2" s="1"/>
  <c r="Q22" i="2" s="1"/>
  <c r="AT13" i="2"/>
  <c r="BJ11" i="2"/>
  <c r="BG13" i="2"/>
  <c r="BG26" i="2" s="1"/>
  <c r="AM17" i="2"/>
  <c r="AM19" i="2" s="1"/>
  <c r="AM21" i="2" s="1"/>
  <c r="AM22" i="2" s="1"/>
  <c r="P17" i="2"/>
  <c r="P19" i="2" s="1"/>
  <c r="P21" i="2" s="1"/>
  <c r="P22" i="2" s="1"/>
  <c r="T17" i="2"/>
  <c r="T19" i="2" s="1"/>
  <c r="T21" i="2" s="1"/>
  <c r="T22" i="2" s="1"/>
  <c r="S17" i="2"/>
  <c r="S19" i="2" s="1"/>
  <c r="S21" i="2" s="1"/>
  <c r="S22" i="2" s="1"/>
  <c r="R17" i="2"/>
  <c r="R19" i="2" s="1"/>
  <c r="R21" i="2" s="1"/>
  <c r="R22" i="2" s="1"/>
  <c r="BH25" i="2"/>
  <c r="BI25" i="2"/>
  <c r="V17" i="2"/>
  <c r="V19" i="2" s="1"/>
  <c r="V21" i="2" s="1"/>
  <c r="V22" i="2" s="1"/>
  <c r="U17" i="2"/>
  <c r="U19" i="2" s="1"/>
  <c r="U21" i="2" s="1"/>
  <c r="U22" i="2" s="1"/>
  <c r="X17" i="2"/>
  <c r="X19" i="2" s="1"/>
  <c r="X21" i="2" s="1"/>
  <c r="X22" i="2" s="1"/>
  <c r="Y17" i="2"/>
  <c r="Y19" i="2" s="1"/>
  <c r="Y21" i="2" s="1"/>
  <c r="Y22" i="2" s="1"/>
  <c r="W17" i="2"/>
  <c r="W19" i="2" s="1"/>
  <c r="W21" i="2" s="1"/>
  <c r="W22" i="2" s="1"/>
  <c r="AA17" i="2"/>
  <c r="AA19" i="2" s="1"/>
  <c r="AA21" i="2" s="1"/>
  <c r="AA22" i="2" s="1"/>
  <c r="Z17" i="2"/>
  <c r="Z19" i="2" s="1"/>
  <c r="Z21" i="2" s="1"/>
  <c r="Z22" i="2" s="1"/>
  <c r="AC17" i="2"/>
  <c r="AC19" i="2" s="1"/>
  <c r="AC21" i="2" s="1"/>
  <c r="AC22" i="2" s="1"/>
  <c r="AD17" i="2"/>
  <c r="AD19" i="2" s="1"/>
  <c r="AD21" i="2" s="1"/>
  <c r="AD22" i="2" s="1"/>
  <c r="AB17" i="2"/>
  <c r="AB19" i="2" s="1"/>
  <c r="AB21" i="2" s="1"/>
  <c r="AB22" i="2" s="1"/>
  <c r="AF17" i="2"/>
  <c r="AF19" i="2" s="1"/>
  <c r="AF21" i="2" s="1"/>
  <c r="AF22" i="2" s="1"/>
  <c r="AK17" i="2"/>
  <c r="AK19" i="2" s="1"/>
  <c r="AK21" i="2" s="1"/>
  <c r="AK22" i="2" s="1"/>
  <c r="AE17" i="2"/>
  <c r="AE19" i="2" s="1"/>
  <c r="AE21" i="2" s="1"/>
  <c r="AE22" i="2" s="1"/>
  <c r="AH17" i="2"/>
  <c r="AH19" i="2" s="1"/>
  <c r="AH21" i="2" s="1"/>
  <c r="AH22" i="2" s="1"/>
  <c r="AI17" i="2"/>
  <c r="AI19" i="2" s="1"/>
  <c r="AI21" i="2" s="1"/>
  <c r="AI22" i="2" s="1"/>
  <c r="AG17" i="2"/>
  <c r="AG19" i="2" s="1"/>
  <c r="AG21" i="2" s="1"/>
  <c r="AG22" i="2" s="1"/>
  <c r="AJ17" i="2"/>
  <c r="AJ19" i="2" s="1"/>
  <c r="AJ21" i="2" s="1"/>
  <c r="AJ22" i="2" s="1"/>
  <c r="AM26" i="2"/>
  <c r="AL17" i="2"/>
  <c r="AL19" i="2" s="1"/>
  <c r="AL21" i="2" s="1"/>
  <c r="AL22" i="2" s="1"/>
  <c r="AO17" i="2"/>
  <c r="AO19" i="2" s="1"/>
  <c r="AO21" i="2" s="1"/>
  <c r="AO22" i="2" s="1"/>
  <c r="AP17" i="2"/>
  <c r="AP19" i="2" s="1"/>
  <c r="AP21" i="2" s="1"/>
  <c r="AP22" i="2" s="1"/>
  <c r="AR25" i="2"/>
  <c r="BB17" i="2" l="1"/>
  <c r="BB19" i="2" s="1"/>
  <c r="BB21" i="2" s="1"/>
  <c r="BB22" i="2" s="1"/>
  <c r="BE17" i="2"/>
  <c r="BE19" i="2" s="1"/>
  <c r="BE21" i="2" s="1"/>
  <c r="BE22" i="2" s="1"/>
  <c r="BF17" i="2"/>
  <c r="BF19" i="2" s="1"/>
  <c r="BF21" i="2" s="1"/>
  <c r="BF22" i="2" s="1"/>
  <c r="BH17" i="2"/>
  <c r="BH19" i="2" s="1"/>
  <c r="BH21" i="2" s="1"/>
  <c r="BH22" i="2" s="1"/>
  <c r="AZ17" i="2"/>
  <c r="AZ19" i="2" s="1"/>
  <c r="AZ21" i="2" s="1"/>
  <c r="AZ22" i="2" s="1"/>
  <c r="BA17" i="2"/>
  <c r="BA19" i="2" s="1"/>
  <c r="BA21" i="2" s="1"/>
  <c r="BA22" i="2" s="1"/>
  <c r="BJ25" i="2"/>
  <c r="BK11" i="2"/>
  <c r="BF26" i="2"/>
  <c r="BG17" i="2"/>
  <c r="BG19" i="2" s="1"/>
  <c r="BG21" i="2" s="1"/>
  <c r="BG22" i="2" s="1"/>
  <c r="AT17" i="2"/>
  <c r="AT19" i="2" s="1"/>
  <c r="AT20" i="2" s="1"/>
  <c r="AT21" i="2" s="1"/>
  <c r="AT22" i="2" s="1"/>
  <c r="BJ16" i="2"/>
  <c r="BK14" i="2"/>
  <c r="BO18" i="2"/>
  <c r="BD17" i="2"/>
  <c r="BD19" i="2" s="1"/>
  <c r="BD21" i="2" s="1"/>
  <c r="BD22" i="2" s="1"/>
  <c r="BC17" i="2"/>
  <c r="BC19" i="2" s="1"/>
  <c r="BC21" i="2" s="1"/>
  <c r="BC22" i="2" s="1"/>
  <c r="AS26" i="2"/>
  <c r="AS17" i="2"/>
  <c r="AS19" i="2" s="1"/>
  <c r="AT12" i="2"/>
  <c r="AT26" i="2"/>
  <c r="BI17" i="2"/>
  <c r="BI19" i="2" s="1"/>
  <c r="BI21" i="2" s="1"/>
  <c r="BI22" i="2" s="1"/>
  <c r="BL14" i="2" l="1"/>
  <c r="BK16" i="2"/>
  <c r="BL11" i="2"/>
  <c r="BK25" i="2"/>
  <c r="BK13" i="2"/>
  <c r="BP18" i="2"/>
  <c r="AS21" i="2"/>
  <c r="AS22" i="2" s="1"/>
  <c r="BJ20" i="2"/>
  <c r="BJ12" i="2"/>
  <c r="BJ13" i="2" s="1"/>
  <c r="BK12" i="2" l="1"/>
  <c r="BK26" i="2"/>
  <c r="BM11" i="2"/>
  <c r="BL13" i="2"/>
  <c r="BL26" i="2" s="1"/>
  <c r="BL25" i="2"/>
  <c r="BK17" i="2"/>
  <c r="BK19" i="2" s="1"/>
  <c r="BK20" i="2" s="1"/>
  <c r="BK21" i="2" s="1"/>
  <c r="BL16" i="2"/>
  <c r="BM14" i="2"/>
  <c r="BJ26" i="2"/>
  <c r="BJ17" i="2"/>
  <c r="BJ19" i="2" s="1"/>
  <c r="BJ21" i="2" s="1"/>
  <c r="BJ22" i="2" s="1"/>
  <c r="BL17" i="2" l="1"/>
  <c r="BL19" i="2" s="1"/>
  <c r="BL20" i="2" s="1"/>
  <c r="BL21" i="2" s="1"/>
  <c r="BL22" i="2" s="1"/>
  <c r="BM16" i="2"/>
  <c r="BN14" i="2"/>
  <c r="BK22" i="2"/>
  <c r="BN11" i="2"/>
  <c r="BM25" i="2"/>
  <c r="BM13" i="2"/>
  <c r="BM26" i="2" s="1"/>
  <c r="BL12" i="2"/>
  <c r="BM12" i="2" l="1"/>
  <c r="BN25" i="2"/>
  <c r="BN13" i="2"/>
  <c r="BN26" i="2" s="1"/>
  <c r="BO11" i="2"/>
  <c r="BO14" i="2"/>
  <c r="BN16" i="2"/>
  <c r="BM17" i="2"/>
  <c r="BM19" i="2" s="1"/>
  <c r="AQ16" i="2"/>
  <c r="AQ13" i="2"/>
  <c r="AQ26" i="2" s="1"/>
  <c r="AN16" i="2"/>
  <c r="AN13" i="2"/>
  <c r="AN26" i="2" s="1"/>
  <c r="J5" i="1"/>
  <c r="J9" i="1" s="1"/>
  <c r="AR16" i="2"/>
  <c r="AR13" i="2"/>
  <c r="J8" i="1"/>
  <c r="J7" i="1"/>
  <c r="BM20" i="2" l="1"/>
  <c r="BM21" i="2"/>
  <c r="BN17" i="2"/>
  <c r="BN19" i="2" s="1"/>
  <c r="BN20" i="2" s="1"/>
  <c r="BN21" i="2" s="1"/>
  <c r="BN22" i="2" s="1"/>
  <c r="BO16" i="2"/>
  <c r="BP14" i="2"/>
  <c r="BP16" i="2" s="1"/>
  <c r="BO25" i="2"/>
  <c r="BP11" i="2"/>
  <c r="BO13" i="2"/>
  <c r="BO26" i="2" s="1"/>
  <c r="BN12" i="2"/>
  <c r="AR17" i="2"/>
  <c r="AR19" i="2" s="1"/>
  <c r="AR21" i="2" s="1"/>
  <c r="AR22" i="2" s="1"/>
  <c r="AR26" i="2"/>
  <c r="AQ17" i="2"/>
  <c r="AQ19" i="2" s="1"/>
  <c r="AQ21" i="2" s="1"/>
  <c r="AQ22" i="2" s="1"/>
  <c r="AN17" i="2"/>
  <c r="AN19" i="2" s="1"/>
  <c r="AN21" i="2" s="1"/>
  <c r="AN22" i="2" s="1"/>
  <c r="BP25" i="2" l="1"/>
  <c r="BP13" i="2"/>
  <c r="BP26" i="2" s="1"/>
  <c r="BO12" i="2"/>
  <c r="BP17" i="2"/>
  <c r="BP19" i="2" s="1"/>
  <c r="BP20" i="2" s="1"/>
  <c r="BP21" i="2" s="1"/>
  <c r="BO17" i="2"/>
  <c r="BO19" i="2" s="1"/>
  <c r="BM22" i="2"/>
  <c r="BO20" i="2" l="1"/>
  <c r="BO21" i="2" s="1"/>
  <c r="BP22" i="2"/>
  <c r="BQ21" i="2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BP12" i="2"/>
  <c r="BO22" i="2" l="1"/>
  <c r="BS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tc={2A8F886A-97AC-4514-9537-C2E320A92850}</author>
  </authors>
  <commentList>
    <comment ref="AT11" authorId="0" shapeId="0" xr:uid="{2A8F886A-97AC-4514-9537-C2E320A92850}">
      <text>
        <t>[Threaded comment]
Your version of Excel allows you to read this threaded comment; however, any edits to it will get removed if the file is opened in a newer version of Excel. Learn more: https://go.microsoft.com/fwlink/?linkid=870924
Comment:
    835-861B guidance</t>
      </text>
    </comment>
  </commentList>
</comments>
</file>

<file path=xl/sharedStrings.xml><?xml version="1.0" encoding="utf-8"?>
<sst xmlns="http://schemas.openxmlformats.org/spreadsheetml/2006/main" count="100" uniqueCount="100">
  <si>
    <t>Shares</t>
  </si>
  <si>
    <t>EV</t>
  </si>
  <si>
    <t>Main</t>
  </si>
  <si>
    <t>Revenue</t>
  </si>
  <si>
    <t>$M NTD</t>
  </si>
  <si>
    <t>Q123</t>
  </si>
  <si>
    <t>Q223</t>
  </si>
  <si>
    <t>Q323</t>
  </si>
  <si>
    <t>Q423</t>
  </si>
  <si>
    <t>Q124</t>
  </si>
  <si>
    <t>Q224</t>
  </si>
  <si>
    <t>Q324</t>
  </si>
  <si>
    <t>Q424</t>
  </si>
  <si>
    <t>MC NTD</t>
  </si>
  <si>
    <t>Price USD</t>
  </si>
  <si>
    <t>Price NTD</t>
  </si>
  <si>
    <t>Cash USD</t>
  </si>
  <si>
    <t>Debt USD</t>
  </si>
  <si>
    <t>MC USD</t>
  </si>
  <si>
    <t>Net Income</t>
  </si>
  <si>
    <t>Taxes</t>
  </si>
  <si>
    <t>Pretax Income</t>
  </si>
  <si>
    <t>Other Income</t>
  </si>
  <si>
    <t>Operating Income</t>
  </si>
  <si>
    <t>Operating Expenses</t>
  </si>
  <si>
    <t>COGS</t>
  </si>
  <si>
    <t>Gross Margin</t>
  </si>
  <si>
    <t>R&amp;D</t>
  </si>
  <si>
    <t>SG&amp;A</t>
  </si>
  <si>
    <t>S/O</t>
  </si>
  <si>
    <t>EPS</t>
  </si>
  <si>
    <t>GM %</t>
  </si>
  <si>
    <t>Revenue y/y</t>
  </si>
  <si>
    <t>Q122</t>
  </si>
  <si>
    <t>Q222</t>
  </si>
  <si>
    <t>Q322</t>
  </si>
  <si>
    <t>Q422</t>
  </si>
  <si>
    <t>Q121</t>
  </si>
  <si>
    <t>Q221</t>
  </si>
  <si>
    <t>Q321</t>
  </si>
  <si>
    <t>Q421</t>
  </si>
  <si>
    <t>Q120</t>
  </si>
  <si>
    <t>Q220</t>
  </si>
  <si>
    <t>Q320</t>
  </si>
  <si>
    <t>Q420</t>
  </si>
  <si>
    <t>Q119</t>
  </si>
  <si>
    <t>Q219</t>
  </si>
  <si>
    <t>Q319</t>
  </si>
  <si>
    <t>Q419</t>
  </si>
  <si>
    <t>Q118</t>
  </si>
  <si>
    <t>Q218</t>
  </si>
  <si>
    <t>Q318</t>
  </si>
  <si>
    <t>Q418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</si>
  <si>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</si>
  <si>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</si>
  <si>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</si>
  <si>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</si>
  <si>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</si>
  <si>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</si>
  <si>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</si>
  <si>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</si>
  <si>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</si>
  <si>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</si>
  <si>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</si>
  <si>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</si>
  <si>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</si>
  <si>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</si>
  <si>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</si>
  <si>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</si>
  <si>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Discount</t>
  </si>
  <si>
    <t>NPV</t>
  </si>
  <si>
    <t>Terminal</t>
  </si>
  <si>
    <t>Q125</t>
  </si>
  <si>
    <t>Q225</t>
  </si>
  <si>
    <t>Q325</t>
  </si>
  <si>
    <t>Q425</t>
  </si>
  <si>
    <t>Cash</t>
  </si>
  <si>
    <t>OCA</t>
  </si>
  <si>
    <t>Inventories</t>
  </si>
  <si>
    <t>AR</t>
  </si>
  <si>
    <t>ONCA</t>
  </si>
  <si>
    <t>PPE</t>
  </si>
  <si>
    <t>L+SE</t>
  </si>
  <si>
    <t>SE</t>
  </si>
  <si>
    <t>AP</t>
  </si>
  <si>
    <t>Contractors</t>
  </si>
  <si>
    <t>Dividends</t>
  </si>
  <si>
    <t>AE</t>
  </si>
  <si>
    <t>Debt</t>
  </si>
  <si>
    <t>ONCL</t>
  </si>
  <si>
    <t>Net Cash</t>
  </si>
  <si>
    <t>CFFO</t>
  </si>
  <si>
    <t>CapEx</t>
  </si>
  <si>
    <t>FCF</t>
  </si>
  <si>
    <t>3nm</t>
  </si>
  <si>
    <t>5nm</t>
  </si>
  <si>
    <t>16nm</t>
  </si>
  <si>
    <t>7nm</t>
  </si>
  <si>
    <t>HPC</t>
  </si>
  <si>
    <t>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</si>
</sst>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3949CC-EB62-4900-92C7-87E53D5620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10026</xdr:colOff>
      <xdr:row>0</xdr:row>
      <xdr:rowOff>30079</xdr:rowOff>
    </xdr:from>
    <xdr:to>
      <xdr:col>61</xdr:col>
      <xdr:colOff>10026</xdr:colOff>
      <xdr:row>45</xdr:row>
      <xdr:rowOff>145381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E796D6-1541-5E29-A4B0-15C5111971BE}"/>
            </a:ext>
          </a:extLst>
        </xdr:cNvPr>
        <xdr:cNvCxnSpPr/>
      </xdr:nvCxnSpPr>
      <xdr:spPr>
        <a:xfrm>
          <a:off x="35282605" y="30079"/>
          <a:ext cx="0" cy="58904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39414</xdr:colOff>
      <xdr:row>0</xdr:row>
      <xdr:rowOff>45983</xdr:rowOff>
    </xdr:from>
    <xdr:to>
      <xdr:col>45</xdr:col>
      <xdr:colOff>39414</xdr:colOff>
      <xdr:row>53</xdr:row>
      <xdr:rowOff>105104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A4442-A8A2-2141-290B-33CB8BDECA99}"/>
            </a:ext>
          </a:extLst>
        </xdr:cNvPr>
        <xdr:cNvCxnSpPr/>
      </xdr:nvCxnSpPr>
      <xdr:spPr>
        <a:xfrm>
          <a:off x="27898397" y="45983"/>
          <a:ext cx="0" cy="74492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49975A6-93EC-4F57-B516-5EE95FD110A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1" dT="2024-12-25T22:42:37.30" personId="{A49975A6-93EC-4F57-B516-5EE95FD110AD}" id="{2A8F886A-97AC-4514-9537-C2E320A92850}">
    <text>835-861B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92D2-7D03-4DFA-BED7-661026E9434F}">
  <dimension ref="I2:J9"/>
  <sheetViews>
    <sheetView zoomScale="220" zoomScaleNormal="220" workbookViewId="0">
      <selection activeCell="J4" sqref="J4"/>
    </sheetView>
  </sheetViews>
  <sheetFormatPr defaultRowHeight="12.75" x14ac:dyDescent="0.2"/>
  <cols>
    <col min="9" max="9" width="10.42578125" customWidth="1"/>
    <col min="10" max="10" width="10.140625" bestFit="1" customWidth="1"/>
  </cols>
  <sheetData>
    <row r="2" spans="9:10" x14ac:dyDescent="0.2">
      <c r="I2" t="s">
        <v>14</v>
      </c>
      <c r="J2" s="1">
        <v>206.4</v>
      </c>
    </row>
    <row r="3" spans="9:10" x14ac:dyDescent="0.2">
      <c r="I3" t="s">
        <v>15</v>
      </c>
      <c r="J3" s="1">
        <v>1085</v>
      </c>
    </row>
    <row r="4" spans="9:10" x14ac:dyDescent="0.2">
      <c r="I4" t="s">
        <v>0</v>
      </c>
      <c r="J4" s="2">
        <v>25931</v>
      </c>
    </row>
    <row r="5" spans="9:10" x14ac:dyDescent="0.2">
      <c r="I5" t="s">
        <v>18</v>
      </c>
      <c r="J5" s="2">
        <f>+J2*J4/5</f>
        <v>1070431.6800000002</v>
      </c>
    </row>
    <row r="6" spans="9:10" x14ac:dyDescent="0.2">
      <c r="I6" t="s">
        <v>13</v>
      </c>
      <c r="J6" s="2">
        <f>+J3*J4</f>
        <v>28135135</v>
      </c>
    </row>
    <row r="7" spans="9:10" x14ac:dyDescent="0.2">
      <c r="I7" t="s">
        <v>16</v>
      </c>
      <c r="J7" s="2">
        <f>55375+7679+4316</f>
        <v>67370</v>
      </c>
    </row>
    <row r="8" spans="9:10" x14ac:dyDescent="0.2">
      <c r="I8" t="s">
        <v>17</v>
      </c>
      <c r="J8" s="2">
        <f>29711+710</f>
        <v>30421</v>
      </c>
    </row>
    <row r="9" spans="9:10" x14ac:dyDescent="0.2">
      <c r="I9" t="s">
        <v>1</v>
      </c>
      <c r="J9" s="2">
        <f>+J5-J7+J8</f>
        <v>1033482.6800000002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7CB3-C001-4BFA-BC40-1969E46C671B}">
  <dimension ref="A1:IA48"/>
  <sheetViews>
    <sheetView tabSelected="1" zoomScale="145" zoomScaleNormal="145" workbookViewId="0">
      <pane xSplit="2" ySplit="2" topLeftCell="AI24" activePane="bottomRight" state="frozen"/>
      <selection pane="topRight" activeCell="C1" sqref="C1"/>
      <selection pane="bottomLeft" activeCell="A3" sqref="A3"/>
      <selection pane="bottomRight" activeCell="AS33" sqref="AS33"/>
    </sheetView>
  </sheetViews>
  <sheetFormatPr defaultRowHeight="12.75" x14ac:dyDescent="0.2"/>
  <cols>
    <col min="1" max="1" width="5" bestFit="1" customWidth="1"/>
    <col min="2" max="2" width="18.140625" bestFit="1" customWidth="1"/>
    <col min="3" max="44" width="9.140625" style="3"/>
    <col min="45" max="46" width="9.85546875" style="3" bestFit="1" customWidth="1"/>
    <col min="47" max="50" width="9.85546875" style="3" customWidth="1"/>
    <col min="71" max="71" width="14.7109375" bestFit="1" customWidth="1"/>
  </cols>
  <sheetData>
    <row r="1" spans="1:68" x14ac:dyDescent="0.2">
      <c r="A1" s="14" t="s">
        <v>2</v>
      </c>
    </row>
    <row r="2" spans="1:68" x14ac:dyDescent="0.2">
      <c r="B2" t="s">
        <v>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5</v>
      </c>
      <c r="AN2" s="3" t="s">
        <v>6</v>
      </c>
      <c r="AO2" s="3" t="s">
        <v>7</v>
      </c>
      <c r="AP2" s="3" t="s">
        <v>8</v>
      </c>
      <c r="AQ2" s="3" t="s">
        <v>9</v>
      </c>
      <c r="AR2" s="3" t="s">
        <v>10</v>
      </c>
      <c r="AS2" s="3" t="s">
        <v>11</v>
      </c>
      <c r="AT2" s="3" t="s">
        <v>12</v>
      </c>
      <c r="AU2" s="3" t="s">
        <v>72</v>
      </c>
      <c r="AV2" s="3" t="s">
        <v>73</v>
      </c>
      <c r="AW2" s="3" t="s">
        <v>74</v>
      </c>
      <c r="AX2" s="3" t="s">
        <v>75</v>
      </c>
      <c r="AZ2">
        <v>2014</v>
      </c>
      <c r="BA2">
        <v>2015</v>
      </c>
      <c r="BB2">
        <v>2016</v>
      </c>
      <c r="BC2">
        <v>2017</v>
      </c>
      <c r="BD2">
        <v>2018</v>
      </c>
      <c r="BE2">
        <v>2019</v>
      </c>
      <c r="BF2">
        <v>2020</v>
      </c>
      <c r="BG2">
        <f t="shared" ref="BG2:BM2" si="0">+BF2+1</f>
        <v>2021</v>
      </c>
      <c r="BH2">
        <f t="shared" si="0"/>
        <v>2022</v>
      </c>
      <c r="BI2">
        <f t="shared" si="0"/>
        <v>2023</v>
      </c>
      <c r="BJ2">
        <f t="shared" si="0"/>
        <v>2024</v>
      </c>
      <c r="BK2">
        <f t="shared" si="0"/>
        <v>2025</v>
      </c>
      <c r="BL2">
        <f t="shared" si="0"/>
        <v>2026</v>
      </c>
      <c r="BM2">
        <f t="shared" si="0"/>
        <v>2027</v>
      </c>
      <c r="BN2">
        <f t="shared" ref="BN2:BP2" si="1">+BM2+1</f>
        <v>2028</v>
      </c>
      <c r="BO2">
        <f t="shared" si="1"/>
        <v>2029</v>
      </c>
      <c r="BP2">
        <f t="shared" si="1"/>
        <v>2030</v>
      </c>
    </row>
    <row r="3" spans="1:68" x14ac:dyDescent="0.2">
      <c r="B3" t="s">
        <v>94</v>
      </c>
      <c r="AS3" s="6">
        <v>0.2</v>
      </c>
    </row>
    <row r="4" spans="1:68" x14ac:dyDescent="0.2">
      <c r="B4" t="s">
        <v>95</v>
      </c>
      <c r="AS4" s="6">
        <v>0.32</v>
      </c>
    </row>
    <row r="5" spans="1:68" x14ac:dyDescent="0.2">
      <c r="B5" t="s">
        <v>97</v>
      </c>
      <c r="AS5" s="6">
        <v>0.17</v>
      </c>
    </row>
    <row r="6" spans="1:68" x14ac:dyDescent="0.2">
      <c r="B6" t="s">
        <v>96</v>
      </c>
      <c r="AS6" s="6">
        <v>0.08</v>
      </c>
    </row>
    <row r="8" spans="1:68" x14ac:dyDescent="0.2">
      <c r="B8" t="s">
        <v>98</v>
      </c>
      <c r="AS8" s="6">
        <v>0.51</v>
      </c>
    </row>
    <row r="9" spans="1:68" x14ac:dyDescent="0.2">
      <c r="B9" t="s">
        <v>99</v>
      </c>
      <c r="AS9" s="6">
        <v>0.34</v>
      </c>
    </row>
    <row r="11" spans="1:68" s="7" customFormat="1" x14ac:dyDescent="0.2">
      <c r="B11" s="7" t="s">
        <v>3</v>
      </c>
      <c r="C11" s="9">
        <v>148215</v>
      </c>
      <c r="D11" s="9">
        <v>183021</v>
      </c>
      <c r="E11" s="9">
        <v>209049</v>
      </c>
      <c r="F11" s="9">
        <v>222521</v>
      </c>
      <c r="G11" s="9">
        <v>222034</v>
      </c>
      <c r="H11" s="9">
        <v>205440</v>
      </c>
      <c r="I11" s="9">
        <v>212505</v>
      </c>
      <c r="J11" s="9">
        <v>203518</v>
      </c>
      <c r="K11" s="9">
        <v>203495</v>
      </c>
      <c r="L11" s="9">
        <v>221810</v>
      </c>
      <c r="M11" s="9">
        <v>260406</v>
      </c>
      <c r="N11" s="9">
        <v>262227</v>
      </c>
      <c r="O11" s="9">
        <v>233914</v>
      </c>
      <c r="P11" s="9">
        <v>213856</v>
      </c>
      <c r="Q11" s="9">
        <v>252107</v>
      </c>
      <c r="R11" s="9">
        <v>277570</v>
      </c>
      <c r="S11" s="9">
        <v>248079</v>
      </c>
      <c r="T11" s="9">
        <v>233276</v>
      </c>
      <c r="U11" s="9">
        <v>260348</v>
      </c>
      <c r="V11" s="9">
        <v>289771</v>
      </c>
      <c r="W11" s="9">
        <v>218704</v>
      </c>
      <c r="X11" s="9">
        <v>240999</v>
      </c>
      <c r="Y11" s="9">
        <v>293045</v>
      </c>
      <c r="Z11" s="9">
        <v>317237</v>
      </c>
      <c r="AA11" s="9">
        <v>310597</v>
      </c>
      <c r="AB11" s="9">
        <v>310699</v>
      </c>
      <c r="AC11" s="9">
        <v>356426</v>
      </c>
      <c r="AD11" s="9">
        <v>361533</v>
      </c>
      <c r="AE11" s="9">
        <v>362410</v>
      </c>
      <c r="AF11" s="9">
        <v>372145</v>
      </c>
      <c r="AG11" s="9">
        <v>414671</v>
      </c>
      <c r="AH11" s="9">
        <v>438189</v>
      </c>
      <c r="AI11" s="9">
        <v>491076</v>
      </c>
      <c r="AJ11" s="9">
        <v>534141</v>
      </c>
      <c r="AK11" s="9">
        <v>613142</v>
      </c>
      <c r="AL11" s="9">
        <v>625532</v>
      </c>
      <c r="AM11" s="9">
        <v>508633</v>
      </c>
      <c r="AN11" s="9">
        <v>480841</v>
      </c>
      <c r="AO11" s="9">
        <v>546733</v>
      </c>
      <c r="AP11" s="9">
        <v>625529</v>
      </c>
      <c r="AQ11" s="9">
        <v>592644</v>
      </c>
      <c r="AR11" s="9">
        <v>673510</v>
      </c>
      <c r="AS11" s="9">
        <v>759692</v>
      </c>
      <c r="AT11" s="9">
        <f>+AP11*1.34</f>
        <v>838208.8600000001</v>
      </c>
      <c r="AU11" s="9">
        <f>26.9*32</f>
        <v>860.8</v>
      </c>
      <c r="AV11" s="9"/>
      <c r="AW11" s="9"/>
      <c r="AX11" s="9"/>
      <c r="AZ11" s="11">
        <f>SUM(C11:F11)</f>
        <v>762806</v>
      </c>
      <c r="BA11" s="11">
        <f>SUM(G11:J11)</f>
        <v>843497</v>
      </c>
      <c r="BB11" s="11">
        <f>SUM(K11:N11)</f>
        <v>947938</v>
      </c>
      <c r="BC11" s="11">
        <f>SUM(O11:R11)</f>
        <v>977447</v>
      </c>
      <c r="BD11" s="11">
        <f>SUM(S11:V11)</f>
        <v>1031474</v>
      </c>
      <c r="BE11" s="11">
        <f>SUM(W11:Z11)</f>
        <v>1069985</v>
      </c>
      <c r="BF11" s="11">
        <f>SUM(AA11:AD11)</f>
        <v>1339255</v>
      </c>
      <c r="BG11" s="11">
        <f>SUM(AE11:AH11)</f>
        <v>1587415</v>
      </c>
      <c r="BH11" s="11">
        <f>SUM(AI11:AL11)</f>
        <v>2263891</v>
      </c>
      <c r="BI11" s="11">
        <f>SUM(AM11:AP11)</f>
        <v>2161736</v>
      </c>
      <c r="BJ11" s="11">
        <f>SUM(AQ11:AT11)</f>
        <v>2864054.8600000003</v>
      </c>
      <c r="BK11" s="11">
        <f t="shared" ref="BK11:BP11" si="2">+BJ11*1.1</f>
        <v>3150460.3460000008</v>
      </c>
      <c r="BL11" s="11">
        <f t="shared" si="2"/>
        <v>3465506.3806000012</v>
      </c>
      <c r="BM11" s="11">
        <f t="shared" si="2"/>
        <v>3812057.0186600015</v>
      </c>
      <c r="BN11" s="11">
        <f t="shared" si="2"/>
        <v>4193262.7205260019</v>
      </c>
      <c r="BO11" s="11">
        <f t="shared" si="2"/>
        <v>4612588.9925786024</v>
      </c>
      <c r="BP11" s="11">
        <f t="shared" si="2"/>
        <v>5073847.8918364635</v>
      </c>
    </row>
    <row r="12" spans="1:68" x14ac:dyDescent="0.2">
      <c r="B12" t="s">
        <v>25</v>
      </c>
      <c r="C12" s="4">
        <v>77818</v>
      </c>
      <c r="D12" s="4">
        <v>91828</v>
      </c>
      <c r="E12" s="4">
        <v>103471</v>
      </c>
      <c r="F12" s="4">
        <v>111961</v>
      </c>
      <c r="G12" s="4">
        <v>112605</v>
      </c>
      <c r="H12" s="4">
        <v>105735</v>
      </c>
      <c r="I12" s="4">
        <v>110169</v>
      </c>
      <c r="J12" s="4">
        <v>104593</v>
      </c>
      <c r="K12" s="4">
        <v>112157</v>
      </c>
      <c r="L12" s="4">
        <v>107476</v>
      </c>
      <c r="M12" s="4">
        <v>128355</v>
      </c>
      <c r="N12" s="4">
        <v>125118</v>
      </c>
      <c r="O12" s="4">
        <v>112424</v>
      </c>
      <c r="P12" s="4">
        <v>105148</v>
      </c>
      <c r="Q12" s="4">
        <v>126227</v>
      </c>
      <c r="R12" s="4">
        <v>138822</v>
      </c>
      <c r="S12" s="4">
        <v>123221</v>
      </c>
      <c r="T12" s="4">
        <v>121746</v>
      </c>
      <c r="U12" s="4">
        <v>136981</v>
      </c>
      <c r="V12" s="4">
        <v>151652</v>
      </c>
      <c r="W12" s="4">
        <v>128346</v>
      </c>
      <c r="X12" s="4">
        <v>137269</v>
      </c>
      <c r="Y12" s="4">
        <v>153633</v>
      </c>
      <c r="Z12" s="4">
        <v>158035</v>
      </c>
      <c r="AA12" s="4">
        <v>149820</v>
      </c>
      <c r="AB12" s="4">
        <v>146076</v>
      </c>
      <c r="AC12" s="4">
        <v>165932</v>
      </c>
      <c r="AD12" s="4">
        <v>166297</v>
      </c>
      <c r="AE12" s="4">
        <v>172571</v>
      </c>
      <c r="AF12" s="4">
        <v>185948</v>
      </c>
      <c r="AG12" s="4">
        <v>201925</v>
      </c>
      <c r="AH12" s="4">
        <v>207434</v>
      </c>
      <c r="AI12" s="4">
        <v>217873</v>
      </c>
      <c r="AJ12" s="4">
        <v>218673</v>
      </c>
      <c r="AK12" s="4">
        <v>242643</v>
      </c>
      <c r="AL12" s="4">
        <v>236347</v>
      </c>
      <c r="AM12" s="4">
        <v>222133</v>
      </c>
      <c r="AN12" s="4">
        <v>220641</v>
      </c>
      <c r="AO12" s="4">
        <v>250090</v>
      </c>
      <c r="AP12" s="4">
        <v>293761</v>
      </c>
      <c r="AQ12" s="4">
        <v>278139</v>
      </c>
      <c r="AR12" s="4">
        <v>315385</v>
      </c>
      <c r="AS12" s="4">
        <v>320347</v>
      </c>
      <c r="AT12" s="4">
        <f>+AT11-AT13</f>
        <v>393958.1642</v>
      </c>
      <c r="AU12" s="4"/>
      <c r="AV12" s="4"/>
      <c r="AW12" s="4"/>
      <c r="AX12" s="4"/>
      <c r="AZ12" s="2">
        <f>SUM(C12:F12)</f>
        <v>385078</v>
      </c>
      <c r="BA12" s="2">
        <f>SUM(G12:J12)</f>
        <v>433102</v>
      </c>
      <c r="BB12" s="2">
        <f>SUM(K12:N12)</f>
        <v>473106</v>
      </c>
      <c r="BC12" s="2">
        <f>SUM(O12:R12)</f>
        <v>482621</v>
      </c>
      <c r="BD12" s="2">
        <f>SUM(S12:V12)</f>
        <v>533600</v>
      </c>
      <c r="BE12" s="2">
        <f>SUM(W12:Z12)</f>
        <v>577283</v>
      </c>
      <c r="BF12" s="2">
        <f>SUM(AA12:AD12)</f>
        <v>628125</v>
      </c>
      <c r="BG12" s="2">
        <f>SUM(AE12:AH12)</f>
        <v>767878</v>
      </c>
      <c r="BH12" s="2">
        <f>SUM(AI12:AL12)</f>
        <v>915536</v>
      </c>
      <c r="BI12" s="2">
        <f>SUM(AM12:AP12)</f>
        <v>986625</v>
      </c>
      <c r="BJ12" s="2">
        <f>SUM(AQ12:AT12)</f>
        <v>1307829.1642</v>
      </c>
      <c r="BK12" s="2">
        <f>+BK11-BK13</f>
        <v>1449211.7591600004</v>
      </c>
      <c r="BL12" s="2">
        <f t="shared" ref="BL12:BP12" si="3">+BL11-BL13</f>
        <v>1594132.9350760004</v>
      </c>
      <c r="BM12" s="2">
        <f t="shared" si="3"/>
        <v>1753546.2285836006</v>
      </c>
      <c r="BN12" s="2">
        <f t="shared" si="3"/>
        <v>1928900.8514419608</v>
      </c>
      <c r="BO12" s="2">
        <f t="shared" si="3"/>
        <v>2121790.936586157</v>
      </c>
      <c r="BP12" s="2">
        <f t="shared" si="3"/>
        <v>2333970.0302447728</v>
      </c>
    </row>
    <row r="13" spans="1:68" x14ac:dyDescent="0.2">
      <c r="B13" t="s">
        <v>26</v>
      </c>
      <c r="C13" s="4">
        <f t="shared" ref="C13:R13" si="4">+C11-C12</f>
        <v>70397</v>
      </c>
      <c r="D13" s="4">
        <f t="shared" si="4"/>
        <v>91193</v>
      </c>
      <c r="E13" s="4">
        <f t="shared" si="4"/>
        <v>105578</v>
      </c>
      <c r="F13" s="4">
        <f t="shared" si="4"/>
        <v>110560</v>
      </c>
      <c r="G13" s="4">
        <f t="shared" si="4"/>
        <v>109429</v>
      </c>
      <c r="H13" s="4">
        <f t="shared" si="4"/>
        <v>99705</v>
      </c>
      <c r="I13" s="4">
        <f t="shared" si="4"/>
        <v>102336</v>
      </c>
      <c r="J13" s="4">
        <f t="shared" si="4"/>
        <v>98925</v>
      </c>
      <c r="K13" s="4">
        <f t="shared" si="4"/>
        <v>91338</v>
      </c>
      <c r="L13" s="4">
        <f t="shared" si="4"/>
        <v>114334</v>
      </c>
      <c r="M13" s="4">
        <f t="shared" si="4"/>
        <v>132051</v>
      </c>
      <c r="N13" s="4">
        <f t="shared" si="4"/>
        <v>137109</v>
      </c>
      <c r="O13" s="4">
        <f t="shared" si="4"/>
        <v>121490</v>
      </c>
      <c r="P13" s="4">
        <f t="shared" si="4"/>
        <v>108708</v>
      </c>
      <c r="Q13" s="4">
        <f t="shared" si="4"/>
        <v>125880</v>
      </c>
      <c r="R13" s="4">
        <f t="shared" si="4"/>
        <v>138748</v>
      </c>
      <c r="S13" s="4">
        <f t="shared" ref="S13" si="5">+S11-S12</f>
        <v>124858</v>
      </c>
      <c r="T13" s="4">
        <f t="shared" ref="T13:AR13" si="6">+T11-T12</f>
        <v>111530</v>
      </c>
      <c r="U13" s="4">
        <f t="shared" si="6"/>
        <v>123367</v>
      </c>
      <c r="V13" s="4">
        <f t="shared" si="6"/>
        <v>138119</v>
      </c>
      <c r="W13" s="4">
        <f t="shared" si="6"/>
        <v>90358</v>
      </c>
      <c r="X13" s="4">
        <f t="shared" si="6"/>
        <v>103730</v>
      </c>
      <c r="Y13" s="4">
        <f t="shared" si="6"/>
        <v>139412</v>
      </c>
      <c r="Z13" s="4">
        <f t="shared" si="6"/>
        <v>159202</v>
      </c>
      <c r="AA13" s="4">
        <f t="shared" si="6"/>
        <v>160777</v>
      </c>
      <c r="AB13" s="4">
        <f t="shared" si="6"/>
        <v>164623</v>
      </c>
      <c r="AC13" s="4">
        <f t="shared" si="6"/>
        <v>190494</v>
      </c>
      <c r="AD13" s="4">
        <f t="shared" si="6"/>
        <v>195236</v>
      </c>
      <c r="AE13" s="4">
        <f t="shared" si="6"/>
        <v>189839</v>
      </c>
      <c r="AF13" s="4">
        <f t="shared" si="6"/>
        <v>186197</v>
      </c>
      <c r="AG13" s="4">
        <f t="shared" si="6"/>
        <v>212746</v>
      </c>
      <c r="AH13" s="4">
        <f t="shared" si="6"/>
        <v>230755</v>
      </c>
      <c r="AI13" s="4">
        <f t="shared" si="6"/>
        <v>273203</v>
      </c>
      <c r="AJ13" s="4">
        <f t="shared" si="6"/>
        <v>315468</v>
      </c>
      <c r="AK13" s="4">
        <f t="shared" si="6"/>
        <v>370499</v>
      </c>
      <c r="AL13" s="4">
        <f t="shared" si="6"/>
        <v>389185</v>
      </c>
      <c r="AM13" s="4">
        <f t="shared" si="6"/>
        <v>286500</v>
      </c>
      <c r="AN13" s="4">
        <f t="shared" si="6"/>
        <v>260200</v>
      </c>
      <c r="AO13" s="4">
        <f t="shared" si="6"/>
        <v>296643</v>
      </c>
      <c r="AP13" s="4">
        <f t="shared" si="6"/>
        <v>331768</v>
      </c>
      <c r="AQ13" s="4">
        <f t="shared" si="6"/>
        <v>314505</v>
      </c>
      <c r="AR13" s="4">
        <f t="shared" si="6"/>
        <v>358125</v>
      </c>
      <c r="AS13" s="4">
        <f>+AS11-AS12</f>
        <v>439345</v>
      </c>
      <c r="AT13" s="4">
        <f>+AT11*0.53</f>
        <v>444250.6958000001</v>
      </c>
      <c r="AU13" s="4"/>
      <c r="AV13" s="4"/>
      <c r="AW13" s="4"/>
      <c r="AX13" s="4"/>
      <c r="AZ13" s="2">
        <f t="shared" ref="AZ13:BJ13" si="7">+AZ11-AZ12</f>
        <v>377728</v>
      </c>
      <c r="BA13" s="2">
        <f t="shared" si="7"/>
        <v>410395</v>
      </c>
      <c r="BB13" s="2">
        <f t="shared" si="7"/>
        <v>474832</v>
      </c>
      <c r="BC13" s="2">
        <f t="shared" si="7"/>
        <v>494826</v>
      </c>
      <c r="BD13" s="2">
        <f t="shared" si="7"/>
        <v>497874</v>
      </c>
      <c r="BE13" s="2">
        <f t="shared" si="7"/>
        <v>492702</v>
      </c>
      <c r="BF13" s="2">
        <f t="shared" si="7"/>
        <v>711130</v>
      </c>
      <c r="BG13" s="2">
        <f t="shared" si="7"/>
        <v>819537</v>
      </c>
      <c r="BH13" s="2">
        <f t="shared" si="7"/>
        <v>1348355</v>
      </c>
      <c r="BI13" s="2">
        <f t="shared" si="7"/>
        <v>1175111</v>
      </c>
      <c r="BJ13" s="2">
        <f t="shared" si="7"/>
        <v>1556225.6958000003</v>
      </c>
      <c r="BK13" s="2">
        <f t="shared" ref="BK13:BP13" si="8">+BK11*0.54</f>
        <v>1701248.5868400005</v>
      </c>
      <c r="BL13" s="2">
        <f t="shared" si="8"/>
        <v>1871373.4455240008</v>
      </c>
      <c r="BM13" s="2">
        <f t="shared" si="8"/>
        <v>2058510.7900764009</v>
      </c>
      <c r="BN13" s="2">
        <f t="shared" si="8"/>
        <v>2264361.8690840411</v>
      </c>
      <c r="BO13" s="2">
        <f t="shared" si="8"/>
        <v>2490798.0559924454</v>
      </c>
      <c r="BP13" s="2">
        <f t="shared" si="8"/>
        <v>2739877.8615916907</v>
      </c>
    </row>
    <row r="14" spans="1:68" x14ac:dyDescent="0.2">
      <c r="B14" t="s">
        <v>27</v>
      </c>
      <c r="C14" s="4">
        <v>12068</v>
      </c>
      <c r="D14" s="4">
        <v>13609</v>
      </c>
      <c r="E14" s="4">
        <v>15206</v>
      </c>
      <c r="F14" s="4">
        <v>15943</v>
      </c>
      <c r="G14" s="4">
        <v>16782</v>
      </c>
      <c r="H14" s="4">
        <v>16612</v>
      </c>
      <c r="I14" s="4">
        <v>16486</v>
      </c>
      <c r="J14" s="4">
        <v>15665</v>
      </c>
      <c r="K14" s="4">
        <v>15619</v>
      </c>
      <c r="L14" s="4">
        <v>16904</v>
      </c>
      <c r="M14" s="4">
        <v>18724</v>
      </c>
      <c r="N14" s="4">
        <v>19961</v>
      </c>
      <c r="O14" s="4">
        <v>19413</v>
      </c>
      <c r="P14" s="4">
        <v>19057</v>
      </c>
      <c r="Q14" s="4">
        <v>21045</v>
      </c>
      <c r="R14" s="4">
        <v>21218</v>
      </c>
      <c r="S14" s="4">
        <v>20429</v>
      </c>
      <c r="T14" s="4">
        <v>19891</v>
      </c>
      <c r="U14" s="4">
        <v>21886</v>
      </c>
      <c r="V14" s="4">
        <v>23689</v>
      </c>
      <c r="W14" s="4">
        <v>20417</v>
      </c>
      <c r="X14" s="4">
        <v>21394</v>
      </c>
      <c r="Y14" s="4">
        <v>23972</v>
      </c>
      <c r="Z14" s="4">
        <v>25636</v>
      </c>
      <c r="AA14" s="4">
        <v>24969</v>
      </c>
      <c r="AB14" s="4">
        <v>24893</v>
      </c>
      <c r="AC14" s="4">
        <v>29684</v>
      </c>
      <c r="AD14" s="4">
        <v>29940</v>
      </c>
      <c r="AE14" s="4">
        <v>30756</v>
      </c>
      <c r="AF14" s="4">
        <v>30874</v>
      </c>
      <c r="AG14" s="4">
        <v>30866</v>
      </c>
      <c r="AH14" s="4">
        <v>32239</v>
      </c>
      <c r="AI14" s="4">
        <v>36048</v>
      </c>
      <c r="AJ14" s="4">
        <v>39650</v>
      </c>
      <c r="AK14" s="4">
        <v>42977</v>
      </c>
      <c r="AL14" s="4">
        <v>44587</v>
      </c>
      <c r="AM14" s="4">
        <v>39157</v>
      </c>
      <c r="AN14" s="4">
        <v>41665</v>
      </c>
      <c r="AO14" s="4">
        <v>51138</v>
      </c>
      <c r="AP14" s="4">
        <v>50410</v>
      </c>
      <c r="AQ14" s="4">
        <v>46109</v>
      </c>
      <c r="AR14" s="4">
        <v>48058</v>
      </c>
      <c r="AS14" s="4">
        <v>52783</v>
      </c>
      <c r="AT14" s="4">
        <f>+AP14*1.1</f>
        <v>55451.000000000007</v>
      </c>
      <c r="AU14" s="4"/>
      <c r="AV14" s="4"/>
      <c r="AW14" s="4"/>
      <c r="AX14" s="4"/>
      <c r="AZ14" s="2">
        <f>SUM(C14:F14)</f>
        <v>56826</v>
      </c>
      <c r="BA14" s="2">
        <f>SUM(G14:J14)</f>
        <v>65545</v>
      </c>
      <c r="BB14" s="2">
        <f>SUM(K14:N14)</f>
        <v>71208</v>
      </c>
      <c r="BC14" s="2">
        <f>SUM(O14:R14)</f>
        <v>80733</v>
      </c>
      <c r="BD14" s="2">
        <f>SUM(S14:V14)</f>
        <v>85895</v>
      </c>
      <c r="BE14" s="2">
        <f>SUM(W14:Z14)</f>
        <v>91419</v>
      </c>
      <c r="BF14" s="2">
        <f>SUM(AA14:AD14)</f>
        <v>109486</v>
      </c>
      <c r="BG14" s="2">
        <f>SUM(AE14:AH14)</f>
        <v>124735</v>
      </c>
      <c r="BH14" s="2">
        <f>SUM(AI14:AL14)</f>
        <v>163262</v>
      </c>
      <c r="BI14" s="2">
        <f>SUM(AM14:AP14)</f>
        <v>182370</v>
      </c>
      <c r="BJ14" s="2">
        <f>SUM(AQ14:AT14)</f>
        <v>202401</v>
      </c>
      <c r="BK14" s="2">
        <f t="shared" ref="BK14:BP14" si="9">+BJ14*1.05</f>
        <v>212521.05000000002</v>
      </c>
      <c r="BL14" s="2">
        <f t="shared" si="9"/>
        <v>223147.10250000004</v>
      </c>
      <c r="BM14" s="2">
        <f t="shared" si="9"/>
        <v>234304.45762500004</v>
      </c>
      <c r="BN14" s="2">
        <f t="shared" si="9"/>
        <v>246019.68050625006</v>
      </c>
      <c r="BO14" s="2">
        <f t="shared" si="9"/>
        <v>258320.66453156256</v>
      </c>
      <c r="BP14" s="2">
        <f t="shared" si="9"/>
        <v>271236.69775814068</v>
      </c>
    </row>
    <row r="15" spans="1:68" x14ac:dyDescent="0.2">
      <c r="B15" t="s">
        <v>28</v>
      </c>
      <c r="C15" s="4">
        <f>5809+3</f>
        <v>5812</v>
      </c>
      <c r="D15" s="4">
        <f>6643+227</f>
        <v>6870</v>
      </c>
      <c r="E15" s="4">
        <f>5935+5</f>
        <v>5940</v>
      </c>
      <c r="F15" s="4">
        <f>5634+767</f>
        <v>6401</v>
      </c>
      <c r="G15" s="4">
        <f>5757+264</f>
        <v>6021</v>
      </c>
      <c r="H15" s="4">
        <f>5943+81</f>
        <v>6024</v>
      </c>
      <c r="I15" s="4">
        <f>5674+1787</f>
        <v>7461</v>
      </c>
      <c r="J15" s="4">
        <f>5548-252</f>
        <v>5296</v>
      </c>
      <c r="K15" s="4">
        <f>5260-8</f>
        <v>5252</v>
      </c>
      <c r="L15" s="4">
        <f>6104+5</f>
        <v>6109</v>
      </c>
      <c r="M15" s="4">
        <f>7116-52</f>
        <v>7064</v>
      </c>
      <c r="N15" s="4">
        <f>7216+25</f>
        <v>7241</v>
      </c>
      <c r="O15" s="4">
        <f>6744-19</f>
        <v>6725</v>
      </c>
      <c r="P15" s="4">
        <f>6309+86</f>
        <v>6395</v>
      </c>
      <c r="Q15" s="4">
        <f>6492+287</f>
        <v>6779</v>
      </c>
      <c r="R15" s="4">
        <f>7624+1011</f>
        <v>8635</v>
      </c>
      <c r="S15" s="4">
        <f>6300+1302</f>
        <v>7602</v>
      </c>
      <c r="T15" s="4">
        <f>6548+663</f>
        <v>7211</v>
      </c>
      <c r="U15" s="4">
        <f>6243-7</f>
        <v>6236</v>
      </c>
      <c r="V15" s="4">
        <f>7163+143</f>
        <v>7306</v>
      </c>
      <c r="W15" s="4">
        <f>5601+74</f>
        <v>5675</v>
      </c>
      <c r="X15" s="4">
        <f>5771+261</f>
        <v>6032</v>
      </c>
      <c r="Y15" s="4">
        <f>7407+146</f>
        <v>7553</v>
      </c>
      <c r="Z15" s="4">
        <f>9307+15</f>
        <v>9322</v>
      </c>
      <c r="AA15" s="4">
        <f>7354-68</f>
        <v>7286</v>
      </c>
      <c r="AB15" s="4">
        <f>8628+8</f>
        <v>8636</v>
      </c>
      <c r="AC15" s="4">
        <f>11207-445</f>
        <v>10762</v>
      </c>
      <c r="AD15" s="4">
        <f>8381-205</f>
        <v>8176</v>
      </c>
      <c r="AE15" s="4">
        <f>8356+189</f>
        <v>8545</v>
      </c>
      <c r="AF15" s="4">
        <f>9709-53</f>
        <v>9656</v>
      </c>
      <c r="AG15" s="4">
        <f>10784+92</f>
        <v>10876</v>
      </c>
      <c r="AH15" s="4">
        <f>15639+105</f>
        <v>15744</v>
      </c>
      <c r="AI15" s="4">
        <v>12563</v>
      </c>
      <c r="AJ15" s="4">
        <f>13725-31</f>
        <v>13694</v>
      </c>
      <c r="AK15" s="4">
        <f>17209-11</f>
        <v>17198</v>
      </c>
      <c r="AL15" s="4">
        <v>19949</v>
      </c>
      <c r="AM15" s="4">
        <v>16152</v>
      </c>
      <c r="AN15" s="4">
        <v>16530</v>
      </c>
      <c r="AO15" s="4">
        <v>17571</v>
      </c>
      <c r="AP15" s="4">
        <v>21211</v>
      </c>
      <c r="AQ15" s="4">
        <v>19248</v>
      </c>
      <c r="AR15" s="4">
        <v>22238</v>
      </c>
      <c r="AS15" s="4">
        <v>26295</v>
      </c>
      <c r="AT15" s="4">
        <f t="shared" ref="AT15" si="10">+AP15*1.1</f>
        <v>23332.100000000002</v>
      </c>
      <c r="AU15" s="4"/>
      <c r="AV15" s="4"/>
      <c r="AW15" s="4"/>
      <c r="AX15" s="4"/>
      <c r="AZ15" s="2">
        <f>SUM(C15:F15)</f>
        <v>25023</v>
      </c>
      <c r="BA15" s="2">
        <f>SUM(G15:J15)</f>
        <v>24802</v>
      </c>
      <c r="BB15" s="2">
        <f>SUM(K15:N15)</f>
        <v>25666</v>
      </c>
      <c r="BC15" s="2">
        <f>SUM(O15:R15)</f>
        <v>28534</v>
      </c>
      <c r="BD15" s="2">
        <f>SUM(S15:V15)</f>
        <v>28355</v>
      </c>
      <c r="BE15" s="2">
        <f>SUM(W15:Z15)</f>
        <v>28582</v>
      </c>
      <c r="BF15" s="2">
        <f>SUM(AA15:AD15)</f>
        <v>34860</v>
      </c>
      <c r="BG15" s="2">
        <f>SUM(AE15:AH15)</f>
        <v>44821</v>
      </c>
      <c r="BH15" s="2">
        <f>SUM(AI15:AL15)</f>
        <v>63404</v>
      </c>
      <c r="BI15" s="2">
        <f>SUM(AM15:AP15)</f>
        <v>71464</v>
      </c>
      <c r="BJ15" s="2">
        <f>SUM(AQ15:AT15)</f>
        <v>91113.1</v>
      </c>
      <c r="BK15" s="2">
        <f>+BJ15*1.05</f>
        <v>95668.755000000005</v>
      </c>
      <c r="BL15" s="2">
        <f t="shared" ref="BL15:BP15" si="11">+BK15*1.05</f>
        <v>100452.19275</v>
      </c>
      <c r="BM15" s="2">
        <f t="shared" si="11"/>
        <v>105474.80238750001</v>
      </c>
      <c r="BN15" s="2">
        <f t="shared" si="11"/>
        <v>110748.54250687502</v>
      </c>
      <c r="BO15" s="2">
        <f t="shared" si="11"/>
        <v>116285.96963221878</v>
      </c>
      <c r="BP15" s="2">
        <f t="shared" si="11"/>
        <v>122100.26811382972</v>
      </c>
    </row>
    <row r="16" spans="1:68" x14ac:dyDescent="0.2">
      <c r="B16" t="s">
        <v>24</v>
      </c>
      <c r="C16" s="4">
        <f t="shared" ref="C16:R16" si="12">+C14+C15</f>
        <v>17880</v>
      </c>
      <c r="D16" s="4">
        <f t="shared" si="12"/>
        <v>20479</v>
      </c>
      <c r="E16" s="4">
        <f t="shared" si="12"/>
        <v>21146</v>
      </c>
      <c r="F16" s="4">
        <f t="shared" si="12"/>
        <v>22344</v>
      </c>
      <c r="G16" s="4">
        <f t="shared" si="12"/>
        <v>22803</v>
      </c>
      <c r="H16" s="4">
        <f t="shared" si="12"/>
        <v>22636</v>
      </c>
      <c r="I16" s="4">
        <f t="shared" si="12"/>
        <v>23947</v>
      </c>
      <c r="J16" s="4">
        <f t="shared" si="12"/>
        <v>20961</v>
      </c>
      <c r="K16" s="4">
        <f t="shared" si="12"/>
        <v>20871</v>
      </c>
      <c r="L16" s="4">
        <f t="shared" si="12"/>
        <v>23013</v>
      </c>
      <c r="M16" s="4">
        <f t="shared" si="12"/>
        <v>25788</v>
      </c>
      <c r="N16" s="4">
        <f t="shared" si="12"/>
        <v>27202</v>
      </c>
      <c r="O16" s="4">
        <f t="shared" si="12"/>
        <v>26138</v>
      </c>
      <c r="P16" s="4">
        <f t="shared" si="12"/>
        <v>25452</v>
      </c>
      <c r="Q16" s="4">
        <f t="shared" si="12"/>
        <v>27824</v>
      </c>
      <c r="R16" s="4">
        <f t="shared" si="12"/>
        <v>29853</v>
      </c>
      <c r="S16" s="4">
        <f t="shared" ref="S16" si="13">+S14+S15</f>
        <v>28031</v>
      </c>
      <c r="T16" s="4">
        <f t="shared" ref="T16:AR16" si="14">+T14+T15</f>
        <v>27102</v>
      </c>
      <c r="U16" s="4">
        <f t="shared" si="14"/>
        <v>28122</v>
      </c>
      <c r="V16" s="4">
        <f t="shared" si="14"/>
        <v>30995</v>
      </c>
      <c r="W16" s="4">
        <f t="shared" si="14"/>
        <v>26092</v>
      </c>
      <c r="X16" s="4">
        <f t="shared" si="14"/>
        <v>27426</v>
      </c>
      <c r="Y16" s="4">
        <f t="shared" si="14"/>
        <v>31525</v>
      </c>
      <c r="Z16" s="4">
        <f t="shared" si="14"/>
        <v>34958</v>
      </c>
      <c r="AA16" s="4">
        <f t="shared" si="14"/>
        <v>32255</v>
      </c>
      <c r="AB16" s="4">
        <f t="shared" si="14"/>
        <v>33529</v>
      </c>
      <c r="AC16" s="4">
        <f t="shared" si="14"/>
        <v>40446</v>
      </c>
      <c r="AD16" s="4">
        <f t="shared" si="14"/>
        <v>38116</v>
      </c>
      <c r="AE16" s="4">
        <f t="shared" si="14"/>
        <v>39301</v>
      </c>
      <c r="AF16" s="4">
        <f t="shared" si="14"/>
        <v>40530</v>
      </c>
      <c r="AG16" s="4">
        <f t="shared" si="14"/>
        <v>41742</v>
      </c>
      <c r="AH16" s="4">
        <f t="shared" si="14"/>
        <v>47983</v>
      </c>
      <c r="AI16" s="4">
        <f t="shared" si="14"/>
        <v>48611</v>
      </c>
      <c r="AJ16" s="4">
        <f t="shared" si="14"/>
        <v>53344</v>
      </c>
      <c r="AK16" s="4">
        <f t="shared" si="14"/>
        <v>60175</v>
      </c>
      <c r="AL16" s="4">
        <f t="shared" si="14"/>
        <v>64536</v>
      </c>
      <c r="AM16" s="4">
        <f t="shared" si="14"/>
        <v>55309</v>
      </c>
      <c r="AN16" s="4">
        <f t="shared" si="14"/>
        <v>58195</v>
      </c>
      <c r="AO16" s="4">
        <f t="shared" si="14"/>
        <v>68709</v>
      </c>
      <c r="AP16" s="4">
        <f t="shared" si="14"/>
        <v>71621</v>
      </c>
      <c r="AQ16" s="4">
        <f t="shared" si="14"/>
        <v>65357</v>
      </c>
      <c r="AR16" s="4">
        <f t="shared" si="14"/>
        <v>70296</v>
      </c>
      <c r="AS16" s="4">
        <f t="shared" ref="AS16:BB16" si="15">+AS14+AS15</f>
        <v>79078</v>
      </c>
      <c r="AT16" s="4">
        <f t="shared" si="15"/>
        <v>78783.100000000006</v>
      </c>
      <c r="AU16" s="4"/>
      <c r="AV16" s="4"/>
      <c r="AW16" s="4"/>
      <c r="AX16" s="4"/>
      <c r="AZ16" s="4">
        <f t="shared" si="15"/>
        <v>81849</v>
      </c>
      <c r="BA16" s="4">
        <f t="shared" si="15"/>
        <v>90347</v>
      </c>
      <c r="BB16" s="4">
        <f t="shared" si="15"/>
        <v>96874</v>
      </c>
      <c r="BC16" s="4">
        <f>+BC14+BC15</f>
        <v>109267</v>
      </c>
      <c r="BD16" s="4">
        <f t="shared" ref="BD16:BJ16" si="16">+BD14+BD15</f>
        <v>114250</v>
      </c>
      <c r="BE16" s="4">
        <f t="shared" si="16"/>
        <v>120001</v>
      </c>
      <c r="BF16" s="4">
        <f t="shared" si="16"/>
        <v>144346</v>
      </c>
      <c r="BG16" s="4">
        <f t="shared" si="16"/>
        <v>169556</v>
      </c>
      <c r="BH16" s="4">
        <f t="shared" si="16"/>
        <v>226666</v>
      </c>
      <c r="BI16" s="4">
        <f t="shared" si="16"/>
        <v>253834</v>
      </c>
      <c r="BJ16" s="4">
        <f t="shared" si="16"/>
        <v>293514.09999999998</v>
      </c>
      <c r="BK16" s="4">
        <f t="shared" ref="BK16" si="17">+BK14+BK15</f>
        <v>308189.80500000005</v>
      </c>
      <c r="BL16" s="4">
        <f t="shared" ref="BL16" si="18">+BL14+BL15</f>
        <v>323599.29525000002</v>
      </c>
      <c r="BM16" s="4">
        <f t="shared" ref="BM16" si="19">+BM14+BM15</f>
        <v>339779.26001250005</v>
      </c>
      <c r="BN16" s="4">
        <f t="shared" ref="BN16" si="20">+BN14+BN15</f>
        <v>356768.22301312507</v>
      </c>
      <c r="BO16" s="4">
        <f t="shared" ref="BO16" si="21">+BO14+BO15</f>
        <v>374606.63416378136</v>
      </c>
      <c r="BP16" s="4">
        <f t="shared" ref="BP16" si="22">+BP14+BP15</f>
        <v>393336.9658719704</v>
      </c>
    </row>
    <row r="17" spans="2:235" x14ac:dyDescent="0.2">
      <c r="B17" t="s">
        <v>23</v>
      </c>
      <c r="C17" s="4">
        <f t="shared" ref="C17:R17" si="23">+C13-C16</f>
        <v>52517</v>
      </c>
      <c r="D17" s="4">
        <f t="shared" si="23"/>
        <v>70714</v>
      </c>
      <c r="E17" s="4">
        <f t="shared" si="23"/>
        <v>84432</v>
      </c>
      <c r="F17" s="4">
        <f t="shared" si="23"/>
        <v>88216</v>
      </c>
      <c r="G17" s="4">
        <f t="shared" si="23"/>
        <v>86626</v>
      </c>
      <c r="H17" s="4">
        <f t="shared" si="23"/>
        <v>77069</v>
      </c>
      <c r="I17" s="4">
        <f t="shared" si="23"/>
        <v>78389</v>
      </c>
      <c r="J17" s="4">
        <f t="shared" si="23"/>
        <v>77964</v>
      </c>
      <c r="K17" s="4">
        <f t="shared" si="23"/>
        <v>70467</v>
      </c>
      <c r="L17" s="4">
        <f t="shared" si="23"/>
        <v>91321</v>
      </c>
      <c r="M17" s="4">
        <f t="shared" si="23"/>
        <v>106263</v>
      </c>
      <c r="N17" s="4">
        <f t="shared" si="23"/>
        <v>109907</v>
      </c>
      <c r="O17" s="4">
        <f t="shared" si="23"/>
        <v>95352</v>
      </c>
      <c r="P17" s="4">
        <f t="shared" si="23"/>
        <v>83256</v>
      </c>
      <c r="Q17" s="4">
        <f t="shared" si="23"/>
        <v>98056</v>
      </c>
      <c r="R17" s="4">
        <f t="shared" si="23"/>
        <v>108895</v>
      </c>
      <c r="S17" s="4">
        <f t="shared" ref="S17" si="24">+S13-S16</f>
        <v>96827</v>
      </c>
      <c r="T17" s="4">
        <f t="shared" ref="T17:AR17" si="25">+T13-T16</f>
        <v>84428</v>
      </c>
      <c r="U17" s="4">
        <f t="shared" si="25"/>
        <v>95245</v>
      </c>
      <c r="V17" s="4">
        <f t="shared" si="25"/>
        <v>107124</v>
      </c>
      <c r="W17" s="4">
        <f t="shared" si="25"/>
        <v>64266</v>
      </c>
      <c r="X17" s="4">
        <f t="shared" si="25"/>
        <v>76304</v>
      </c>
      <c r="Y17" s="4">
        <f t="shared" si="25"/>
        <v>107887</v>
      </c>
      <c r="Z17" s="4">
        <f t="shared" si="25"/>
        <v>124244</v>
      </c>
      <c r="AA17" s="4">
        <f t="shared" si="25"/>
        <v>128522</v>
      </c>
      <c r="AB17" s="4">
        <f t="shared" si="25"/>
        <v>131094</v>
      </c>
      <c r="AC17" s="4">
        <f t="shared" si="25"/>
        <v>150048</v>
      </c>
      <c r="AD17" s="4">
        <f t="shared" si="25"/>
        <v>157120</v>
      </c>
      <c r="AE17" s="4">
        <f t="shared" si="25"/>
        <v>150538</v>
      </c>
      <c r="AF17" s="4">
        <f t="shared" si="25"/>
        <v>145667</v>
      </c>
      <c r="AG17" s="4">
        <f t="shared" si="25"/>
        <v>171004</v>
      </c>
      <c r="AH17" s="4">
        <f t="shared" si="25"/>
        <v>182772</v>
      </c>
      <c r="AI17" s="4">
        <f t="shared" si="25"/>
        <v>224592</v>
      </c>
      <c r="AJ17" s="4">
        <f t="shared" si="25"/>
        <v>262124</v>
      </c>
      <c r="AK17" s="4">
        <f t="shared" si="25"/>
        <v>310324</v>
      </c>
      <c r="AL17" s="4">
        <f t="shared" si="25"/>
        <v>324649</v>
      </c>
      <c r="AM17" s="4">
        <f t="shared" si="25"/>
        <v>231191</v>
      </c>
      <c r="AN17" s="4">
        <f t="shared" si="25"/>
        <v>202005</v>
      </c>
      <c r="AO17" s="4">
        <f t="shared" si="25"/>
        <v>227934</v>
      </c>
      <c r="AP17" s="4">
        <f t="shared" si="25"/>
        <v>260147</v>
      </c>
      <c r="AQ17" s="4">
        <f t="shared" si="25"/>
        <v>249148</v>
      </c>
      <c r="AR17" s="4">
        <f t="shared" si="25"/>
        <v>287829</v>
      </c>
      <c r="AS17" s="4">
        <f t="shared" ref="AS17:BB17" si="26">+AS13-AS16</f>
        <v>360267</v>
      </c>
      <c r="AT17" s="4">
        <f t="shared" si="26"/>
        <v>365467.59580000013</v>
      </c>
      <c r="AU17" s="4"/>
      <c r="AV17" s="4"/>
      <c r="AW17" s="4"/>
      <c r="AX17" s="4"/>
      <c r="AZ17" s="4">
        <f t="shared" si="26"/>
        <v>295879</v>
      </c>
      <c r="BA17" s="4">
        <f t="shared" si="26"/>
        <v>320048</v>
      </c>
      <c r="BB17" s="4">
        <f t="shared" si="26"/>
        <v>377958</v>
      </c>
      <c r="BC17" s="4">
        <f>+BC13-BC16</f>
        <v>385559</v>
      </c>
      <c r="BD17" s="4">
        <f t="shared" ref="BD17:BJ17" si="27">+BD13-BD16</f>
        <v>383624</v>
      </c>
      <c r="BE17" s="4">
        <f t="shared" si="27"/>
        <v>372701</v>
      </c>
      <c r="BF17" s="4">
        <f t="shared" si="27"/>
        <v>566784</v>
      </c>
      <c r="BG17" s="4">
        <f t="shared" si="27"/>
        <v>649981</v>
      </c>
      <c r="BH17" s="4">
        <f t="shared" si="27"/>
        <v>1121689</v>
      </c>
      <c r="BI17" s="4">
        <f t="shared" si="27"/>
        <v>921277</v>
      </c>
      <c r="BJ17" s="4">
        <f t="shared" si="27"/>
        <v>1262711.5958000002</v>
      </c>
      <c r="BK17" s="4">
        <f t="shared" ref="BK17" si="28">+BK13-BK16</f>
        <v>1393058.7818400003</v>
      </c>
      <c r="BL17" s="4">
        <f t="shared" ref="BL17" si="29">+BL13-BL16</f>
        <v>1547774.1502740008</v>
      </c>
      <c r="BM17" s="4">
        <f t="shared" ref="BM17" si="30">+BM13-BM16</f>
        <v>1718731.5300639009</v>
      </c>
      <c r="BN17" s="4">
        <f t="shared" ref="BN17" si="31">+BN13-BN16</f>
        <v>1907593.646070916</v>
      </c>
      <c r="BO17" s="4">
        <f t="shared" ref="BO17" si="32">+BO13-BO16</f>
        <v>2116191.4218286639</v>
      </c>
      <c r="BP17" s="4">
        <f t="shared" ref="BP17" si="33">+BP13-BP16</f>
        <v>2346540.8957197201</v>
      </c>
    </row>
    <row r="18" spans="2:235" x14ac:dyDescent="0.2">
      <c r="B18" t="s">
        <v>22</v>
      </c>
      <c r="C18" s="4">
        <v>780</v>
      </c>
      <c r="D18" s="4">
        <v>3384</v>
      </c>
      <c r="E18" s="4">
        <v>949</v>
      </c>
      <c r="F18" s="4">
        <v>1096</v>
      </c>
      <c r="G18" s="4">
        <v>1633</v>
      </c>
      <c r="H18" s="4">
        <f>815-783</f>
        <v>32</v>
      </c>
      <c r="I18" s="4">
        <v>5005</v>
      </c>
      <c r="J18" s="4">
        <v>2680</v>
      </c>
      <c r="K18" s="4">
        <v>1789</v>
      </c>
      <c r="L18" s="4">
        <v>2085</v>
      </c>
      <c r="M18" s="4">
        <v>1987</v>
      </c>
      <c r="N18" s="4">
        <v>2140</v>
      </c>
      <c r="O18" s="4">
        <v>2470</v>
      </c>
      <c r="P18" s="4">
        <v>2862</v>
      </c>
      <c r="Q18" s="4">
        <v>2462</v>
      </c>
      <c r="R18" s="4">
        <v>2780</v>
      </c>
      <c r="S18" s="4">
        <v>3117</v>
      </c>
      <c r="T18" s="4">
        <v>3159</v>
      </c>
      <c r="U18" s="4">
        <v>3652</v>
      </c>
      <c r="V18" s="4">
        <v>3958</v>
      </c>
      <c r="W18" s="4">
        <v>3916</v>
      </c>
      <c r="X18" s="4">
        <v>4241</v>
      </c>
      <c r="Y18" s="4">
        <v>4449</v>
      </c>
      <c r="Z18" s="4">
        <v>4538</v>
      </c>
      <c r="AA18" s="4">
        <v>3625</v>
      </c>
      <c r="AB18" s="4">
        <v>5305</v>
      </c>
      <c r="AC18" s="4">
        <v>5076</v>
      </c>
      <c r="AD18" s="4">
        <v>3987</v>
      </c>
      <c r="AE18" s="4">
        <v>4526</v>
      </c>
      <c r="AF18" s="4">
        <v>3724</v>
      </c>
      <c r="AG18" s="4">
        <v>2848</v>
      </c>
      <c r="AH18" s="4">
        <v>2047</v>
      </c>
      <c r="AI18" s="4">
        <v>3042</v>
      </c>
      <c r="AJ18" s="4">
        <v>3874</v>
      </c>
      <c r="AK18" s="4">
        <v>6367</v>
      </c>
      <c r="AL18" s="4">
        <v>9629</v>
      </c>
      <c r="AM18" s="4">
        <v>13037</v>
      </c>
      <c r="AN18" s="4">
        <v>12717</v>
      </c>
      <c r="AO18" s="4">
        <v>13875</v>
      </c>
      <c r="AP18" s="4">
        <v>18076</v>
      </c>
      <c r="AQ18" s="4">
        <v>17525</v>
      </c>
      <c r="AR18" s="4">
        <v>19755</v>
      </c>
      <c r="AS18" s="4">
        <f>499+23421</f>
        <v>23920</v>
      </c>
      <c r="AT18" s="4">
        <f>+AS18</f>
        <v>23920</v>
      </c>
      <c r="AU18" s="4"/>
      <c r="AV18" s="4"/>
      <c r="AW18" s="4"/>
      <c r="AX18" s="4"/>
      <c r="AZ18" s="2">
        <f>SUM(C18:F18)</f>
        <v>6209</v>
      </c>
      <c r="BA18" s="2">
        <f>SUM(G18:J18)</f>
        <v>9350</v>
      </c>
      <c r="BB18" s="2">
        <f>SUM(K18:N18)</f>
        <v>8001</v>
      </c>
      <c r="BC18" s="2">
        <f>SUM(O18:R18)</f>
        <v>10574</v>
      </c>
      <c r="BD18" s="2">
        <f>SUM(S18:V18)</f>
        <v>13886</v>
      </c>
      <c r="BE18" s="2">
        <f>SUM(W18:Z18)</f>
        <v>17144</v>
      </c>
      <c r="BF18" s="2">
        <f>SUM(AA18:AD18)</f>
        <v>17993</v>
      </c>
      <c r="BG18" s="2">
        <f>SUM(AE18:AH18)</f>
        <v>13145</v>
      </c>
      <c r="BH18" s="2">
        <f>SUM(AI18:AL18)</f>
        <v>22912</v>
      </c>
      <c r="BI18" s="2">
        <f>SUM(AM18:AP18)</f>
        <v>57705</v>
      </c>
      <c r="BJ18" s="2">
        <f>SUM(AQ18:AT18)</f>
        <v>85120</v>
      </c>
      <c r="BK18" s="2">
        <f>+BJ18*1.05</f>
        <v>89376</v>
      </c>
      <c r="BL18" s="2">
        <f t="shared" ref="BL18:BP18" si="34">+BK18*1.05</f>
        <v>93844.800000000003</v>
      </c>
      <c r="BM18" s="2">
        <f t="shared" si="34"/>
        <v>98537.040000000008</v>
      </c>
      <c r="BN18" s="2">
        <f t="shared" si="34"/>
        <v>103463.89200000001</v>
      </c>
      <c r="BO18" s="2">
        <f t="shared" si="34"/>
        <v>108637.08660000001</v>
      </c>
      <c r="BP18" s="2">
        <f t="shared" si="34"/>
        <v>114068.94093000001</v>
      </c>
    </row>
    <row r="19" spans="2:235" x14ac:dyDescent="0.2">
      <c r="B19" t="s">
        <v>21</v>
      </c>
      <c r="C19" s="4">
        <f t="shared" ref="C19:R19" si="35">+C17+C18</f>
        <v>53297</v>
      </c>
      <c r="D19" s="4">
        <f t="shared" si="35"/>
        <v>74098</v>
      </c>
      <c r="E19" s="4">
        <f t="shared" si="35"/>
        <v>85381</v>
      </c>
      <c r="F19" s="4">
        <f t="shared" si="35"/>
        <v>89312</v>
      </c>
      <c r="G19" s="4">
        <f t="shared" si="35"/>
        <v>88259</v>
      </c>
      <c r="H19" s="4">
        <f t="shared" si="35"/>
        <v>77101</v>
      </c>
      <c r="I19" s="4">
        <f t="shared" si="35"/>
        <v>83394</v>
      </c>
      <c r="J19" s="4">
        <f t="shared" si="35"/>
        <v>80644</v>
      </c>
      <c r="K19" s="4">
        <f t="shared" si="35"/>
        <v>72256</v>
      </c>
      <c r="L19" s="4">
        <f t="shared" si="35"/>
        <v>93406</v>
      </c>
      <c r="M19" s="4">
        <f t="shared" si="35"/>
        <v>108250</v>
      </c>
      <c r="N19" s="4">
        <f t="shared" si="35"/>
        <v>112047</v>
      </c>
      <c r="O19" s="4">
        <f t="shared" si="35"/>
        <v>97822</v>
      </c>
      <c r="P19" s="4">
        <f t="shared" si="35"/>
        <v>86118</v>
      </c>
      <c r="Q19" s="4">
        <f t="shared" si="35"/>
        <v>100518</v>
      </c>
      <c r="R19" s="4">
        <f t="shared" si="35"/>
        <v>111675</v>
      </c>
      <c r="S19" s="4">
        <f t="shared" ref="S19" si="36">+S17+S18</f>
        <v>99944</v>
      </c>
      <c r="T19" s="4">
        <f t="shared" ref="T19:AR19" si="37">+T17+T18</f>
        <v>87587</v>
      </c>
      <c r="U19" s="4">
        <f t="shared" si="37"/>
        <v>98897</v>
      </c>
      <c r="V19" s="4">
        <f t="shared" si="37"/>
        <v>111082</v>
      </c>
      <c r="W19" s="4">
        <f t="shared" si="37"/>
        <v>68182</v>
      </c>
      <c r="X19" s="4">
        <f t="shared" si="37"/>
        <v>80545</v>
      </c>
      <c r="Y19" s="4">
        <f t="shared" si="37"/>
        <v>112336</v>
      </c>
      <c r="Z19" s="4">
        <f t="shared" si="37"/>
        <v>128782</v>
      </c>
      <c r="AA19" s="4">
        <f t="shared" si="37"/>
        <v>132147</v>
      </c>
      <c r="AB19" s="4">
        <f t="shared" si="37"/>
        <v>136399</v>
      </c>
      <c r="AC19" s="4">
        <f t="shared" si="37"/>
        <v>155124</v>
      </c>
      <c r="AD19" s="4">
        <f t="shared" si="37"/>
        <v>161107</v>
      </c>
      <c r="AE19" s="4">
        <f t="shared" si="37"/>
        <v>155064</v>
      </c>
      <c r="AF19" s="4">
        <f t="shared" si="37"/>
        <v>149391</v>
      </c>
      <c r="AG19" s="4">
        <f t="shared" si="37"/>
        <v>173852</v>
      </c>
      <c r="AH19" s="4">
        <f t="shared" si="37"/>
        <v>184819</v>
      </c>
      <c r="AI19" s="4">
        <f t="shared" si="37"/>
        <v>227634</v>
      </c>
      <c r="AJ19" s="4">
        <f t="shared" si="37"/>
        <v>265998</v>
      </c>
      <c r="AK19" s="4">
        <f t="shared" si="37"/>
        <v>316691</v>
      </c>
      <c r="AL19" s="4">
        <f t="shared" si="37"/>
        <v>334278</v>
      </c>
      <c r="AM19" s="4">
        <f t="shared" si="37"/>
        <v>244228</v>
      </c>
      <c r="AN19" s="4">
        <f t="shared" si="37"/>
        <v>214722</v>
      </c>
      <c r="AO19" s="4">
        <f t="shared" si="37"/>
        <v>241809</v>
      </c>
      <c r="AP19" s="4">
        <f t="shared" si="37"/>
        <v>278223</v>
      </c>
      <c r="AQ19" s="4">
        <f t="shared" si="37"/>
        <v>266673</v>
      </c>
      <c r="AR19" s="4">
        <f t="shared" si="37"/>
        <v>307584</v>
      </c>
      <c r="AS19" s="4">
        <f t="shared" ref="AS19:BB19" si="38">+AS17+AS18</f>
        <v>384187</v>
      </c>
      <c r="AT19" s="4">
        <f t="shared" si="38"/>
        <v>389387.59580000013</v>
      </c>
      <c r="AU19" s="4"/>
      <c r="AV19" s="4"/>
      <c r="AW19" s="4"/>
      <c r="AX19" s="4"/>
      <c r="AZ19" s="4">
        <f t="shared" si="38"/>
        <v>302088</v>
      </c>
      <c r="BA19" s="4">
        <f t="shared" si="38"/>
        <v>329398</v>
      </c>
      <c r="BB19" s="4">
        <f t="shared" si="38"/>
        <v>385959</v>
      </c>
      <c r="BC19" s="4">
        <f t="shared" ref="BC19" si="39">+BC17+BC18</f>
        <v>396133</v>
      </c>
      <c r="BD19" s="4">
        <f t="shared" ref="BD19" si="40">+BD17+BD18</f>
        <v>397510</v>
      </c>
      <c r="BE19" s="4">
        <f t="shared" ref="BE19" si="41">+BE17+BE18</f>
        <v>389845</v>
      </c>
      <c r="BF19" s="4">
        <f t="shared" ref="BF19" si="42">+BF17+BF18</f>
        <v>584777</v>
      </c>
      <c r="BG19" s="4">
        <f t="shared" ref="BG19" si="43">+BG17+BG18</f>
        <v>663126</v>
      </c>
      <c r="BH19" s="4">
        <f t="shared" ref="BH19" si="44">+BH17+BH18</f>
        <v>1144601</v>
      </c>
      <c r="BI19" s="4">
        <f t="shared" ref="BI19" si="45">+BI17+BI18</f>
        <v>978982</v>
      </c>
      <c r="BJ19" s="4">
        <f t="shared" ref="BJ19" si="46">+BJ17+BJ18</f>
        <v>1347831.5958000002</v>
      </c>
      <c r="BK19" s="4">
        <f t="shared" ref="BK19" si="47">+BK17+BK18</f>
        <v>1482434.7818400003</v>
      </c>
      <c r="BL19" s="4">
        <f t="shared" ref="BL19" si="48">+BL17+BL18</f>
        <v>1641618.9502740009</v>
      </c>
      <c r="BM19" s="4">
        <f t="shared" ref="BM19" si="49">+BM17+BM18</f>
        <v>1817268.5700639009</v>
      </c>
      <c r="BN19" s="4">
        <f t="shared" ref="BN19" si="50">+BN17+BN18</f>
        <v>2011057.538070916</v>
      </c>
      <c r="BO19" s="4">
        <f t="shared" ref="BO19" si="51">+BO17+BO18</f>
        <v>2224828.5084286639</v>
      </c>
      <c r="BP19" s="4">
        <f t="shared" ref="BP19" si="52">+BP17+BP18</f>
        <v>2460609.8366497201</v>
      </c>
    </row>
    <row r="20" spans="2:235" x14ac:dyDescent="0.2">
      <c r="B20" t="s">
        <v>20</v>
      </c>
      <c r="C20" s="4">
        <v>5455</v>
      </c>
      <c r="D20" s="4">
        <v>14438</v>
      </c>
      <c r="E20" s="4">
        <v>9077</v>
      </c>
      <c r="F20" s="4">
        <v>9346</v>
      </c>
      <c r="G20" s="4">
        <v>9275</v>
      </c>
      <c r="H20" s="4">
        <v>18719</v>
      </c>
      <c r="I20" s="4">
        <v>8077</v>
      </c>
      <c r="J20" s="4">
        <v>7802</v>
      </c>
      <c r="K20" s="4">
        <v>7463</v>
      </c>
      <c r="L20" s="4">
        <v>20878</v>
      </c>
      <c r="M20" s="4">
        <v>11461</v>
      </c>
      <c r="N20" s="4">
        <v>11819</v>
      </c>
      <c r="O20" s="4">
        <v>10201</v>
      </c>
      <c r="P20" s="4">
        <v>19847</v>
      </c>
      <c r="Q20" s="4">
        <v>10569</v>
      </c>
      <c r="R20" s="4">
        <v>12369</v>
      </c>
      <c r="S20" s="4">
        <v>10156</v>
      </c>
      <c r="T20" s="4">
        <v>15294</v>
      </c>
      <c r="U20" s="4">
        <v>9799</v>
      </c>
      <c r="V20" s="4">
        <v>11077</v>
      </c>
      <c r="W20" s="4">
        <v>6795</v>
      </c>
      <c r="X20" s="4">
        <v>13769</v>
      </c>
      <c r="Y20" s="4">
        <v>11233</v>
      </c>
      <c r="Z20" s="4">
        <v>12704</v>
      </c>
      <c r="AA20" s="4">
        <v>15084</v>
      </c>
      <c r="AB20" s="4">
        <v>15507</v>
      </c>
      <c r="AC20" s="4">
        <v>17745</v>
      </c>
      <c r="AD20" s="4">
        <v>18283</v>
      </c>
      <c r="AE20" s="4">
        <v>15325</v>
      </c>
      <c r="AF20" s="4">
        <v>14910</v>
      </c>
      <c r="AG20" s="4">
        <v>17372</v>
      </c>
      <c r="AH20" s="4">
        <v>18446</v>
      </c>
      <c r="AI20" s="4">
        <v>23959</v>
      </c>
      <c r="AJ20" s="4">
        <v>28817</v>
      </c>
      <c r="AK20" s="4">
        <v>35723</v>
      </c>
      <c r="AL20" s="4">
        <v>38791</v>
      </c>
      <c r="AM20" s="4">
        <v>37326</v>
      </c>
      <c r="AN20" s="4">
        <v>32958</v>
      </c>
      <c r="AO20" s="4">
        <v>31145</v>
      </c>
      <c r="AP20" s="4">
        <v>39974</v>
      </c>
      <c r="AQ20" s="4">
        <v>41322</v>
      </c>
      <c r="AR20" s="4">
        <v>58649</v>
      </c>
      <c r="AS20" s="4">
        <v>59107</v>
      </c>
      <c r="AT20" s="4">
        <f>+AT19*0.15</f>
        <v>58408.139370000019</v>
      </c>
      <c r="AU20" s="4"/>
      <c r="AV20" s="4"/>
      <c r="AW20" s="4"/>
      <c r="AX20" s="4"/>
      <c r="AZ20" s="2">
        <f>SUM(C20:F20)</f>
        <v>38316</v>
      </c>
      <c r="BA20" s="2">
        <f>SUM(G20:J20)</f>
        <v>43873</v>
      </c>
      <c r="BB20" s="2">
        <f>SUM(K20:N20)</f>
        <v>51621</v>
      </c>
      <c r="BC20" s="2">
        <f>SUM(O20:R20)</f>
        <v>52986</v>
      </c>
      <c r="BD20" s="2">
        <f>SUM(S20:V20)</f>
        <v>46326</v>
      </c>
      <c r="BE20" s="2">
        <f>SUM(W20:Z20)</f>
        <v>44501</v>
      </c>
      <c r="BF20" s="2">
        <f>SUM(AA20:AD20)</f>
        <v>66619</v>
      </c>
      <c r="BG20" s="2">
        <f>SUM(AE20:AH20)</f>
        <v>66053</v>
      </c>
      <c r="BH20" s="2">
        <f>SUM(AI20:AL20)</f>
        <v>127290</v>
      </c>
      <c r="BI20" s="2">
        <f>SUM(AM20:AP20)</f>
        <v>141403</v>
      </c>
      <c r="BJ20" s="2">
        <f>SUM(AQ20:AT20)</f>
        <v>217486.13937000002</v>
      </c>
      <c r="BK20" s="2">
        <f>+BK19*0.15</f>
        <v>222365.21727600004</v>
      </c>
      <c r="BL20" s="2">
        <f t="shared" ref="BL20:BP20" si="53">+BL19*0.15</f>
        <v>246242.84254110011</v>
      </c>
      <c r="BM20" s="2">
        <f t="shared" si="53"/>
        <v>272590.28550958511</v>
      </c>
      <c r="BN20" s="2">
        <f t="shared" si="53"/>
        <v>301658.63071063737</v>
      </c>
      <c r="BO20" s="2">
        <f t="shared" si="53"/>
        <v>333724.27626429958</v>
      </c>
      <c r="BP20" s="2">
        <f t="shared" si="53"/>
        <v>369091.47549745801</v>
      </c>
    </row>
    <row r="21" spans="2:235" x14ac:dyDescent="0.2">
      <c r="B21" t="s">
        <v>19</v>
      </c>
      <c r="C21" s="4">
        <f t="shared" ref="C21:R21" si="54">+C19-C20</f>
        <v>47842</v>
      </c>
      <c r="D21" s="4">
        <f t="shared" si="54"/>
        <v>59660</v>
      </c>
      <c r="E21" s="4">
        <f t="shared" si="54"/>
        <v>76304</v>
      </c>
      <c r="F21" s="4">
        <f t="shared" si="54"/>
        <v>79966</v>
      </c>
      <c r="G21" s="4">
        <f t="shared" si="54"/>
        <v>78984</v>
      </c>
      <c r="H21" s="4">
        <f t="shared" si="54"/>
        <v>58382</v>
      </c>
      <c r="I21" s="4">
        <f t="shared" si="54"/>
        <v>75317</v>
      </c>
      <c r="J21" s="4">
        <f t="shared" si="54"/>
        <v>72842</v>
      </c>
      <c r="K21" s="4">
        <f t="shared" si="54"/>
        <v>64793</v>
      </c>
      <c r="L21" s="4">
        <f t="shared" si="54"/>
        <v>72528</v>
      </c>
      <c r="M21" s="4">
        <f t="shared" si="54"/>
        <v>96789</v>
      </c>
      <c r="N21" s="4">
        <f t="shared" si="54"/>
        <v>100228</v>
      </c>
      <c r="O21" s="4">
        <f t="shared" si="54"/>
        <v>87621</v>
      </c>
      <c r="P21" s="4">
        <f t="shared" si="54"/>
        <v>66271</v>
      </c>
      <c r="Q21" s="4">
        <f t="shared" si="54"/>
        <v>89949</v>
      </c>
      <c r="R21" s="4">
        <f t="shared" si="54"/>
        <v>99306</v>
      </c>
      <c r="S21" s="4">
        <f t="shared" ref="S21" si="55">+S19-S20</f>
        <v>89788</v>
      </c>
      <c r="T21" s="4">
        <f t="shared" ref="T21:AR21" si="56">+T19-T20</f>
        <v>72293</v>
      </c>
      <c r="U21" s="4">
        <f t="shared" si="56"/>
        <v>89098</v>
      </c>
      <c r="V21" s="4">
        <f t="shared" si="56"/>
        <v>100005</v>
      </c>
      <c r="W21" s="4">
        <f t="shared" si="56"/>
        <v>61387</v>
      </c>
      <c r="X21" s="4">
        <f t="shared" si="56"/>
        <v>66776</v>
      </c>
      <c r="Y21" s="4">
        <f t="shared" si="56"/>
        <v>101103</v>
      </c>
      <c r="Z21" s="4">
        <f t="shared" si="56"/>
        <v>116078</v>
      </c>
      <c r="AA21" s="4">
        <f t="shared" si="56"/>
        <v>117063</v>
      </c>
      <c r="AB21" s="4">
        <f t="shared" si="56"/>
        <v>120892</v>
      </c>
      <c r="AC21" s="4">
        <f t="shared" si="56"/>
        <v>137379</v>
      </c>
      <c r="AD21" s="4">
        <f t="shared" si="56"/>
        <v>142824</v>
      </c>
      <c r="AE21" s="4">
        <f t="shared" si="56"/>
        <v>139739</v>
      </c>
      <c r="AF21" s="4">
        <f t="shared" si="56"/>
        <v>134481</v>
      </c>
      <c r="AG21" s="4">
        <f t="shared" si="56"/>
        <v>156480</v>
      </c>
      <c r="AH21" s="4">
        <f t="shared" si="56"/>
        <v>166373</v>
      </c>
      <c r="AI21" s="4">
        <f t="shared" si="56"/>
        <v>203675</v>
      </c>
      <c r="AJ21" s="4">
        <f t="shared" si="56"/>
        <v>237181</v>
      </c>
      <c r="AK21" s="4">
        <f t="shared" si="56"/>
        <v>280968</v>
      </c>
      <c r="AL21" s="4">
        <f t="shared" si="56"/>
        <v>295487</v>
      </c>
      <c r="AM21" s="4">
        <f t="shared" si="56"/>
        <v>206902</v>
      </c>
      <c r="AN21" s="4">
        <f t="shared" si="56"/>
        <v>181764</v>
      </c>
      <c r="AO21" s="4">
        <f t="shared" si="56"/>
        <v>210664</v>
      </c>
      <c r="AP21" s="4">
        <f t="shared" si="56"/>
        <v>238249</v>
      </c>
      <c r="AQ21" s="4">
        <f t="shared" si="56"/>
        <v>225351</v>
      </c>
      <c r="AR21" s="4">
        <f t="shared" si="56"/>
        <v>248935</v>
      </c>
      <c r="AS21" s="4">
        <f t="shared" ref="AS21:BB21" si="57">+AS19-AS20</f>
        <v>325080</v>
      </c>
      <c r="AT21" s="4">
        <f t="shared" si="57"/>
        <v>330979.45643000014</v>
      </c>
      <c r="AU21" s="4"/>
      <c r="AV21" s="4"/>
      <c r="AW21" s="4"/>
      <c r="AX21" s="4"/>
      <c r="AZ21" s="4">
        <f t="shared" si="57"/>
        <v>263772</v>
      </c>
      <c r="BA21" s="4">
        <f t="shared" si="57"/>
        <v>285525</v>
      </c>
      <c r="BB21" s="4">
        <f t="shared" si="57"/>
        <v>334338</v>
      </c>
      <c r="BC21" s="4">
        <f t="shared" ref="BC21" si="58">+BC19-BC20</f>
        <v>343147</v>
      </c>
      <c r="BD21" s="4">
        <f t="shared" ref="BD21" si="59">+BD19-BD20</f>
        <v>351184</v>
      </c>
      <c r="BE21" s="4">
        <f t="shared" ref="BE21" si="60">+BE19-BE20</f>
        <v>345344</v>
      </c>
      <c r="BF21" s="4">
        <f t="shared" ref="BF21" si="61">+BF19-BF20</f>
        <v>518158</v>
      </c>
      <c r="BG21" s="4">
        <f t="shared" ref="BG21" si="62">+BG19-BG20</f>
        <v>597073</v>
      </c>
      <c r="BH21" s="4">
        <f t="shared" ref="BH21" si="63">+BH19-BH20</f>
        <v>1017311</v>
      </c>
      <c r="BI21" s="4">
        <f t="shared" ref="BI21" si="64">+BI19-BI20</f>
        <v>837579</v>
      </c>
      <c r="BJ21" s="4">
        <f t="shared" ref="BJ21" si="65">+BJ19-BJ20</f>
        <v>1130345.4564300003</v>
      </c>
      <c r="BK21" s="4">
        <f t="shared" ref="BK21" si="66">+BK19-BK20</f>
        <v>1260069.5645640003</v>
      </c>
      <c r="BL21" s="4">
        <f t="shared" ref="BL21" si="67">+BL19-BL20</f>
        <v>1395376.1077329009</v>
      </c>
      <c r="BM21" s="4">
        <f t="shared" ref="BM21" si="68">+BM19-BM20</f>
        <v>1544678.2845543157</v>
      </c>
      <c r="BN21" s="4">
        <f t="shared" ref="BN21" si="69">+BN19-BN20</f>
        <v>1709398.9073602785</v>
      </c>
      <c r="BO21" s="4">
        <f t="shared" ref="BO21" si="70">+BO19-BO20</f>
        <v>1891104.2321643643</v>
      </c>
      <c r="BP21" s="4">
        <f t="shared" ref="BP21" si="71">+BP19-BP20</f>
        <v>2091518.361152262</v>
      </c>
      <c r="BQ21" s="4">
        <f>+BP21*(1+$BS$24)</f>
        <v>2112433.5447637844</v>
      </c>
      <c r="BR21" s="4">
        <f t="shared" ref="BR21:EC21" si="72">+BQ21*(1+$BS$24)</f>
        <v>2133557.8802114222</v>
      </c>
      <c r="BS21" s="4">
        <f t="shared" si="72"/>
        <v>2154893.4590135366</v>
      </c>
      <c r="BT21" s="4">
        <f t="shared" si="72"/>
        <v>2176442.3936036718</v>
      </c>
      <c r="BU21" s="4">
        <f t="shared" si="72"/>
        <v>2198206.8175397087</v>
      </c>
      <c r="BV21" s="4">
        <f t="shared" si="72"/>
        <v>2220188.8857151056</v>
      </c>
      <c r="BW21" s="4">
        <f t="shared" si="72"/>
        <v>2242390.7745722565</v>
      </c>
      <c r="BX21" s="4">
        <f t="shared" si="72"/>
        <v>2264814.6823179792</v>
      </c>
      <c r="BY21" s="4">
        <f t="shared" si="72"/>
        <v>2287462.8291411591</v>
      </c>
      <c r="BZ21" s="4">
        <f t="shared" si="72"/>
        <v>2310337.4574325709</v>
      </c>
      <c r="CA21" s="4">
        <f t="shared" si="72"/>
        <v>2333440.8320068964</v>
      </c>
      <c r="CB21" s="4">
        <f t="shared" si="72"/>
        <v>2356775.2403269652</v>
      </c>
      <c r="CC21" s="4">
        <f t="shared" si="72"/>
        <v>2380342.9927302347</v>
      </c>
      <c r="CD21" s="4">
        <f t="shared" si="72"/>
        <v>2404146.4226575373</v>
      </c>
      <c r="CE21" s="4">
        <f t="shared" si="72"/>
        <v>2428187.8868841128</v>
      </c>
      <c r="CF21" s="4">
        <f t="shared" si="72"/>
        <v>2452469.7657529539</v>
      </c>
      <c r="CG21" s="4">
        <f t="shared" si="72"/>
        <v>2476994.4634104837</v>
      </c>
      <c r="CH21" s="4">
        <f t="shared" si="72"/>
        <v>2501764.4080445888</v>
      </c>
      <c r="CI21" s="4">
        <f t="shared" si="72"/>
        <v>2526782.0521250349</v>
      </c>
      <c r="CJ21" s="4">
        <f t="shared" si="72"/>
        <v>2552049.8726462852</v>
      </c>
      <c r="CK21" s="4">
        <f t="shared" si="72"/>
        <v>2577570.3713727482</v>
      </c>
      <c r="CL21" s="4">
        <f t="shared" si="72"/>
        <v>2603346.0750864758</v>
      </c>
      <c r="CM21" s="4">
        <f t="shared" si="72"/>
        <v>2629379.5358373406</v>
      </c>
      <c r="CN21" s="4">
        <f t="shared" si="72"/>
        <v>2655673.331195714</v>
      </c>
      <c r="CO21" s="4">
        <f t="shared" si="72"/>
        <v>2682230.0645076712</v>
      </c>
      <c r="CP21" s="4">
        <f t="shared" si="72"/>
        <v>2709052.3651527478</v>
      </c>
      <c r="CQ21" s="4">
        <f t="shared" si="72"/>
        <v>2736142.8888042755</v>
      </c>
      <c r="CR21" s="4">
        <f t="shared" si="72"/>
        <v>2763504.3176923185</v>
      </c>
      <c r="CS21" s="4">
        <f t="shared" si="72"/>
        <v>2791139.3608692419</v>
      </c>
      <c r="CT21" s="4">
        <f t="shared" si="72"/>
        <v>2819050.7544779344</v>
      </c>
      <c r="CU21" s="4">
        <f t="shared" si="72"/>
        <v>2847241.2620227137</v>
      </c>
      <c r="CV21" s="4">
        <f t="shared" si="72"/>
        <v>2875713.674642941</v>
      </c>
      <c r="CW21" s="4">
        <f t="shared" si="72"/>
        <v>2904470.8113893704</v>
      </c>
      <c r="CX21" s="4">
        <f t="shared" si="72"/>
        <v>2933515.5195032642</v>
      </c>
      <c r="CY21" s="4">
        <f t="shared" si="72"/>
        <v>2962850.6746982969</v>
      </c>
      <c r="CZ21" s="4">
        <f t="shared" si="72"/>
        <v>2992479.1814452801</v>
      </c>
      <c r="DA21" s="4">
        <f t="shared" si="72"/>
        <v>3022403.9732597331</v>
      </c>
      <c r="DB21" s="4">
        <f t="shared" si="72"/>
        <v>3052628.0129923304</v>
      </c>
      <c r="DC21" s="4">
        <f t="shared" si="72"/>
        <v>3083154.2931222538</v>
      </c>
      <c r="DD21" s="4">
        <f t="shared" si="72"/>
        <v>3113985.8360534762</v>
      </c>
      <c r="DE21" s="4">
        <f t="shared" si="72"/>
        <v>3145125.6944140112</v>
      </c>
      <c r="DF21" s="4">
        <f t="shared" si="72"/>
        <v>3176576.9513581512</v>
      </c>
      <c r="DG21" s="4">
        <f t="shared" si="72"/>
        <v>3208342.7208717326</v>
      </c>
      <c r="DH21" s="4">
        <f t="shared" si="72"/>
        <v>3240426.14808045</v>
      </c>
      <c r="DI21" s="4">
        <f t="shared" si="72"/>
        <v>3272830.4095612545</v>
      </c>
      <c r="DJ21" s="4">
        <f t="shared" si="72"/>
        <v>3305558.7136568669</v>
      </c>
      <c r="DK21" s="4">
        <f t="shared" si="72"/>
        <v>3338614.3007934354</v>
      </c>
      <c r="DL21" s="4">
        <f t="shared" si="72"/>
        <v>3372000.44380137</v>
      </c>
      <c r="DM21" s="4">
        <f t="shared" si="72"/>
        <v>3405720.4482393838</v>
      </c>
      <c r="DN21" s="4">
        <f t="shared" si="72"/>
        <v>3439777.6527217776</v>
      </c>
      <c r="DO21" s="4">
        <f t="shared" si="72"/>
        <v>3474175.4292489951</v>
      </c>
      <c r="DP21" s="4">
        <f t="shared" si="72"/>
        <v>3508917.1835414851</v>
      </c>
      <c r="DQ21" s="4">
        <f t="shared" si="72"/>
        <v>3544006.3553769002</v>
      </c>
      <c r="DR21" s="4">
        <f t="shared" si="72"/>
        <v>3579446.4189306693</v>
      </c>
      <c r="DS21" s="4">
        <f t="shared" si="72"/>
        <v>3615240.8831199761</v>
      </c>
      <c r="DT21" s="4">
        <f t="shared" si="72"/>
        <v>3651393.2919511758</v>
      </c>
      <c r="DU21" s="4">
        <f t="shared" si="72"/>
        <v>3687907.2248706874</v>
      </c>
      <c r="DV21" s="4">
        <f t="shared" si="72"/>
        <v>3724786.2971193944</v>
      </c>
      <c r="DW21" s="4">
        <f t="shared" si="72"/>
        <v>3762034.1600905885</v>
      </c>
      <c r="DX21" s="4">
        <f t="shared" si="72"/>
        <v>3799654.5016914946</v>
      </c>
      <c r="DY21" s="4">
        <f t="shared" si="72"/>
        <v>3837651.0467084097</v>
      </c>
      <c r="DZ21" s="4">
        <f t="shared" si="72"/>
        <v>3876027.5571754938</v>
      </c>
      <c r="EA21" s="4">
        <f t="shared" si="72"/>
        <v>3914787.8327472489</v>
      </c>
      <c r="EB21" s="4">
        <f t="shared" si="72"/>
        <v>3953935.7110747215</v>
      </c>
      <c r="EC21" s="4">
        <f t="shared" si="72"/>
        <v>3993475.0681854687</v>
      </c>
      <c r="ED21" s="4">
        <f t="shared" ref="ED21:GO21" si="73">+EC21*(1+$BS$24)</f>
        <v>4033409.8188673235</v>
      </c>
      <c r="EE21" s="4">
        <f t="shared" si="73"/>
        <v>4073743.9170559966</v>
      </c>
      <c r="EF21" s="4">
        <f t="shared" si="73"/>
        <v>4114481.3562265565</v>
      </c>
      <c r="EG21" s="4">
        <f t="shared" si="73"/>
        <v>4155626.1697888221</v>
      </c>
      <c r="EH21" s="4">
        <f t="shared" si="73"/>
        <v>4197182.43148671</v>
      </c>
      <c r="EI21" s="4">
        <f t="shared" si="73"/>
        <v>4239154.2558015771</v>
      </c>
      <c r="EJ21" s="4">
        <f t="shared" si="73"/>
        <v>4281545.7983595934</v>
      </c>
      <c r="EK21" s="4">
        <f t="shared" si="73"/>
        <v>4324361.2563431896</v>
      </c>
      <c r="EL21" s="4">
        <f t="shared" si="73"/>
        <v>4367604.8689066218</v>
      </c>
      <c r="EM21" s="4">
        <f t="shared" si="73"/>
        <v>4411280.9175956883</v>
      </c>
      <c r="EN21" s="4">
        <f t="shared" si="73"/>
        <v>4455393.7267716452</v>
      </c>
      <c r="EO21" s="4">
        <f t="shared" si="73"/>
        <v>4499947.6640393613</v>
      </c>
      <c r="EP21" s="4">
        <f t="shared" si="73"/>
        <v>4544947.1406797552</v>
      </c>
      <c r="EQ21" s="4">
        <f t="shared" si="73"/>
        <v>4590396.6120865531</v>
      </c>
      <c r="ER21" s="4">
        <f t="shared" si="73"/>
        <v>4636300.5782074183</v>
      </c>
      <c r="ES21" s="4">
        <f t="shared" si="73"/>
        <v>4682663.5839894926</v>
      </c>
      <c r="ET21" s="4">
        <f t="shared" si="73"/>
        <v>4729490.219829388</v>
      </c>
      <c r="EU21" s="4">
        <f t="shared" si="73"/>
        <v>4776785.1220276821</v>
      </c>
      <c r="EV21" s="4">
        <f t="shared" si="73"/>
        <v>4824552.9732479593</v>
      </c>
      <c r="EW21" s="4">
        <f t="shared" si="73"/>
        <v>4872798.502980439</v>
      </c>
      <c r="EX21" s="4">
        <f t="shared" si="73"/>
        <v>4921526.4880102435</v>
      </c>
      <c r="EY21" s="4">
        <f t="shared" si="73"/>
        <v>4970741.7528903456</v>
      </c>
      <c r="EZ21" s="4">
        <f t="shared" si="73"/>
        <v>5020449.1704192488</v>
      </c>
      <c r="FA21" s="4">
        <f t="shared" si="73"/>
        <v>5070653.6621234417</v>
      </c>
      <c r="FB21" s="4">
        <f t="shared" si="73"/>
        <v>5121360.1987446761</v>
      </c>
      <c r="FC21" s="4">
        <f t="shared" si="73"/>
        <v>5172573.8007321227</v>
      </c>
      <c r="FD21" s="4">
        <f t="shared" si="73"/>
        <v>5224299.5387394438</v>
      </c>
      <c r="FE21" s="4">
        <f t="shared" si="73"/>
        <v>5276542.5341268387</v>
      </c>
      <c r="FF21" s="4">
        <f t="shared" si="73"/>
        <v>5329307.9594681067</v>
      </c>
      <c r="FG21" s="4">
        <f t="shared" si="73"/>
        <v>5382601.0390627878</v>
      </c>
      <c r="FH21" s="4">
        <f t="shared" si="73"/>
        <v>5436427.0494534159</v>
      </c>
      <c r="FI21" s="4">
        <f t="shared" si="73"/>
        <v>5490791.3199479505</v>
      </c>
      <c r="FJ21" s="4">
        <f t="shared" si="73"/>
        <v>5545699.2331474302</v>
      </c>
      <c r="FK21" s="4">
        <f t="shared" si="73"/>
        <v>5601156.2254789043</v>
      </c>
      <c r="FL21" s="4">
        <f t="shared" si="73"/>
        <v>5657167.7877336936</v>
      </c>
      <c r="FM21" s="4">
        <f t="shared" si="73"/>
        <v>5713739.4656110303</v>
      </c>
      <c r="FN21" s="4">
        <f t="shared" si="73"/>
        <v>5770876.8602671409</v>
      </c>
      <c r="FO21" s="4">
        <f t="shared" si="73"/>
        <v>5828585.628869812</v>
      </c>
      <c r="FP21" s="4">
        <f t="shared" si="73"/>
        <v>5886871.4851585105</v>
      </c>
      <c r="FQ21" s="4">
        <f t="shared" si="73"/>
        <v>5945740.2000100957</v>
      </c>
      <c r="FR21" s="4">
        <f t="shared" si="73"/>
        <v>6005197.602010197</v>
      </c>
      <c r="FS21" s="4">
        <f t="shared" si="73"/>
        <v>6065249.5780302994</v>
      </c>
      <c r="FT21" s="4">
        <f t="shared" si="73"/>
        <v>6125902.0738106025</v>
      </c>
      <c r="FU21" s="4">
        <f t="shared" si="73"/>
        <v>6187161.0945487088</v>
      </c>
      <c r="FV21" s="4">
        <f t="shared" si="73"/>
        <v>6249032.7054941962</v>
      </c>
      <c r="FW21" s="4">
        <f t="shared" si="73"/>
        <v>6311523.0325491382</v>
      </c>
      <c r="FX21" s="4">
        <f t="shared" si="73"/>
        <v>6374638.2628746293</v>
      </c>
      <c r="FY21" s="4">
        <f t="shared" si="73"/>
        <v>6438384.6455033757</v>
      </c>
      <c r="FZ21" s="4">
        <f t="shared" si="73"/>
        <v>6502768.4919584095</v>
      </c>
      <c r="GA21" s="4">
        <f t="shared" si="73"/>
        <v>6567796.1768779941</v>
      </c>
      <c r="GB21" s="4">
        <f t="shared" si="73"/>
        <v>6633474.138646774</v>
      </c>
      <c r="GC21" s="4">
        <f t="shared" si="73"/>
        <v>6699808.8800332416</v>
      </c>
      <c r="GD21" s="4">
        <f t="shared" si="73"/>
        <v>6766806.9688335741</v>
      </c>
      <c r="GE21" s="4">
        <f t="shared" si="73"/>
        <v>6834475.0385219101</v>
      </c>
      <c r="GF21" s="4">
        <f t="shared" si="73"/>
        <v>6902819.7889071293</v>
      </c>
      <c r="GG21" s="4">
        <f t="shared" si="73"/>
        <v>6971847.9867962003</v>
      </c>
      <c r="GH21" s="4">
        <f t="shared" si="73"/>
        <v>7041566.4666641625</v>
      </c>
      <c r="GI21" s="4">
        <f t="shared" si="73"/>
        <v>7111982.131330804</v>
      </c>
      <c r="GJ21" s="4">
        <f t="shared" si="73"/>
        <v>7183101.9526441125</v>
      </c>
      <c r="GK21" s="4">
        <f t="shared" si="73"/>
        <v>7254932.9721705541</v>
      </c>
      <c r="GL21" s="4">
        <f t="shared" si="73"/>
        <v>7327482.3018922601</v>
      </c>
      <c r="GM21" s="4">
        <f t="shared" si="73"/>
        <v>7400757.1249111826</v>
      </c>
      <c r="GN21" s="4">
        <f t="shared" si="73"/>
        <v>7474764.6961602941</v>
      </c>
      <c r="GO21" s="4">
        <f t="shared" si="73"/>
        <v>7549512.3431218974</v>
      </c>
      <c r="GP21" s="4">
        <f t="shared" ref="GP21:IA21" si="74">+GO21*(1+$BS$24)</f>
        <v>7625007.4665531162</v>
      </c>
      <c r="GQ21" s="4">
        <f t="shared" si="74"/>
        <v>7701257.5412186477</v>
      </c>
      <c r="GR21" s="4">
        <f t="shared" si="74"/>
        <v>7778270.1166308345</v>
      </c>
      <c r="GS21" s="4">
        <f t="shared" si="74"/>
        <v>7856052.817797143</v>
      </c>
      <c r="GT21" s="4">
        <f t="shared" si="74"/>
        <v>7934613.345975115</v>
      </c>
      <c r="GU21" s="4">
        <f t="shared" si="74"/>
        <v>8013959.4794348665</v>
      </c>
      <c r="GV21" s="4">
        <f t="shared" si="74"/>
        <v>8094099.0742292153</v>
      </c>
      <c r="GW21" s="4">
        <f t="shared" si="74"/>
        <v>8175040.0649715075</v>
      </c>
      <c r="GX21" s="4">
        <f t="shared" si="74"/>
        <v>8256790.4656212227</v>
      </c>
      <c r="GY21" s="4">
        <f t="shared" si="74"/>
        <v>8339358.3702774346</v>
      </c>
      <c r="GZ21" s="4">
        <f t="shared" si="74"/>
        <v>8422751.9539802093</v>
      </c>
      <c r="HA21" s="4">
        <f t="shared" si="74"/>
        <v>8506979.4735200107</v>
      </c>
      <c r="HB21" s="4">
        <f t="shared" si="74"/>
        <v>8592049.2682552114</v>
      </c>
      <c r="HC21" s="4">
        <f t="shared" si="74"/>
        <v>8677969.7609377634</v>
      </c>
      <c r="HD21" s="4">
        <f t="shared" si="74"/>
        <v>8764749.4585471414</v>
      </c>
      <c r="HE21" s="4">
        <f t="shared" si="74"/>
        <v>8852396.9531326126</v>
      </c>
      <c r="HF21" s="4">
        <f t="shared" si="74"/>
        <v>8940920.9226639383</v>
      </c>
      <c r="HG21" s="4">
        <f t="shared" si="74"/>
        <v>9030330.1318905782</v>
      </c>
      <c r="HH21" s="4">
        <f t="shared" si="74"/>
        <v>9120633.4332094844</v>
      </c>
      <c r="HI21" s="4">
        <f t="shared" si="74"/>
        <v>9211839.7675415799</v>
      </c>
      <c r="HJ21" s="4">
        <f t="shared" si="74"/>
        <v>9303958.1652169954</v>
      </c>
      <c r="HK21" s="4">
        <f t="shared" si="74"/>
        <v>9396997.7468691655</v>
      </c>
      <c r="HL21" s="4">
        <f t="shared" si="74"/>
        <v>9490967.7243378572</v>
      </c>
      <c r="HM21" s="4">
        <f t="shared" si="74"/>
        <v>9585877.4015812352</v>
      </c>
      <c r="HN21" s="4">
        <f t="shared" si="74"/>
        <v>9681736.1755970474</v>
      </c>
      <c r="HO21" s="4">
        <f t="shared" si="74"/>
        <v>9778553.5373530183</v>
      </c>
      <c r="HP21" s="4">
        <f t="shared" si="74"/>
        <v>9876339.0727265477</v>
      </c>
      <c r="HQ21" s="4">
        <f t="shared" si="74"/>
        <v>9975102.4634538125</v>
      </c>
      <c r="HR21" s="4">
        <f t="shared" si="74"/>
        <v>10074853.488088351</v>
      </c>
      <c r="HS21" s="4">
        <f t="shared" si="74"/>
        <v>10175602.022969235</v>
      </c>
      <c r="HT21" s="4">
        <f t="shared" si="74"/>
        <v>10277358.043198926</v>
      </c>
      <c r="HU21" s="4">
        <f t="shared" si="74"/>
        <v>10380131.623630915</v>
      </c>
      <c r="HV21" s="4">
        <f t="shared" si="74"/>
        <v>10483932.939867225</v>
      </c>
      <c r="HW21" s="4">
        <f t="shared" si="74"/>
        <v>10588772.269265898</v>
      </c>
      <c r="HX21" s="4">
        <f t="shared" si="74"/>
        <v>10694659.991958557</v>
      </c>
      <c r="HY21" s="4">
        <f t="shared" si="74"/>
        <v>10801606.591878142</v>
      </c>
      <c r="HZ21" s="4">
        <f t="shared" si="74"/>
        <v>10909622.657796923</v>
      </c>
      <c r="IA21" s="4">
        <f t="shared" si="74"/>
        <v>11018718.884374892</v>
      </c>
    </row>
    <row r="22" spans="2:235" x14ac:dyDescent="0.2">
      <c r="B22" t="s">
        <v>30</v>
      </c>
      <c r="C22" s="5">
        <f t="shared" ref="C22:R22" si="75">+C21/C23</f>
        <v>1.8450443501735441</v>
      </c>
      <c r="D22" s="5">
        <f t="shared" si="75"/>
        <v>2.3008098727342845</v>
      </c>
      <c r="E22" s="5">
        <f t="shared" si="75"/>
        <v>2.9426918627072887</v>
      </c>
      <c r="F22" s="5">
        <f t="shared" si="75"/>
        <v>3.0839182414192057</v>
      </c>
      <c r="G22" s="5">
        <f t="shared" si="75"/>
        <v>3.045929582353168</v>
      </c>
      <c r="H22" s="5">
        <f t="shared" si="75"/>
        <v>2.251523332047821</v>
      </c>
      <c r="I22" s="5">
        <f t="shared" si="75"/>
        <v>2.9046278441959119</v>
      </c>
      <c r="J22" s="5">
        <f t="shared" si="75"/>
        <v>2.8091785576552257</v>
      </c>
      <c r="K22" s="5">
        <f t="shared" si="75"/>
        <v>2.4987659082144233</v>
      </c>
      <c r="L22" s="5">
        <f t="shared" si="75"/>
        <v>2.7970690320092557</v>
      </c>
      <c r="M22" s="5">
        <f t="shared" si="75"/>
        <v>3.7327034323177788</v>
      </c>
      <c r="N22" s="5">
        <f t="shared" si="75"/>
        <v>3.865329733898959</v>
      </c>
      <c r="O22" s="5">
        <f t="shared" si="75"/>
        <v>3.3791361357500964</v>
      </c>
      <c r="P22" s="5">
        <f t="shared" si="75"/>
        <v>2.5557655225607405</v>
      </c>
      <c r="Q22" s="5">
        <f t="shared" si="75"/>
        <v>3.4689163131507907</v>
      </c>
      <c r="R22" s="5">
        <f t="shared" si="75"/>
        <v>3.8297724643270343</v>
      </c>
      <c r="S22" s="5">
        <f t="shared" ref="S22" si="76">+S21/S23</f>
        <v>3.4627072888546087</v>
      </c>
      <c r="T22" s="5">
        <f t="shared" ref="T22:AT22" si="77">+T21/T23</f>
        <v>2.7880061704589281</v>
      </c>
      <c r="U22" s="5">
        <f t="shared" si="77"/>
        <v>3.4360971847281143</v>
      </c>
      <c r="V22" s="5">
        <f t="shared" si="77"/>
        <v>3.8567296567682221</v>
      </c>
      <c r="W22" s="5">
        <f t="shared" si="77"/>
        <v>2.3674122637871191</v>
      </c>
      <c r="X22" s="5">
        <f t="shared" si="77"/>
        <v>2.5752410335518703</v>
      </c>
      <c r="Y22" s="5">
        <f t="shared" si="77"/>
        <v>3.8990744311608174</v>
      </c>
      <c r="Z22" s="5">
        <f t="shared" si="77"/>
        <v>4.4765908214423451</v>
      </c>
      <c r="AA22" s="5">
        <f t="shared" si="77"/>
        <v>4.5145777092171233</v>
      </c>
      <c r="AB22" s="5">
        <f t="shared" si="77"/>
        <v>4.6622445044350176</v>
      </c>
      <c r="AC22" s="5">
        <f t="shared" si="77"/>
        <v>5.2980717315850363</v>
      </c>
      <c r="AD22" s="5">
        <f t="shared" si="77"/>
        <v>5.5080601619745471</v>
      </c>
      <c r="AE22" s="5">
        <f t="shared" si="77"/>
        <v>5.3890860007713073</v>
      </c>
      <c r="AF22" s="5">
        <f t="shared" si="77"/>
        <v>5.1863092942537605</v>
      </c>
      <c r="AG22" s="5">
        <f t="shared" si="77"/>
        <v>6.0347088314693407</v>
      </c>
      <c r="AH22" s="5">
        <f t="shared" si="77"/>
        <v>6.4162360200539919</v>
      </c>
      <c r="AI22" s="5">
        <f t="shared" si="77"/>
        <v>7.854801388353259</v>
      </c>
      <c r="AJ22" s="5">
        <f t="shared" si="77"/>
        <v>9.1473253885610699</v>
      </c>
      <c r="AK22" s="5">
        <f t="shared" si="77"/>
        <v>10.836052296656254</v>
      </c>
      <c r="AL22" s="5">
        <f t="shared" si="77"/>
        <v>11.396004473755255</v>
      </c>
      <c r="AM22" s="5">
        <f t="shared" si="77"/>
        <v>7.9795595665085424</v>
      </c>
      <c r="AN22" s="5">
        <f t="shared" si="77"/>
        <v>7.0100659493231516</v>
      </c>
      <c r="AO22" s="5">
        <f t="shared" si="77"/>
        <v>8.1246480774422469</v>
      </c>
      <c r="AP22" s="5">
        <f t="shared" si="77"/>
        <v>9.1885147903891404</v>
      </c>
      <c r="AQ22" s="5">
        <f t="shared" si="77"/>
        <v>8.6907443116081762</v>
      </c>
      <c r="AR22" s="5">
        <f t="shared" si="77"/>
        <v>9.5998997339092202</v>
      </c>
      <c r="AS22" s="5">
        <f t="shared" si="77"/>
        <v>12.5377969762419</v>
      </c>
      <c r="AT22" s="5">
        <f t="shared" si="77"/>
        <v>12.765329235961129</v>
      </c>
      <c r="AU22" s="5"/>
      <c r="AV22" s="5"/>
      <c r="AW22" s="5"/>
      <c r="AX22" s="5"/>
      <c r="AZ22" s="5">
        <f t="shared" ref="AZ22" si="78">+AZ21/AZ23</f>
        <v>10.172464327034323</v>
      </c>
      <c r="BA22" s="5">
        <f t="shared" ref="BA22" si="79">+BA21/BA23</f>
        <v>11.011270620221556</v>
      </c>
      <c r="BB22" s="5">
        <f t="shared" ref="BB22" si="80">+BB21/BB23</f>
        <v>12.893868106440417</v>
      </c>
      <c r="BC22" s="5">
        <f t="shared" ref="BC22:BJ22" si="81">+BC21/BC23</f>
        <v>13.233590435788662</v>
      </c>
      <c r="BD22" s="5">
        <f t="shared" si="81"/>
        <v>13.543540300809873</v>
      </c>
      <c r="BE22" s="5">
        <f t="shared" si="81"/>
        <v>13.318318549942152</v>
      </c>
      <c r="BF22" s="5">
        <f t="shared" si="81"/>
        <v>19.982954107211725</v>
      </c>
      <c r="BG22" s="5">
        <f t="shared" si="81"/>
        <v>23.026340146548399</v>
      </c>
      <c r="BH22" s="5">
        <f t="shared" si="81"/>
        <v>39.234108198270292</v>
      </c>
      <c r="BI22" s="5">
        <f t="shared" si="81"/>
        <v>32.302788383663078</v>
      </c>
      <c r="BJ22" s="5">
        <f t="shared" si="81"/>
        <v>43.593449730709537</v>
      </c>
      <c r="BK22" s="5">
        <f t="shared" ref="BK22" si="82">+BK21/BK23</f>
        <v>48.596452445172936</v>
      </c>
      <c r="BL22" s="5">
        <f t="shared" ref="BL22" si="83">+BL21/BL23</f>
        <v>53.814750049959059</v>
      </c>
      <c r="BM22" s="5">
        <f t="shared" ref="BM22" si="84">+BM21/BM23</f>
        <v>59.572810033237204</v>
      </c>
      <c r="BN22" s="5">
        <f t="shared" ref="BN22" si="85">+BN21/BN23</f>
        <v>65.925505263757287</v>
      </c>
      <c r="BO22" s="5">
        <f t="shared" ref="BO22" si="86">+BO21/BO23</f>
        <v>72.933240728689199</v>
      </c>
      <c r="BP22" s="5">
        <f t="shared" ref="BP22" si="87">+BP21/BP23</f>
        <v>80.662508987042116</v>
      </c>
    </row>
    <row r="23" spans="2:235" x14ac:dyDescent="0.2">
      <c r="B23" t="s">
        <v>29</v>
      </c>
      <c r="C23" s="4">
        <v>25930</v>
      </c>
      <c r="D23" s="4">
        <v>25930</v>
      </c>
      <c r="E23" s="4">
        <v>25930</v>
      </c>
      <c r="F23" s="4">
        <v>25930</v>
      </c>
      <c r="G23" s="4">
        <v>25931</v>
      </c>
      <c r="H23" s="4">
        <v>25930</v>
      </c>
      <c r="I23" s="4">
        <v>25930</v>
      </c>
      <c r="J23" s="4">
        <v>25930</v>
      </c>
      <c r="K23" s="4">
        <v>25930</v>
      </c>
      <c r="L23" s="4">
        <v>25930</v>
      </c>
      <c r="M23" s="4">
        <v>25930</v>
      </c>
      <c r="N23" s="4">
        <v>25930</v>
      </c>
      <c r="O23" s="4">
        <v>25930</v>
      </c>
      <c r="P23" s="4">
        <v>25930</v>
      </c>
      <c r="Q23" s="4">
        <v>25930</v>
      </c>
      <c r="R23" s="4">
        <v>25930</v>
      </c>
      <c r="S23" s="4">
        <v>25930</v>
      </c>
      <c r="T23" s="4">
        <v>25930</v>
      </c>
      <c r="U23" s="4">
        <v>25930</v>
      </c>
      <c r="V23" s="4">
        <v>25930</v>
      </c>
      <c r="W23" s="4">
        <v>25930</v>
      </c>
      <c r="X23" s="4">
        <v>25930</v>
      </c>
      <c r="Y23" s="4">
        <v>25930</v>
      </c>
      <c r="Z23" s="4">
        <v>25930</v>
      </c>
      <c r="AA23" s="4">
        <v>25930</v>
      </c>
      <c r="AB23" s="4">
        <v>25930</v>
      </c>
      <c r="AC23" s="4">
        <v>25930</v>
      </c>
      <c r="AD23" s="4">
        <v>25930</v>
      </c>
      <c r="AE23" s="4">
        <v>25930</v>
      </c>
      <c r="AF23" s="4">
        <v>25930</v>
      </c>
      <c r="AG23" s="4">
        <v>25930</v>
      </c>
      <c r="AH23" s="4">
        <v>25930</v>
      </c>
      <c r="AI23" s="4">
        <v>25930</v>
      </c>
      <c r="AJ23" s="4">
        <v>25929</v>
      </c>
      <c r="AK23" s="4">
        <v>25929</v>
      </c>
      <c r="AL23" s="4">
        <v>25929</v>
      </c>
      <c r="AM23" s="4">
        <v>25929</v>
      </c>
      <c r="AN23" s="4">
        <v>25929</v>
      </c>
      <c r="AO23" s="4">
        <v>25929</v>
      </c>
      <c r="AP23" s="4">
        <v>25929</v>
      </c>
      <c r="AQ23" s="4">
        <v>25930</v>
      </c>
      <c r="AR23" s="4">
        <v>25931</v>
      </c>
      <c r="AS23" s="4">
        <v>25928</v>
      </c>
      <c r="AT23" s="4">
        <f>+AS23</f>
        <v>25928</v>
      </c>
      <c r="AU23" s="4"/>
      <c r="AV23" s="4"/>
      <c r="AW23" s="4"/>
      <c r="AX23" s="4"/>
      <c r="AZ23" s="2">
        <f>AVERAGE(C23:F23)</f>
        <v>25930</v>
      </c>
      <c r="BA23" s="2">
        <f>AVERAGE(G23:J23)</f>
        <v>25930.25</v>
      </c>
      <c r="BB23" s="2">
        <f>AVERAGE(K23:N23)</f>
        <v>25930</v>
      </c>
      <c r="BC23" s="2">
        <f>AVERAGE(O23:R23)</f>
        <v>25930</v>
      </c>
      <c r="BD23" s="2">
        <f>AVERAGE(S23:V23)</f>
        <v>25930</v>
      </c>
      <c r="BE23" s="2">
        <f>AVERAGE(W23:Z23)</f>
        <v>25930</v>
      </c>
      <c r="BF23" s="2">
        <f>AVERAGE(AA23:AD23)</f>
        <v>25930</v>
      </c>
      <c r="BG23" s="2">
        <f>AVERAGE(AE23:AH23)</f>
        <v>25930</v>
      </c>
      <c r="BH23" s="2">
        <f>AVERAGE(AI23:AL23)</f>
        <v>25929.25</v>
      </c>
      <c r="BI23" s="2">
        <f>AVERAGE(AM23:AP23)</f>
        <v>25929</v>
      </c>
      <c r="BJ23" s="2">
        <f>AVERAGE(AQ23:AT23)</f>
        <v>25929.25</v>
      </c>
      <c r="BK23" s="2">
        <f>+BJ23</f>
        <v>25929.25</v>
      </c>
      <c r="BL23" s="2">
        <f>+BK23</f>
        <v>25929.25</v>
      </c>
      <c r="BM23" s="2">
        <f t="shared" ref="BM23:BP23" si="88">+BL23</f>
        <v>25929.25</v>
      </c>
      <c r="BN23" s="2">
        <f t="shared" si="88"/>
        <v>25929.25</v>
      </c>
      <c r="BO23" s="2">
        <f t="shared" si="88"/>
        <v>25929.25</v>
      </c>
      <c r="BP23" s="2">
        <f t="shared" si="88"/>
        <v>25929.25</v>
      </c>
      <c r="BQ23" s="2"/>
      <c r="BR23" s="2"/>
      <c r="BS23" s="2"/>
    </row>
    <row r="24" spans="2:235" x14ac:dyDescent="0.2">
      <c r="BR24" t="s">
        <v>71</v>
      </c>
      <c r="BS24" s="13">
        <v>0.01</v>
      </c>
    </row>
    <row r="25" spans="2:235" s="7" customFormat="1" x14ac:dyDescent="0.2">
      <c r="B25" s="7" t="s">
        <v>32</v>
      </c>
      <c r="C25" s="8"/>
      <c r="D25" s="8"/>
      <c r="E25" s="8"/>
      <c r="F25" s="8"/>
      <c r="G25" s="10">
        <f t="shared" ref="G25" si="89">G11/C11-1</f>
        <v>0.49805350335661025</v>
      </c>
      <c r="H25" s="10">
        <f t="shared" ref="H25" si="90">H11/D11-1</f>
        <v>0.12249414001671943</v>
      </c>
      <c r="I25" s="10">
        <f t="shared" ref="I25" si="91">I11/E11-1</f>
        <v>1.6532009241852386E-2</v>
      </c>
      <c r="J25" s="10">
        <f t="shared" ref="J25" si="92">J11/F11-1</f>
        <v>-8.5398681472759863E-2</v>
      </c>
      <c r="K25" s="10">
        <f t="shared" ref="K25" si="93">K11/G11-1</f>
        <v>-8.3496221299440676E-2</v>
      </c>
      <c r="L25" s="10">
        <f t="shared" ref="L25" si="94">L11/H11-1</f>
        <v>7.9682632398753839E-2</v>
      </c>
      <c r="M25" s="10">
        <f t="shared" ref="M25" si="95">M11/I11-1</f>
        <v>0.22541116679607542</v>
      </c>
      <c r="N25" s="10">
        <f t="shared" ref="N25" si="96">N11/J11-1</f>
        <v>0.28847079865171632</v>
      </c>
      <c r="O25" s="10">
        <f t="shared" ref="O25" si="97">O11/K11-1</f>
        <v>0.14948278827489614</v>
      </c>
      <c r="P25" s="10">
        <f t="shared" ref="P25" si="98">P11/L11-1</f>
        <v>-3.5859519408502738E-2</v>
      </c>
      <c r="Q25" s="10">
        <f t="shared" ref="Q25" si="99">Q11/M11-1</f>
        <v>-3.1869465373301709E-2</v>
      </c>
      <c r="R25" s="10">
        <f t="shared" ref="R25" si="100">R11/N11-1</f>
        <v>5.8510374599106907E-2</v>
      </c>
      <c r="S25" s="10">
        <f t="shared" ref="S25" si="101">S11/O11-1</f>
        <v>6.0556443821233374E-2</v>
      </c>
      <c r="T25" s="10">
        <f t="shared" ref="T25:AK25" si="102">T11/P11-1</f>
        <v>9.0808768517133043E-2</v>
      </c>
      <c r="U25" s="10">
        <f t="shared" si="102"/>
        <v>3.2688501310951246E-2</v>
      </c>
      <c r="V25" s="10">
        <f t="shared" si="102"/>
        <v>4.3956479446626062E-2</v>
      </c>
      <c r="W25" s="10">
        <f t="shared" si="102"/>
        <v>-0.11840986137480403</v>
      </c>
      <c r="X25" s="10">
        <f t="shared" si="102"/>
        <v>3.3106706219242499E-2</v>
      </c>
      <c r="Y25" s="10">
        <f t="shared" si="102"/>
        <v>0.12558959546453208</v>
      </c>
      <c r="Z25" s="10">
        <f t="shared" si="102"/>
        <v>9.4785192445068667E-2</v>
      </c>
      <c r="AA25" s="10">
        <f t="shared" si="102"/>
        <v>0.42017064159777595</v>
      </c>
      <c r="AB25" s="10">
        <f t="shared" si="102"/>
        <v>0.28921281831044943</v>
      </c>
      <c r="AC25" s="10">
        <f t="shared" si="102"/>
        <v>0.21628418843522335</v>
      </c>
      <c r="AD25" s="10">
        <f t="shared" si="102"/>
        <v>0.13963062316186314</v>
      </c>
      <c r="AE25" s="10">
        <f t="shared" si="102"/>
        <v>0.166817451552977</v>
      </c>
      <c r="AF25" s="10">
        <f t="shared" si="102"/>
        <v>0.19776697060499071</v>
      </c>
      <c r="AG25" s="10">
        <f t="shared" si="102"/>
        <v>0.16341400459001298</v>
      </c>
      <c r="AH25" s="10">
        <f t="shared" si="102"/>
        <v>0.21203043705553859</v>
      </c>
      <c r="AI25" s="10">
        <f t="shared" si="102"/>
        <v>0.35502883474517821</v>
      </c>
      <c r="AJ25" s="10">
        <f t="shared" si="102"/>
        <v>0.43530344355022899</v>
      </c>
      <c r="AK25" s="10">
        <f t="shared" si="102"/>
        <v>0.47862281181949062</v>
      </c>
      <c r="AL25" s="10">
        <f t="shared" ref="AL25:AO25" si="103">AL11/AH11-1</f>
        <v>0.4275392581739843</v>
      </c>
      <c r="AM25" s="10">
        <f t="shared" si="103"/>
        <v>3.5752103544054226E-2</v>
      </c>
      <c r="AN25" s="10">
        <f t="shared" si="103"/>
        <v>-9.9786385991713744E-2</v>
      </c>
      <c r="AO25" s="10">
        <f t="shared" si="103"/>
        <v>-0.10830933128051901</v>
      </c>
      <c r="AP25" s="10">
        <f>AP11/AL11-1</f>
        <v>-4.7959177148504395E-6</v>
      </c>
      <c r="AQ25" s="10">
        <f>AQ11/AM11-1</f>
        <v>0.1651701718134686</v>
      </c>
      <c r="AR25" s="10">
        <f>AR11/AN11-1</f>
        <v>0.40069170474231597</v>
      </c>
      <c r="AS25" s="10">
        <f>AS11/AO11-1</f>
        <v>0.38951188239963574</v>
      </c>
      <c r="AT25" s="10">
        <f>AT11/AP11-1</f>
        <v>0.34000000000000008</v>
      </c>
      <c r="AU25" s="10"/>
      <c r="AV25" s="10"/>
      <c r="AW25" s="10"/>
      <c r="AX25" s="10"/>
      <c r="BA25" s="12">
        <f t="shared" ref="BA25:BC25" si="104">+BA11/AZ11-1</f>
        <v>0.10578181084050198</v>
      </c>
      <c r="BB25" s="12">
        <f t="shared" si="104"/>
        <v>0.12381905329835208</v>
      </c>
      <c r="BC25" s="12">
        <f t="shared" si="104"/>
        <v>3.112967303768821E-2</v>
      </c>
      <c r="BD25" s="12">
        <f t="shared" ref="BD25:BJ25" si="105">+BD11/BC11-1</f>
        <v>5.5273585166254469E-2</v>
      </c>
      <c r="BE25" s="12">
        <f t="shared" si="105"/>
        <v>3.7335890192093935E-2</v>
      </c>
      <c r="BF25" s="12">
        <f t="shared" si="105"/>
        <v>0.25165773351962883</v>
      </c>
      <c r="BG25" s="12">
        <f t="shared" si="105"/>
        <v>0.18529704947900139</v>
      </c>
      <c r="BH25" s="12">
        <f t="shared" si="105"/>
        <v>0.42614943162311048</v>
      </c>
      <c r="BI25" s="12">
        <f t="shared" si="105"/>
        <v>-4.5123638903109775E-2</v>
      </c>
      <c r="BJ25" s="12">
        <f t="shared" si="105"/>
        <v>0.3248865078807035</v>
      </c>
      <c r="BK25" s="12">
        <f t="shared" ref="BK25:BP25" si="106">+BK11/BJ11-1</f>
        <v>0.10000000000000009</v>
      </c>
      <c r="BL25" s="12">
        <f t="shared" si="106"/>
        <v>0.10000000000000009</v>
      </c>
      <c r="BM25" s="12">
        <f t="shared" si="106"/>
        <v>0.10000000000000009</v>
      </c>
      <c r="BN25" s="12">
        <f t="shared" si="106"/>
        <v>0.10000000000000009</v>
      </c>
      <c r="BO25" s="12">
        <f t="shared" si="106"/>
        <v>0.10000000000000009</v>
      </c>
      <c r="BP25" s="12">
        <f t="shared" si="106"/>
        <v>0.10000000000000009</v>
      </c>
      <c r="BR25" s="7" t="s">
        <v>69</v>
      </c>
      <c r="BS25" s="12">
        <v>7.0000000000000007E-2</v>
      </c>
    </row>
    <row r="26" spans="2:235" x14ac:dyDescent="0.2">
      <c r="B26" t="s">
        <v>31</v>
      </c>
      <c r="C26" s="6">
        <f t="shared" ref="C26:E26" si="107">C13/C11</f>
        <v>0.47496542185338864</v>
      </c>
      <c r="D26" s="6">
        <f t="shared" si="107"/>
        <v>0.49826522639478532</v>
      </c>
      <c r="E26" s="6">
        <f t="shared" si="107"/>
        <v>0.50503948834962142</v>
      </c>
      <c r="F26" s="6">
        <f t="shared" ref="F26:G26" si="108">F13/F11</f>
        <v>0.49685198250951595</v>
      </c>
      <c r="G26" s="6">
        <f t="shared" si="108"/>
        <v>0.49284794220704936</v>
      </c>
      <c r="H26" s="6">
        <f t="shared" ref="H26:I26" si="109">H13/H11</f>
        <v>0.48532418224299068</v>
      </c>
      <c r="I26" s="6">
        <f t="shared" si="109"/>
        <v>0.48156984541540199</v>
      </c>
      <c r="J26" s="6">
        <f t="shared" ref="J26:K26" si="110">J13/J11</f>
        <v>0.48607494177419197</v>
      </c>
      <c r="K26" s="6">
        <f t="shared" si="110"/>
        <v>0.44884640900267819</v>
      </c>
      <c r="L26" s="6">
        <f t="shared" ref="L26:M26" si="111">L13/L11</f>
        <v>0.51545917677291375</v>
      </c>
      <c r="M26" s="6">
        <f t="shared" si="111"/>
        <v>0.50709661067717338</v>
      </c>
      <c r="N26" s="6">
        <f t="shared" ref="N26:O26" si="112">N13/N11</f>
        <v>0.52286377832946263</v>
      </c>
      <c r="O26" s="6">
        <f t="shared" si="112"/>
        <v>0.51937891703788575</v>
      </c>
      <c r="P26" s="6">
        <f t="shared" ref="P26:Q26" si="113">P13/P11</f>
        <v>0.50832335777345505</v>
      </c>
      <c r="Q26" s="6">
        <f t="shared" si="113"/>
        <v>0.49931180014834969</v>
      </c>
      <c r="R26" s="6">
        <f t="shared" ref="R26:S26" si="114">R13/R11</f>
        <v>0.49986670029181829</v>
      </c>
      <c r="S26" s="6">
        <f t="shared" si="114"/>
        <v>0.50329935222247757</v>
      </c>
      <c r="T26" s="6">
        <f t="shared" ref="T26:AA26" si="115">T13/T11</f>
        <v>0.4781031910698057</v>
      </c>
      <c r="U26" s="6">
        <f t="shared" si="115"/>
        <v>0.47385422588228066</v>
      </c>
      <c r="V26" s="6">
        <f t="shared" si="115"/>
        <v>0.47664880198501575</v>
      </c>
      <c r="W26" s="6">
        <f t="shared" si="115"/>
        <v>0.41315202282537128</v>
      </c>
      <c r="X26" s="6">
        <f t="shared" si="115"/>
        <v>0.43041672372084533</v>
      </c>
      <c r="Y26" s="6">
        <f t="shared" si="115"/>
        <v>0.47573580849357605</v>
      </c>
      <c r="Z26" s="6">
        <f t="shared" si="115"/>
        <v>0.50183931886885835</v>
      </c>
      <c r="AA26" s="6">
        <f t="shared" si="115"/>
        <v>0.51763861209219664</v>
      </c>
      <c r="AB26" s="6">
        <f t="shared" ref="AB26:AE26" si="116">AB13/AB11</f>
        <v>0.52984721547220948</v>
      </c>
      <c r="AC26" s="6">
        <f t="shared" si="116"/>
        <v>0.53445596000291784</v>
      </c>
      <c r="AD26" s="6">
        <f t="shared" si="116"/>
        <v>0.54002262587370997</v>
      </c>
      <c r="AE26" s="6">
        <f t="shared" si="116"/>
        <v>0.52382384592036646</v>
      </c>
      <c r="AF26" s="6">
        <f t="shared" ref="AF26:AK26" si="117">AF13/AF11</f>
        <v>0.50033454701796343</v>
      </c>
      <c r="AG26" s="6">
        <f t="shared" si="117"/>
        <v>0.51304769323150157</v>
      </c>
      <c r="AH26" s="6">
        <f t="shared" si="117"/>
        <v>0.52661066343518437</v>
      </c>
      <c r="AI26" s="6">
        <f t="shared" si="117"/>
        <v>0.5563354755679365</v>
      </c>
      <c r="AJ26" s="6">
        <f t="shared" si="117"/>
        <v>0.59060809786180057</v>
      </c>
      <c r="AK26" s="6">
        <f t="shared" si="117"/>
        <v>0.60426296029304793</v>
      </c>
      <c r="AL26" s="6">
        <f t="shared" ref="AL26:AT26" si="118">AL13/AL11</f>
        <v>0.62216641195014799</v>
      </c>
      <c r="AM26" s="6">
        <f t="shared" si="118"/>
        <v>0.5632745024408562</v>
      </c>
      <c r="AN26" s="6">
        <f t="shared" si="118"/>
        <v>0.54113521933445774</v>
      </c>
      <c r="AO26" s="6">
        <f t="shared" si="118"/>
        <v>0.5425737974477487</v>
      </c>
      <c r="AP26" s="6">
        <f t="shared" si="118"/>
        <v>0.53037988646409684</v>
      </c>
      <c r="AQ26" s="6">
        <f t="shared" si="118"/>
        <v>0.53068115091015855</v>
      </c>
      <c r="AR26" s="6">
        <f t="shared" si="118"/>
        <v>0.53172929874834818</v>
      </c>
      <c r="AS26" s="6">
        <f t="shared" si="118"/>
        <v>0.57831989806395223</v>
      </c>
      <c r="AT26" s="6">
        <f t="shared" si="118"/>
        <v>0.53</v>
      </c>
      <c r="AU26" s="6"/>
      <c r="AV26" s="6"/>
      <c r="AW26" s="6"/>
      <c r="AX26" s="6"/>
      <c r="AZ26" s="6">
        <f t="shared" ref="AZ26:BB26" si="119">AZ13/AZ11</f>
        <v>0.49518226128268522</v>
      </c>
      <c r="BA26" s="6">
        <f t="shared" si="119"/>
        <v>0.48653996398327437</v>
      </c>
      <c r="BB26" s="6">
        <f t="shared" si="119"/>
        <v>0.50091039709348084</v>
      </c>
      <c r="BC26" s="6">
        <f t="shared" ref="BC26:BI26" si="120">BC13/BC11</f>
        <v>0.50624330526361017</v>
      </c>
      <c r="BD26" s="6">
        <f t="shared" si="120"/>
        <v>0.48268206469576547</v>
      </c>
      <c r="BE26" s="6">
        <f t="shared" si="120"/>
        <v>0.46047561414412352</v>
      </c>
      <c r="BF26" s="6">
        <f t="shared" si="120"/>
        <v>0.53098924401999614</v>
      </c>
      <c r="BG26" s="6">
        <f t="shared" si="120"/>
        <v>0.51627142240686907</v>
      </c>
      <c r="BH26" s="6">
        <f t="shared" si="120"/>
        <v>0.5955918372395137</v>
      </c>
      <c r="BI26" s="6">
        <f t="shared" si="120"/>
        <v>0.54359598026771072</v>
      </c>
      <c r="BJ26" s="6">
        <f>BJ13/BJ11</f>
        <v>0.54336448562301631</v>
      </c>
      <c r="BK26" s="6">
        <f t="shared" ref="BK26:BP26" si="121">BK13/BK11</f>
        <v>0.54</v>
      </c>
      <c r="BL26" s="6">
        <f t="shared" si="121"/>
        <v>0.54</v>
      </c>
      <c r="BM26" s="6">
        <f t="shared" si="121"/>
        <v>0.54</v>
      </c>
      <c r="BN26" s="6">
        <f t="shared" si="121"/>
        <v>0.54</v>
      </c>
      <c r="BO26" s="6">
        <f t="shared" si="121"/>
        <v>0.54</v>
      </c>
      <c r="BP26" s="6">
        <f t="shared" si="121"/>
        <v>0.54</v>
      </c>
      <c r="BR26" t="s">
        <v>70</v>
      </c>
      <c r="BS26" s="2">
        <f>NPV(BS25,BK21:HZ21)</f>
        <v>31161858.063186485</v>
      </c>
    </row>
    <row r="28" spans="2:235" x14ac:dyDescent="0.2">
      <c r="B28" t="s">
        <v>90</v>
      </c>
      <c r="AS28" s="4">
        <f>+AS29-AS41</f>
        <v>1326.4229999999998</v>
      </c>
    </row>
    <row r="29" spans="2:235" x14ac:dyDescent="0.2">
      <c r="B29" t="s">
        <v>76</v>
      </c>
      <c r="AS29" s="4">
        <f>1886.781+280.819+127.332</f>
        <v>2294.9319999999998</v>
      </c>
    </row>
    <row r="30" spans="2:235" x14ac:dyDescent="0.2">
      <c r="B30" t="s">
        <v>79</v>
      </c>
      <c r="AS30" s="4">
        <v>249.97399999999999</v>
      </c>
    </row>
    <row r="31" spans="2:235" x14ac:dyDescent="0.2">
      <c r="B31" t="s">
        <v>78</v>
      </c>
      <c r="AS31" s="4">
        <v>292.88400000000001</v>
      </c>
    </row>
    <row r="32" spans="2:235" x14ac:dyDescent="0.2">
      <c r="B32" t="s">
        <v>77</v>
      </c>
      <c r="AS32" s="4">
        <v>63.456000000000003</v>
      </c>
    </row>
    <row r="33" spans="2:50" x14ac:dyDescent="0.2">
      <c r="B33" t="s">
        <v>81</v>
      </c>
      <c r="AS33" s="4">
        <v>3071.5990000000002</v>
      </c>
    </row>
    <row r="34" spans="2:50" x14ac:dyDescent="0.2">
      <c r="B34" t="s">
        <v>80</v>
      </c>
      <c r="AS34" s="4">
        <v>192.81299999999999</v>
      </c>
    </row>
    <row r="35" spans="2:50" x14ac:dyDescent="0.2">
      <c r="AS35" s="4">
        <f>SUM(AS29:AS34)</f>
        <v>6165.6580000000004</v>
      </c>
    </row>
    <row r="37" spans="2:50" x14ac:dyDescent="0.2">
      <c r="B37" t="s">
        <v>84</v>
      </c>
      <c r="AS37" s="4">
        <v>70.819999999999993</v>
      </c>
    </row>
    <row r="38" spans="2:50" x14ac:dyDescent="0.2">
      <c r="B38" t="s">
        <v>85</v>
      </c>
      <c r="AS38" s="4">
        <v>125.13200000000001</v>
      </c>
    </row>
    <row r="39" spans="2:50" x14ac:dyDescent="0.2">
      <c r="B39" t="s">
        <v>86</v>
      </c>
      <c r="AS39" s="4">
        <v>207.45599999999999</v>
      </c>
    </row>
    <row r="40" spans="2:50" x14ac:dyDescent="0.2">
      <c r="B40" t="s">
        <v>87</v>
      </c>
      <c r="AS40" s="4">
        <v>618.18600000000004</v>
      </c>
    </row>
    <row r="41" spans="2:50" x14ac:dyDescent="0.2">
      <c r="B41" t="s">
        <v>88</v>
      </c>
      <c r="AS41" s="4">
        <f>58.805+909.704</f>
        <v>968.5089999999999</v>
      </c>
    </row>
    <row r="42" spans="2:50" x14ac:dyDescent="0.2">
      <c r="B42" t="s">
        <v>89</v>
      </c>
      <c r="AS42" s="4">
        <v>153.63300000000001</v>
      </c>
    </row>
    <row r="43" spans="2:50" x14ac:dyDescent="0.2">
      <c r="B43" t="s">
        <v>83</v>
      </c>
      <c r="AS43" s="4">
        <v>4021.922</v>
      </c>
    </row>
    <row r="44" spans="2:50" x14ac:dyDescent="0.2">
      <c r="B44" t="s">
        <v>82</v>
      </c>
      <c r="AS44" s="4">
        <f>SUM(AS37:AS43)</f>
        <v>6165.6579999999994</v>
      </c>
    </row>
    <row r="46" spans="2:50" s="2" customFormat="1" x14ac:dyDescent="0.2">
      <c r="B46" s="2" t="s">
        <v>91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>
        <v>294.64499999999998</v>
      </c>
      <c r="AR46" s="4">
        <v>377.66800000000001</v>
      </c>
      <c r="AS46" s="4">
        <v>391.99299999999999</v>
      </c>
      <c r="AT46" s="4"/>
      <c r="AU46" s="4"/>
      <c r="AV46" s="4"/>
      <c r="AW46" s="4"/>
      <c r="AX46" s="4"/>
    </row>
    <row r="47" spans="2:50" s="2" customFormat="1" x14ac:dyDescent="0.2">
      <c r="B47" s="2" t="s">
        <v>92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>
        <v>226.624</v>
      </c>
      <c r="AR47" s="4">
        <v>205.67400000000001</v>
      </c>
      <c r="AS47" s="4">
        <v>207.07900000000001</v>
      </c>
      <c r="AT47" s="4"/>
      <c r="AU47" s="4"/>
      <c r="AV47" s="4"/>
      <c r="AW47" s="4"/>
      <c r="AX47" s="4"/>
    </row>
    <row r="48" spans="2:50" s="2" customFormat="1" x14ac:dyDescent="0.2">
      <c r="B48" s="2" t="s">
        <v>93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>
        <f t="shared" ref="AQ48:AR48" si="122">+AQ46-AQ47</f>
        <v>68.020999999999987</v>
      </c>
      <c r="AR48" s="4">
        <f t="shared" si="122"/>
        <v>171.994</v>
      </c>
      <c r="AS48" s="4">
        <f>+AS46-AS47</f>
        <v>184.91399999999999</v>
      </c>
      <c r="AT48" s="4"/>
      <c r="AU48" s="4"/>
      <c r="AV48" s="4"/>
      <c r="AW48" s="4"/>
      <c r="AX48" s="4"/>
    </row>
  </sheetData>
  <hyperlinks>
    <hyperlink ref="A1" location="Main!A1" display="Main" xr:uid="{89582847-CFC0-4EB3-BE68-1D0CCC72304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2024-08-28T21:02:45Z</dcterms:created>
  <dcterms:modified xsi:type="dcterms:W3CDTF">2025-02-02T19:59:46Z</dcterms:modified>
</cp:coreProperties>
</file>