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0CD5828D-F306-476F-91B9-5FCE178A4183}" xr6:coauthVersionLast="47" xr6:coauthVersionMax="47" xr10:uidLastSave="{00000000-0000-0000-0000-000000000000}"/>
  <bookViews>
    <workbookView xWindow="54480" yWindow="4500" windowWidth="19630" windowHeight="12080" xr2:uid="{EF934A97-5824-4A35-A0B8-28C522A023D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2" l="1"/>
  <c r="H42" i="2"/>
  <c r="G44" i="2"/>
  <c r="G43" i="2"/>
  <c r="G42" i="2"/>
  <c r="K43" i="2"/>
  <c r="K42" i="2"/>
  <c r="I19" i="2"/>
  <c r="J19" i="2"/>
  <c r="K19" i="2"/>
  <c r="G7" i="2"/>
  <c r="G11" i="2" s="1"/>
  <c r="G13" i="2" s="1"/>
  <c r="G15" i="2" s="1"/>
  <c r="G16" i="2" s="1"/>
  <c r="K7" i="2"/>
  <c r="K11" i="2" s="1"/>
  <c r="K13" i="2" s="1"/>
  <c r="K15" i="2" s="1"/>
  <c r="K16" i="2" s="1"/>
  <c r="F43" i="2"/>
  <c r="F42" i="2"/>
  <c r="J43" i="2"/>
  <c r="J42" i="2"/>
  <c r="F7" i="2"/>
  <c r="J7" i="2"/>
  <c r="E44" i="2"/>
  <c r="I44" i="2"/>
  <c r="I10" i="2"/>
  <c r="H10" i="2"/>
  <c r="H11" i="2" s="1"/>
  <c r="H13" i="2" s="1"/>
  <c r="H15" i="2" s="1"/>
  <c r="E10" i="2"/>
  <c r="I7" i="2"/>
  <c r="I11" i="2" s="1"/>
  <c r="I13" i="2" s="1"/>
  <c r="I15" i="2" s="1"/>
  <c r="I16" i="2" s="1"/>
  <c r="E7" i="2"/>
  <c r="E11" i="2" s="1"/>
  <c r="E13" i="2" s="1"/>
  <c r="E15" i="2" s="1"/>
  <c r="E16" i="2" s="1"/>
  <c r="M7" i="1"/>
  <c r="M4" i="1"/>
  <c r="P44" i="2"/>
  <c r="O44" i="2"/>
  <c r="Q44" i="2"/>
  <c r="O10" i="2"/>
  <c r="Q10" i="2"/>
  <c r="P10" i="2"/>
  <c r="O7" i="2"/>
  <c r="Q33" i="2"/>
  <c r="Q34" i="2"/>
  <c r="Q30" i="2"/>
  <c r="P7" i="2"/>
  <c r="Q7" i="2"/>
  <c r="N2" i="2"/>
  <c r="O2" i="2" s="1"/>
  <c r="P2" i="2" s="1"/>
  <c r="Q2" i="2" s="1"/>
  <c r="R2" i="2" s="1"/>
  <c r="F44" i="2" l="1"/>
  <c r="K44" i="2"/>
  <c r="J44" i="2"/>
  <c r="F11" i="2"/>
  <c r="F13" i="2" s="1"/>
  <c r="F15" i="2" s="1"/>
  <c r="F16" i="2" s="1"/>
  <c r="J11" i="2"/>
  <c r="J13" i="2" s="1"/>
  <c r="J15" i="2" s="1"/>
  <c r="J16" i="2" s="1"/>
  <c r="Q40" i="2"/>
  <c r="O11" i="2"/>
  <c r="O13" i="2" s="1"/>
  <c r="O15" i="2" s="1"/>
  <c r="Q11" i="2"/>
  <c r="Q13" i="2" s="1"/>
  <c r="Q15" i="2" s="1"/>
  <c r="P11" i="2"/>
  <c r="P13" i="2" s="1"/>
  <c r="P15" i="2" s="1"/>
</calcChain>
</file>

<file path=xl/sharedStrings.xml><?xml version="1.0" encoding="utf-8"?>
<sst xmlns="http://schemas.openxmlformats.org/spreadsheetml/2006/main" count="57" uniqueCount="48">
  <si>
    <t>Main</t>
  </si>
  <si>
    <t>Revenue</t>
  </si>
  <si>
    <t>Operating Income</t>
  </si>
  <si>
    <t>Operating Expenses</t>
  </si>
  <si>
    <t>COGS</t>
  </si>
  <si>
    <t>Gross Profit</t>
  </si>
  <si>
    <t>R&amp;D</t>
  </si>
  <si>
    <t>SG&amp;A</t>
  </si>
  <si>
    <t>Interest Expense</t>
  </si>
  <si>
    <t>Pretax Income</t>
  </si>
  <si>
    <t>Taxes</t>
  </si>
  <si>
    <t>Net Income</t>
  </si>
  <si>
    <t>Enterprise</t>
  </si>
  <si>
    <t>Service Provider</t>
  </si>
  <si>
    <t>Assets</t>
  </si>
  <si>
    <t>OLTA</t>
  </si>
  <si>
    <t>DTA</t>
  </si>
  <si>
    <t>Lease</t>
  </si>
  <si>
    <t>PP&amp;E</t>
  </si>
  <si>
    <t>Prepaids</t>
  </si>
  <si>
    <t>Vendor</t>
  </si>
  <si>
    <t>Inventories</t>
  </si>
  <si>
    <t>AR</t>
  </si>
  <si>
    <t>Cash</t>
  </si>
  <si>
    <t>L+SE</t>
  </si>
  <si>
    <t>SE</t>
  </si>
  <si>
    <t>AP</t>
  </si>
  <si>
    <t>Debt</t>
  </si>
  <si>
    <t>OCL</t>
  </si>
  <si>
    <t>OLTL</t>
  </si>
  <si>
    <t>CFFO</t>
  </si>
  <si>
    <t>CX</t>
  </si>
  <si>
    <t>Price</t>
  </si>
  <si>
    <t>Shares</t>
  </si>
  <si>
    <t>MC</t>
  </si>
  <si>
    <t>EV</t>
  </si>
  <si>
    <t>FCF</t>
  </si>
  <si>
    <t>Q224</t>
  </si>
  <si>
    <t>Q124</t>
  </si>
  <si>
    <t>Q324</t>
  </si>
  <si>
    <t>Q424</t>
  </si>
  <si>
    <t>Q123</t>
  </si>
  <si>
    <t>Q223</t>
  </si>
  <si>
    <t>Q323</t>
  </si>
  <si>
    <t>Q423</t>
  </si>
  <si>
    <t>EPS</t>
  </si>
  <si>
    <t>Q125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</si>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</sst>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F842-9C9D-488A-B59A-780CD18E43D6}">
  <dimension ref="L2:N7"/>
  <sheetViews>
    <sheetView tabSelected="1" workbookViewId="0">
      <selection activeCell="M7" sqref="M7"/>
    </sheetView>
  </sheetViews>
  <sheetFormatPr defaultRowHeight="12.5" x14ac:dyDescent="0.25"/>
  <cols>
    <col min="1" max="16384" width="8.7265625" style="1"/>
  </cols>
  <sheetData>
    <row r="2" spans="12:14" x14ac:dyDescent="0.25">
      <c r="L2" s="1" t="s">
        <v>32</v>
      </c>
      <c r="M2" s="4">
        <v>455.1</v>
      </c>
    </row>
    <row r="3" spans="12:14" x14ac:dyDescent="0.25">
      <c r="L3" s="1" t="s">
        <v>33</v>
      </c>
      <c r="M3" s="3">
        <v>60.469583</v>
      </c>
      <c r="N3" s="5" t="s">
        <v>37</v>
      </c>
    </row>
    <row r="4" spans="12:14" x14ac:dyDescent="0.25">
      <c r="L4" s="1" t="s">
        <v>34</v>
      </c>
      <c r="M4" s="3">
        <f>+M2*M3</f>
        <v>27519.7072233</v>
      </c>
    </row>
    <row r="5" spans="12:14" x14ac:dyDescent="0.25">
      <c r="L5" s="1" t="s">
        <v>23</v>
      </c>
      <c r="M5" s="3">
        <v>126</v>
      </c>
      <c r="N5" s="5" t="s">
        <v>37</v>
      </c>
    </row>
    <row r="6" spans="12:14" x14ac:dyDescent="0.25">
      <c r="L6" s="1" t="s">
        <v>27</v>
      </c>
      <c r="M6" s="3">
        <v>706</v>
      </c>
      <c r="N6" s="5" t="s">
        <v>37</v>
      </c>
    </row>
    <row r="7" spans="12:14" x14ac:dyDescent="0.25">
      <c r="L7" s="1" t="s">
        <v>35</v>
      </c>
      <c r="M7" s="3">
        <f>+M4-M5+M6</f>
        <v>28099.7072233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79D7-9C3B-4176-87DF-C9FAC8A60FFD}">
  <dimension ref="A1:R44"/>
  <sheetViews>
    <sheetView zoomScale="145" zoomScaleNormal="145" workbookViewId="0">
      <pane xSplit="2" ySplit="2" topLeftCell="E38" activePane="bottomRight" state="frozen"/>
      <selection pane="topRight" activeCell="C1" sqref="C1"/>
      <selection pane="bottomLeft" activeCell="A3" sqref="A3"/>
      <selection pane="bottomRight" activeCell="H43" sqref="H43"/>
    </sheetView>
  </sheetViews>
  <sheetFormatPr defaultRowHeight="12.5" x14ac:dyDescent="0.25"/>
  <cols>
    <col min="1" max="1" width="4.7265625" style="1" bestFit="1" customWidth="1"/>
    <col min="2" max="2" width="17" style="1" bestFit="1" customWidth="1"/>
    <col min="3" max="11" width="8.7265625" style="5"/>
    <col min="12" max="16384" width="8.7265625" style="1"/>
  </cols>
  <sheetData>
    <row r="1" spans="1:18" x14ac:dyDescent="0.25">
      <c r="A1" s="1" t="s">
        <v>0</v>
      </c>
    </row>
    <row r="2" spans="1:18" x14ac:dyDescent="0.25">
      <c r="C2" s="5" t="s">
        <v>41</v>
      </c>
      <c r="D2" s="5" t="s">
        <v>42</v>
      </c>
      <c r="E2" s="5" t="s">
        <v>43</v>
      </c>
      <c r="F2" s="5" t="s">
        <v>44</v>
      </c>
      <c r="G2" s="5" t="s">
        <v>38</v>
      </c>
      <c r="H2" s="5" t="s">
        <v>37</v>
      </c>
      <c r="I2" s="5" t="s">
        <v>39</v>
      </c>
      <c r="J2" s="5" t="s">
        <v>40</v>
      </c>
      <c r="K2" s="5" t="s">
        <v>46</v>
      </c>
      <c r="M2" s="1">
        <v>2020</v>
      </c>
      <c r="N2" s="1">
        <f>+M2+1</f>
        <v>2021</v>
      </c>
      <c r="O2" s="1">
        <f>+N2+1</f>
        <v>2022</v>
      </c>
      <c r="P2" s="1">
        <f>+O2+1</f>
        <v>2023</v>
      </c>
      <c r="Q2" s="1">
        <f>+P2+1</f>
        <v>2024</v>
      </c>
      <c r="R2" s="1">
        <f>+Q2+1</f>
        <v>2025</v>
      </c>
    </row>
    <row r="3" spans="1:18" s="3" customFormat="1" x14ac:dyDescent="0.25">
      <c r="B3" s="3" t="s">
        <v>12</v>
      </c>
      <c r="C3" s="6"/>
      <c r="D3" s="6"/>
      <c r="E3" s="6"/>
      <c r="F3" s="6"/>
      <c r="G3" s="6"/>
      <c r="H3" s="6"/>
      <c r="I3" s="6"/>
      <c r="J3" s="6"/>
      <c r="K3" s="6"/>
      <c r="P3" s="3">
        <v>1621.4259999999999</v>
      </c>
      <c r="Q3" s="3">
        <v>1617.665</v>
      </c>
    </row>
    <row r="4" spans="1:18" s="3" customFormat="1" x14ac:dyDescent="0.25">
      <c r="B4" s="3" t="s">
        <v>13</v>
      </c>
      <c r="C4" s="6"/>
      <c r="D4" s="6"/>
      <c r="E4" s="6"/>
      <c r="F4" s="6"/>
      <c r="G4" s="6"/>
      <c r="H4" s="6"/>
      <c r="I4" s="6"/>
      <c r="J4" s="6"/>
      <c r="K4" s="6"/>
      <c r="P4" s="3">
        <v>319.08600000000001</v>
      </c>
      <c r="Q4" s="3">
        <v>310.82499999999999</v>
      </c>
    </row>
    <row r="5" spans="1:18" s="2" customFormat="1" ht="13" x14ac:dyDescent="0.3">
      <c r="B5" s="2" t="s">
        <v>1</v>
      </c>
      <c r="C5" s="7"/>
      <c r="D5" s="7"/>
      <c r="E5" s="7">
        <v>463.07799999999997</v>
      </c>
      <c r="F5" s="7">
        <v>464.95400000000001</v>
      </c>
      <c r="G5" s="7">
        <v>492.99700000000001</v>
      </c>
      <c r="H5" s="7"/>
      <c r="I5" s="7">
        <v>550.34400000000005</v>
      </c>
      <c r="J5" s="7">
        <v>599.87900000000002</v>
      </c>
      <c r="K5" s="7">
        <v>664.17</v>
      </c>
      <c r="O5" s="2">
        <v>1691.692</v>
      </c>
      <c r="P5" s="2">
        <v>1940.5119999999999</v>
      </c>
      <c r="Q5" s="2">
        <v>1928.49</v>
      </c>
    </row>
    <row r="6" spans="1:18" s="3" customFormat="1" x14ac:dyDescent="0.25">
      <c r="B6" s="3" t="s">
        <v>4</v>
      </c>
      <c r="C6" s="6"/>
      <c r="D6" s="6"/>
      <c r="E6" s="6">
        <v>279.20299999999997</v>
      </c>
      <c r="F6" s="6">
        <v>287.30700000000002</v>
      </c>
      <c r="G6" s="6">
        <v>318.89699999999999</v>
      </c>
      <c r="H6" s="6"/>
      <c r="I6" s="6">
        <v>318.726</v>
      </c>
      <c r="J6" s="6">
        <v>352.649</v>
      </c>
      <c r="K6" s="6">
        <v>368.29599999999999</v>
      </c>
      <c r="O6" s="3">
        <v>1021.88</v>
      </c>
      <c r="P6" s="3">
        <v>1179.7809999999999</v>
      </c>
      <c r="Q6" s="3">
        <v>1188.7280000000001</v>
      </c>
    </row>
    <row r="7" spans="1:18" s="3" customFormat="1" x14ac:dyDescent="0.25">
      <c r="B7" s="3" t="s">
        <v>5</v>
      </c>
      <c r="C7" s="6"/>
      <c r="D7" s="6"/>
      <c r="E7" s="6">
        <f>+E5-E6</f>
        <v>183.875</v>
      </c>
      <c r="F7" s="6">
        <f>+F5-F6</f>
        <v>177.64699999999999</v>
      </c>
      <c r="G7" s="6">
        <f>+G5-G6</f>
        <v>174.10000000000002</v>
      </c>
      <c r="H7" s="6"/>
      <c r="I7" s="6">
        <f>+I5-I6</f>
        <v>231.61800000000005</v>
      </c>
      <c r="J7" s="6">
        <f>+J5-J6</f>
        <v>247.23000000000002</v>
      </c>
      <c r="K7" s="6">
        <f>+K5-K6</f>
        <v>295.87399999999997</v>
      </c>
      <c r="O7" s="3">
        <f>+O5-O6</f>
        <v>669.81200000000001</v>
      </c>
      <c r="P7" s="3">
        <f>+P5-P6</f>
        <v>760.73099999999999</v>
      </c>
      <c r="Q7" s="3">
        <f>+Q5-Q6</f>
        <v>739.76199999999994</v>
      </c>
    </row>
    <row r="8" spans="1:18" s="3" customFormat="1" x14ac:dyDescent="0.25">
      <c r="B8" s="3" t="s">
        <v>6</v>
      </c>
      <c r="C8" s="6"/>
      <c r="D8" s="6"/>
      <c r="E8" s="6">
        <v>36.283000000000001</v>
      </c>
      <c r="F8" s="6">
        <v>36.911000000000001</v>
      </c>
      <c r="G8" s="6">
        <v>42.497999999999998</v>
      </c>
      <c r="H8" s="6"/>
      <c r="I8" s="6">
        <v>37.997</v>
      </c>
      <c r="J8" s="6">
        <v>39.957999999999998</v>
      </c>
      <c r="K8" s="6">
        <v>44.262</v>
      </c>
      <c r="O8" s="3">
        <v>137.68899999999999</v>
      </c>
      <c r="P8" s="3">
        <v>145.172</v>
      </c>
      <c r="Q8" s="3">
        <v>159.768</v>
      </c>
    </row>
    <row r="9" spans="1:18" s="3" customFormat="1" x14ac:dyDescent="0.25">
      <c r="B9" s="3" t="s">
        <v>7</v>
      </c>
      <c r="C9" s="6"/>
      <c r="D9" s="6"/>
      <c r="E9" s="6">
        <v>19.29</v>
      </c>
      <c r="F9" s="6">
        <v>19.634</v>
      </c>
      <c r="G9" s="6">
        <v>20.379000000000001</v>
      </c>
      <c r="H9" s="6"/>
      <c r="I9" s="6">
        <v>24.414999999999999</v>
      </c>
      <c r="J9" s="6">
        <v>28.46</v>
      </c>
      <c r="K9" s="6">
        <v>24.751000000000001</v>
      </c>
      <c r="O9" s="3">
        <v>69.858999999999995</v>
      </c>
      <c r="P9" s="3">
        <v>70.992999999999995</v>
      </c>
      <c r="Q9" s="3">
        <v>80.997</v>
      </c>
    </row>
    <row r="10" spans="1:18" s="3" customFormat="1" x14ac:dyDescent="0.25">
      <c r="B10" s="3" t="s">
        <v>3</v>
      </c>
      <c r="C10" s="6"/>
      <c r="D10" s="6"/>
      <c r="E10" s="6">
        <f>+E8+E9</f>
        <v>55.573</v>
      </c>
      <c r="F10" s="6">
        <v>56.545000000000002</v>
      </c>
      <c r="G10" s="6">
        <v>62.877000000000002</v>
      </c>
      <c r="H10" s="6">
        <f t="shared" ref="H10:I10" si="0">+H8+H9</f>
        <v>0</v>
      </c>
      <c r="I10" s="6">
        <f t="shared" si="0"/>
        <v>62.411999999999999</v>
      </c>
      <c r="J10" s="6">
        <v>68.418000000000006</v>
      </c>
      <c r="K10" s="6">
        <v>69.013000000000005</v>
      </c>
      <c r="O10" s="3">
        <f>+O9+O8</f>
        <v>207.548</v>
      </c>
      <c r="P10" s="3">
        <f>+P9+P8</f>
        <v>216.16499999999999</v>
      </c>
      <c r="Q10" s="3">
        <f>+Q9+Q8</f>
        <v>240.76499999999999</v>
      </c>
    </row>
    <row r="11" spans="1:18" s="3" customFormat="1" x14ac:dyDescent="0.25">
      <c r="B11" s="3" t="s">
        <v>2</v>
      </c>
      <c r="C11" s="6"/>
      <c r="D11" s="6"/>
      <c r="E11" s="6">
        <f>+E7-E10</f>
        <v>128.30199999999999</v>
      </c>
      <c r="F11" s="6">
        <f>+F7-F10</f>
        <v>121.10199999999999</v>
      </c>
      <c r="G11" s="6">
        <f>+G7-G10</f>
        <v>111.22300000000001</v>
      </c>
      <c r="H11" s="6">
        <f t="shared" ref="H11:K11" si="1">+H7-H10</f>
        <v>0</v>
      </c>
      <c r="I11" s="6">
        <f t="shared" si="1"/>
        <v>169.20600000000005</v>
      </c>
      <c r="J11" s="6">
        <f t="shared" si="1"/>
        <v>178.81200000000001</v>
      </c>
      <c r="K11" s="6">
        <f t="shared" si="1"/>
        <v>226.86099999999996</v>
      </c>
      <c r="O11" s="3">
        <f>+O7-O10</f>
        <v>462.26400000000001</v>
      </c>
      <c r="P11" s="3">
        <f>+P7-P10</f>
        <v>544.56600000000003</v>
      </c>
      <c r="Q11" s="3">
        <f>+Q7-Q10</f>
        <v>498.99699999999996</v>
      </c>
    </row>
    <row r="12" spans="1:18" s="3" customFormat="1" x14ac:dyDescent="0.25">
      <c r="B12" s="3" t="s">
        <v>8</v>
      </c>
      <c r="C12" s="6"/>
      <c r="D12" s="6"/>
      <c r="E12" s="6">
        <v>-21.224</v>
      </c>
      <c r="F12" s="6">
        <v>-18.262</v>
      </c>
      <c r="G12" s="6">
        <v>-18.87</v>
      </c>
      <c r="H12" s="6"/>
      <c r="I12" s="6">
        <v>-10.577999999999999</v>
      </c>
      <c r="J12" s="6">
        <v>-11.44</v>
      </c>
      <c r="K12" s="6">
        <v>-5.42</v>
      </c>
      <c r="O12" s="3">
        <v>-17.815000000000001</v>
      </c>
      <c r="P12" s="3">
        <v>-58.223999999999997</v>
      </c>
      <c r="Q12" s="3">
        <v>-75.168999999999997</v>
      </c>
    </row>
    <row r="13" spans="1:18" s="3" customFormat="1" x14ac:dyDescent="0.25">
      <c r="B13" s="3" t="s">
        <v>9</v>
      </c>
      <c r="C13" s="6"/>
      <c r="D13" s="6"/>
      <c r="E13" s="6">
        <f t="shared" ref="E13:H13" si="2">+E11+E12</f>
        <v>107.07799999999999</v>
      </c>
      <c r="F13" s="6">
        <f t="shared" si="2"/>
        <v>102.83999999999999</v>
      </c>
      <c r="G13" s="6">
        <f t="shared" si="2"/>
        <v>92.353000000000009</v>
      </c>
      <c r="H13" s="6">
        <f t="shared" si="2"/>
        <v>0</v>
      </c>
      <c r="I13" s="6">
        <f>+I11+I12</f>
        <v>158.62800000000004</v>
      </c>
      <c r="J13" s="6">
        <f>+J11+J12</f>
        <v>167.37200000000001</v>
      </c>
      <c r="K13" s="6">
        <f>+K11+K12</f>
        <v>221.44099999999997</v>
      </c>
      <c r="O13" s="3">
        <f>+O11+O12</f>
        <v>444.44900000000001</v>
      </c>
      <c r="P13" s="3">
        <f>+P11+P12</f>
        <v>486.34200000000004</v>
      </c>
      <c r="Q13" s="3">
        <f>+Q11+Q12</f>
        <v>423.82799999999997</v>
      </c>
    </row>
    <row r="14" spans="1:18" s="3" customFormat="1" x14ac:dyDescent="0.25">
      <c r="B14" s="3" t="s">
        <v>10</v>
      </c>
      <c r="C14" s="6"/>
      <c r="D14" s="6"/>
      <c r="E14" s="6">
        <v>19.327999999999999</v>
      </c>
      <c r="F14" s="6">
        <v>20.724</v>
      </c>
      <c r="G14" s="6">
        <v>16.062999999999999</v>
      </c>
      <c r="H14" s="6"/>
      <c r="I14" s="6">
        <v>30.64</v>
      </c>
      <c r="J14" s="6">
        <v>30.577000000000002</v>
      </c>
      <c r="K14" s="6">
        <v>41.006</v>
      </c>
      <c r="O14" s="3">
        <v>65.792000000000002</v>
      </c>
      <c r="P14" s="3">
        <v>78.700999999999993</v>
      </c>
      <c r="Q14" s="3">
        <v>73.867999999999995</v>
      </c>
    </row>
    <row r="15" spans="1:18" s="3" customFormat="1" x14ac:dyDescent="0.25">
      <c r="B15" s="3" t="s">
        <v>11</v>
      </c>
      <c r="C15" s="6"/>
      <c r="D15" s="6"/>
      <c r="E15" s="6">
        <f>+E13-E14</f>
        <v>87.749999999999986</v>
      </c>
      <c r="F15" s="6">
        <f>+F13-F14</f>
        <v>82.115999999999985</v>
      </c>
      <c r="G15" s="6">
        <f>+G13-G14</f>
        <v>76.290000000000006</v>
      </c>
      <c r="H15" s="6">
        <f t="shared" ref="H15:K15" si="3">+H13-H14</f>
        <v>0</v>
      </c>
      <c r="I15" s="6">
        <f t="shared" si="3"/>
        <v>127.98800000000004</v>
      </c>
      <c r="J15" s="6">
        <f t="shared" si="3"/>
        <v>136.79500000000002</v>
      </c>
      <c r="K15" s="6">
        <f t="shared" si="3"/>
        <v>180.43499999999997</v>
      </c>
      <c r="O15" s="3">
        <f>+O13-O14</f>
        <v>378.65700000000004</v>
      </c>
      <c r="P15" s="3">
        <f>+P13-P14</f>
        <v>407.64100000000008</v>
      </c>
      <c r="Q15" s="3">
        <f>+Q13-Q14</f>
        <v>349.96</v>
      </c>
    </row>
    <row r="16" spans="1:18" x14ac:dyDescent="0.25">
      <c r="B16" s="1" t="s">
        <v>45</v>
      </c>
      <c r="E16" s="8">
        <f>+E15/E17</f>
        <v>1.4515888901755138</v>
      </c>
      <c r="F16" s="8">
        <f>+F15/F17</f>
        <v>1.3583894393806553</v>
      </c>
      <c r="G16" s="8">
        <f>+G15/G17</f>
        <v>1.2617633924879679</v>
      </c>
      <c r="I16" s="8">
        <f>+I15/I17</f>
        <v>2.115713955102986</v>
      </c>
      <c r="J16" s="8">
        <f>+J15/J17</f>
        <v>2.2600657557784132</v>
      </c>
      <c r="K16" s="8">
        <f>+K15/K17</f>
        <v>2.9801800313816162</v>
      </c>
    </row>
    <row r="17" spans="2:17" s="3" customFormat="1" x14ac:dyDescent="0.25">
      <c r="B17" s="3" t="s">
        <v>33</v>
      </c>
      <c r="C17" s="6"/>
      <c r="D17" s="6"/>
      <c r="E17" s="6">
        <v>60.451000000000001</v>
      </c>
      <c r="F17" s="6">
        <v>60.451000000000001</v>
      </c>
      <c r="G17" s="6">
        <v>60.463000000000001</v>
      </c>
      <c r="H17" s="6"/>
      <c r="I17" s="6">
        <v>60.494</v>
      </c>
      <c r="J17" s="6">
        <v>60.527000000000001</v>
      </c>
      <c r="K17" s="6">
        <v>60.545000000000002</v>
      </c>
    </row>
    <row r="19" spans="2:17" x14ac:dyDescent="0.25">
      <c r="B19" s="1" t="s">
        <v>47</v>
      </c>
      <c r="I19" s="9">
        <f>+I5/E5-1</f>
        <v>0.18844773450692998</v>
      </c>
      <c r="J19" s="9">
        <f>+J5/F5-1</f>
        <v>0.29018999729005457</v>
      </c>
      <c r="K19" s="9">
        <f>+K5/G5-1</f>
        <v>0.34720900938545252</v>
      </c>
    </row>
    <row r="21" spans="2:17" s="3" customFormat="1" x14ac:dyDescent="0.25">
      <c r="B21" s="3" t="s">
        <v>23</v>
      </c>
      <c r="C21" s="6"/>
      <c r="D21" s="6"/>
      <c r="E21" s="6"/>
      <c r="F21" s="6"/>
      <c r="G21" s="6"/>
      <c r="H21" s="6"/>
      <c r="I21" s="6"/>
      <c r="J21" s="6"/>
      <c r="K21" s="6"/>
      <c r="Q21" s="3">
        <v>126.342</v>
      </c>
    </row>
    <row r="22" spans="2:17" s="3" customFormat="1" x14ac:dyDescent="0.25">
      <c r="B22" s="3" t="s">
        <v>22</v>
      </c>
      <c r="C22" s="6"/>
      <c r="D22" s="6"/>
      <c r="E22" s="6"/>
      <c r="F22" s="6"/>
      <c r="G22" s="6"/>
      <c r="H22" s="6"/>
      <c r="I22" s="6"/>
      <c r="J22" s="6"/>
      <c r="K22" s="6"/>
      <c r="Q22" s="3">
        <v>169.14699999999999</v>
      </c>
    </row>
    <row r="23" spans="2:17" s="3" customFormat="1" x14ac:dyDescent="0.25">
      <c r="B23" s="3" t="s">
        <v>21</v>
      </c>
      <c r="C23" s="6"/>
      <c r="D23" s="6"/>
      <c r="E23" s="6"/>
      <c r="F23" s="6"/>
      <c r="G23" s="6"/>
      <c r="H23" s="6"/>
      <c r="I23" s="6"/>
      <c r="J23" s="6"/>
      <c r="K23" s="6"/>
      <c r="Q23" s="3">
        <v>462.03199999999998</v>
      </c>
    </row>
    <row r="24" spans="2:17" s="3" customFormat="1" x14ac:dyDescent="0.25">
      <c r="B24" s="3" t="s">
        <v>20</v>
      </c>
      <c r="C24" s="6"/>
      <c r="D24" s="6"/>
      <c r="E24" s="6"/>
      <c r="F24" s="6"/>
      <c r="G24" s="6"/>
      <c r="H24" s="6"/>
      <c r="I24" s="6"/>
      <c r="J24" s="6"/>
      <c r="K24" s="6"/>
      <c r="Q24" s="3">
        <v>123.461</v>
      </c>
    </row>
    <row r="25" spans="2:17" s="3" customFormat="1" x14ac:dyDescent="0.25">
      <c r="B25" s="3" t="s">
        <v>19</v>
      </c>
      <c r="C25" s="6"/>
      <c r="D25" s="6"/>
      <c r="E25" s="6"/>
      <c r="F25" s="6"/>
      <c r="G25" s="6"/>
      <c r="H25" s="6"/>
      <c r="I25" s="6"/>
      <c r="J25" s="6"/>
      <c r="K25" s="6"/>
      <c r="Q25" s="3">
        <v>35.030999999999999</v>
      </c>
    </row>
    <row r="26" spans="2:17" s="3" customFormat="1" x14ac:dyDescent="0.25">
      <c r="B26" s="3" t="s">
        <v>18</v>
      </c>
      <c r="C26" s="6"/>
      <c r="D26" s="6"/>
      <c r="E26" s="6"/>
      <c r="F26" s="6"/>
      <c r="G26" s="6"/>
      <c r="H26" s="6"/>
      <c r="I26" s="6"/>
      <c r="J26" s="6"/>
      <c r="K26" s="6"/>
      <c r="Q26" s="3">
        <v>81.126000000000005</v>
      </c>
    </row>
    <row r="27" spans="2:17" s="3" customFormat="1" x14ac:dyDescent="0.25">
      <c r="B27" s="3" t="s">
        <v>17</v>
      </c>
      <c r="C27" s="6"/>
      <c r="D27" s="6"/>
      <c r="E27" s="6"/>
      <c r="F27" s="6"/>
      <c r="G27" s="6"/>
      <c r="H27" s="6"/>
      <c r="I27" s="6"/>
      <c r="J27" s="6"/>
      <c r="K27" s="6"/>
      <c r="Q27" s="3">
        <v>47.768000000000001</v>
      </c>
    </row>
    <row r="28" spans="2:17" s="3" customFormat="1" x14ac:dyDescent="0.25">
      <c r="B28" s="3" t="s">
        <v>16</v>
      </c>
      <c r="C28" s="6"/>
      <c r="D28" s="6"/>
      <c r="E28" s="6"/>
      <c r="F28" s="6"/>
      <c r="G28" s="6"/>
      <c r="H28" s="6"/>
      <c r="I28" s="6"/>
      <c r="J28" s="6"/>
      <c r="K28" s="6"/>
      <c r="Q28" s="3">
        <v>35.933999999999997</v>
      </c>
    </row>
    <row r="29" spans="2:17" s="3" customFormat="1" x14ac:dyDescent="0.25">
      <c r="B29" s="3" t="s">
        <v>15</v>
      </c>
      <c r="C29" s="6"/>
      <c r="D29" s="6"/>
      <c r="E29" s="6"/>
      <c r="F29" s="6"/>
      <c r="G29" s="6"/>
      <c r="H29" s="6"/>
      <c r="I29" s="6"/>
      <c r="J29" s="6"/>
      <c r="K29" s="6"/>
      <c r="Q29" s="3">
        <v>73.570999999999998</v>
      </c>
    </row>
    <row r="30" spans="2:17" s="3" customFormat="1" x14ac:dyDescent="0.25">
      <c r="B30" s="3" t="s">
        <v>14</v>
      </c>
      <c r="C30" s="6"/>
      <c r="D30" s="6"/>
      <c r="E30" s="6"/>
      <c r="F30" s="6"/>
      <c r="G30" s="6"/>
      <c r="H30" s="6"/>
      <c r="I30" s="6"/>
      <c r="J30" s="6"/>
      <c r="K30" s="6"/>
      <c r="Q30" s="3">
        <f>SUM(Q21:Q29)</f>
        <v>1154.4119999999998</v>
      </c>
    </row>
    <row r="32" spans="2:17" s="3" customFormat="1" x14ac:dyDescent="0.25">
      <c r="B32" s="3" t="s">
        <v>26</v>
      </c>
      <c r="C32" s="6"/>
      <c r="D32" s="6"/>
      <c r="E32" s="6"/>
      <c r="F32" s="6"/>
      <c r="G32" s="6"/>
      <c r="H32" s="6"/>
      <c r="I32" s="6"/>
      <c r="J32" s="6"/>
      <c r="K32" s="6"/>
      <c r="Q32" s="3">
        <v>51.094999999999999</v>
      </c>
    </row>
    <row r="33" spans="2:17" s="3" customFormat="1" x14ac:dyDescent="0.25">
      <c r="B33" s="3" t="s">
        <v>10</v>
      </c>
      <c r="C33" s="6"/>
      <c r="D33" s="6"/>
      <c r="E33" s="6"/>
      <c r="F33" s="6"/>
      <c r="G33" s="6"/>
      <c r="H33" s="6"/>
      <c r="I33" s="6"/>
      <c r="J33" s="6"/>
      <c r="K33" s="6"/>
      <c r="Q33" s="3">
        <f>23.475+53.599</f>
        <v>77.073999999999998</v>
      </c>
    </row>
    <row r="34" spans="2:17" s="3" customFormat="1" x14ac:dyDescent="0.25">
      <c r="B34" s="3" t="s">
        <v>27</v>
      </c>
      <c r="C34" s="6"/>
      <c r="D34" s="6"/>
      <c r="E34" s="6"/>
      <c r="F34" s="6"/>
      <c r="G34" s="6"/>
      <c r="H34" s="6"/>
      <c r="I34" s="6"/>
      <c r="J34" s="6"/>
      <c r="K34" s="6"/>
      <c r="Q34" s="3">
        <f>36.508+669.878</f>
        <v>706.38600000000008</v>
      </c>
    </row>
    <row r="35" spans="2:17" s="3" customFormat="1" x14ac:dyDescent="0.25">
      <c r="B35" s="3" t="s">
        <v>28</v>
      </c>
      <c r="C35" s="6"/>
      <c r="D35" s="6"/>
      <c r="E35" s="6"/>
      <c r="F35" s="6"/>
      <c r="G35" s="6"/>
      <c r="H35" s="6"/>
      <c r="I35" s="6"/>
      <c r="J35" s="6"/>
      <c r="K35" s="6"/>
      <c r="Q35" s="3">
        <v>173.71299999999999</v>
      </c>
    </row>
    <row r="36" spans="2:17" s="3" customFormat="1" x14ac:dyDescent="0.25">
      <c r="B36" s="3" t="s">
        <v>17</v>
      </c>
      <c r="C36" s="6"/>
      <c r="D36" s="6"/>
      <c r="E36" s="6"/>
      <c r="F36" s="6"/>
      <c r="G36" s="6"/>
      <c r="H36" s="6"/>
      <c r="I36" s="6"/>
      <c r="J36" s="6"/>
      <c r="K36" s="6"/>
      <c r="Q36" s="3">
        <v>37.176000000000002</v>
      </c>
    </row>
    <row r="37" spans="2:17" s="3" customFormat="1" x14ac:dyDescent="0.25">
      <c r="B37" s="3" t="s">
        <v>10</v>
      </c>
      <c r="C37" s="6"/>
      <c r="D37" s="6"/>
      <c r="E37" s="6"/>
      <c r="F37" s="6"/>
      <c r="G37" s="6"/>
      <c r="H37" s="6"/>
      <c r="I37" s="6"/>
      <c r="J37" s="6"/>
      <c r="K37" s="6"/>
      <c r="Q37" s="3">
        <v>0.49199999999999999</v>
      </c>
    </row>
    <row r="38" spans="2:17" s="3" customFormat="1" x14ac:dyDescent="0.25">
      <c r="B38" s="3" t="s">
        <v>29</v>
      </c>
      <c r="C38" s="6"/>
      <c r="D38" s="6"/>
      <c r="E38" s="6"/>
      <c r="F38" s="6"/>
      <c r="G38" s="6"/>
      <c r="H38" s="6"/>
      <c r="I38" s="6"/>
      <c r="J38" s="6"/>
      <c r="K38" s="6"/>
      <c r="Q38" s="3">
        <v>13.416</v>
      </c>
    </row>
    <row r="39" spans="2:17" s="3" customFormat="1" x14ac:dyDescent="0.25">
      <c r="B39" s="3" t="s">
        <v>25</v>
      </c>
      <c r="C39" s="6"/>
      <c r="D39" s="6"/>
      <c r="E39" s="6"/>
      <c r="F39" s="6"/>
      <c r="G39" s="6"/>
      <c r="H39" s="6"/>
      <c r="I39" s="6"/>
      <c r="J39" s="6"/>
      <c r="K39" s="6"/>
      <c r="Q39" s="3">
        <v>95.06</v>
      </c>
    </row>
    <row r="40" spans="2:17" s="3" customFormat="1" x14ac:dyDescent="0.25">
      <c r="B40" s="3" t="s">
        <v>24</v>
      </c>
      <c r="C40" s="6"/>
      <c r="D40" s="6"/>
      <c r="E40" s="6"/>
      <c r="F40" s="6"/>
      <c r="G40" s="6"/>
      <c r="H40" s="6"/>
      <c r="I40" s="6"/>
      <c r="J40" s="6"/>
      <c r="K40" s="6"/>
      <c r="Q40" s="3">
        <f>SUM(Q32:Q39)</f>
        <v>1154.4119999999998</v>
      </c>
    </row>
    <row r="42" spans="2:17" s="3" customFormat="1" x14ac:dyDescent="0.25">
      <c r="B42" s="3" t="s">
        <v>30</v>
      </c>
      <c r="C42" s="6"/>
      <c r="D42" s="6"/>
      <c r="E42" s="6">
        <v>67.682000000000002</v>
      </c>
      <c r="F42" s="6">
        <f>146.263-E42</f>
        <v>78.581000000000003</v>
      </c>
      <c r="G42" s="6">
        <f>310.115-F42-E42</f>
        <v>163.85199999999998</v>
      </c>
      <c r="H42" s="6">
        <f>+Q42-G42-F42-E42</f>
        <v>231.40099999999995</v>
      </c>
      <c r="I42" s="6">
        <v>233.667</v>
      </c>
      <c r="J42" s="6">
        <f>386.098-I42</f>
        <v>152.43100000000001</v>
      </c>
      <c r="K42" s="6">
        <f>509.671-J42-I42</f>
        <v>123.57300000000001</v>
      </c>
      <c r="O42" s="3">
        <v>370.25900000000001</v>
      </c>
      <c r="P42" s="3">
        <v>-145.428</v>
      </c>
      <c r="Q42" s="3">
        <v>541.51599999999996</v>
      </c>
    </row>
    <row r="43" spans="2:17" s="3" customFormat="1" x14ac:dyDescent="0.25">
      <c r="B43" s="3" t="s">
        <v>31</v>
      </c>
      <c r="C43" s="6"/>
      <c r="D43" s="6"/>
      <c r="E43" s="6">
        <v>3.0249999999999999</v>
      </c>
      <c r="F43" s="6">
        <f>6.877-E43</f>
        <v>3.8519999999999999</v>
      </c>
      <c r="G43" s="6">
        <f>10.109-F43-E43</f>
        <v>3.2319999999999998</v>
      </c>
      <c r="H43" s="6"/>
      <c r="I43" s="6">
        <v>2.6040000000000001</v>
      </c>
      <c r="J43" s="6">
        <f>4.59-I43</f>
        <v>1.9859999999999998</v>
      </c>
      <c r="K43" s="6">
        <f>7.418-J43-I43</f>
        <v>2.8280000000000003</v>
      </c>
      <c r="O43" s="3">
        <v>-13.468</v>
      </c>
      <c r="P43" s="3">
        <v>-20.934000000000001</v>
      </c>
      <c r="Q43" s="3">
        <v>-11.975</v>
      </c>
    </row>
    <row r="44" spans="2:17" x14ac:dyDescent="0.25">
      <c r="B44" s="1" t="s">
        <v>36</v>
      </c>
      <c r="C44" s="6"/>
      <c r="D44" s="6"/>
      <c r="E44" s="6">
        <f>+E42-E43</f>
        <v>64.656999999999996</v>
      </c>
      <c r="F44" s="6">
        <f>+F42-F43</f>
        <v>74.728999999999999</v>
      </c>
      <c r="G44" s="6">
        <f>+G42-G43</f>
        <v>160.61999999999998</v>
      </c>
      <c r="H44" s="6">
        <f>+H42-H43</f>
        <v>231.40099999999995</v>
      </c>
      <c r="I44" s="6">
        <f>+I42-I43</f>
        <v>231.06299999999999</v>
      </c>
      <c r="J44" s="6">
        <f>+J42-J43</f>
        <v>150.44500000000002</v>
      </c>
      <c r="K44" s="6">
        <f>+K42-K43</f>
        <v>120.745</v>
      </c>
      <c r="O44" s="3">
        <f t="shared" ref="O44:P44" si="4">+O42+O43</f>
        <v>356.791</v>
      </c>
      <c r="P44" s="3">
        <f t="shared" si="4"/>
        <v>-166.36199999999999</v>
      </c>
      <c r="Q44" s="3">
        <f>+Q42+Q43</f>
        <v>529.54099999999994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2025-05-13T18:56:24Z</dcterms:created>
  <dcterms:modified xsi:type="dcterms:W3CDTF">2025-05-13T19:20:17Z</dcterms:modified>
</cp:coreProperties>
</file>