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68CB26D-115A-42D6-A42E-78991D91CB0E}" xr6:coauthVersionLast="47" xr6:coauthVersionMax="47" xr10:uidLastSave="{00000000-0000-0000-0000-000000000000}"/>
  <bookViews>
    <workbookView xWindow="5910" yWindow="1245" windowWidth="20760" windowHeight="14145" xr2:uid="{1BAE71EE-DD23-448F-9D7E-B6933F58311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2" l="1"/>
  <c r="N14" i="2"/>
  <c r="O14" i="2" s="1"/>
  <c r="L8" i="2"/>
  <c r="M8" i="2" s="1"/>
  <c r="L7" i="2"/>
  <c r="M7" i="2" s="1"/>
  <c r="L6" i="2"/>
  <c r="M6" i="2" s="1"/>
  <c r="L5" i="2"/>
  <c r="M5" i="2" s="1"/>
  <c r="L4" i="2"/>
  <c r="M4" i="2" s="1"/>
  <c r="M9" i="2" s="1"/>
  <c r="L3" i="2"/>
  <c r="K11" i="2"/>
  <c r="J11" i="2"/>
  <c r="I11" i="2"/>
  <c r="H20" i="2"/>
  <c r="G20" i="2"/>
  <c r="H8" i="2"/>
  <c r="I8" i="2" s="1"/>
  <c r="J8" i="2" s="1"/>
  <c r="K8" i="2" s="1"/>
  <c r="H7" i="2"/>
  <c r="I7" i="2" s="1"/>
  <c r="J7" i="2" s="1"/>
  <c r="K7" i="2" s="1"/>
  <c r="H6" i="2"/>
  <c r="I6" i="2" s="1"/>
  <c r="J6" i="2" s="1"/>
  <c r="K6" i="2" s="1"/>
  <c r="H5" i="2"/>
  <c r="I5" i="2" s="1"/>
  <c r="H4" i="2"/>
  <c r="I4" i="2" s="1"/>
  <c r="J4" i="2" s="1"/>
  <c r="H3" i="2"/>
  <c r="I3" i="2" s="1"/>
  <c r="J3" i="2" s="1"/>
  <c r="K3" i="2" s="1"/>
  <c r="H11" i="2"/>
  <c r="H9" i="2"/>
  <c r="H10" i="2" s="1"/>
  <c r="H12" i="2" s="1"/>
  <c r="H14" i="2" s="1"/>
  <c r="H15" i="2" s="1"/>
  <c r="D11" i="2"/>
  <c r="C11" i="2"/>
  <c r="G18" i="2"/>
  <c r="F18" i="2"/>
  <c r="E18" i="2"/>
  <c r="D18" i="2"/>
  <c r="D9" i="2"/>
  <c r="D10" i="2" s="1"/>
  <c r="D12" i="2" s="1"/>
  <c r="D14" i="2" s="1"/>
  <c r="D15" i="2" s="1"/>
  <c r="C9" i="2"/>
  <c r="C10" i="2" s="1"/>
  <c r="C12" i="2" s="1"/>
  <c r="C14" i="2" s="1"/>
  <c r="C15" i="2" s="1"/>
  <c r="D2" i="2"/>
  <c r="G40" i="2"/>
  <c r="F40" i="2"/>
  <c r="E40" i="2"/>
  <c r="J7" i="1"/>
  <c r="G31" i="2"/>
  <c r="G36" i="2" s="1"/>
  <c r="G21" i="2"/>
  <c r="G28" i="2" s="1"/>
  <c r="E11" i="2"/>
  <c r="F11" i="2"/>
  <c r="E9" i="2"/>
  <c r="E10" i="2" s="1"/>
  <c r="F9" i="2"/>
  <c r="F10" i="2" s="1"/>
  <c r="G11" i="2"/>
  <c r="G9" i="2"/>
  <c r="G10" i="2" s="1"/>
  <c r="G12" i="2" s="1"/>
  <c r="G14" i="2" s="1"/>
  <c r="G15" i="2" s="1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J4" i="1"/>
  <c r="P14" i="2" l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P25" i="2"/>
  <c r="L9" i="2"/>
  <c r="L10" i="2" s="1"/>
  <c r="M3" i="2"/>
  <c r="M10" i="2" s="1"/>
  <c r="F12" i="2"/>
  <c r="F14" i="2" s="1"/>
  <c r="F15" i="2" s="1"/>
  <c r="K4" i="2"/>
  <c r="J5" i="2"/>
  <c r="K5" i="2" s="1"/>
  <c r="I9" i="2"/>
  <c r="I10" i="2" s="1"/>
  <c r="I12" i="2" s="1"/>
  <c r="I14" i="2" s="1"/>
  <c r="E12" i="2"/>
  <c r="E14" i="2" s="1"/>
  <c r="E15" i="2" s="1"/>
  <c r="I15" i="2" l="1"/>
  <c r="I20" i="2"/>
  <c r="J9" i="2"/>
  <c r="J10" i="2" s="1"/>
  <c r="J12" i="2" s="1"/>
  <c r="J14" i="2" s="1"/>
  <c r="J15" i="2" s="1"/>
  <c r="K9" i="2"/>
  <c r="K10" i="2" s="1"/>
  <c r="K12" i="2" s="1"/>
  <c r="K14" i="2" s="1"/>
  <c r="K15" i="2" s="1"/>
  <c r="J20" i="2" l="1"/>
  <c r="K20" i="2" s="1"/>
  <c r="L11" i="2" l="1"/>
  <c r="L12" i="2" s="1"/>
  <c r="L14" i="2" s="1"/>
  <c r="L15" i="2" s="1"/>
  <c r="L20" i="2" l="1"/>
  <c r="M11" i="2" l="1"/>
  <c r="M12" i="2" s="1"/>
  <c r="M14" i="2" s="1"/>
  <c r="M15" i="2" s="1"/>
  <c r="M20" i="2" l="1"/>
</calcChain>
</file>

<file path=xl/sharedStrings.xml><?xml version="1.0" encoding="utf-8"?>
<sst xmlns="http://schemas.openxmlformats.org/spreadsheetml/2006/main" count="56" uniqueCount="49">
  <si>
    <t>Price</t>
  </si>
  <si>
    <t>Shares</t>
  </si>
  <si>
    <t>MC</t>
  </si>
  <si>
    <t>Cash</t>
  </si>
  <si>
    <t>Debt</t>
  </si>
  <si>
    <t>EV</t>
  </si>
  <si>
    <t>23 states in the Western 2/3rds of US.</t>
  </si>
  <si>
    <t>Bulk, Industrial, Premium</t>
  </si>
  <si>
    <t>Founded</t>
  </si>
  <si>
    <t>32,880 route miles</t>
  </si>
  <si>
    <t>Bulk - grain, fertilizer, food, coal, renewables</t>
  </si>
  <si>
    <t>Industrial - construction, chemicals, plastics, forest, waste, salt, roofing, metals, petroleum</t>
  </si>
  <si>
    <t>Premium - autos, auto parts</t>
  </si>
  <si>
    <t>Main</t>
  </si>
  <si>
    <t>Revenue</t>
  </si>
  <si>
    <t>Operating Margin</t>
  </si>
  <si>
    <t>Operating Expenses</t>
  </si>
  <si>
    <t>Other</t>
  </si>
  <si>
    <t>Compensation</t>
  </si>
  <si>
    <t>Services/Materials</t>
  </si>
  <si>
    <t>Fuel</t>
  </si>
  <si>
    <t>Equipment</t>
  </si>
  <si>
    <t>Net Income</t>
  </si>
  <si>
    <t>Taxes</t>
  </si>
  <si>
    <t>Pretax Income</t>
  </si>
  <si>
    <t>Interest Income</t>
  </si>
  <si>
    <t>EPS</t>
  </si>
  <si>
    <t>Assets</t>
  </si>
  <si>
    <t>PP&amp;E</t>
  </si>
  <si>
    <t>AR</t>
  </si>
  <si>
    <t>Inventories</t>
  </si>
  <si>
    <t>OCA</t>
  </si>
  <si>
    <t>Lease</t>
  </si>
  <si>
    <t>AP</t>
  </si>
  <si>
    <t>L+SE</t>
  </si>
  <si>
    <t>SE</t>
  </si>
  <si>
    <t>OLTL</t>
  </si>
  <si>
    <t>DT</t>
  </si>
  <si>
    <t>Q424</t>
  </si>
  <si>
    <t>CFFO</t>
  </si>
  <si>
    <t>CX</t>
  </si>
  <si>
    <t>FCF</t>
  </si>
  <si>
    <t>Revenue y/y</t>
  </si>
  <si>
    <t>Maturity</t>
  </si>
  <si>
    <t>Discount</t>
  </si>
  <si>
    <t>ROIC</t>
  </si>
  <si>
    <t>NPV</t>
  </si>
  <si>
    <t>Net Cash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</si>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</sst>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498679</xdr:colOff>
      <xdr:row>9</xdr:row>
      <xdr:rowOff>146958</xdr:rowOff>
    </xdr:from>
    <xdr:to>
      <xdr:col>5</xdr:col>
      <xdr:colOff>478970</xdr:colOff>
      <xdr:row>25</xdr:row>
      <xdr:rowOff>43541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AB6575-056F-87B3-41AA-CE8A26F20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679" y="1616529"/>
          <a:ext cx="3028291" cy="2509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24848</xdr:colOff>
      <xdr:row>0</xdr:row>
      <xdr:rowOff>41413</xdr:rowOff>
    </xdr:from>
    <xdr:to>
      <xdr:col>7</xdr:col>
      <xdr:colOff>24848</xdr:colOff>
      <xdr:row>49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AFF57F-B686-76DD-E96B-5638F7AD9EBF}"/>
            </a:ext>
          </a:extLst>
        </xdr:cNvPr>
        <xdr:cNvCxnSpPr/>
      </xdr:nvCxnSpPr>
      <xdr:spPr>
        <a:xfrm>
          <a:off x="5317435" y="41413"/>
          <a:ext cx="0" cy="807554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F08E-9544-46CE-89BD-002F92637210}">
  <dimension ref="B2:K9"/>
  <sheetViews>
    <sheetView tabSelected="1" zoomScaleNormal="100" workbookViewId="0"/>
  </sheetViews>
  <sheetFormatPr defaultRowHeight="12.75" x14ac:dyDescent="0.2"/>
  <sheetData>
    <row r="2" spans="2:11" x14ac:dyDescent="0.2">
      <c r="B2" t="s">
        <v>6</v>
      </c>
      <c r="I2" t="s">
        <v>0</v>
      </c>
      <c r="J2" s="1">
        <v>215.52</v>
      </c>
    </row>
    <row r="3" spans="2:11" x14ac:dyDescent="0.2">
      <c r="B3" t="s">
        <v>7</v>
      </c>
      <c r="I3" t="s">
        <v>1</v>
      </c>
      <c r="J3" s="2">
        <v>604.28599999999994</v>
      </c>
      <c r="K3" s="4" t="s">
        <v>38</v>
      </c>
    </row>
    <row r="4" spans="2:11" x14ac:dyDescent="0.2">
      <c r="B4" t="s">
        <v>9</v>
      </c>
      <c r="I4" t="s">
        <v>2</v>
      </c>
      <c r="J4" s="2">
        <f>+J2*J3</f>
        <v>130235.71871999999</v>
      </c>
      <c r="K4" s="4"/>
    </row>
    <row r="5" spans="2:11" x14ac:dyDescent="0.2">
      <c r="I5" t="s">
        <v>3</v>
      </c>
      <c r="J5" s="2">
        <v>3700</v>
      </c>
      <c r="K5" s="4" t="s">
        <v>38</v>
      </c>
    </row>
    <row r="6" spans="2:11" x14ac:dyDescent="0.2">
      <c r="B6" t="s">
        <v>10</v>
      </c>
      <c r="I6" t="s">
        <v>4</v>
      </c>
      <c r="J6" s="2">
        <v>31192</v>
      </c>
      <c r="K6" s="4" t="s">
        <v>38</v>
      </c>
    </row>
    <row r="7" spans="2:11" x14ac:dyDescent="0.2">
      <c r="B7" t="s">
        <v>11</v>
      </c>
      <c r="I7" t="s">
        <v>5</v>
      </c>
      <c r="J7" s="2">
        <f>+J4-J5+J6</f>
        <v>157727.71872</v>
      </c>
    </row>
    <row r="8" spans="2:11" x14ac:dyDescent="0.2">
      <c r="B8" t="s">
        <v>12</v>
      </c>
    </row>
    <row r="9" spans="2:11" x14ac:dyDescent="0.2">
      <c r="I9" t="s">
        <v>8</v>
      </c>
      <c r="J9">
        <v>1969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31EF-BB70-4B52-93A2-5B9CB0B05D8F}">
  <dimension ref="A1:CK4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6" sqref="P26"/>
    </sheetView>
  </sheetViews>
  <sheetFormatPr defaultRowHeight="12.75" x14ac:dyDescent="0.2"/>
  <cols>
    <col min="1" max="1" width="5" bestFit="1" customWidth="1"/>
    <col min="2" max="2" width="19.28515625" customWidth="1"/>
  </cols>
  <sheetData>
    <row r="1" spans="1:89" x14ac:dyDescent="0.2">
      <c r="A1" t="s">
        <v>13</v>
      </c>
    </row>
    <row r="2" spans="1:89" x14ac:dyDescent="0.2">
      <c r="C2">
        <v>2020</v>
      </c>
      <c r="D2">
        <f>+C2+1</f>
        <v>2021</v>
      </c>
      <c r="E2">
        <v>2022</v>
      </c>
      <c r="F2">
        <f>+E2+1</f>
        <v>2023</v>
      </c>
      <c r="G2">
        <f>+F2+1</f>
        <v>2024</v>
      </c>
      <c r="H2">
        <f>+G2+1</f>
        <v>2025</v>
      </c>
      <c r="I2">
        <f t="shared" ref="I2:AJ2" si="0">+H2+1</f>
        <v>2026</v>
      </c>
      <c r="J2">
        <f t="shared" si="0"/>
        <v>2027</v>
      </c>
      <c r="K2">
        <f t="shared" si="0"/>
        <v>2028</v>
      </c>
      <c r="L2">
        <f t="shared" si="0"/>
        <v>2029</v>
      </c>
      <c r="M2">
        <f t="shared" si="0"/>
        <v>2030</v>
      </c>
      <c r="N2">
        <f t="shared" si="0"/>
        <v>2031</v>
      </c>
      <c r="O2">
        <f t="shared" si="0"/>
        <v>2032</v>
      </c>
      <c r="P2">
        <f t="shared" si="0"/>
        <v>2033</v>
      </c>
      <c r="Q2">
        <f t="shared" si="0"/>
        <v>2034</v>
      </c>
      <c r="R2">
        <f t="shared" si="0"/>
        <v>2035</v>
      </c>
      <c r="S2">
        <f t="shared" si="0"/>
        <v>2036</v>
      </c>
      <c r="T2">
        <f t="shared" si="0"/>
        <v>2037</v>
      </c>
      <c r="U2">
        <f t="shared" si="0"/>
        <v>2038</v>
      </c>
      <c r="V2">
        <f t="shared" si="0"/>
        <v>2039</v>
      </c>
      <c r="W2">
        <f t="shared" si="0"/>
        <v>2040</v>
      </c>
      <c r="X2">
        <f t="shared" si="0"/>
        <v>2041</v>
      </c>
      <c r="Y2">
        <f t="shared" si="0"/>
        <v>2042</v>
      </c>
      <c r="Z2">
        <f t="shared" si="0"/>
        <v>2043</v>
      </c>
      <c r="AA2">
        <f t="shared" si="0"/>
        <v>2044</v>
      </c>
      <c r="AB2">
        <f t="shared" si="0"/>
        <v>2045</v>
      </c>
      <c r="AC2">
        <f t="shared" si="0"/>
        <v>2046</v>
      </c>
      <c r="AD2">
        <f t="shared" si="0"/>
        <v>2047</v>
      </c>
      <c r="AE2">
        <f t="shared" si="0"/>
        <v>2048</v>
      </c>
      <c r="AF2">
        <f t="shared" si="0"/>
        <v>2049</v>
      </c>
      <c r="AG2">
        <f t="shared" si="0"/>
        <v>2050</v>
      </c>
      <c r="AH2">
        <f t="shared" si="0"/>
        <v>2051</v>
      </c>
      <c r="AI2">
        <f t="shared" si="0"/>
        <v>2052</v>
      </c>
      <c r="AJ2">
        <f t="shared" si="0"/>
        <v>2053</v>
      </c>
    </row>
    <row r="3" spans="1:89" s="3" customFormat="1" x14ac:dyDescent="0.2">
      <c r="B3" s="3" t="s">
        <v>14</v>
      </c>
      <c r="C3" s="3">
        <v>19533</v>
      </c>
      <c r="D3" s="3">
        <v>21804</v>
      </c>
      <c r="E3" s="3">
        <v>24875</v>
      </c>
      <c r="F3" s="3">
        <v>24119</v>
      </c>
      <c r="G3" s="3">
        <v>24250</v>
      </c>
      <c r="H3" s="3">
        <f>+G3*1.03</f>
        <v>24977.5</v>
      </c>
      <c r="I3" s="3">
        <f>+H3*1.03</f>
        <v>25726.825000000001</v>
      </c>
      <c r="J3" s="3">
        <f>+I3*1.03</f>
        <v>26498.62975</v>
      </c>
      <c r="K3" s="3">
        <f>+J3*1.03</f>
        <v>27293.588642499999</v>
      </c>
      <c r="L3" s="3">
        <f t="shared" ref="L3:M3" si="1">+K3*1.03</f>
        <v>28112.396301774999</v>
      </c>
      <c r="M3" s="3">
        <f t="shared" si="1"/>
        <v>28955.76819082825</v>
      </c>
    </row>
    <row r="4" spans="1:89" s="2" customFormat="1" x14ac:dyDescent="0.2">
      <c r="B4" s="2" t="s">
        <v>18</v>
      </c>
      <c r="C4" s="2">
        <v>3993</v>
      </c>
      <c r="D4" s="2">
        <v>4158</v>
      </c>
      <c r="E4" s="2">
        <v>4645</v>
      </c>
      <c r="F4" s="2">
        <v>4818</v>
      </c>
      <c r="G4" s="2">
        <v>4899</v>
      </c>
      <c r="H4" s="2">
        <f>+G4*1.02</f>
        <v>4996.9800000000005</v>
      </c>
      <c r="I4" s="2">
        <f t="shared" ref="I4:K4" si="2">+H4*1.02</f>
        <v>5096.9196000000002</v>
      </c>
      <c r="J4" s="2">
        <f t="shared" si="2"/>
        <v>5198.8579920000002</v>
      </c>
      <c r="K4" s="2">
        <f t="shared" si="2"/>
        <v>5302.8351518400004</v>
      </c>
      <c r="L4" s="2">
        <f t="shared" ref="L4:M4" si="3">+K4*1.02</f>
        <v>5408.8918548768006</v>
      </c>
      <c r="M4" s="2">
        <f t="shared" si="3"/>
        <v>5517.0696919743368</v>
      </c>
    </row>
    <row r="5" spans="1:89" s="2" customFormat="1" x14ac:dyDescent="0.2">
      <c r="B5" s="2" t="s">
        <v>19</v>
      </c>
      <c r="C5" s="2">
        <v>1962</v>
      </c>
      <c r="D5" s="2">
        <v>2016</v>
      </c>
      <c r="E5" s="2">
        <v>2442</v>
      </c>
      <c r="F5" s="2">
        <v>2616</v>
      </c>
      <c r="G5" s="2">
        <v>2520</v>
      </c>
      <c r="H5" s="2">
        <f t="shared" ref="H5:K5" si="4">+G5*1.02</f>
        <v>2570.4</v>
      </c>
      <c r="I5" s="2">
        <f t="shared" si="4"/>
        <v>2621.808</v>
      </c>
      <c r="J5" s="2">
        <f t="shared" si="4"/>
        <v>2674.2441600000002</v>
      </c>
      <c r="K5" s="2">
        <f t="shared" si="4"/>
        <v>2727.7290432000004</v>
      </c>
      <c r="L5" s="2">
        <f t="shared" ref="L5:M5" si="5">+K5*1.02</f>
        <v>2782.2836240640004</v>
      </c>
      <c r="M5" s="2">
        <f t="shared" si="5"/>
        <v>2837.9292965452805</v>
      </c>
    </row>
    <row r="6" spans="1:89" s="2" customFormat="1" x14ac:dyDescent="0.2">
      <c r="B6" s="2" t="s">
        <v>20</v>
      </c>
      <c r="C6" s="2">
        <v>1314</v>
      </c>
      <c r="D6" s="2">
        <v>2049</v>
      </c>
      <c r="E6" s="2">
        <v>3439</v>
      </c>
      <c r="F6" s="2">
        <v>2891</v>
      </c>
      <c r="G6" s="2">
        <v>2474</v>
      </c>
      <c r="H6" s="2">
        <f t="shared" ref="H6:K6" si="6">+G6*1.02</f>
        <v>2523.48</v>
      </c>
      <c r="I6" s="2">
        <f t="shared" si="6"/>
        <v>2573.9495999999999</v>
      </c>
      <c r="J6" s="2">
        <f t="shared" si="6"/>
        <v>2625.4285919999998</v>
      </c>
      <c r="K6" s="2">
        <f t="shared" si="6"/>
        <v>2677.9371638399998</v>
      </c>
      <c r="L6" s="2">
        <f t="shared" ref="L6:M6" si="7">+K6*1.02</f>
        <v>2731.4959071168</v>
      </c>
      <c r="M6" s="2">
        <f t="shared" si="7"/>
        <v>2786.125825259136</v>
      </c>
    </row>
    <row r="7" spans="1:89" s="2" customFormat="1" x14ac:dyDescent="0.2">
      <c r="B7" s="2" t="s">
        <v>21</v>
      </c>
      <c r="C7" s="2">
        <v>875</v>
      </c>
      <c r="D7" s="2">
        <v>859</v>
      </c>
      <c r="E7" s="2">
        <v>898</v>
      </c>
      <c r="F7" s="2">
        <v>947</v>
      </c>
      <c r="G7" s="2">
        <v>920</v>
      </c>
      <c r="H7" s="2">
        <f t="shared" ref="H7:K7" si="8">+G7*1.02</f>
        <v>938.4</v>
      </c>
      <c r="I7" s="2">
        <f t="shared" si="8"/>
        <v>957.16800000000001</v>
      </c>
      <c r="J7" s="2">
        <f t="shared" si="8"/>
        <v>976.31136000000004</v>
      </c>
      <c r="K7" s="2">
        <f t="shared" si="8"/>
        <v>995.83758720000003</v>
      </c>
      <c r="L7" s="2">
        <f t="shared" ref="L7:M7" si="9">+K7*1.02</f>
        <v>1015.7543389440001</v>
      </c>
      <c r="M7" s="2">
        <f t="shared" si="9"/>
        <v>1036.0694257228802</v>
      </c>
    </row>
    <row r="8" spans="1:89" s="2" customFormat="1" x14ac:dyDescent="0.2">
      <c r="B8" s="2" t="s">
        <v>17</v>
      </c>
      <c r="C8" s="2">
        <v>1345</v>
      </c>
      <c r="D8" s="2">
        <v>1176</v>
      </c>
      <c r="E8" s="2">
        <v>1288</v>
      </c>
      <c r="F8" s="2">
        <v>1447</v>
      </c>
      <c r="G8" s="2">
        <v>1326</v>
      </c>
      <c r="H8" s="2">
        <f t="shared" ref="H8:K8" si="10">+G8*1.02</f>
        <v>1352.52</v>
      </c>
      <c r="I8" s="2">
        <f t="shared" si="10"/>
        <v>1379.5704000000001</v>
      </c>
      <c r="J8" s="2">
        <f t="shared" si="10"/>
        <v>1407.1618080000001</v>
      </c>
      <c r="K8" s="2">
        <f t="shared" si="10"/>
        <v>1435.3050441600001</v>
      </c>
      <c r="L8" s="2">
        <f t="shared" ref="L8:M8" si="11">+K8*1.02</f>
        <v>1464.0111450432</v>
      </c>
      <c r="M8" s="2">
        <f t="shared" si="11"/>
        <v>1493.2913679440639</v>
      </c>
    </row>
    <row r="9" spans="1:89" s="2" customFormat="1" x14ac:dyDescent="0.2">
      <c r="B9" s="2" t="s">
        <v>16</v>
      </c>
      <c r="C9" s="2">
        <f>SUM(C4:C8)</f>
        <v>9489</v>
      </c>
      <c r="D9" s="2">
        <f>SUM(D4:D8)</f>
        <v>10258</v>
      </c>
      <c r="E9" s="2">
        <f>SUM(E4:E8)</f>
        <v>12712</v>
      </c>
      <c r="F9" s="2">
        <f>SUM(F4:F8)</f>
        <v>12719</v>
      </c>
      <c r="G9" s="2">
        <f>SUM(G4:G8)</f>
        <v>12139</v>
      </c>
      <c r="H9" s="2">
        <f t="shared" ref="H9:K9" si="12">SUM(H4:H8)</f>
        <v>12381.78</v>
      </c>
      <c r="I9" s="2">
        <f t="shared" si="12"/>
        <v>12629.4156</v>
      </c>
      <c r="J9" s="2">
        <f t="shared" si="12"/>
        <v>12882.003912</v>
      </c>
      <c r="K9" s="2">
        <f t="shared" si="12"/>
        <v>13139.64399024</v>
      </c>
      <c r="L9" s="2">
        <f t="shared" ref="L9" si="13">SUM(L4:L8)</f>
        <v>13402.436870044799</v>
      </c>
      <c r="M9" s="2">
        <f t="shared" ref="M9" si="14">SUM(M4:M8)</f>
        <v>13670.485607445698</v>
      </c>
    </row>
    <row r="10" spans="1:89" s="2" customFormat="1" x14ac:dyDescent="0.2">
      <c r="B10" s="2" t="s">
        <v>15</v>
      </c>
      <c r="C10" s="2">
        <f>C3-C9</f>
        <v>10044</v>
      </c>
      <c r="D10" s="2">
        <f>D3-D9</f>
        <v>11546</v>
      </c>
      <c r="E10" s="2">
        <f>E3-E9</f>
        <v>12163</v>
      </c>
      <c r="F10" s="2">
        <f>F3-F9</f>
        <v>11400</v>
      </c>
      <c r="G10" s="2">
        <f>G3-G9</f>
        <v>12111</v>
      </c>
      <c r="H10" s="2">
        <f t="shared" ref="H10:K10" si="15">H3-H9</f>
        <v>12595.72</v>
      </c>
      <c r="I10" s="2">
        <f t="shared" si="15"/>
        <v>13097.4094</v>
      </c>
      <c r="J10" s="2">
        <f t="shared" si="15"/>
        <v>13616.625838</v>
      </c>
      <c r="K10" s="2">
        <f t="shared" si="15"/>
        <v>14153.944652259999</v>
      </c>
      <c r="L10" s="2">
        <f t="shared" ref="L10" si="16">L3-L9</f>
        <v>14709.9594317302</v>
      </c>
      <c r="M10" s="2">
        <f t="shared" ref="M10" si="17">M3-M9</f>
        <v>15285.282583382552</v>
      </c>
    </row>
    <row r="11" spans="1:89" s="2" customFormat="1" x14ac:dyDescent="0.2">
      <c r="B11" s="2" t="s">
        <v>25</v>
      </c>
      <c r="C11" s="2">
        <f>-1141+287</f>
        <v>-854</v>
      </c>
      <c r="D11" s="2">
        <f>-1157+297</f>
        <v>-860</v>
      </c>
      <c r="E11" s="2">
        <f>426-1271</f>
        <v>-845</v>
      </c>
      <c r="F11" s="2">
        <f>491-1340</f>
        <v>-849</v>
      </c>
      <c r="G11" s="2">
        <f>350-1269</f>
        <v>-919</v>
      </c>
      <c r="H11" s="2">
        <f t="shared" ref="H11:K11" si="18">350-1269</f>
        <v>-919</v>
      </c>
      <c r="I11" s="2">
        <f>+H20*$P$24</f>
        <v>-1071.7367999999999</v>
      </c>
      <c r="J11" s="2">
        <f>+I20*$P$24</f>
        <v>-473.01644399999992</v>
      </c>
      <c r="K11" s="2">
        <f>+J20*$P$24</f>
        <v>192.78011964000001</v>
      </c>
      <c r="L11" s="2">
        <f t="shared" ref="L11:M11" si="19">+K20*$P$24</f>
        <v>930.7636059539999</v>
      </c>
      <c r="M11" s="2">
        <f t="shared" si="19"/>
        <v>1746.3869882150518</v>
      </c>
    </row>
    <row r="12" spans="1:89" s="2" customFormat="1" x14ac:dyDescent="0.2">
      <c r="B12" s="2" t="s">
        <v>24</v>
      </c>
      <c r="C12" s="2">
        <f>+C10+C11</f>
        <v>9190</v>
      </c>
      <c r="D12" s="2">
        <f>+D10+D11</f>
        <v>10686</v>
      </c>
      <c r="E12" s="2">
        <f>+E10+E11</f>
        <v>11318</v>
      </c>
      <c r="F12" s="2">
        <f>+F10+F11</f>
        <v>10551</v>
      </c>
      <c r="G12" s="2">
        <f>+G10+G11</f>
        <v>11192</v>
      </c>
      <c r="H12" s="2">
        <f t="shared" ref="H12:K12" si="20">+H10+H11</f>
        <v>11676.72</v>
      </c>
      <c r="I12" s="2">
        <f t="shared" si="20"/>
        <v>12025.6726</v>
      </c>
      <c r="J12" s="2">
        <f t="shared" si="20"/>
        <v>13143.609393999999</v>
      </c>
      <c r="K12" s="2">
        <f t="shared" si="20"/>
        <v>14346.724771899999</v>
      </c>
      <c r="L12" s="2">
        <f t="shared" ref="L12" si="21">+L10+L11</f>
        <v>15640.7230376842</v>
      </c>
      <c r="M12" s="2">
        <f t="shared" ref="M12" si="22">+M10+M11</f>
        <v>17031.669571597602</v>
      </c>
    </row>
    <row r="13" spans="1:89" s="2" customFormat="1" x14ac:dyDescent="0.2">
      <c r="B13" s="2" t="s">
        <v>23</v>
      </c>
      <c r="C13" s="2">
        <v>1631</v>
      </c>
      <c r="D13" s="2">
        <v>1955</v>
      </c>
      <c r="E13" s="2">
        <v>2074</v>
      </c>
      <c r="F13" s="2">
        <v>1854</v>
      </c>
      <c r="G13" s="2">
        <v>2047</v>
      </c>
      <c r="H13" s="2">
        <v>2047</v>
      </c>
      <c r="I13" s="2">
        <v>2047</v>
      </c>
      <c r="J13" s="2">
        <v>2047</v>
      </c>
      <c r="K13" s="2">
        <v>2047</v>
      </c>
      <c r="L13" s="2">
        <v>2047</v>
      </c>
      <c r="M13" s="2">
        <v>2047</v>
      </c>
    </row>
    <row r="14" spans="1:89" s="2" customFormat="1" x14ac:dyDescent="0.2">
      <c r="B14" s="2" t="s">
        <v>22</v>
      </c>
      <c r="C14" s="2">
        <f>+C12-C13</f>
        <v>7559</v>
      </c>
      <c r="D14" s="2">
        <f>+D12-D13</f>
        <v>8731</v>
      </c>
      <c r="E14" s="2">
        <f>+E12-E13</f>
        <v>9244</v>
      </c>
      <c r="F14" s="2">
        <f>+F12-F13</f>
        <v>8697</v>
      </c>
      <c r="G14" s="2">
        <f>+G12-G13</f>
        <v>9145</v>
      </c>
      <c r="H14" s="2">
        <f t="shared" ref="H14:K14" si="23">+H12-H13</f>
        <v>9629.7199999999993</v>
      </c>
      <c r="I14" s="2">
        <f t="shared" si="23"/>
        <v>9978.6725999999999</v>
      </c>
      <c r="J14" s="2">
        <f t="shared" si="23"/>
        <v>11096.609393999999</v>
      </c>
      <c r="K14" s="2">
        <f t="shared" si="23"/>
        <v>12299.724771899999</v>
      </c>
      <c r="L14" s="2">
        <f t="shared" ref="L14" si="24">+L12-L13</f>
        <v>13593.7230376842</v>
      </c>
      <c r="M14" s="2">
        <f t="shared" ref="M14" si="25">+M12-M13</f>
        <v>14984.669571597602</v>
      </c>
      <c r="N14" s="2">
        <f>+M14*(1+$P$22)</f>
        <v>15134.516267313578</v>
      </c>
      <c r="O14" s="2">
        <f t="shared" ref="O14:BZ14" si="26">+N14*(1+$P$22)</f>
        <v>15285.861429986715</v>
      </c>
      <c r="P14" s="2">
        <f t="shared" si="26"/>
        <v>15438.720044286581</v>
      </c>
      <c r="Q14" s="2">
        <f t="shared" si="26"/>
        <v>15593.107244729448</v>
      </c>
      <c r="R14" s="2">
        <f t="shared" si="26"/>
        <v>15749.038317176743</v>
      </c>
      <c r="S14" s="2">
        <f t="shared" si="26"/>
        <v>15906.52870034851</v>
      </c>
      <c r="T14" s="2">
        <f t="shared" si="26"/>
        <v>16065.593987351995</v>
      </c>
      <c r="U14" s="2">
        <f t="shared" si="26"/>
        <v>16226.249927225515</v>
      </c>
      <c r="V14" s="2">
        <f t="shared" si="26"/>
        <v>16388.512426497771</v>
      </c>
      <c r="W14" s="2">
        <f t="shared" si="26"/>
        <v>16552.397550762747</v>
      </c>
      <c r="X14" s="2">
        <f t="shared" si="26"/>
        <v>16717.921526270376</v>
      </c>
      <c r="Y14" s="2">
        <f t="shared" si="26"/>
        <v>16885.100741533079</v>
      </c>
      <c r="Z14" s="2">
        <f t="shared" si="26"/>
        <v>17053.95174894841</v>
      </c>
      <c r="AA14" s="2">
        <f t="shared" si="26"/>
        <v>17224.491266437894</v>
      </c>
      <c r="AB14" s="2">
        <f t="shared" si="26"/>
        <v>17396.736179102274</v>
      </c>
      <c r="AC14" s="2">
        <f t="shared" si="26"/>
        <v>17570.703540893297</v>
      </c>
      <c r="AD14" s="2">
        <f t="shared" si="26"/>
        <v>17746.410576302231</v>
      </c>
      <c r="AE14" s="2">
        <f t="shared" si="26"/>
        <v>17923.874682065252</v>
      </c>
      <c r="AF14" s="2">
        <f t="shared" si="26"/>
        <v>18103.113428885907</v>
      </c>
      <c r="AG14" s="2">
        <f t="shared" si="26"/>
        <v>18284.144563174767</v>
      </c>
      <c r="AH14" s="2">
        <f t="shared" si="26"/>
        <v>18466.986008806514</v>
      </c>
      <c r="AI14" s="2">
        <f t="shared" si="26"/>
        <v>18651.655868894581</v>
      </c>
      <c r="AJ14" s="2">
        <f t="shared" si="26"/>
        <v>18838.172427583526</v>
      </c>
      <c r="AK14" s="2">
        <f t="shared" si="26"/>
        <v>19026.55415185936</v>
      </c>
      <c r="AL14" s="2">
        <f t="shared" si="26"/>
        <v>19216.819693377955</v>
      </c>
      <c r="AM14" s="2">
        <f t="shared" si="26"/>
        <v>19408.987890311735</v>
      </c>
      <c r="AN14" s="2">
        <f t="shared" si="26"/>
        <v>19603.077769214851</v>
      </c>
      <c r="AO14" s="2">
        <f t="shared" si="26"/>
        <v>19799.108546906999</v>
      </c>
      <c r="AP14" s="2">
        <f t="shared" si="26"/>
        <v>19997.09963237607</v>
      </c>
      <c r="AQ14" s="2">
        <f t="shared" si="26"/>
        <v>20197.070628699832</v>
      </c>
      <c r="AR14" s="2">
        <f t="shared" si="26"/>
        <v>20399.041334986832</v>
      </c>
      <c r="AS14" s="2">
        <f t="shared" si="26"/>
        <v>20603.0317483367</v>
      </c>
      <c r="AT14" s="2">
        <f t="shared" si="26"/>
        <v>20809.062065820068</v>
      </c>
      <c r="AU14" s="2">
        <f t="shared" si="26"/>
        <v>21017.152686478268</v>
      </c>
      <c r="AV14" s="2">
        <f t="shared" si="26"/>
        <v>21227.32421334305</v>
      </c>
      <c r="AW14" s="2">
        <f t="shared" si="26"/>
        <v>21439.59745547648</v>
      </c>
      <c r="AX14" s="2">
        <f t="shared" si="26"/>
        <v>21653.993430031245</v>
      </c>
      <c r="AY14" s="2">
        <f t="shared" si="26"/>
        <v>21870.533364331557</v>
      </c>
      <c r="AZ14" s="2">
        <f t="shared" si="26"/>
        <v>22089.238697974874</v>
      </c>
      <c r="BA14" s="2">
        <f t="shared" si="26"/>
        <v>22310.131084954621</v>
      </c>
      <c r="BB14" s="2">
        <f t="shared" si="26"/>
        <v>22533.232395804167</v>
      </c>
      <c r="BC14" s="2">
        <f t="shared" si="26"/>
        <v>22758.564719762209</v>
      </c>
      <c r="BD14" s="2">
        <f t="shared" si="26"/>
        <v>22986.150366959831</v>
      </c>
      <c r="BE14" s="2">
        <f t="shared" si="26"/>
        <v>23216.011870629431</v>
      </c>
      <c r="BF14" s="2">
        <f t="shared" si="26"/>
        <v>23448.171989335726</v>
      </c>
      <c r="BG14" s="2">
        <f t="shared" si="26"/>
        <v>23682.653709229082</v>
      </c>
      <c r="BH14" s="2">
        <f t="shared" si="26"/>
        <v>23919.480246321375</v>
      </c>
      <c r="BI14" s="2">
        <f t="shared" si="26"/>
        <v>24158.675048784589</v>
      </c>
      <c r="BJ14" s="2">
        <f t="shared" si="26"/>
        <v>24400.261799272437</v>
      </c>
      <c r="BK14" s="2">
        <f t="shared" si="26"/>
        <v>24644.264417265164</v>
      </c>
      <c r="BL14" s="2">
        <f t="shared" si="26"/>
        <v>24890.707061437817</v>
      </c>
      <c r="BM14" s="2">
        <f t="shared" si="26"/>
        <v>25139.614132052197</v>
      </c>
      <c r="BN14" s="2">
        <f t="shared" si="26"/>
        <v>25391.010273372718</v>
      </c>
      <c r="BO14" s="2">
        <f t="shared" si="26"/>
        <v>25644.920376106445</v>
      </c>
      <c r="BP14" s="2">
        <f t="shared" si="26"/>
        <v>25901.369579867511</v>
      </c>
      <c r="BQ14" s="2">
        <f t="shared" si="26"/>
        <v>26160.383275666187</v>
      </c>
      <c r="BR14" s="2">
        <f t="shared" si="26"/>
        <v>26421.987108422851</v>
      </c>
      <c r="BS14" s="2">
        <f t="shared" si="26"/>
        <v>26686.206979507078</v>
      </c>
      <c r="BT14" s="2">
        <f t="shared" si="26"/>
        <v>26953.06904930215</v>
      </c>
      <c r="BU14" s="2">
        <f t="shared" si="26"/>
        <v>27222.599739795172</v>
      </c>
      <c r="BV14" s="2">
        <f t="shared" si="26"/>
        <v>27494.825737193125</v>
      </c>
      <c r="BW14" s="2">
        <f t="shared" si="26"/>
        <v>27769.773994565057</v>
      </c>
      <c r="BX14" s="2">
        <f t="shared" si="26"/>
        <v>28047.471734510709</v>
      </c>
      <c r="BY14" s="2">
        <f t="shared" si="26"/>
        <v>28327.946451855816</v>
      </c>
      <c r="BZ14" s="2">
        <f t="shared" si="26"/>
        <v>28611.225916374373</v>
      </c>
      <c r="CA14" s="2">
        <f t="shared" ref="CA14:CK14" si="27">+BZ14*(1+$P$22)</f>
        <v>28897.338175538116</v>
      </c>
      <c r="CB14" s="2">
        <f t="shared" si="27"/>
        <v>29186.311557293498</v>
      </c>
      <c r="CC14" s="2">
        <f t="shared" si="27"/>
        <v>29478.174672866433</v>
      </c>
      <c r="CD14" s="2">
        <f t="shared" si="27"/>
        <v>29772.956419595099</v>
      </c>
      <c r="CE14" s="2">
        <f t="shared" si="27"/>
        <v>30070.685983791049</v>
      </c>
      <c r="CF14" s="2">
        <f t="shared" si="27"/>
        <v>30371.392843628961</v>
      </c>
      <c r="CG14" s="2">
        <f t="shared" si="27"/>
        <v>30675.10677206525</v>
      </c>
      <c r="CH14" s="2">
        <f t="shared" si="27"/>
        <v>30981.857839785902</v>
      </c>
      <c r="CI14" s="2">
        <f t="shared" si="27"/>
        <v>31291.676418183761</v>
      </c>
      <c r="CJ14" s="2">
        <f t="shared" si="27"/>
        <v>31604.593182365599</v>
      </c>
      <c r="CK14" s="2">
        <f t="shared" si="27"/>
        <v>31920.639114189256</v>
      </c>
    </row>
    <row r="15" spans="1:89" x14ac:dyDescent="0.2">
      <c r="B15" t="s">
        <v>26</v>
      </c>
      <c r="C15" s="1">
        <f>+C14/C16</f>
        <v>11.130908555441025</v>
      </c>
      <c r="D15" s="1">
        <f>+D14/D16</f>
        <v>13.321635642355814</v>
      </c>
      <c r="E15" s="1">
        <f>+E14/E16</f>
        <v>14.814102564102564</v>
      </c>
      <c r="F15" s="1">
        <f>+F14/F16</f>
        <v>14.252704031465093</v>
      </c>
      <c r="G15" s="1">
        <f>+G14/G16</f>
        <v>15.026289845547156</v>
      </c>
      <c r="H15" s="1">
        <f t="shared" ref="H15:K15" si="28">+H14/H16</f>
        <v>15.82274071639829</v>
      </c>
      <c r="I15" s="1">
        <f t="shared" si="28"/>
        <v>16.396110088728229</v>
      </c>
      <c r="J15" s="1">
        <f t="shared" si="28"/>
        <v>18.233009191587247</v>
      </c>
      <c r="K15" s="1">
        <f t="shared" si="28"/>
        <v>20.209866532862304</v>
      </c>
      <c r="L15" s="1">
        <f t="shared" ref="L15" si="29">+L14/L16</f>
        <v>22.336054941972066</v>
      </c>
      <c r="M15" s="1">
        <f t="shared" ref="M15" si="30">+M14/M16</f>
        <v>24.621540538280648</v>
      </c>
    </row>
    <row r="16" spans="1:89" x14ac:dyDescent="0.2">
      <c r="B16" t="s">
        <v>1</v>
      </c>
      <c r="C16" s="2">
        <v>679.1</v>
      </c>
      <c r="D16" s="2">
        <v>655.4</v>
      </c>
      <c r="E16" s="2">
        <v>624</v>
      </c>
      <c r="F16" s="2">
        <v>610.20000000000005</v>
      </c>
      <c r="G16" s="2">
        <v>608.6</v>
      </c>
      <c r="H16" s="2">
        <v>608.6</v>
      </c>
      <c r="I16" s="2">
        <v>608.6</v>
      </c>
      <c r="J16" s="2">
        <v>608.6</v>
      </c>
      <c r="K16" s="2">
        <v>608.6</v>
      </c>
      <c r="L16" s="2">
        <v>608.6</v>
      </c>
      <c r="M16" s="2">
        <v>608.6</v>
      </c>
    </row>
    <row r="18" spans="2:16" x14ac:dyDescent="0.2">
      <c r="B18" t="s">
        <v>42</v>
      </c>
      <c r="D18" s="5">
        <f>D3/C3-1</f>
        <v>0.11626478267547236</v>
      </c>
      <c r="E18" s="5">
        <f>E3/D3-1</f>
        <v>0.14084571638231513</v>
      </c>
      <c r="F18" s="5">
        <f>F3/E3-1</f>
        <v>-3.0391959798995005E-2</v>
      </c>
      <c r="G18" s="5">
        <f>G3/F3-1</f>
        <v>5.4314026286330641E-3</v>
      </c>
    </row>
    <row r="20" spans="2:16" x14ac:dyDescent="0.2">
      <c r="B20" t="s">
        <v>47</v>
      </c>
      <c r="G20" s="2">
        <f>+G21-G31</f>
        <v>-27492</v>
      </c>
      <c r="H20" s="2">
        <f>+G20+H14</f>
        <v>-17862.28</v>
      </c>
      <c r="I20" s="2">
        <f>+H20+I14</f>
        <v>-7883.607399999999</v>
      </c>
      <c r="J20" s="2">
        <f>+I20+J14</f>
        <v>3213.0019940000002</v>
      </c>
      <c r="K20" s="2">
        <f>+J20+K14</f>
        <v>15512.726765899999</v>
      </c>
      <c r="L20" s="2">
        <f t="shared" ref="L20:M20" si="31">+K20+L14</f>
        <v>29106.449803584197</v>
      </c>
      <c r="M20" s="2">
        <f t="shared" si="31"/>
        <v>44091.119375181799</v>
      </c>
    </row>
    <row r="21" spans="2:16" s="2" customFormat="1" x14ac:dyDescent="0.2">
      <c r="B21" s="2" t="s">
        <v>3</v>
      </c>
      <c r="G21" s="2">
        <f>1016+20+2664</f>
        <v>3700</v>
      </c>
    </row>
    <row r="22" spans="2:16" s="2" customFormat="1" x14ac:dyDescent="0.2">
      <c r="B22" s="2" t="s">
        <v>29</v>
      </c>
      <c r="G22" s="2">
        <v>1894</v>
      </c>
      <c r="O22" t="s">
        <v>43</v>
      </c>
      <c r="P22" s="5">
        <v>0.01</v>
      </c>
    </row>
    <row r="23" spans="2:16" s="2" customFormat="1" x14ac:dyDescent="0.2">
      <c r="B23" s="2" t="s">
        <v>30</v>
      </c>
      <c r="G23" s="2">
        <v>769</v>
      </c>
      <c r="O23" t="s">
        <v>44</v>
      </c>
      <c r="P23" s="5">
        <v>0.06</v>
      </c>
    </row>
    <row r="24" spans="2:16" s="2" customFormat="1" x14ac:dyDescent="0.2">
      <c r="B24" s="2" t="s">
        <v>31</v>
      </c>
      <c r="G24" s="2">
        <v>322</v>
      </c>
      <c r="O24" s="2" t="s">
        <v>45</v>
      </c>
      <c r="P24" s="5">
        <v>0.06</v>
      </c>
    </row>
    <row r="25" spans="2:16" s="2" customFormat="1" x14ac:dyDescent="0.2">
      <c r="B25" s="2" t="s">
        <v>28</v>
      </c>
      <c r="G25" s="2">
        <v>58343</v>
      </c>
      <c r="O25" s="2" t="s">
        <v>46</v>
      </c>
      <c r="P25" s="2">
        <f>NPV(Model!P23,I14:CK14)+H14+Main!J5-Main!J6</f>
        <v>254157.59374498308</v>
      </c>
    </row>
    <row r="26" spans="2:16" s="2" customFormat="1" x14ac:dyDescent="0.2">
      <c r="B26" s="2" t="s">
        <v>32</v>
      </c>
      <c r="G26" s="2">
        <v>1297</v>
      </c>
      <c r="O26" s="2" t="s">
        <v>48</v>
      </c>
      <c r="P26" s="1">
        <f>+P25/Main!J3</f>
        <v>420.59156383729413</v>
      </c>
    </row>
    <row r="27" spans="2:16" s="2" customFormat="1" x14ac:dyDescent="0.2">
      <c r="B27" s="2" t="s">
        <v>17</v>
      </c>
      <c r="G27" s="2">
        <v>1390</v>
      </c>
    </row>
    <row r="28" spans="2:16" s="2" customFormat="1" x14ac:dyDescent="0.2">
      <c r="B28" s="2" t="s">
        <v>27</v>
      </c>
      <c r="G28" s="2">
        <f>SUM(G21:G27)</f>
        <v>67715</v>
      </c>
    </row>
    <row r="30" spans="2:16" s="2" customFormat="1" x14ac:dyDescent="0.2">
      <c r="B30" s="2" t="s">
        <v>33</v>
      </c>
      <c r="G30" s="2">
        <v>3829</v>
      </c>
    </row>
    <row r="31" spans="2:16" s="2" customFormat="1" x14ac:dyDescent="0.2">
      <c r="B31" s="2" t="s">
        <v>4</v>
      </c>
      <c r="G31" s="2">
        <f>1425+29767</f>
        <v>31192</v>
      </c>
    </row>
    <row r="32" spans="2:16" s="2" customFormat="1" x14ac:dyDescent="0.2">
      <c r="B32" s="2" t="s">
        <v>32</v>
      </c>
      <c r="G32" s="2">
        <v>925</v>
      </c>
    </row>
    <row r="33" spans="2:7" s="2" customFormat="1" x14ac:dyDescent="0.2">
      <c r="B33" s="2" t="s">
        <v>37</v>
      </c>
      <c r="G33" s="2">
        <v>13151</v>
      </c>
    </row>
    <row r="34" spans="2:7" s="2" customFormat="1" x14ac:dyDescent="0.2">
      <c r="B34" s="2" t="s">
        <v>36</v>
      </c>
      <c r="G34" s="2">
        <v>1728</v>
      </c>
    </row>
    <row r="35" spans="2:7" s="2" customFormat="1" x14ac:dyDescent="0.2">
      <c r="B35" s="2" t="s">
        <v>35</v>
      </c>
      <c r="G35" s="2">
        <v>16890</v>
      </c>
    </row>
    <row r="36" spans="2:7" s="2" customFormat="1" x14ac:dyDescent="0.2">
      <c r="B36" s="2" t="s">
        <v>34</v>
      </c>
      <c r="G36" s="2">
        <f>SUM(G30:G35)</f>
        <v>67715</v>
      </c>
    </row>
    <row r="38" spans="2:7" s="2" customFormat="1" x14ac:dyDescent="0.2">
      <c r="B38" s="2" t="s">
        <v>39</v>
      </c>
      <c r="E38" s="2">
        <v>9362</v>
      </c>
      <c r="F38" s="2">
        <v>8379</v>
      </c>
      <c r="G38" s="2">
        <v>9346</v>
      </c>
    </row>
    <row r="39" spans="2:7" s="2" customFormat="1" x14ac:dyDescent="0.2">
      <c r="B39" s="2" t="s">
        <v>40</v>
      </c>
      <c r="E39" s="2">
        <v>3620</v>
      </c>
      <c r="F39" s="2">
        <v>3606</v>
      </c>
      <c r="G39" s="2">
        <v>3452</v>
      </c>
    </row>
    <row r="40" spans="2:7" s="2" customFormat="1" x14ac:dyDescent="0.2">
      <c r="B40" s="2" t="s">
        <v>41</v>
      </c>
      <c r="E40" s="2">
        <f>+E38-E39</f>
        <v>5742</v>
      </c>
      <c r="F40" s="2">
        <f>+F38-F39</f>
        <v>4773</v>
      </c>
      <c r="G40" s="2">
        <f>+G38-G39</f>
        <v>5894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2025-04-10T16:20:10Z</dcterms:created>
  <dcterms:modified xsi:type="dcterms:W3CDTF">2025-04-10T16:48:05Z</dcterms:modified>
</cp:coreProperties>
</file>