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E0D9051-87A9-4CF7-BDCC-76DA4300A30B}" xr6:coauthVersionLast="47" xr6:coauthVersionMax="47" xr10:uidLastSave="{00000000-0000-0000-0000-000000000000}"/>
  <bookViews>
    <workbookView xWindow="-22170" yWindow="2160" windowWidth="23265" windowHeight="17910" activeTab="1" xr2:uid="{A64EDFA1-7DA7-45A8-9320-01E928DB3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8" i="2" l="1"/>
  <c r="V44" i="2"/>
  <c r="V34" i="2"/>
  <c r="V27" i="2"/>
  <c r="V37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U74" i="2"/>
  <c r="T23" i="2"/>
  <c r="U23" i="2"/>
  <c r="V23" i="2"/>
  <c r="W23" i="2"/>
  <c r="P8" i="2"/>
  <c r="P10" i="2" s="1"/>
  <c r="P14" i="2"/>
  <c r="Q19" i="2"/>
  <c r="Q20" i="2" s="1"/>
  <c r="Q17" i="2"/>
  <c r="Q14" i="2"/>
  <c r="Q15" i="2" s="1"/>
  <c r="Q8" i="2"/>
  <c r="Q10" i="2"/>
  <c r="R10" i="2"/>
  <c r="S10" i="2"/>
  <c r="S15" i="2" s="1"/>
  <c r="S17" i="2" s="1"/>
  <c r="S19" i="2" s="1"/>
  <c r="S20" i="2" s="1"/>
  <c r="U10" i="2"/>
  <c r="V60" i="2"/>
  <c r="V61" i="2" s="1"/>
  <c r="V66" i="2" s="1"/>
  <c r="V50" i="2"/>
  <c r="R14" i="2"/>
  <c r="R8" i="2"/>
  <c r="V14" i="2"/>
  <c r="V8" i="2"/>
  <c r="V10" i="2" s="1"/>
  <c r="W66" i="2"/>
  <c r="W60" i="2"/>
  <c r="W61" i="2"/>
  <c r="W50" i="2"/>
  <c r="W48" i="2"/>
  <c r="W42" i="2"/>
  <c r="W44" i="2"/>
  <c r="W37" i="2"/>
  <c r="W34" i="2"/>
  <c r="W27" i="2"/>
  <c r="W14" i="2"/>
  <c r="U14" i="2"/>
  <c r="U15" i="2" s="1"/>
  <c r="U17" i="2" s="1"/>
  <c r="U19" i="2" s="1"/>
  <c r="U20" i="2" s="1"/>
  <c r="T14" i="2"/>
  <c r="S14" i="2"/>
  <c r="W8" i="2"/>
  <c r="W10" i="2" s="1"/>
  <c r="U8" i="2"/>
  <c r="T8" i="2"/>
  <c r="T10" i="2" s="1"/>
  <c r="S8" i="2"/>
  <c r="K60" i="2"/>
  <c r="K61" i="2" s="1"/>
  <c r="K44" i="2"/>
  <c r="K48" i="2"/>
  <c r="K34" i="2"/>
  <c r="K27" i="2"/>
  <c r="K37" i="2" s="1"/>
  <c r="G14" i="2"/>
  <c r="G8" i="2"/>
  <c r="G10" i="2" s="1"/>
  <c r="G24" i="2" s="1"/>
  <c r="K14" i="2"/>
  <c r="K8" i="2"/>
  <c r="K23" i="2" s="1"/>
  <c r="M7" i="1"/>
  <c r="M5" i="1"/>
  <c r="M4" i="1"/>
  <c r="M3" i="1"/>
  <c r="P15" i="2" l="1"/>
  <c r="P17" i="2" s="1"/>
  <c r="P19" i="2" s="1"/>
  <c r="P20" i="2" s="1"/>
  <c r="T15" i="2"/>
  <c r="T17" i="2" s="1"/>
  <c r="T19" i="2" s="1"/>
  <c r="T20" i="2" s="1"/>
  <c r="R15" i="2"/>
  <c r="R17" i="2" s="1"/>
  <c r="R19" i="2" s="1"/>
  <c r="R20" i="2" s="1"/>
  <c r="V15" i="2"/>
  <c r="V17" i="2" s="1"/>
  <c r="V19" i="2" s="1"/>
  <c r="V20" i="2" s="1"/>
  <c r="W15" i="2"/>
  <c r="W17" i="2" s="1"/>
  <c r="W19" i="2" s="1"/>
  <c r="W20" i="2" s="1"/>
  <c r="K10" i="2"/>
  <c r="G15" i="2"/>
  <c r="G17" i="2" s="1"/>
  <c r="G19" i="2" s="1"/>
  <c r="G20" i="2" s="1"/>
  <c r="K24" i="2" l="1"/>
  <c r="K15" i="2"/>
  <c r="K17" i="2" s="1"/>
  <c r="K19" i="2" s="1"/>
  <c r="K20" i="2" l="1"/>
  <c r="K50" i="2"/>
</calcChain>
</file>

<file path=xl/sharedStrings.xml><?xml version="1.0" encoding="utf-8"?>
<sst xmlns="http://schemas.openxmlformats.org/spreadsheetml/2006/main" count="111" uniqueCount="99">
  <si>
    <t>Price</t>
  </si>
  <si>
    <t>Shares</t>
  </si>
  <si>
    <t>MC</t>
  </si>
  <si>
    <t>Cash</t>
  </si>
  <si>
    <t>Debt</t>
  </si>
  <si>
    <t>EV</t>
  </si>
  <si>
    <t>Q122</t>
  </si>
  <si>
    <t>Main</t>
  </si>
  <si>
    <t>Subscription</t>
  </si>
  <si>
    <t>Professional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</si>
  <si>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</si>
  <si>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</si>
  <si>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</si>
  <si>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</si>
  <si>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</si>
  <si>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</si>
  <si>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</si>
  <si>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</si>
  <si>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</si>
  <si>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</si>
  <si>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</si>
  <si>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Revenue</t>
  </si>
  <si>
    <t>Gross Profit</t>
  </si>
  <si>
    <t>COGS</t>
  </si>
  <si>
    <t>R&amp;D</t>
  </si>
  <si>
    <t>S&amp;M</t>
  </si>
  <si>
    <t>G&amp;A</t>
  </si>
  <si>
    <t>OpEx</t>
  </si>
  <si>
    <t>OpInc</t>
  </si>
  <si>
    <t>Other</t>
  </si>
  <si>
    <t>Net Income</t>
  </si>
  <si>
    <t>Taxes</t>
  </si>
  <si>
    <t>Pretax</t>
  </si>
  <si>
    <t>EPS</t>
  </si>
  <si>
    <t>Revenue y/y</t>
  </si>
  <si>
    <t>Gross Margin</t>
  </si>
  <si>
    <t>Assets</t>
  </si>
  <si>
    <t>AR</t>
  </si>
  <si>
    <t>Unbilled AR</t>
  </si>
  <si>
    <t>Prepaids</t>
  </si>
  <si>
    <t>PP&amp;E</t>
  </si>
  <si>
    <t>Deferred Costs</t>
  </si>
  <si>
    <t>Lease</t>
  </si>
  <si>
    <t>Goodwill</t>
  </si>
  <si>
    <t>DT</t>
  </si>
  <si>
    <t>OLTA</t>
  </si>
  <si>
    <t>SE</t>
  </si>
  <si>
    <t>L+SE</t>
  </si>
  <si>
    <t>AP</t>
  </si>
  <si>
    <t>Compensation</t>
  </si>
  <si>
    <t>AE</t>
  </si>
  <si>
    <t>DR</t>
  </si>
  <si>
    <t>OLTL</t>
  </si>
  <si>
    <t>CFFO</t>
  </si>
  <si>
    <t>Model NI</t>
  </si>
  <si>
    <t>Reported NI</t>
  </si>
  <si>
    <t>D&amp;A</t>
  </si>
  <si>
    <t>ROU</t>
  </si>
  <si>
    <t>SBC</t>
  </si>
  <si>
    <t>Amortization</t>
  </si>
  <si>
    <t>FX</t>
  </si>
  <si>
    <t>Bad Debt</t>
  </si>
  <si>
    <t>WC</t>
  </si>
  <si>
    <t>FQ123</t>
  </si>
  <si>
    <t>FQ223</t>
  </si>
  <si>
    <t>FQ323</t>
  </si>
  <si>
    <t>FQ423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</si>
  <si>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</si>
  <si>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</si>
  <si>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</si>
  <si>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</si>
  <si>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</si>
  <si>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</si>
  <si>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</si>
  <si>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</si>
  <si>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Commercial</t>
  </si>
  <si>
    <t>CFFF</t>
  </si>
  <si>
    <t>CFFI</t>
  </si>
  <si>
    <t>CIC</t>
  </si>
  <si>
    <t>Veeva Vault</t>
  </si>
  <si>
    <t>Clinical</t>
  </si>
  <si>
    <t>CRO</t>
  </si>
  <si>
    <t>Quality</t>
  </si>
  <si>
    <t>Safety</t>
  </si>
  <si>
    <t>RIM</t>
  </si>
  <si>
    <t>Veeva Commercial Cloud</t>
  </si>
  <si>
    <t>CRM</t>
  </si>
  <si>
    <t>Medical</t>
  </si>
  <si>
    <t>PromoMats</t>
  </si>
  <si>
    <t>Crossix</t>
  </si>
  <si>
    <t>Data Cloud</t>
  </si>
  <si>
    <t>OpenData</t>
  </si>
  <si>
    <t>Link</t>
  </si>
  <si>
    <t>Compass</t>
  </si>
  <si>
    <t>Customers</t>
  </si>
  <si>
    <t>Employees</t>
  </si>
  <si>
    <t>FY2023</t>
  </si>
  <si>
    <t>FY2024</t>
  </si>
  <si>
    <t>FY2025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</si>
</sst>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B2EB075-E1FD-43C8-B9AE-6B5D6DE8060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76200</xdr:rowOff>
    </xdr:from>
    <xdr:to>
      <xdr:col>23</xdr:col>
      <xdr:colOff>0</xdr:colOff>
      <xdr:row>77</xdr:row>
      <xdr:rowOff>146957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B24BB38-EFC5-185A-7300-99DBDA4F91C6}"/>
            </a:ext>
          </a:extLst>
        </xdr:cNvPr>
        <xdr:cNvCxnSpPr/>
      </xdr:nvCxnSpPr>
      <xdr:spPr>
        <a:xfrm>
          <a:off x="14205857" y="76200"/>
          <a:ext cx="0" cy="126437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2F33-EF21-4583-844B-1A17BBB6AAB1}">
  <dimension ref="B2:N18"/>
  <sheetViews>
    <sheetView workbookViewId="0">
      <selection activeCell="K8" sqref="K8"/>
    </sheetView>
  </sheetViews>
  <sheetFormatPr defaultRowHeight="12.75" x14ac:dyDescent="0.2"/>
  <sheetData>
    <row r="2" spans="2:14" x14ac:dyDescent="0.2">
      <c r="L2" t="s">
        <v>0</v>
      </c>
      <c r="M2" s="1">
        <v>228.96</v>
      </c>
    </row>
    <row r="3" spans="2:14" x14ac:dyDescent="0.2">
      <c r="B3" t="s">
        <v>79</v>
      </c>
      <c r="L3" t="s">
        <v>1</v>
      </c>
      <c r="M3" s="2">
        <f>140.081514+14.765491</f>
        <v>154.847005</v>
      </c>
      <c r="N3" s="3" t="s">
        <v>6</v>
      </c>
    </row>
    <row r="4" spans="2:14" x14ac:dyDescent="0.2">
      <c r="C4" t="s">
        <v>80</v>
      </c>
      <c r="D4" t="s">
        <v>81</v>
      </c>
      <c r="L4" t="s">
        <v>2</v>
      </c>
      <c r="M4" s="2">
        <f>+M2*M3</f>
        <v>35453.770264799998</v>
      </c>
    </row>
    <row r="5" spans="2:14" x14ac:dyDescent="0.2">
      <c r="C5" t="s">
        <v>82</v>
      </c>
      <c r="L5" t="s">
        <v>3</v>
      </c>
      <c r="M5" s="2">
        <f>1239.998+1598.555</f>
        <v>2838.5529999999999</v>
      </c>
      <c r="N5" s="3" t="s">
        <v>6</v>
      </c>
    </row>
    <row r="6" spans="2:14" x14ac:dyDescent="0.2">
      <c r="C6" t="s">
        <v>83</v>
      </c>
      <c r="L6" t="s">
        <v>4</v>
      </c>
      <c r="M6" s="2">
        <v>0</v>
      </c>
      <c r="N6" s="3" t="s">
        <v>6</v>
      </c>
    </row>
    <row r="7" spans="2:14" x14ac:dyDescent="0.2">
      <c r="C7" t="s">
        <v>84</v>
      </c>
      <c r="L7" t="s">
        <v>5</v>
      </c>
      <c r="M7" s="2">
        <f>+M4-M5+M6</f>
        <v>32615.217264799998</v>
      </c>
    </row>
    <row r="9" spans="2:14" x14ac:dyDescent="0.2">
      <c r="B9" t="s">
        <v>85</v>
      </c>
    </row>
    <row r="10" spans="2:14" x14ac:dyDescent="0.2">
      <c r="C10" t="s">
        <v>86</v>
      </c>
    </row>
    <row r="11" spans="2:14" x14ac:dyDescent="0.2">
      <c r="C11" t="s">
        <v>87</v>
      </c>
    </row>
    <row r="12" spans="2:14" x14ac:dyDescent="0.2">
      <c r="C12" t="s">
        <v>88</v>
      </c>
    </row>
    <row r="13" spans="2:14" x14ac:dyDescent="0.2">
      <c r="C13" t="s">
        <v>89</v>
      </c>
    </row>
    <row r="15" spans="2:14" x14ac:dyDescent="0.2">
      <c r="B15" t="s">
        <v>90</v>
      </c>
    </row>
    <row r="16" spans="2:14" x14ac:dyDescent="0.2">
      <c r="C16" t="s">
        <v>91</v>
      </c>
    </row>
    <row r="17" spans="3:3" x14ac:dyDescent="0.2">
      <c r="C17" t="s">
        <v>92</v>
      </c>
    </row>
    <row r="18" spans="3:3" x14ac:dyDescent="0.2">
      <c r="C18" t="s">
        <v>93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675E-BD88-4C68-BD92-E1E96AC19D66}">
  <dimension ref="A1:AG74"/>
  <sheetViews>
    <sheetView tabSelected="1" zoomScale="145" zoomScaleNormal="145" workbookViewId="0">
      <pane xSplit="2" ySplit="3" topLeftCell="M4" activePane="bottomRight" state="frozen"/>
      <selection pane="topRight" activeCell="C1" sqref="C1"/>
      <selection pane="bottomLeft" activeCell="A3" sqref="A3"/>
      <selection pane="bottomRight" activeCell="Y21" sqref="Y21"/>
    </sheetView>
  </sheetViews>
  <sheetFormatPr defaultRowHeight="12.75" x14ac:dyDescent="0.2"/>
  <cols>
    <col min="1" max="1" width="5" bestFit="1" customWidth="1"/>
    <col min="2" max="2" width="13.42578125" bestFit="1" customWidth="1"/>
    <col min="3" max="14" width="9.140625" style="3"/>
    <col min="17" max="17" width="10.42578125" bestFit="1" customWidth="1"/>
    <col min="21" max="21" width="10.42578125" bestFit="1" customWidth="1"/>
    <col min="30" max="33" width="9.140625" style="3"/>
  </cols>
  <sheetData>
    <row r="1" spans="1:33" x14ac:dyDescent="0.2">
      <c r="A1" s="9" t="s">
        <v>7</v>
      </c>
    </row>
    <row r="2" spans="1:33" x14ac:dyDescent="0.2">
      <c r="Q2" s="11">
        <v>44865</v>
      </c>
      <c r="R2" s="11">
        <v>44957</v>
      </c>
      <c r="S2" s="11">
        <v>45046</v>
      </c>
      <c r="T2" s="11"/>
      <c r="U2" s="11">
        <v>45230</v>
      </c>
      <c r="V2" s="11">
        <v>45322</v>
      </c>
      <c r="W2" s="11">
        <v>45412</v>
      </c>
      <c r="AD2" s="11">
        <v>44957</v>
      </c>
      <c r="AE2" s="11">
        <v>45322</v>
      </c>
    </row>
    <row r="3" spans="1:33" x14ac:dyDescent="0.2"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6</v>
      </c>
      <c r="L3" s="3" t="s">
        <v>18</v>
      </c>
      <c r="M3" s="3" t="s">
        <v>19</v>
      </c>
      <c r="N3" s="3" t="s">
        <v>20</v>
      </c>
      <c r="O3" s="3" t="s">
        <v>63</v>
      </c>
      <c r="P3" s="3" t="s">
        <v>64</v>
      </c>
      <c r="Q3" s="3" t="s">
        <v>65</v>
      </c>
      <c r="R3" s="3" t="s">
        <v>66</v>
      </c>
      <c r="S3" s="3" t="s">
        <v>67</v>
      </c>
      <c r="T3" s="3" t="s">
        <v>68</v>
      </c>
      <c r="U3" s="3" t="s">
        <v>69</v>
      </c>
      <c r="V3" s="3" t="s">
        <v>70</v>
      </c>
      <c r="W3" s="3" t="s">
        <v>71</v>
      </c>
      <c r="X3" s="3" t="s">
        <v>72</v>
      </c>
      <c r="Y3" s="3" t="s">
        <v>73</v>
      </c>
      <c r="Z3" s="3" t="s">
        <v>74</v>
      </c>
      <c r="AD3" s="3" t="s">
        <v>96</v>
      </c>
      <c r="AE3" s="3" t="s">
        <v>97</v>
      </c>
      <c r="AF3" s="3" t="s">
        <v>98</v>
      </c>
    </row>
    <row r="4" spans="1:33" x14ac:dyDescent="0.2">
      <c r="B4" t="s">
        <v>75</v>
      </c>
      <c r="O4" s="3"/>
      <c r="P4" s="3"/>
      <c r="Q4" s="3"/>
      <c r="R4" s="3"/>
      <c r="S4" s="4">
        <v>239.32400000000001</v>
      </c>
      <c r="T4" s="4"/>
      <c r="U4" s="4"/>
      <c r="V4" s="4"/>
      <c r="W4" s="4">
        <v>261.31599999999997</v>
      </c>
      <c r="X4" s="3"/>
      <c r="Y4" s="3"/>
      <c r="Z4" s="3"/>
    </row>
    <row r="5" spans="1:33" x14ac:dyDescent="0.2">
      <c r="B5" t="s">
        <v>24</v>
      </c>
      <c r="O5" s="3"/>
      <c r="P5" s="3"/>
      <c r="Q5" s="3"/>
      <c r="R5" s="3"/>
      <c r="S5" s="4">
        <v>175.22200000000001</v>
      </c>
      <c r="T5" s="4"/>
      <c r="U5" s="4"/>
      <c r="V5" s="4"/>
      <c r="W5" s="4">
        <v>272.63900000000001</v>
      </c>
      <c r="X5" s="3"/>
      <c r="Y5" s="3"/>
      <c r="Z5" s="3"/>
    </row>
    <row r="6" spans="1:33" s="2" customFormat="1" x14ac:dyDescent="0.2">
      <c r="B6" s="2" t="s">
        <v>8</v>
      </c>
      <c r="C6" s="4"/>
      <c r="D6" s="4"/>
      <c r="E6" s="4"/>
      <c r="F6" s="4"/>
      <c r="G6" s="4">
        <v>341.11900000000003</v>
      </c>
      <c r="H6" s="4"/>
      <c r="I6" s="4"/>
      <c r="J6" s="4"/>
      <c r="K6" s="4">
        <v>402.63200000000001</v>
      </c>
      <c r="L6" s="4"/>
      <c r="M6" s="4"/>
      <c r="N6" s="4"/>
      <c r="P6" s="2">
        <v>428.649</v>
      </c>
      <c r="Q6" s="2">
        <v>441.56900000000002</v>
      </c>
      <c r="R6" s="2">
        <v>460.15199999999999</v>
      </c>
      <c r="S6" s="2">
        <v>414.54599999999999</v>
      </c>
      <c r="T6" s="2">
        <v>470.637</v>
      </c>
      <c r="U6" s="2">
        <v>494.91199999999998</v>
      </c>
      <c r="V6" s="2">
        <v>521.49800000000005</v>
      </c>
      <c r="W6" s="2">
        <v>533.95500000000004</v>
      </c>
      <c r="AD6" s="4"/>
      <c r="AE6" s="4">
        <f>SUM(S6:V6)</f>
        <v>1901.5930000000001</v>
      </c>
      <c r="AF6" s="4"/>
      <c r="AG6" s="4"/>
    </row>
    <row r="7" spans="1:33" s="2" customFormat="1" x14ac:dyDescent="0.2">
      <c r="B7" s="2" t="s">
        <v>9</v>
      </c>
      <c r="C7" s="4"/>
      <c r="D7" s="4"/>
      <c r="E7" s="4"/>
      <c r="F7" s="4"/>
      <c r="G7" s="4">
        <v>92.453999999999994</v>
      </c>
      <c r="H7" s="4"/>
      <c r="I7" s="4"/>
      <c r="J7" s="4"/>
      <c r="K7" s="4">
        <v>102.47</v>
      </c>
      <c r="L7" s="4"/>
      <c r="M7" s="4"/>
      <c r="N7" s="4"/>
      <c r="P7" s="2">
        <v>105.569</v>
      </c>
      <c r="Q7" s="2">
        <v>110.782</v>
      </c>
      <c r="R7" s="2">
        <v>103.23699999999999</v>
      </c>
      <c r="S7" s="2">
        <v>111.779</v>
      </c>
      <c r="T7" s="2">
        <v>119.58799999999999</v>
      </c>
      <c r="U7" s="2">
        <v>121.593</v>
      </c>
      <c r="V7" s="2">
        <v>109.12</v>
      </c>
      <c r="W7" s="2">
        <v>116.39</v>
      </c>
      <c r="AD7" s="4"/>
      <c r="AE7" s="4">
        <f>SUM(S7:V7)</f>
        <v>462.08</v>
      </c>
      <c r="AF7" s="4"/>
      <c r="AG7" s="4"/>
    </row>
    <row r="8" spans="1:33" s="5" customFormat="1" x14ac:dyDescent="0.2">
      <c r="B8" s="5" t="s">
        <v>21</v>
      </c>
      <c r="C8" s="6"/>
      <c r="D8" s="6"/>
      <c r="E8" s="6"/>
      <c r="F8" s="6"/>
      <c r="G8" s="6">
        <f>+G6+G7</f>
        <v>433.57300000000004</v>
      </c>
      <c r="H8" s="6"/>
      <c r="I8" s="6"/>
      <c r="J8" s="6"/>
      <c r="K8" s="6">
        <f>+K6+K7</f>
        <v>505.10199999999998</v>
      </c>
      <c r="L8" s="6"/>
      <c r="M8" s="6"/>
      <c r="N8" s="6"/>
      <c r="P8" s="5">
        <f>+P6+P7</f>
        <v>534.21799999999996</v>
      </c>
      <c r="Q8" s="5">
        <f>+Q6+Q7</f>
        <v>552.351</v>
      </c>
      <c r="R8" s="5">
        <f>+R6+R7</f>
        <v>563.38900000000001</v>
      </c>
      <c r="S8" s="5">
        <f>+S6+S7</f>
        <v>526.32500000000005</v>
      </c>
      <c r="T8" s="5">
        <f t="shared" ref="T8:W8" si="0">+T6+T7</f>
        <v>590.22500000000002</v>
      </c>
      <c r="U8" s="5">
        <f t="shared" si="0"/>
        <v>616.505</v>
      </c>
      <c r="V8" s="5">
        <f t="shared" si="0"/>
        <v>630.61800000000005</v>
      </c>
      <c r="W8" s="5">
        <f t="shared" si="0"/>
        <v>650.34500000000003</v>
      </c>
      <c r="AD8" s="6"/>
      <c r="AE8" s="6">
        <f>+AE6+AE7</f>
        <v>2363.6730000000002</v>
      </c>
      <c r="AF8" s="6"/>
      <c r="AG8" s="6"/>
    </row>
    <row r="9" spans="1:33" s="2" customFormat="1" x14ac:dyDescent="0.2">
      <c r="B9" s="2" t="s">
        <v>23</v>
      </c>
      <c r="C9" s="4"/>
      <c r="D9" s="4"/>
      <c r="E9" s="4"/>
      <c r="F9" s="4"/>
      <c r="G9" s="4">
        <v>116.136</v>
      </c>
      <c r="H9" s="4"/>
      <c r="I9" s="4"/>
      <c r="J9" s="4"/>
      <c r="K9" s="4">
        <v>139.51499999999999</v>
      </c>
      <c r="L9" s="4"/>
      <c r="M9" s="4"/>
      <c r="N9" s="4"/>
      <c r="P9" s="2">
        <v>151.66900000000001</v>
      </c>
      <c r="Q9" s="2">
        <v>153.90700000000001</v>
      </c>
      <c r="R9" s="2">
        <v>164.31399999999999</v>
      </c>
      <c r="S9" s="2">
        <v>166.66300000000001</v>
      </c>
      <c r="T9" s="2">
        <v>169.018</v>
      </c>
      <c r="U9" s="2">
        <v>167.68199999999999</v>
      </c>
      <c r="V9" s="2">
        <v>173.928</v>
      </c>
      <c r="W9" s="2">
        <v>173.88399999999999</v>
      </c>
      <c r="AD9" s="4"/>
      <c r="AE9" s="4">
        <f>SUM(S9:V9)</f>
        <v>677.29100000000005</v>
      </c>
      <c r="AF9" s="4"/>
      <c r="AG9" s="4"/>
    </row>
    <row r="10" spans="1:33" s="2" customFormat="1" x14ac:dyDescent="0.2">
      <c r="B10" s="2" t="s">
        <v>22</v>
      </c>
      <c r="C10" s="4"/>
      <c r="D10" s="4"/>
      <c r="E10" s="4"/>
      <c r="F10" s="4"/>
      <c r="G10" s="4">
        <f>+G8-G9</f>
        <v>317.43700000000001</v>
      </c>
      <c r="H10" s="4"/>
      <c r="I10" s="4"/>
      <c r="J10" s="4"/>
      <c r="K10" s="4">
        <f>+K8-K9</f>
        <v>365.58699999999999</v>
      </c>
      <c r="L10" s="4"/>
      <c r="M10" s="4"/>
      <c r="N10" s="4"/>
      <c r="P10" s="2">
        <f t="shared" ref="P10:U10" si="1">+P8-P9</f>
        <v>382.54899999999998</v>
      </c>
      <c r="Q10" s="2">
        <f t="shared" si="1"/>
        <v>398.44399999999996</v>
      </c>
      <c r="R10" s="2">
        <f t="shared" si="1"/>
        <v>399.07500000000005</v>
      </c>
      <c r="S10" s="2">
        <f t="shared" si="1"/>
        <v>359.66200000000003</v>
      </c>
      <c r="T10" s="2">
        <f t="shared" si="1"/>
        <v>421.20699999999999</v>
      </c>
      <c r="U10" s="2">
        <f t="shared" si="1"/>
        <v>448.82299999999998</v>
      </c>
      <c r="V10" s="2">
        <f>+V8-V9</f>
        <v>456.69000000000005</v>
      </c>
      <c r="W10" s="2">
        <f>+W8-W9</f>
        <v>476.46100000000001</v>
      </c>
      <c r="AD10" s="4"/>
      <c r="AE10" s="4">
        <f>+AE8-AE9</f>
        <v>1686.3820000000001</v>
      </c>
      <c r="AF10" s="4"/>
      <c r="AG10" s="4"/>
    </row>
    <row r="11" spans="1:33" s="2" customFormat="1" x14ac:dyDescent="0.2">
      <c r="B11" s="2" t="s">
        <v>24</v>
      </c>
      <c r="C11" s="4"/>
      <c r="D11" s="4"/>
      <c r="E11" s="4"/>
      <c r="F11" s="4"/>
      <c r="G11" s="4">
        <v>83.225999999999999</v>
      </c>
      <c r="H11" s="4"/>
      <c r="I11" s="4"/>
      <c r="J11" s="4"/>
      <c r="K11" s="4">
        <v>113.47499999999999</v>
      </c>
      <c r="L11" s="4"/>
      <c r="M11" s="4"/>
      <c r="N11" s="4"/>
      <c r="P11" s="2">
        <v>134.00800000000001</v>
      </c>
      <c r="Q11" s="2">
        <v>130.25700000000001</v>
      </c>
      <c r="R11" s="2">
        <v>142.53800000000001</v>
      </c>
      <c r="S11" s="2">
        <v>146.96</v>
      </c>
      <c r="T11" s="2">
        <v>157.22800000000001</v>
      </c>
      <c r="U11" s="2">
        <v>161.27799999999999</v>
      </c>
      <c r="V11" s="2">
        <v>163.565</v>
      </c>
      <c r="W11" s="2">
        <v>162.71100000000001</v>
      </c>
      <c r="AD11" s="4"/>
      <c r="AE11" s="4">
        <f>SUM(S11:V11)</f>
        <v>629.03099999999995</v>
      </c>
      <c r="AF11" s="4"/>
      <c r="AG11" s="4"/>
    </row>
    <row r="12" spans="1:33" s="2" customFormat="1" x14ac:dyDescent="0.2">
      <c r="B12" s="2" t="s">
        <v>25</v>
      </c>
      <c r="C12" s="4"/>
      <c r="D12" s="4"/>
      <c r="E12" s="4"/>
      <c r="F12" s="4"/>
      <c r="G12" s="4">
        <v>64.61</v>
      </c>
      <c r="H12" s="4"/>
      <c r="I12" s="4"/>
      <c r="J12" s="4"/>
      <c r="K12" s="4">
        <v>76.114999999999995</v>
      </c>
      <c r="L12" s="4"/>
      <c r="M12" s="4"/>
      <c r="N12" s="4"/>
      <c r="P12" s="2">
        <v>89.617000000000004</v>
      </c>
      <c r="Q12" s="2">
        <v>93.91</v>
      </c>
      <c r="R12" s="2">
        <v>89.049000000000007</v>
      </c>
      <c r="S12" s="2">
        <v>88.503</v>
      </c>
      <c r="T12" s="2">
        <v>96.995000000000005</v>
      </c>
      <c r="U12" s="2">
        <v>96.772999999999996</v>
      </c>
      <c r="V12" s="2">
        <v>99.203000000000003</v>
      </c>
      <c r="W12" s="2">
        <v>97.301000000000002</v>
      </c>
      <c r="AD12" s="4"/>
      <c r="AE12" s="4">
        <f>SUM(S12:V12)</f>
        <v>381.47399999999993</v>
      </c>
      <c r="AF12" s="4"/>
      <c r="AG12" s="4"/>
    </row>
    <row r="13" spans="1:33" s="2" customFormat="1" x14ac:dyDescent="0.2">
      <c r="B13" s="2" t="s">
        <v>26</v>
      </c>
      <c r="C13" s="4"/>
      <c r="D13" s="4"/>
      <c r="E13" s="4"/>
      <c r="F13" s="4"/>
      <c r="G13" s="4">
        <v>41.155000000000001</v>
      </c>
      <c r="H13" s="4"/>
      <c r="I13" s="4"/>
      <c r="J13" s="4"/>
      <c r="K13" s="4">
        <v>48.325000000000003</v>
      </c>
      <c r="L13" s="4"/>
      <c r="M13" s="4"/>
      <c r="N13" s="4"/>
      <c r="P13" s="2">
        <v>57.832000000000001</v>
      </c>
      <c r="Q13" s="2">
        <v>52.872999999999998</v>
      </c>
      <c r="R13" s="2">
        <v>58.564999999999998</v>
      </c>
      <c r="S13" s="2">
        <v>62.668999999999997</v>
      </c>
      <c r="T13" s="2">
        <v>62.935000000000002</v>
      </c>
      <c r="U13" s="2">
        <v>62.283000000000001</v>
      </c>
      <c r="V13" s="2">
        <v>58.658000000000001</v>
      </c>
      <c r="W13" s="2">
        <v>61.277000000000001</v>
      </c>
      <c r="AD13" s="4"/>
      <c r="AE13" s="4">
        <f>SUM(S13:V13)</f>
        <v>246.54500000000002</v>
      </c>
      <c r="AF13" s="4"/>
      <c r="AG13" s="4"/>
    </row>
    <row r="14" spans="1:33" s="2" customFormat="1" x14ac:dyDescent="0.2">
      <c r="B14" s="2" t="s">
        <v>27</v>
      </c>
      <c r="C14" s="4"/>
      <c r="D14" s="4"/>
      <c r="E14" s="4"/>
      <c r="F14" s="4"/>
      <c r="G14" s="4">
        <f>SUM(G11:G13)</f>
        <v>188.99100000000001</v>
      </c>
      <c r="H14" s="4"/>
      <c r="I14" s="4"/>
      <c r="J14" s="4"/>
      <c r="K14" s="4">
        <f>SUM(K11:K13)</f>
        <v>237.91499999999996</v>
      </c>
      <c r="L14" s="4"/>
      <c r="M14" s="4"/>
      <c r="N14" s="4"/>
      <c r="P14" s="2">
        <f>SUM(P11:P13)</f>
        <v>281.45699999999999</v>
      </c>
      <c r="Q14" s="2">
        <f>SUM(Q11:Q13)</f>
        <v>277.04000000000002</v>
      </c>
      <c r="R14" s="2">
        <f>SUM(R11:R13)</f>
        <v>290.15200000000004</v>
      </c>
      <c r="S14" s="2">
        <f>SUM(S11:S13)</f>
        <v>298.13200000000001</v>
      </c>
      <c r="T14" s="2">
        <f t="shared" ref="T14:W14" si="2">SUM(T11:T13)</f>
        <v>317.15800000000002</v>
      </c>
      <c r="U14" s="2">
        <f t="shared" si="2"/>
        <v>320.334</v>
      </c>
      <c r="V14" s="2">
        <f t="shared" si="2"/>
        <v>321.42600000000004</v>
      </c>
      <c r="W14" s="2">
        <f t="shared" si="2"/>
        <v>321.28899999999999</v>
      </c>
      <c r="AD14" s="4"/>
      <c r="AE14" s="4">
        <f>SUM(AE11:AE13)</f>
        <v>1257.05</v>
      </c>
      <c r="AF14" s="4"/>
      <c r="AG14" s="4"/>
    </row>
    <row r="15" spans="1:33" s="2" customFormat="1" x14ac:dyDescent="0.2">
      <c r="B15" s="2" t="s">
        <v>28</v>
      </c>
      <c r="C15" s="4"/>
      <c r="D15" s="4"/>
      <c r="E15" s="4"/>
      <c r="F15" s="4"/>
      <c r="G15" s="4">
        <f>G10-G14</f>
        <v>128.446</v>
      </c>
      <c r="H15" s="4"/>
      <c r="I15" s="4"/>
      <c r="J15" s="4"/>
      <c r="K15" s="4">
        <f>K10-K14</f>
        <v>127.67200000000003</v>
      </c>
      <c r="L15" s="4"/>
      <c r="M15" s="4"/>
      <c r="N15" s="4"/>
      <c r="P15" s="2">
        <f>P10-P14</f>
        <v>101.09199999999998</v>
      </c>
      <c r="Q15" s="2">
        <f>Q10-Q14</f>
        <v>121.40399999999994</v>
      </c>
      <c r="R15" s="2">
        <f>R10-R14</f>
        <v>108.923</v>
      </c>
      <c r="S15" s="2">
        <f>S10-S14</f>
        <v>61.53000000000003</v>
      </c>
      <c r="T15" s="2">
        <f t="shared" ref="T15:W15" si="3">T10-T14</f>
        <v>104.04899999999998</v>
      </c>
      <c r="U15" s="2">
        <f t="shared" si="3"/>
        <v>128.48899999999998</v>
      </c>
      <c r="V15" s="2">
        <f t="shared" si="3"/>
        <v>135.26400000000001</v>
      </c>
      <c r="W15" s="2">
        <f t="shared" si="3"/>
        <v>155.17200000000003</v>
      </c>
      <c r="AD15" s="4"/>
      <c r="AE15" s="4">
        <f>+AE10-AE14</f>
        <v>429.33200000000011</v>
      </c>
      <c r="AF15" s="4"/>
      <c r="AG15" s="4"/>
    </row>
    <row r="16" spans="1:33" s="2" customFormat="1" x14ac:dyDescent="0.2">
      <c r="B16" s="2" t="s">
        <v>29</v>
      </c>
      <c r="C16" s="4"/>
      <c r="D16" s="4"/>
      <c r="E16" s="4"/>
      <c r="F16" s="4"/>
      <c r="G16" s="4">
        <v>4.5640000000000001</v>
      </c>
      <c r="H16" s="4"/>
      <c r="I16" s="4"/>
      <c r="J16" s="4"/>
      <c r="K16" s="4">
        <v>2.7090000000000001</v>
      </c>
      <c r="L16" s="4"/>
      <c r="M16" s="4"/>
      <c r="N16" s="4"/>
      <c r="P16" s="2">
        <v>8.3979999999999997</v>
      </c>
      <c r="Q16" s="2">
        <v>12.458</v>
      </c>
      <c r="R16" s="2">
        <v>26.44</v>
      </c>
      <c r="S16" s="2">
        <v>30.248000000000001</v>
      </c>
      <c r="T16" s="2">
        <v>38.826000000000001</v>
      </c>
      <c r="U16" s="2">
        <v>42.186999999999998</v>
      </c>
      <c r="V16" s="2">
        <v>47.429000000000002</v>
      </c>
      <c r="W16" s="2">
        <v>51.728999999999999</v>
      </c>
      <c r="AD16" s="4"/>
      <c r="AE16" s="4">
        <f>SUM(S16:V16)</f>
        <v>158.69</v>
      </c>
      <c r="AF16" s="4"/>
      <c r="AG16" s="4"/>
    </row>
    <row r="17" spans="2:33" s="2" customFormat="1" x14ac:dyDescent="0.2">
      <c r="B17" s="2" t="s">
        <v>32</v>
      </c>
      <c r="C17" s="4"/>
      <c r="D17" s="4"/>
      <c r="E17" s="4"/>
      <c r="F17" s="4"/>
      <c r="G17" s="4">
        <f>+G15+G16</f>
        <v>133.01</v>
      </c>
      <c r="H17" s="4"/>
      <c r="I17" s="4"/>
      <c r="J17" s="4"/>
      <c r="K17" s="4">
        <f>+K15+K16</f>
        <v>130.38100000000003</v>
      </c>
      <c r="L17" s="4"/>
      <c r="M17" s="4"/>
      <c r="N17" s="4"/>
      <c r="P17" s="2">
        <f>+P15+P16</f>
        <v>109.48999999999998</v>
      </c>
      <c r="Q17" s="2">
        <f>+Q15+Q16</f>
        <v>133.86199999999994</v>
      </c>
      <c r="R17" s="2">
        <f>+R15+R16</f>
        <v>135.363</v>
      </c>
      <c r="S17" s="2">
        <f>+S15+S16</f>
        <v>91.778000000000034</v>
      </c>
      <c r="T17" s="2">
        <f t="shared" ref="T17:W17" si="4">+T15+T16</f>
        <v>142.87499999999997</v>
      </c>
      <c r="U17" s="2">
        <f t="shared" si="4"/>
        <v>170.67599999999999</v>
      </c>
      <c r="V17" s="2">
        <f t="shared" si="4"/>
        <v>182.69300000000001</v>
      </c>
      <c r="W17" s="2">
        <f t="shared" si="4"/>
        <v>206.90100000000001</v>
      </c>
      <c r="AD17" s="4"/>
      <c r="AE17" s="4">
        <f>+AE15+AE16</f>
        <v>588.02200000000016</v>
      </c>
      <c r="AF17" s="4"/>
      <c r="AG17" s="4"/>
    </row>
    <row r="18" spans="2:33" s="2" customFormat="1" x14ac:dyDescent="0.2">
      <c r="B18" s="2" t="s">
        <v>31</v>
      </c>
      <c r="C18" s="4"/>
      <c r="D18" s="4"/>
      <c r="E18" s="4"/>
      <c r="F18" s="4"/>
      <c r="G18" s="4">
        <v>17.443000000000001</v>
      </c>
      <c r="H18" s="4"/>
      <c r="I18" s="4"/>
      <c r="J18" s="4"/>
      <c r="K18" s="4">
        <v>30.265999999999998</v>
      </c>
      <c r="L18" s="4"/>
      <c r="M18" s="4"/>
      <c r="N18" s="4"/>
      <c r="P18" s="2">
        <v>18.888999999999999</v>
      </c>
      <c r="Q18" s="2">
        <v>25.405000000000001</v>
      </c>
      <c r="R18" s="2">
        <v>-53.17</v>
      </c>
      <c r="S18" s="2">
        <v>-39.743000000000002</v>
      </c>
      <c r="T18" s="2">
        <v>31.247</v>
      </c>
      <c r="U18" s="2">
        <v>35.518000000000001</v>
      </c>
      <c r="V18" s="2">
        <v>35.295000000000002</v>
      </c>
      <c r="W18" s="2">
        <v>45.237000000000002</v>
      </c>
      <c r="AD18" s="4"/>
      <c r="AE18" s="4">
        <f>SUM(S18:V18)</f>
        <v>62.317</v>
      </c>
      <c r="AF18" s="4"/>
      <c r="AG18" s="4"/>
    </row>
    <row r="19" spans="2:33" s="2" customFormat="1" x14ac:dyDescent="0.2">
      <c r="B19" s="2" t="s">
        <v>30</v>
      </c>
      <c r="C19" s="4"/>
      <c r="D19" s="4"/>
      <c r="E19" s="4"/>
      <c r="F19" s="4"/>
      <c r="G19" s="4">
        <f>+G17-G18</f>
        <v>115.56699999999999</v>
      </c>
      <c r="H19" s="4"/>
      <c r="I19" s="4"/>
      <c r="J19" s="4"/>
      <c r="K19" s="4">
        <f>+K17-K18</f>
        <v>100.11500000000004</v>
      </c>
      <c r="L19" s="4"/>
      <c r="M19" s="4"/>
      <c r="N19" s="4"/>
      <c r="P19" s="2">
        <f t="shared" ref="P19:V19" si="5">+P17-P18</f>
        <v>90.600999999999985</v>
      </c>
      <c r="Q19" s="2">
        <f t="shared" si="5"/>
        <v>108.45699999999994</v>
      </c>
      <c r="R19" s="2">
        <f t="shared" si="5"/>
        <v>188.53300000000002</v>
      </c>
      <c r="S19" s="2">
        <f t="shared" si="5"/>
        <v>131.52100000000004</v>
      </c>
      <c r="T19" s="2">
        <f t="shared" si="5"/>
        <v>111.62799999999997</v>
      </c>
      <c r="U19" s="2">
        <f t="shared" si="5"/>
        <v>135.15799999999999</v>
      </c>
      <c r="V19" s="2">
        <f>+V17-V18</f>
        <v>147.39800000000002</v>
      </c>
      <c r="W19" s="2">
        <f>+W17-W18</f>
        <v>161.66400000000002</v>
      </c>
      <c r="AD19" s="4"/>
      <c r="AE19" s="4">
        <f>+AE17-AE18</f>
        <v>525.70500000000015</v>
      </c>
      <c r="AF19" s="4"/>
      <c r="AG19" s="4"/>
    </row>
    <row r="20" spans="2:33" x14ac:dyDescent="0.2">
      <c r="B20" s="2" t="s">
        <v>33</v>
      </c>
      <c r="G20" s="7">
        <f>+G19/G21</f>
        <v>0.71243981678410484</v>
      </c>
      <c r="K20" s="7">
        <f>+K19/K21</f>
        <v>0.61826861321080995</v>
      </c>
      <c r="P20" s="1">
        <f t="shared" ref="P20:V20" si="6">+P19/P21</f>
        <v>0.55881010534626097</v>
      </c>
      <c r="Q20" s="1">
        <f t="shared" si="6"/>
        <v>0.66827074155087929</v>
      </c>
      <c r="R20" s="1">
        <f t="shared" si="6"/>
        <v>1.1630373093816315</v>
      </c>
      <c r="S20" s="1">
        <f t="shared" si="6"/>
        <v>0.80925541929966005</v>
      </c>
      <c r="T20" s="1">
        <f t="shared" si="6"/>
        <v>0.68364322285098345</v>
      </c>
      <c r="U20" s="1">
        <f t="shared" si="6"/>
        <v>0.82533692393182745</v>
      </c>
      <c r="V20" s="1">
        <f>+V19/V21</f>
        <v>0.89837936015505504</v>
      </c>
      <c r="W20" s="1">
        <f>+W19/W21</f>
        <v>0.98339355450928867</v>
      </c>
    </row>
    <row r="21" spans="2:33" s="2" customFormat="1" x14ac:dyDescent="0.2">
      <c r="B21" s="2" t="s">
        <v>1</v>
      </c>
      <c r="C21" s="4"/>
      <c r="D21" s="4"/>
      <c r="E21" s="4"/>
      <c r="F21" s="4"/>
      <c r="G21" s="4">
        <v>162.21299999999999</v>
      </c>
      <c r="H21" s="4"/>
      <c r="I21" s="4"/>
      <c r="J21" s="4"/>
      <c r="K21" s="4">
        <v>161.928</v>
      </c>
      <c r="L21" s="4"/>
      <c r="M21" s="4"/>
      <c r="N21" s="4"/>
      <c r="P21" s="2">
        <v>162.13200000000001</v>
      </c>
      <c r="Q21" s="2">
        <v>162.29499999999999</v>
      </c>
      <c r="R21" s="2">
        <v>162.10400000000001</v>
      </c>
      <c r="S21" s="2">
        <v>162.52099999999999</v>
      </c>
      <c r="T21" s="2">
        <v>163.28399999999999</v>
      </c>
      <c r="U21" s="2">
        <v>163.761</v>
      </c>
      <c r="V21" s="2">
        <v>164.071</v>
      </c>
      <c r="W21" s="2">
        <v>164.39400000000001</v>
      </c>
      <c r="AD21" s="4"/>
      <c r="AE21" s="4"/>
      <c r="AF21" s="4"/>
      <c r="AG21" s="4"/>
    </row>
    <row r="23" spans="2:33" x14ac:dyDescent="0.2">
      <c r="B23" s="2" t="s">
        <v>34</v>
      </c>
      <c r="K23" s="8">
        <f>+K8/G8-1</f>
        <v>0.16497567883608966</v>
      </c>
      <c r="S23" s="10"/>
      <c r="T23" s="10">
        <f t="shared" ref="S23:V23" si="7">+T8/P8-1</f>
        <v>0.10483922293895009</v>
      </c>
      <c r="U23" s="10">
        <f t="shared" si="7"/>
        <v>0.11614716004859238</v>
      </c>
      <c r="V23" s="10">
        <f t="shared" si="7"/>
        <v>0.11932962837400107</v>
      </c>
      <c r="W23" s="10">
        <f>+W8/S8-1</f>
        <v>0.23563387640716282</v>
      </c>
    </row>
    <row r="24" spans="2:33" x14ac:dyDescent="0.2">
      <c r="B24" s="2" t="s">
        <v>35</v>
      </c>
      <c r="G24" s="8">
        <f>G10/G8</f>
        <v>0.73214199223660137</v>
      </c>
      <c r="K24" s="8">
        <f>K10/K8</f>
        <v>0.7237884625283606</v>
      </c>
    </row>
    <row r="27" spans="2:33" s="2" customFormat="1" x14ac:dyDescent="0.2">
      <c r="B27" s="2" t="s">
        <v>3</v>
      </c>
      <c r="C27" s="4"/>
      <c r="D27" s="4"/>
      <c r="E27" s="4"/>
      <c r="F27" s="4"/>
      <c r="G27" s="4"/>
      <c r="H27" s="4"/>
      <c r="I27" s="4"/>
      <c r="J27" s="4"/>
      <c r="K27" s="4">
        <f>1239.998+1598.555</f>
        <v>2838.5529999999999</v>
      </c>
      <c r="L27" s="4"/>
      <c r="M27" s="4"/>
      <c r="N27" s="4"/>
      <c r="V27" s="2">
        <f>703.487+3324.269</f>
        <v>4027.7559999999999</v>
      </c>
      <c r="W27" s="2">
        <f>1197.196+3567.841</f>
        <v>4765.0370000000003</v>
      </c>
      <c r="AD27" s="4"/>
      <c r="AE27" s="4"/>
      <c r="AF27" s="4"/>
      <c r="AG27" s="4"/>
    </row>
    <row r="28" spans="2:33" s="2" customFormat="1" x14ac:dyDescent="0.2">
      <c r="B28" s="2" t="s">
        <v>37</v>
      </c>
      <c r="C28" s="4"/>
      <c r="D28" s="4"/>
      <c r="E28" s="4"/>
      <c r="F28" s="4"/>
      <c r="G28" s="4"/>
      <c r="H28" s="4"/>
      <c r="I28" s="4"/>
      <c r="J28" s="4"/>
      <c r="K28" s="4">
        <v>329.67700000000002</v>
      </c>
      <c r="L28" s="4"/>
      <c r="M28" s="4"/>
      <c r="N28" s="4"/>
      <c r="V28" s="2">
        <v>852.17200000000003</v>
      </c>
      <c r="W28" s="2">
        <v>362.32</v>
      </c>
      <c r="AD28" s="4"/>
      <c r="AE28" s="4"/>
      <c r="AF28" s="4"/>
      <c r="AG28" s="4"/>
    </row>
    <row r="29" spans="2:33" s="2" customFormat="1" x14ac:dyDescent="0.2">
      <c r="B29" s="2" t="s">
        <v>38</v>
      </c>
      <c r="C29" s="4"/>
      <c r="D29" s="4"/>
      <c r="E29" s="4"/>
      <c r="F29" s="4"/>
      <c r="G29" s="4"/>
      <c r="H29" s="4"/>
      <c r="I29" s="4"/>
      <c r="J29" s="4"/>
      <c r="K29" s="4">
        <v>61.970999999999997</v>
      </c>
      <c r="L29" s="4"/>
      <c r="M29" s="4"/>
      <c r="N29" s="4"/>
      <c r="V29" s="2">
        <v>36.365000000000002</v>
      </c>
      <c r="W29" s="2">
        <v>38.771000000000001</v>
      </c>
      <c r="AD29" s="4"/>
      <c r="AE29" s="4"/>
      <c r="AF29" s="4"/>
      <c r="AG29" s="4"/>
    </row>
    <row r="30" spans="2:33" s="2" customFormat="1" x14ac:dyDescent="0.2">
      <c r="B30" s="2" t="s">
        <v>39</v>
      </c>
      <c r="C30" s="4"/>
      <c r="D30" s="4"/>
      <c r="E30" s="4"/>
      <c r="F30" s="4"/>
      <c r="G30" s="4"/>
      <c r="H30" s="4"/>
      <c r="I30" s="4"/>
      <c r="J30" s="4"/>
      <c r="K30" s="4">
        <v>45.094000000000001</v>
      </c>
      <c r="L30" s="4"/>
      <c r="M30" s="4"/>
      <c r="N30" s="4"/>
      <c r="V30" s="2">
        <v>86.918000000000006</v>
      </c>
      <c r="W30" s="2">
        <v>78.819999999999993</v>
      </c>
      <c r="AD30" s="4"/>
      <c r="AE30" s="4"/>
      <c r="AF30" s="4"/>
      <c r="AG30" s="4"/>
    </row>
    <row r="31" spans="2:33" s="2" customFormat="1" x14ac:dyDescent="0.2">
      <c r="B31" s="2" t="s">
        <v>40</v>
      </c>
      <c r="C31" s="4"/>
      <c r="D31" s="4"/>
      <c r="E31" s="4"/>
      <c r="F31" s="4"/>
      <c r="G31" s="4"/>
      <c r="H31" s="4"/>
      <c r="I31" s="4"/>
      <c r="J31" s="4"/>
      <c r="K31" s="4">
        <v>53.816000000000003</v>
      </c>
      <c r="L31" s="4"/>
      <c r="M31" s="4"/>
      <c r="N31" s="4"/>
      <c r="V31" s="2">
        <v>58.531999999999996</v>
      </c>
      <c r="W31" s="2">
        <v>58.042000000000002</v>
      </c>
      <c r="AD31" s="4"/>
      <c r="AE31" s="4"/>
      <c r="AF31" s="4"/>
      <c r="AG31" s="4"/>
    </row>
    <row r="32" spans="2:33" s="2" customFormat="1" x14ac:dyDescent="0.2">
      <c r="B32" s="2" t="s">
        <v>41</v>
      </c>
      <c r="C32" s="4"/>
      <c r="D32" s="4"/>
      <c r="E32" s="4"/>
      <c r="F32" s="4"/>
      <c r="G32" s="4"/>
      <c r="H32" s="4"/>
      <c r="I32" s="4"/>
      <c r="J32" s="4"/>
      <c r="K32" s="4">
        <v>30.192</v>
      </c>
      <c r="L32" s="4"/>
      <c r="M32" s="4"/>
      <c r="N32" s="4"/>
      <c r="V32" s="2">
        <v>23.916</v>
      </c>
      <c r="W32" s="2">
        <v>23.966999999999999</v>
      </c>
      <c r="AD32" s="4"/>
      <c r="AE32" s="4"/>
      <c r="AF32" s="4"/>
      <c r="AG32" s="4"/>
    </row>
    <row r="33" spans="2:33" s="2" customFormat="1" x14ac:dyDescent="0.2">
      <c r="B33" s="2" t="s">
        <v>42</v>
      </c>
      <c r="C33" s="4"/>
      <c r="D33" s="4"/>
      <c r="E33" s="4"/>
      <c r="F33" s="4"/>
      <c r="G33" s="4"/>
      <c r="H33" s="4"/>
      <c r="I33" s="4"/>
      <c r="J33" s="4"/>
      <c r="K33" s="4">
        <v>48.887</v>
      </c>
      <c r="L33" s="4"/>
      <c r="M33" s="4"/>
      <c r="N33" s="4"/>
      <c r="V33" s="2">
        <v>45.601999999999997</v>
      </c>
      <c r="W33" s="2">
        <v>44.582999999999998</v>
      </c>
      <c r="AD33" s="4"/>
      <c r="AE33" s="4"/>
      <c r="AF33" s="4"/>
      <c r="AG33" s="4"/>
    </row>
    <row r="34" spans="2:33" s="2" customFormat="1" x14ac:dyDescent="0.2">
      <c r="B34" s="2" t="s">
        <v>43</v>
      </c>
      <c r="C34" s="4"/>
      <c r="D34" s="4"/>
      <c r="E34" s="4"/>
      <c r="F34" s="4"/>
      <c r="G34" s="4"/>
      <c r="H34" s="4"/>
      <c r="I34" s="4"/>
      <c r="J34" s="4"/>
      <c r="K34" s="4">
        <f>439.877+97.194</f>
        <v>537.07100000000003</v>
      </c>
      <c r="L34" s="4"/>
      <c r="M34" s="4"/>
      <c r="N34" s="4"/>
      <c r="V34" s="2">
        <f>439.877+63.017</f>
        <v>502.89400000000001</v>
      </c>
      <c r="W34" s="2">
        <f>439.877+58.231</f>
        <v>498.108</v>
      </c>
      <c r="AD34" s="4"/>
      <c r="AE34" s="4"/>
      <c r="AF34" s="4"/>
      <c r="AG34" s="4"/>
    </row>
    <row r="35" spans="2:33" s="2" customFormat="1" x14ac:dyDescent="0.2">
      <c r="B35" s="2" t="s">
        <v>44</v>
      </c>
      <c r="C35" s="4"/>
      <c r="D35" s="4"/>
      <c r="E35" s="4"/>
      <c r="F35" s="4"/>
      <c r="G35" s="4"/>
      <c r="H35" s="4"/>
      <c r="I35" s="4"/>
      <c r="J35" s="4"/>
      <c r="K35" s="4">
        <v>40.673999999999999</v>
      </c>
      <c r="L35" s="4"/>
      <c r="M35" s="4"/>
      <c r="N35" s="4"/>
      <c r="V35" s="2">
        <v>233.46299999999999</v>
      </c>
      <c r="W35" s="2">
        <v>266.06</v>
      </c>
      <c r="AD35" s="4"/>
      <c r="AE35" s="4"/>
      <c r="AF35" s="4"/>
      <c r="AG35" s="4"/>
    </row>
    <row r="36" spans="2:33" s="2" customFormat="1" x14ac:dyDescent="0.2">
      <c r="B36" s="2" t="s">
        <v>45</v>
      </c>
      <c r="C36" s="4"/>
      <c r="D36" s="4"/>
      <c r="E36" s="4"/>
      <c r="F36" s="4"/>
      <c r="G36" s="4"/>
      <c r="H36" s="4"/>
      <c r="I36" s="4"/>
      <c r="J36" s="4"/>
      <c r="K36" s="4">
        <v>25.286999999999999</v>
      </c>
      <c r="L36" s="4"/>
      <c r="M36" s="4"/>
      <c r="N36" s="4"/>
      <c r="V36" s="2">
        <v>43.302</v>
      </c>
      <c r="W36" s="2">
        <v>51.85</v>
      </c>
      <c r="AD36" s="4"/>
      <c r="AE36" s="4"/>
      <c r="AF36" s="4"/>
      <c r="AG36" s="4"/>
    </row>
    <row r="37" spans="2:33" s="2" customFormat="1" x14ac:dyDescent="0.2">
      <c r="B37" s="2" t="s">
        <v>36</v>
      </c>
      <c r="C37" s="4"/>
      <c r="D37" s="4"/>
      <c r="E37" s="4"/>
      <c r="F37" s="4"/>
      <c r="G37" s="4"/>
      <c r="H37" s="4"/>
      <c r="I37" s="4"/>
      <c r="J37" s="4"/>
      <c r="K37" s="4">
        <f>SUM(K27:K36)</f>
        <v>4011.2219999999998</v>
      </c>
      <c r="L37" s="4"/>
      <c r="M37" s="4"/>
      <c r="N37" s="4"/>
      <c r="V37" s="2">
        <f>SUM(V27:V36)</f>
        <v>5910.9199999999992</v>
      </c>
      <c r="W37" s="2">
        <f>SUM(W27:W36)</f>
        <v>6187.558</v>
      </c>
      <c r="AD37" s="4"/>
      <c r="AE37" s="4"/>
      <c r="AF37" s="4"/>
      <c r="AG37" s="4"/>
    </row>
    <row r="39" spans="2:33" x14ac:dyDescent="0.2">
      <c r="B39" s="2" t="s">
        <v>48</v>
      </c>
      <c r="K39" s="4">
        <v>25.404</v>
      </c>
      <c r="V39" s="2">
        <v>31.513000000000002</v>
      </c>
      <c r="W39" s="2">
        <v>31.93</v>
      </c>
    </row>
    <row r="40" spans="2:33" x14ac:dyDescent="0.2">
      <c r="B40" s="2" t="s">
        <v>49</v>
      </c>
      <c r="K40" s="4">
        <v>33.213999999999999</v>
      </c>
      <c r="V40" s="2">
        <v>43.433</v>
      </c>
      <c r="W40" s="2">
        <v>38.755000000000003</v>
      </c>
    </row>
    <row r="41" spans="2:33" x14ac:dyDescent="0.2">
      <c r="B41" s="2" t="s">
        <v>50</v>
      </c>
      <c r="K41" s="4">
        <v>33.930999999999997</v>
      </c>
      <c r="V41" s="2">
        <v>32.979999999999997</v>
      </c>
      <c r="W41" s="2">
        <v>41.186999999999998</v>
      </c>
    </row>
    <row r="42" spans="2:33" x14ac:dyDescent="0.2">
      <c r="B42" s="2" t="s">
        <v>31</v>
      </c>
      <c r="K42" s="4">
        <v>50.984000000000002</v>
      </c>
      <c r="V42" s="2">
        <v>11.862</v>
      </c>
      <c r="W42" s="2">
        <f>71.567</f>
        <v>71.566999999999993</v>
      </c>
    </row>
    <row r="43" spans="2:33" x14ac:dyDescent="0.2">
      <c r="B43" s="2" t="s">
        <v>51</v>
      </c>
      <c r="K43" s="4">
        <v>723.721</v>
      </c>
      <c r="V43" s="2">
        <v>1049.761</v>
      </c>
      <c r="W43" s="2">
        <v>1029.4549999999999</v>
      </c>
    </row>
    <row r="44" spans="2:33" x14ac:dyDescent="0.2">
      <c r="B44" s="2" t="s">
        <v>42</v>
      </c>
      <c r="K44" s="4">
        <f>11.606+42.462</f>
        <v>54.068000000000005</v>
      </c>
      <c r="V44" s="2">
        <f>9.334+46.441</f>
        <v>55.775000000000006</v>
      </c>
      <c r="W44" s="2">
        <f>10.392+45.351</f>
        <v>55.742999999999995</v>
      </c>
    </row>
    <row r="45" spans="2:33" x14ac:dyDescent="0.2">
      <c r="B45" s="2" t="s">
        <v>44</v>
      </c>
      <c r="K45" s="4">
        <v>1.7250000000000001</v>
      </c>
      <c r="V45" s="2">
        <v>2.052</v>
      </c>
      <c r="W45" s="2">
        <v>0.70499999999999996</v>
      </c>
    </row>
    <row r="46" spans="2:33" x14ac:dyDescent="0.2">
      <c r="B46" s="2" t="s">
        <v>52</v>
      </c>
      <c r="K46" s="4">
        <v>19.899999999999999</v>
      </c>
      <c r="V46" s="2">
        <v>38.72</v>
      </c>
      <c r="W46" s="2">
        <v>28.835000000000001</v>
      </c>
    </row>
    <row r="47" spans="2:33" x14ac:dyDescent="0.2">
      <c r="B47" t="s">
        <v>46</v>
      </c>
      <c r="K47" s="4">
        <v>3068.2750000000001</v>
      </c>
      <c r="V47" s="2">
        <v>4644.8239999999996</v>
      </c>
      <c r="W47" s="2">
        <v>4889.3810000000003</v>
      </c>
    </row>
    <row r="48" spans="2:33" x14ac:dyDescent="0.2">
      <c r="B48" t="s">
        <v>47</v>
      </c>
      <c r="K48" s="4">
        <f>SUM(K39:K47)</f>
        <v>4011.2220000000002</v>
      </c>
      <c r="V48" s="2">
        <f>SUM(V39:V47)</f>
        <v>5910.92</v>
      </c>
      <c r="W48" s="2">
        <f>SUM(W39:W47)</f>
        <v>6187.558</v>
      </c>
    </row>
    <row r="50" spans="2:33" s="2" customFormat="1" x14ac:dyDescent="0.2">
      <c r="B50" s="2" t="s">
        <v>54</v>
      </c>
      <c r="C50" s="4"/>
      <c r="D50" s="4"/>
      <c r="E50" s="4"/>
      <c r="F50" s="4"/>
      <c r="G50" s="4"/>
      <c r="H50" s="4"/>
      <c r="I50" s="4"/>
      <c r="J50" s="4"/>
      <c r="K50" s="4">
        <f>+K19</f>
        <v>100.11500000000004</v>
      </c>
      <c r="L50" s="4"/>
      <c r="M50" s="4"/>
      <c r="N50" s="4"/>
      <c r="V50" s="2">
        <f>+V19</f>
        <v>147.39800000000002</v>
      </c>
      <c r="W50" s="2">
        <f>+W19</f>
        <v>161.66400000000002</v>
      </c>
      <c r="AD50" s="4"/>
      <c r="AE50" s="4"/>
      <c r="AF50" s="4"/>
      <c r="AG50" s="4"/>
    </row>
    <row r="51" spans="2:33" s="2" customFormat="1" x14ac:dyDescent="0.2">
      <c r="B51" s="2" t="s">
        <v>55</v>
      </c>
      <c r="C51" s="4"/>
      <c r="D51" s="4"/>
      <c r="E51" s="4"/>
      <c r="F51" s="4"/>
      <c r="G51" s="4"/>
      <c r="H51" s="4"/>
      <c r="I51" s="4"/>
      <c r="J51" s="4"/>
      <c r="K51" s="4">
        <v>100.11499999999999</v>
      </c>
      <c r="L51" s="4"/>
      <c r="M51" s="4"/>
      <c r="N51" s="4"/>
      <c r="V51" s="2">
        <v>147.398</v>
      </c>
      <c r="W51" s="2">
        <v>161.66399999999999</v>
      </c>
      <c r="AD51" s="4"/>
      <c r="AE51" s="4"/>
      <c r="AF51" s="4"/>
      <c r="AG51" s="4"/>
    </row>
    <row r="52" spans="2:33" s="2" customFormat="1" x14ac:dyDescent="0.2">
      <c r="B52" s="2" t="s">
        <v>56</v>
      </c>
      <c r="C52" s="4"/>
      <c r="D52" s="4"/>
      <c r="E52" s="4"/>
      <c r="F52" s="4"/>
      <c r="G52" s="4"/>
      <c r="H52" s="4"/>
      <c r="I52" s="4"/>
      <c r="J52" s="4"/>
      <c r="K52" s="4">
        <v>7.0579999999999998</v>
      </c>
      <c r="L52" s="4"/>
      <c r="M52" s="4"/>
      <c r="N52" s="4"/>
      <c r="V52" s="2">
        <v>8.6280000000000001</v>
      </c>
      <c r="W52" s="2">
        <v>8.4990000000000006</v>
      </c>
      <c r="AD52" s="4"/>
      <c r="AE52" s="4"/>
      <c r="AF52" s="4"/>
      <c r="AG52" s="4"/>
    </row>
    <row r="53" spans="2:33" s="2" customFormat="1" x14ac:dyDescent="0.2">
      <c r="B53" s="2" t="s">
        <v>57</v>
      </c>
      <c r="C53" s="4"/>
      <c r="D53" s="4"/>
      <c r="E53" s="4"/>
      <c r="F53" s="4"/>
      <c r="G53" s="4"/>
      <c r="H53" s="4"/>
      <c r="I53" s="4"/>
      <c r="J53" s="4"/>
      <c r="K53" s="4">
        <v>2.948</v>
      </c>
      <c r="L53" s="4"/>
      <c r="M53" s="4"/>
      <c r="N53" s="4"/>
      <c r="V53" s="2">
        <v>2.806</v>
      </c>
      <c r="W53" s="2">
        <v>2.7829999999999999</v>
      </c>
      <c r="AD53" s="4"/>
      <c r="AE53" s="4"/>
      <c r="AF53" s="4"/>
      <c r="AG53" s="4"/>
    </row>
    <row r="54" spans="2:33" s="2" customFormat="1" x14ac:dyDescent="0.2">
      <c r="B54" s="2" t="s">
        <v>59</v>
      </c>
      <c r="C54" s="4"/>
      <c r="D54" s="4"/>
      <c r="E54" s="4"/>
      <c r="F54" s="4"/>
      <c r="G54" s="4"/>
      <c r="H54" s="4"/>
      <c r="I54" s="4"/>
      <c r="J54" s="4"/>
      <c r="K54" s="4">
        <v>1.056</v>
      </c>
      <c r="L54" s="4"/>
      <c r="M54" s="4"/>
      <c r="N54" s="4"/>
      <c r="V54" s="2">
        <v>-7.2169999999999996</v>
      </c>
      <c r="W54" s="2">
        <v>-6.1870000000000003</v>
      </c>
      <c r="AD54" s="4"/>
      <c r="AE54" s="4"/>
      <c r="AF54" s="4"/>
      <c r="AG54" s="4"/>
    </row>
    <row r="55" spans="2:33" s="2" customFormat="1" x14ac:dyDescent="0.2">
      <c r="B55" s="2" t="s">
        <v>58</v>
      </c>
      <c r="C55" s="4"/>
      <c r="D55" s="4"/>
      <c r="E55" s="4"/>
      <c r="F55" s="4"/>
      <c r="G55" s="4"/>
      <c r="H55" s="4"/>
      <c r="I55" s="4"/>
      <c r="J55" s="4"/>
      <c r="K55" s="4">
        <v>67.134</v>
      </c>
      <c r="L55" s="4"/>
      <c r="M55" s="4"/>
      <c r="N55" s="4"/>
      <c r="V55" s="2">
        <v>98.893000000000001</v>
      </c>
      <c r="W55" s="2">
        <v>95.911000000000001</v>
      </c>
      <c r="AD55" s="4"/>
      <c r="AE55" s="4"/>
      <c r="AF55" s="4"/>
      <c r="AG55" s="4"/>
    </row>
    <row r="56" spans="2:33" s="2" customFormat="1" x14ac:dyDescent="0.2">
      <c r="B56" s="2" t="s">
        <v>59</v>
      </c>
      <c r="C56" s="4"/>
      <c r="D56" s="4"/>
      <c r="E56" s="4"/>
      <c r="F56" s="4"/>
      <c r="G56" s="4"/>
      <c r="H56" s="4"/>
      <c r="I56" s="4"/>
      <c r="J56" s="4"/>
      <c r="K56" s="4">
        <v>5.9930000000000003</v>
      </c>
      <c r="L56" s="4"/>
      <c r="M56" s="4"/>
      <c r="N56" s="4"/>
      <c r="V56" s="2">
        <v>5.3339999999999996</v>
      </c>
      <c r="W56" s="2">
        <v>3.8029999999999999</v>
      </c>
      <c r="AD56" s="4"/>
      <c r="AE56" s="4"/>
      <c r="AF56" s="4"/>
      <c r="AG56" s="4"/>
    </row>
    <row r="57" spans="2:33" s="2" customFormat="1" x14ac:dyDescent="0.2">
      <c r="B57" s="2" t="s">
        <v>44</v>
      </c>
      <c r="C57" s="4"/>
      <c r="D57" s="4"/>
      <c r="E57" s="4"/>
      <c r="F57" s="4"/>
      <c r="G57" s="4"/>
      <c r="H57" s="4"/>
      <c r="I57" s="4"/>
      <c r="J57" s="4"/>
      <c r="K57" s="4">
        <v>-32.432000000000002</v>
      </c>
      <c r="L57" s="4"/>
      <c r="M57" s="4"/>
      <c r="N57" s="4"/>
      <c r="V57" s="2">
        <v>-25.242000000000001</v>
      </c>
      <c r="W57" s="2">
        <v>-26.539000000000001</v>
      </c>
      <c r="AD57" s="4"/>
      <c r="AE57" s="4"/>
      <c r="AF57" s="4"/>
      <c r="AG57" s="4"/>
    </row>
    <row r="58" spans="2:33" s="2" customFormat="1" x14ac:dyDescent="0.2">
      <c r="B58" s="2" t="s">
        <v>60</v>
      </c>
      <c r="C58" s="4"/>
      <c r="D58" s="4"/>
      <c r="E58" s="4"/>
      <c r="F58" s="4"/>
      <c r="G58" s="4"/>
      <c r="H58" s="4"/>
      <c r="I58" s="4"/>
      <c r="J58" s="4"/>
      <c r="K58" s="4">
        <v>-0.58199999999999996</v>
      </c>
      <c r="L58" s="4"/>
      <c r="M58" s="4"/>
      <c r="N58" s="4"/>
      <c r="V58" s="2">
        <v>-1.0629999999999999</v>
      </c>
      <c r="W58" s="2">
        <v>1.0820000000000001</v>
      </c>
      <c r="AD58" s="4"/>
      <c r="AE58" s="4"/>
      <c r="AF58" s="4"/>
      <c r="AG58" s="4"/>
    </row>
    <row r="59" spans="2:33" s="2" customFormat="1" x14ac:dyDescent="0.2">
      <c r="B59" s="2" t="s">
        <v>61</v>
      </c>
      <c r="C59" s="4"/>
      <c r="D59" s="4"/>
      <c r="E59" s="4"/>
      <c r="F59" s="4"/>
      <c r="G59" s="4"/>
      <c r="H59" s="4"/>
      <c r="I59" s="4"/>
      <c r="J59" s="4"/>
      <c r="K59" s="4">
        <v>-2.5000000000000001E-2</v>
      </c>
      <c r="L59" s="4"/>
      <c r="M59" s="4"/>
      <c r="N59" s="4"/>
      <c r="V59" s="2">
        <v>6.3E-2</v>
      </c>
      <c r="W59" s="2">
        <v>-0.152</v>
      </c>
      <c r="AD59" s="4"/>
      <c r="AE59" s="4"/>
      <c r="AF59" s="4"/>
      <c r="AG59" s="4"/>
    </row>
    <row r="60" spans="2:33" s="2" customFormat="1" x14ac:dyDescent="0.2">
      <c r="B60" s="2" t="s">
        <v>62</v>
      </c>
      <c r="C60" s="4"/>
      <c r="D60" s="4"/>
      <c r="E60" s="4"/>
      <c r="F60" s="4"/>
      <c r="G60" s="4"/>
      <c r="H60" s="4"/>
      <c r="I60" s="4"/>
      <c r="J60" s="4"/>
      <c r="K60" s="4">
        <f>301.482+1.295-3.079-7.563+5.121-2.336+43.223-7.471-2.031+1.121</f>
        <v>329.762</v>
      </c>
      <c r="L60" s="4"/>
      <c r="M60" s="4"/>
      <c r="N60" s="4"/>
      <c r="V60" s="2">
        <f>-596.731+8.472-9.517+7.22-4.728+5.323+5.302+416.284-2.616-0.84</f>
        <v>-171.83100000000002</v>
      </c>
      <c r="W60" s="2">
        <f>490.004-2.406-3.854+8.16+0.28+2.597+59.705-31.292-1.643+1.101</f>
        <v>522.65199999999993</v>
      </c>
      <c r="AD60" s="4"/>
      <c r="AE60" s="4"/>
      <c r="AF60" s="4"/>
      <c r="AG60" s="4"/>
    </row>
    <row r="61" spans="2:33" s="2" customFormat="1" x14ac:dyDescent="0.2">
      <c r="B61" s="2" t="s">
        <v>53</v>
      </c>
      <c r="C61" s="4"/>
      <c r="D61" s="4"/>
      <c r="E61" s="4"/>
      <c r="F61" s="4"/>
      <c r="G61" s="4"/>
      <c r="H61" s="4"/>
      <c r="I61" s="4"/>
      <c r="J61" s="4"/>
      <c r="K61" s="4">
        <f>SUM(K51:K60)</f>
        <v>481.02699999999993</v>
      </c>
      <c r="L61" s="4"/>
      <c r="M61" s="4"/>
      <c r="N61" s="4"/>
      <c r="V61" s="2">
        <f>SUM(V51:V60)</f>
        <v>57.769000000000005</v>
      </c>
      <c r="W61" s="2">
        <f>SUM(W51:W60)</f>
        <v>763.51599999999985</v>
      </c>
      <c r="AD61" s="4"/>
      <c r="AE61" s="4"/>
      <c r="AF61" s="4"/>
      <c r="AG61" s="4"/>
    </row>
    <row r="63" spans="2:33" x14ac:dyDescent="0.2">
      <c r="B63" s="2" t="s">
        <v>77</v>
      </c>
      <c r="V63" s="2">
        <v>-86.703000000000003</v>
      </c>
      <c r="W63" s="2">
        <v>-272.37799999999999</v>
      </c>
    </row>
    <row r="64" spans="2:33" x14ac:dyDescent="0.2">
      <c r="B64" s="2" t="s">
        <v>76</v>
      </c>
      <c r="V64" s="2">
        <v>-10.484</v>
      </c>
      <c r="W64" s="2">
        <v>3.8279999999999998</v>
      </c>
    </row>
    <row r="65" spans="2:23" x14ac:dyDescent="0.2">
      <c r="B65" s="2" t="s">
        <v>60</v>
      </c>
      <c r="V65" s="2">
        <v>-0.80700000000000005</v>
      </c>
      <c r="W65" s="2">
        <v>-1.2569999999999999</v>
      </c>
    </row>
    <row r="66" spans="2:23" x14ac:dyDescent="0.2">
      <c r="B66" s="2" t="s">
        <v>78</v>
      </c>
      <c r="V66" s="2">
        <f>+V65+V64+V63+V61</f>
        <v>-40.224999999999994</v>
      </c>
      <c r="W66" s="2">
        <f>+W65+W64+W63+W61</f>
        <v>493.70899999999989</v>
      </c>
    </row>
    <row r="72" spans="2:23" x14ac:dyDescent="0.2">
      <c r="B72" t="s">
        <v>94</v>
      </c>
      <c r="U72" s="2"/>
      <c r="V72" s="2">
        <v>1432</v>
      </c>
    </row>
    <row r="73" spans="2:23" x14ac:dyDescent="0.2">
      <c r="U73" s="2"/>
      <c r="V73" s="2"/>
    </row>
    <row r="74" spans="2:23" x14ac:dyDescent="0.2">
      <c r="B74" t="s">
        <v>95</v>
      </c>
      <c r="U74" s="2">
        <f>+V74-428</f>
        <v>6744</v>
      </c>
      <c r="V74" s="2">
        <v>7172</v>
      </c>
    </row>
  </sheetData>
  <hyperlinks>
    <hyperlink ref="A1" location="Main!A1" display="Main" xr:uid="{E22D4A17-A557-4C72-9A73-BD513281324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2022-08-21T06:05:04Z</dcterms:created>
  <dcterms:modified xsi:type="dcterms:W3CDTF">2024-08-08T18:19:30Z</dcterms:modified>
</cp:coreProperties>
</file>