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3A32CC9-AF45-4BD6-873D-E0AEDFFB3B4E}" xr6:coauthVersionLast="47" xr6:coauthVersionMax="47" xr10:uidLastSave="{00000000-0000-0000-0000-000000000000}"/>
  <bookViews>
    <workbookView xWindow="-22185" yWindow="495" windowWidth="21645" windowHeight="19650" xr2:uid="{813BBC27-F478-46C7-9133-423B20FE42FB}"/>
  </bookViews>
  <sheets>
    <sheet name="Main" sheetId="1" r:id="rId1"/>
    <sheet name="Model" sheetId="2" r:id="rId2"/>
    <sheet name="Viagra" sheetId="5" r:id="rId3"/>
    <sheet name="Norvasc" sheetId="3" r:id="rId4"/>
    <sheet name="Lyrica" sheetId="4" r:id="rId5"/>
    <sheet name="Lipitor" sheetId="6" r:id="rId6"/>
    <sheet name="Geodon" sheetId="7" r:id="rId7"/>
    <sheet name="Detrol" sheetId="8" r:id="rId8"/>
  </sheets>
  <externalReferences>
    <externalReference r:id="rId9"/>
    <externalReference r:id="rId10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_0EBITDA_Sh">#REF!</definedName>
    <definedName name="_2_0NOPAT_Sh">#REF!</definedName>
    <definedName name="_3_._0Gross_inc_gro">#REF!</definedName>
    <definedName name="_4_._0Restructuring_char">#REF!</definedName>
    <definedName name="_5_._0SGA_gro">#REF!</definedName>
    <definedName name="_6_._0Shares_repurchase_liabil">#REF!</definedName>
    <definedName name="_7_3_0Income_before_ta">#REF!</definedName>
    <definedName name="_8_3_0Increase_in_other_liabilit">#REF!</definedName>
    <definedName name="_9_3_0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8" i="2" l="1"/>
  <c r="T62" i="2"/>
  <c r="T68" i="2" s="1"/>
  <c r="T61" i="2"/>
  <c r="T58" i="2"/>
  <c r="T55" i="2"/>
  <c r="P38" i="2"/>
  <c r="P40" i="2" s="1"/>
  <c r="P41" i="2" s="1"/>
  <c r="P36" i="2"/>
  <c r="P35" i="2"/>
  <c r="P32" i="2"/>
  <c r="T35" i="2"/>
  <c r="V30" i="2"/>
  <c r="U30" i="2"/>
  <c r="T30" i="2"/>
  <c r="T32" i="2" s="1"/>
  <c r="T36" i="2" s="1"/>
  <c r="T38" i="2" s="1"/>
  <c r="T40" i="2" s="1"/>
  <c r="T41" i="2" s="1"/>
  <c r="S30" i="2"/>
  <c r="R30" i="2"/>
  <c r="Q30" i="2"/>
  <c r="P30" i="2"/>
  <c r="O30" i="2"/>
  <c r="N30" i="2"/>
  <c r="AF55" i="2"/>
  <c r="AF58" i="2" s="1"/>
  <c r="AF62" i="2"/>
  <c r="AF61" i="2"/>
  <c r="AF35" i="2"/>
  <c r="AE35" i="2"/>
  <c r="AD35" i="2"/>
  <c r="AD30" i="2"/>
  <c r="AD32" i="2" s="1"/>
  <c r="AD36" i="2" s="1"/>
  <c r="AD38" i="2" s="1"/>
  <c r="AD40" i="2" s="1"/>
  <c r="AD41" i="2" s="1"/>
  <c r="AF28" i="2"/>
  <c r="AF30" i="2" s="1"/>
  <c r="AF32" i="2" s="1"/>
  <c r="AF46" i="2" s="1"/>
  <c r="AE28" i="2"/>
  <c r="AE30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M61" i="2"/>
  <c r="M62" i="2"/>
  <c r="M68" i="2" s="1"/>
  <c r="M55" i="2"/>
  <c r="M58" i="2" s="1"/>
  <c r="L45" i="2"/>
  <c r="F37" i="2"/>
  <c r="F35" i="2"/>
  <c r="F30" i="2"/>
  <c r="F32" i="2" s="1"/>
  <c r="F36" i="2" s="1"/>
  <c r="F38" i="2" s="1"/>
  <c r="F40" i="2" s="1"/>
  <c r="F41" i="2" s="1"/>
  <c r="J37" i="2"/>
  <c r="J35" i="2"/>
  <c r="J30" i="2"/>
  <c r="J32" i="2" s="1"/>
  <c r="I37" i="2"/>
  <c r="M37" i="2"/>
  <c r="M35" i="2"/>
  <c r="I35" i="2"/>
  <c r="I30" i="2"/>
  <c r="I32" i="2" s="1"/>
  <c r="M30" i="2"/>
  <c r="M32" i="2" s="1"/>
  <c r="C11" i="8"/>
  <c r="D11" i="8"/>
  <c r="E11" i="8"/>
  <c r="C6" i="7"/>
  <c r="C7" i="7"/>
  <c r="M81" i="6"/>
  <c r="O81" i="6"/>
  <c r="C82" i="6"/>
  <c r="M82" i="6"/>
  <c r="O82" i="6"/>
  <c r="M83" i="6"/>
  <c r="O83" i="6"/>
  <c r="C84" i="6"/>
  <c r="M84" i="6"/>
  <c r="O84" i="6"/>
  <c r="C85" i="6"/>
  <c r="M85" i="6"/>
  <c r="O85" i="6"/>
  <c r="C86" i="6"/>
  <c r="M86" i="6"/>
  <c r="O86" i="6"/>
  <c r="M87" i="6"/>
  <c r="O87" i="6"/>
  <c r="C88" i="6"/>
  <c r="M88" i="6"/>
  <c r="O88" i="6"/>
  <c r="B153" i="6"/>
  <c r="B152" i="6" s="1"/>
  <c r="B151" i="6" s="1"/>
  <c r="B150" i="6" s="1"/>
  <c r="B149" i="6" s="1"/>
  <c r="B148" i="6" s="1"/>
  <c r="B147" i="6" s="1"/>
  <c r="B146" i="6" s="1"/>
  <c r="B145" i="6" s="1"/>
  <c r="B144" i="6" s="1"/>
  <c r="B143" i="6" s="1"/>
  <c r="B142" i="6" s="1"/>
  <c r="B141" i="6" s="1"/>
  <c r="B140" i="6" s="1"/>
  <c r="B139" i="6" s="1"/>
  <c r="B138" i="6" s="1"/>
  <c r="B137" i="6" s="1"/>
  <c r="B136" i="6" s="1"/>
  <c r="B135" i="6" s="1"/>
  <c r="B134" i="6" s="1"/>
  <c r="B133" i="6" s="1"/>
  <c r="B132" i="6" s="1"/>
  <c r="B131" i="6" s="1"/>
  <c r="B130" i="6" s="1"/>
  <c r="B129" i="6" s="1"/>
  <c r="B128" i="6" s="1"/>
  <c r="B127" i="6" s="1"/>
  <c r="B126" i="6" s="1"/>
  <c r="B125" i="6" s="1"/>
  <c r="B124" i="6" s="1"/>
  <c r="B123" i="6" s="1"/>
  <c r="B122" i="6" s="1"/>
  <c r="B121" i="6" s="1"/>
  <c r="B120" i="6" s="1"/>
  <c r="B119" i="6" s="1"/>
  <c r="B118" i="6" s="1"/>
  <c r="B117" i="6" s="1"/>
  <c r="B116" i="6" s="1"/>
  <c r="B115" i="6" s="1"/>
  <c r="B114" i="6" s="1"/>
  <c r="B113" i="6" s="1"/>
  <c r="B112" i="6" s="1"/>
  <c r="B111" i="6" s="1"/>
  <c r="B110" i="6" s="1"/>
  <c r="B109" i="6" s="1"/>
  <c r="B108" i="6" s="1"/>
  <c r="B107" i="6" s="1"/>
  <c r="B106" i="6" s="1"/>
  <c r="B105" i="6" s="1"/>
  <c r="B104" i="6" s="1"/>
  <c r="B103" i="6" s="1"/>
  <c r="B102" i="6" s="1"/>
  <c r="B101" i="6" s="1"/>
  <c r="B100" i="6" s="1"/>
  <c r="B99" i="6" s="1"/>
  <c r="B98" i="6" s="1"/>
  <c r="B97" i="6" s="1"/>
  <c r="B96" i="6" s="1"/>
  <c r="B95" i="6" s="1"/>
  <c r="B94" i="6" s="1"/>
  <c r="B93" i="6" s="1"/>
  <c r="B92" i="6" s="1"/>
  <c r="B91" i="6" s="1"/>
  <c r="B90" i="6" s="1"/>
  <c r="B89" i="6" s="1"/>
  <c r="B88" i="6" s="1"/>
  <c r="B87" i="6" s="1"/>
  <c r="B86" i="6" s="1"/>
  <c r="B85" i="6" s="1"/>
  <c r="B84" i="6" s="1"/>
  <c r="B83" i="6" s="1"/>
  <c r="B82" i="6" s="1"/>
  <c r="B81" i="6" s="1"/>
  <c r="B80" i="6" s="1"/>
  <c r="B79" i="6" s="1"/>
  <c r="B78" i="6" s="1"/>
  <c r="B77" i="6" s="1"/>
  <c r="B76" i="6" s="1"/>
  <c r="B75" i="6" s="1"/>
  <c r="B74" i="6" s="1"/>
  <c r="B73" i="6" s="1"/>
  <c r="B72" i="6" s="1"/>
  <c r="B71" i="6" s="1"/>
  <c r="B70" i="6" s="1"/>
  <c r="B69" i="6" s="1"/>
  <c r="B68" i="6" s="1"/>
  <c r="E190" i="6"/>
  <c r="F190" i="6"/>
  <c r="I190" i="6"/>
  <c r="J190" i="6"/>
  <c r="K190" i="6"/>
  <c r="L190" i="6"/>
  <c r="C12" i="5"/>
  <c r="D12" i="5"/>
  <c r="E12" i="5"/>
  <c r="F12" i="5"/>
  <c r="B14" i="4"/>
  <c r="B15" i="4" s="1"/>
  <c r="B16" i="4" s="1"/>
  <c r="B17" i="4" s="1"/>
  <c r="B18" i="4" s="1"/>
  <c r="B19" i="4" s="1"/>
  <c r="B20" i="4" s="1"/>
  <c r="B23" i="4"/>
  <c r="B27" i="4"/>
  <c r="B29" i="4"/>
  <c r="K33" i="3"/>
  <c r="M33" i="3"/>
  <c r="N33" i="3"/>
  <c r="P33" i="3"/>
  <c r="Q33" i="3"/>
  <c r="R33" i="3"/>
  <c r="S33" i="3"/>
  <c r="T33" i="3"/>
  <c r="U33" i="3"/>
  <c r="V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L34" i="3"/>
  <c r="L33" i="3" s="1"/>
  <c r="L35" i="3"/>
  <c r="L95" i="2"/>
  <c r="L93" i="2"/>
  <c r="L92" i="2"/>
  <c r="L91" i="2"/>
  <c r="L87" i="2"/>
  <c r="L86" i="2"/>
  <c r="L84" i="2"/>
  <c r="L80" i="2"/>
  <c r="L79" i="2"/>
  <c r="L78" i="2"/>
  <c r="K90" i="2"/>
  <c r="L90" i="2" s="1"/>
  <c r="K85" i="2"/>
  <c r="L85" i="2" s="1"/>
  <c r="K81" i="2"/>
  <c r="L81" i="2" s="1"/>
  <c r="L77" i="2"/>
  <c r="L76" i="2"/>
  <c r="L75" i="2"/>
  <c r="L74" i="2"/>
  <c r="K62" i="2"/>
  <c r="K61" i="2"/>
  <c r="K55" i="2"/>
  <c r="K58" i="2" s="1"/>
  <c r="G37" i="2"/>
  <c r="G35" i="2"/>
  <c r="G30" i="2"/>
  <c r="G32" i="2" s="1"/>
  <c r="G46" i="2" s="1"/>
  <c r="K37" i="2"/>
  <c r="K35" i="2"/>
  <c r="K30" i="2"/>
  <c r="K32" i="2" s="1"/>
  <c r="K46" i="2" s="1"/>
  <c r="L62" i="2"/>
  <c r="L61" i="2"/>
  <c r="L55" i="2"/>
  <c r="L58" i="2" s="1"/>
  <c r="H37" i="2"/>
  <c r="L37" i="2"/>
  <c r="H35" i="2"/>
  <c r="L35" i="2"/>
  <c r="H30" i="2"/>
  <c r="H32" i="2" s="1"/>
  <c r="H46" i="2" s="1"/>
  <c r="L30" i="2"/>
  <c r="L32" i="2" s="1"/>
  <c r="L46" i="2" s="1"/>
  <c r="M4" i="1"/>
  <c r="M7" i="1" s="1"/>
  <c r="AF66" i="2" l="1"/>
  <c r="AF48" i="2"/>
  <c r="AF45" i="2"/>
  <c r="AE45" i="2"/>
  <c r="AE32" i="2"/>
  <c r="AE46" i="2" s="1"/>
  <c r="J36" i="2"/>
  <c r="J38" i="2" s="1"/>
  <c r="J40" i="2" s="1"/>
  <c r="J41" i="2" s="1"/>
  <c r="J46" i="2"/>
  <c r="M36" i="2"/>
  <c r="M38" i="2" s="1"/>
  <c r="M40" i="2" s="1"/>
  <c r="M41" i="2" s="1"/>
  <c r="M46" i="2"/>
  <c r="I36" i="2"/>
  <c r="I38" i="2" s="1"/>
  <c r="I40" i="2" s="1"/>
  <c r="I41" i="2" s="1"/>
  <c r="I46" i="2"/>
  <c r="AE36" i="2"/>
  <c r="AE38" i="2" s="1"/>
  <c r="AE40" i="2" s="1"/>
  <c r="AE41" i="2" s="1"/>
  <c r="M45" i="2"/>
  <c r="K45" i="2"/>
  <c r="AD46" i="2"/>
  <c r="F46" i="2"/>
  <c r="AF36" i="2"/>
  <c r="AF38" i="2" s="1"/>
  <c r="AF40" i="2" s="1"/>
  <c r="AF41" i="2" s="1"/>
  <c r="J45" i="2"/>
  <c r="K68" i="2"/>
  <c r="L68" i="2"/>
  <c r="L94" i="2"/>
  <c r="K82" i="2"/>
  <c r="L82" i="2"/>
  <c r="L88" i="2"/>
  <c r="K94" i="2"/>
  <c r="K88" i="2"/>
  <c r="G36" i="2"/>
  <c r="G38" i="2" s="1"/>
  <c r="G40" i="2" s="1"/>
  <c r="G41" i="2" s="1"/>
  <c r="K36" i="2"/>
  <c r="K38" i="2" s="1"/>
  <c r="K40" i="2" s="1"/>
  <c r="L36" i="2"/>
  <c r="L38" i="2" s="1"/>
  <c r="L40" i="2" s="1"/>
  <c r="H36" i="2"/>
  <c r="H38" i="2" s="1"/>
  <c r="H40" i="2" s="1"/>
  <c r="H41" i="2" s="1"/>
  <c r="AF67" i="2" l="1"/>
  <c r="AF68" i="2" s="1"/>
  <c r="AF70" i="2"/>
  <c r="AF71" i="2" s="1"/>
  <c r="L96" i="2"/>
  <c r="L41" i="2"/>
  <c r="L73" i="2"/>
  <c r="K41" i="2"/>
  <c r="K73" i="2"/>
  <c r="K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O3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2006: ex-US patents expire
1/07: COM patent expires
9/07: besylate salt patent expires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D9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558 full PHA</t>
        </r>
      </text>
    </comment>
    <comment ref="D1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 full PHA</t>
        </r>
      </text>
    </comment>
  </commentList>
</comments>
</file>

<file path=xl/sharedStrings.xml><?xml version="1.0" encoding="utf-8"?>
<sst xmlns="http://schemas.openxmlformats.org/spreadsheetml/2006/main" count="477" uniqueCount="333">
  <si>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</si>
  <si>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</si>
  <si>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</si>
  <si>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</si>
  <si>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</si>
  <si>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</si>
  <si>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</si>
  <si>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</si>
  <si>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</si>
  <si>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</si>
  <si>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</si>
  <si>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</si>
  <si>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</si>
  <si>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</si>
  <si>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</si>
  <si>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</si>
  <si>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</si>
  <si>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</si>
  <si>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</si>
  <si>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</si>
  <si>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</si>
  <si>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</si>
  <si>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</si>
  <si>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</si>
  <si>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</si>
  <si>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</si>
  <si>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</si>
  <si>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</si>
  <si>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</si>
  <si>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</si>
  <si>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</si>
  <si>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</si>
  <si>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</si>
  <si>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</si>
  <si>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</si>
  <si>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</si>
  <si>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</si>
  <si>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</si>
  <si>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</si>
  <si>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</si>
  <si>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</si>
  <si>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</si>
  <si>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</si>
  <si>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</si>
  <si>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</si>
  <si>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</si>
  <si>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</si>
  <si>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</si>
  <si>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</si>
  <si>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</si>
  <si>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</si>
  <si>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</si>
  <si>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</si>
  <si>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</si>
  <si>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</si>
  <si>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</si>
  <si>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</si>
  <si>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</si>
  <si>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</si>
  <si>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</si>
  <si>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</si>
  <si>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</si>
  <si>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</si>
  <si>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</si>
  <si>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</si>
  <si>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</si>
  <si>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</si>
  <si>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</si>
  <si>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</si>
  <si>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</si>
  <si>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</si>
  <si>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</si>
  <si>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</si>
  <si>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</si>
  <si>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</si>
  <si>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</si>
  <si>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</si>
  <si>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</si>
  <si>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</si>
  <si>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</si>
  <si>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</si>
  <si>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</si>
  <si>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</si>
  <si>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</si>
  <si>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</si>
  <si>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</si>
  <si>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</si>
  <si>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</si>
  <si>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</si>
  <si>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</si>
  <si>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</si>
  <si>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</si>
  <si>
    <t xml:space="preserve">  Ex-US</t>
  </si>
  <si>
    <t xml:space="preserve">  US</t>
  </si>
  <si>
    <t>Norvasc 9/07</t>
  </si>
  <si>
    <t>Q408</t>
  </si>
  <si>
    <t>Q308</t>
  </si>
  <si>
    <t>Q208</t>
  </si>
  <si>
    <t>Q108</t>
  </si>
  <si>
    <t>Q407</t>
  </si>
  <si>
    <t>Q307</t>
  </si>
  <si>
    <t>Q207</t>
  </si>
  <si>
    <t>Q107</t>
  </si>
  <si>
    <t>Q406E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</si>
  <si>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</si>
  <si>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</si>
  <si>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</si>
  <si>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</si>
  <si>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</si>
  <si>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</si>
  <si>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</si>
  <si>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</si>
  <si>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</si>
  <si>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</si>
  <si>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</si>
  <si>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</si>
  <si>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Q303</t>
  </si>
  <si>
    <t>Q203</t>
  </si>
  <si>
    <t>Q103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</si>
  <si>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</si>
  <si>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</si>
  <si>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</si>
  <si>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</si>
  <si>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</si>
  <si>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</si>
  <si>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</si>
  <si>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</si>
  <si>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</si>
  <si>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</si>
  <si>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</si>
  <si>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Q100</t>
  </si>
  <si>
    <t>Q499</t>
  </si>
  <si>
    <t>Q399</t>
  </si>
  <si>
    <t>Q299</t>
  </si>
  <si>
    <t>Q199</t>
  </si>
  <si>
    <t>Q498</t>
  </si>
  <si>
    <t>Q398</t>
  </si>
  <si>
    <t>Q298</t>
  </si>
  <si>
    <t>Q198</t>
  </si>
  <si>
    <t>Notes</t>
  </si>
  <si>
    <t>2006E</t>
  </si>
  <si>
    <t>New patents have been filed. - Cowen</t>
  </si>
  <si>
    <t>Proceedings likely set for early 2006, final approval for MYL/RDY should be soon.</t>
  </si>
  <si>
    <t>The judge felt the extention applied to the salt, not the compound itself. A higher court reversed the lower court decision.</t>
  </si>
  <si>
    <t>DC of NJ dismissed PFE's lawsuit against RDY, clearing the way for non-AB, because PFE received a 3 year patent extention.</t>
  </si>
  <si>
    <t>Salt patent #4879303 expires 9/25/2007</t>
  </si>
  <si>
    <t>COM patent #4572909 expires 1/31/2007 (including P-extention)</t>
  </si>
  <si>
    <t>Published in Lancet 9/2005.</t>
  </si>
  <si>
    <t>Stopped early due to greater than anticipated benefit for Norvasc vs. atenolol.</t>
  </si>
  <si>
    <t>ASCOT</t>
  </si>
  <si>
    <t>Trying to switch people to Caduet</t>
  </si>
  <si>
    <t>Cost</t>
  </si>
  <si>
    <t>Safety</t>
  </si>
  <si>
    <t>Efficacy</t>
  </si>
  <si>
    <t>COM 1/31/2007, Salt 9/25/2007. MYL has received final generic approval. Several firms have received tentative approvals including PRX, PRGO. Pediatric exclusivity?</t>
  </si>
  <si>
    <t>IP</t>
  </si>
  <si>
    <t>Approved/Launched</t>
  </si>
  <si>
    <t>93% of the circulating drug is bound to plasma proteins in HTN patients. Terminal elimination half-life is 30-50 hours. Steady state reached after 7-8 days qd dosing.</t>
  </si>
  <si>
    <t>F=64-90%. Absorption produces peak plasma concentrations between 64-90%. 90% converted to inactive metabolites. 10% of parent and 60% of metabolites excreted through urine.</t>
  </si>
  <si>
    <t>PK</t>
  </si>
  <si>
    <t>MYL/RDY's AmVaz, ACEs, ARBs, dieuretics, renins</t>
  </si>
  <si>
    <t>Competition</t>
  </si>
  <si>
    <t>Oral</t>
  </si>
  <si>
    <t>Administration</t>
  </si>
  <si>
    <t>Amlodipine inhibits calcium ion influx across cell membranes selectively, with a greater effect on vascular smooth muscle cells than on cardiac muscle cells.</t>
  </si>
  <si>
    <t>The contractile processes of cardiac muscle and vascular smooth muscle depend on the movement of extracellular calcium ions into these cells through specific ion channels.</t>
  </si>
  <si>
    <t>Inhibits the transmembrane influx of calcium ions into vascular smooth muscle and cardiac muscle. Binds to both dihydropyridine and nondihydropyridine binding sites.</t>
  </si>
  <si>
    <t>Calcium Channel Blocker - dihydropyridine calcium antagonist (calcium ion antagonist or slow-channel blocker)</t>
  </si>
  <si>
    <t>Mechanism</t>
  </si>
  <si>
    <t>Hypertension and Angina</t>
  </si>
  <si>
    <t>Indication</t>
  </si>
  <si>
    <t>Amlodipine besylate</t>
  </si>
  <si>
    <t>Generic Name</t>
  </si>
  <si>
    <t>Branded Name</t>
  </si>
  <si>
    <t>TRX</t>
  </si>
  <si>
    <t>NRX</t>
  </si>
  <si>
    <t>Rx</t>
  </si>
  <si>
    <t>5563175 issued 10/8/96, expires 10/8/13. 5-year HW?</t>
  </si>
  <si>
    <t>6197819 expires 12/30/18. COM-style patent issued to Northwestern University. Filed 1995, continued from 1992 and 1990 filings. Issued 2001.</t>
  </si>
  <si>
    <t>6/27/2007: Receives approval for fibromyalgia.</t>
  </si>
  <si>
    <t>Timeline</t>
  </si>
  <si>
    <t>GAD received rec in EU on 1/29, non-approvable in the US in 2004</t>
  </si>
  <si>
    <t>Neuropathic pain associated with diabetic peripheral neuropathy, post-herpetic neuralgia, adjunctive partial onset seizures, fibromyalgia.</t>
  </si>
  <si>
    <t xml:space="preserve">GABA mimetic that modulates voltage-gated calcium channels in the CNS. </t>
  </si>
  <si>
    <t>pregabalin</t>
  </si>
  <si>
    <t>Brand Name</t>
  </si>
  <si>
    <t>Total</t>
  </si>
  <si>
    <t>Q406</t>
  </si>
  <si>
    <t>6469012 method of use patent 2019.</t>
  </si>
  <si>
    <t>5250534 COM expires 2012.</t>
  </si>
  <si>
    <t>Revatio is sildenafil 3x day for PAH.</t>
  </si>
  <si>
    <t>Being investigated in CHF and diabetes</t>
  </si>
  <si>
    <t>sildenafil</t>
  </si>
  <si>
    <t>NRx</t>
  </si>
  <si>
    <t>TRx</t>
  </si>
  <si>
    <t>NRx Y/Y</t>
  </si>
  <si>
    <t>TRx Y/Y</t>
  </si>
  <si>
    <t>Pravachol</t>
  </si>
  <si>
    <t>Zocor</t>
  </si>
  <si>
    <t>Vytorin</t>
  </si>
  <si>
    <t>Crestor</t>
  </si>
  <si>
    <t>RX</t>
  </si>
  <si>
    <t>41m americans have elevated cholsterol (total over 240mg/dL). 12m treated patients, only 40% achieving goal cholesterol levels</t>
  </si>
  <si>
    <t>Market</t>
  </si>
  <si>
    <t>80mg</t>
  </si>
  <si>
    <t>40mg</t>
  </si>
  <si>
    <t>20mg</t>
  </si>
  <si>
    <t>10mg</t>
  </si>
  <si>
    <t>5mg</t>
  </si>
  <si>
    <t>Zetia</t>
  </si>
  <si>
    <t>+6-10</t>
  </si>
  <si>
    <t>-23-31</t>
  </si>
  <si>
    <t>-35-49</t>
  </si>
  <si>
    <t>-45-60</t>
  </si>
  <si>
    <t>-31-43</t>
  </si>
  <si>
    <t>+5-8</t>
  </si>
  <si>
    <t>-17-27</t>
  </si>
  <si>
    <t>-29-39</t>
  </si>
  <si>
    <t>-14-47</t>
  </si>
  <si>
    <t>-23-35</t>
  </si>
  <si>
    <t>+3-12</t>
  </si>
  <si>
    <t>-11-24</t>
  </si>
  <si>
    <t>NA</t>
  </si>
  <si>
    <t>-22-37</t>
  </si>
  <si>
    <t>-16-27</t>
  </si>
  <si>
    <t>+41</t>
  </si>
  <si>
    <t>-42</t>
  </si>
  <si>
    <t>-45</t>
  </si>
  <si>
    <t>Advicor</t>
  </si>
  <si>
    <t>+7-12</t>
  </si>
  <si>
    <t>-35</t>
  </si>
  <si>
    <t>-17</t>
  </si>
  <si>
    <t>-12</t>
  </si>
  <si>
    <t>Mevacor</t>
  </si>
  <si>
    <t>+10-26</t>
  </si>
  <si>
    <t>-5-35</t>
  </si>
  <si>
    <t>-2-16</t>
  </si>
  <si>
    <t>-3-17</t>
  </si>
  <si>
    <t>-2-12</t>
  </si>
  <si>
    <t>Niaspan</t>
  </si>
  <si>
    <t>+3-7</t>
  </si>
  <si>
    <t>-12-19</t>
  </si>
  <si>
    <t>-19-27</t>
  </si>
  <si>
    <t>-22-35</t>
  </si>
  <si>
    <t>-17-25</t>
  </si>
  <si>
    <t>Lescol</t>
  </si>
  <si>
    <t>+8-14</t>
  </si>
  <si>
    <t>-10-35</t>
  </si>
  <si>
    <t>-38-54</t>
  </si>
  <si>
    <t>-45-63</t>
  </si>
  <si>
    <t>-33-46</t>
  </si>
  <si>
    <t>+62</t>
  </si>
  <si>
    <t>-1</t>
  </si>
  <si>
    <t>-11</t>
  </si>
  <si>
    <t>Torcetrapib</t>
  </si>
  <si>
    <t>+5-9</t>
  </si>
  <si>
    <t>-19-37</t>
  </si>
  <si>
    <t>-32-50</t>
  </si>
  <si>
    <t>-39-60</t>
  </si>
  <si>
    <t>-29-45</t>
  </si>
  <si>
    <t>HDL-C</t>
  </si>
  <si>
    <t>Triglyc</t>
  </si>
  <si>
    <t>Apo-B</t>
  </si>
  <si>
    <t>LDL-C</t>
  </si>
  <si>
    <t>Tot. Chol</t>
  </si>
  <si>
    <t>Drug</t>
  </si>
  <si>
    <t>Tier 2 or better for 70% of commercial lives through 2007</t>
  </si>
  <si>
    <t>HMO</t>
  </si>
  <si>
    <t>1/1/07 5% price increase. Lipitor 874-1246 annual cost. Crestor 945, Vytorin 982, Zetia 913, Zocor 20-58.</t>
  </si>
  <si>
    <t>The Editor's Roundtable: Statin Therapy in Acute Coronary Syndrome. Am Journ Cardiology Friedewald.</t>
  </si>
  <si>
    <t>Papers</t>
  </si>
  <si>
    <t>PRISM - Platelet Receptor Inhibition in Ischemic Syndrome Management</t>
  </si>
  <si>
    <t>GRACE - Global Registry of Acute Coronary Events</t>
  </si>
  <si>
    <t>MIRACL - Effects of atorvastatin in patients with unstable angina or non-Q wave MI. Circulation 2002;106:1690-1695.</t>
  </si>
  <si>
    <t>MIRACL - Effects of atorvastatin on early recurrent ischemic events in ACS. JAMA 2001;285:1711-1718.</t>
  </si>
  <si>
    <t>Benefits of early lipid-lowering intervention in high-risk patients: the lipid intervention strategies for coronary patients study. Clin Ther 2000;22:949-960. Pedersen et al.</t>
  </si>
  <si>
    <t>MIRACL--high-dose atorvastatin enhances the decline in inflammatory markersw in patients with ACS - Circulation 2003;108:1560-1566.</t>
  </si>
  <si>
    <t>Statin therapy on ventricular late potentials in AMI. Intl J Cardiol 2003;90:63-72.</t>
  </si>
  <si>
    <t>RECIFE - Cholesterol reduction rapidly improves endothelial function after ACS. Circulation 1999;99:3227-3233. Dupuis et al.</t>
  </si>
  <si>
    <t>Early intensive vs a delayed conservative simvastatin strategy in patients with ACS. Phase Z of A to Z. JAMA 2004;292:1307-1316. de Lamos et al.</t>
  </si>
  <si>
    <t>Intensive versus moedate lipid lowering with statins after ACS. NEJM 2004;350:1495-1504. Cannon et al.</t>
  </si>
  <si>
    <t>L-CAD: Pravastatin initiated immediately after a coronary event. Am J Cardiol 2000;86:1293-1298.</t>
  </si>
  <si>
    <t>LIPID: Prevention of CV events/death with pravastatin in patients with CHD. NEJM 1998;339:1349-1357.</t>
  </si>
  <si>
    <t>Cholesterol and Recurrent Events Trial - Pravastatin on coronary events after MI in patients with average cholesterol levels. NEJM 1996;335:1001-1009.</t>
  </si>
  <si>
    <t>SSSS - Scandinavian Simvastatin Survival Study Group - Lancet 1994;344:1383-1389. Cholesterol lowering in n=4444 CHD to achieve secondary prevention.</t>
  </si>
  <si>
    <t>CASHMERE - Failed to beat placebo in CIMT.</t>
  </si>
  <si>
    <t>A to Z</t>
  </si>
  <si>
    <t>BONES - no effect of lipitor on BMD</t>
  </si>
  <si>
    <t>BELLES - no effect on calcification as measured by Ultrafast CAT in postmenopausal women</t>
  </si>
  <si>
    <t>ALLIANCE - Lipitor reduces MI 47% vs SOC (post-MI)</t>
  </si>
  <si>
    <t>SAGE - Lipitor 80mg vs. Pravachol 40mg showed sig. reduction in duration of myocarial ischemia</t>
  </si>
  <si>
    <t>MIRACL - ACS study n=3086 placebo vs 80mg. 14.8% vs 17.4% primary endpoint.</t>
  </si>
  <si>
    <t>PROVE-IT n=4162 Pravachol vs Lipitor. 26.3% vs 22.4%.</t>
  </si>
  <si>
    <t>ASCOT-LLA - atorvastatin vs placebo arm of atenolol vs Norvasc stopped early on events</t>
  </si>
  <si>
    <t>REVERSAL - Lipitor had no plaque progresion vs. progression with pravastatin 40mg</t>
  </si>
  <si>
    <t>CARDS - 10mg Lipitor reduced CV events 37% and stroke by 48% in T2D patients.</t>
  </si>
  <si>
    <t>SPARCL - showed 16% reduction in the incidence of recurrent stroke. PE: reduce second stroke with 80mg Lipitor - Published in NEJM - 2.2% absolute reduction</t>
  </si>
  <si>
    <t>TNT - showed 22% reduction in events with 80mg vs. 10mg lipitor</t>
  </si>
  <si>
    <t>IDEAL - patients with history of prior MI - failed to show PE benefit vs. Zocor (80mg Lipitor vs. 20-40mg Zocor), p=0.07</t>
  </si>
  <si>
    <t>Clinical Trials</t>
  </si>
  <si>
    <t>HMG-CoA reductase inhibitor. Beneficial effects in acute coronary occlusion: remodeling/anti-inflammatory effects due to nitric oxide release. Anumal studies show reversal of hypertrophic cardiomyopathy.</t>
  </si>
  <si>
    <t>Dyslipidemia, ACS</t>
  </si>
  <si>
    <t>Mgmt feels low-cost statins will bring new patients to the market. Pharmacoeconomic analysis of IDEAL shows Lipitor adds more value than 75% discounted Zocor.</t>
  </si>
  <si>
    <t>Other growth drivers include SPARCL, pharmacoeconomic studies and lower cholesterol guidelines.</t>
  </si>
  <si>
    <t>5/25/06 - ML meets with mgmt and notes aggressive 2-tier formulary contracting (3-year deal with WLP to keep Lipitor on 2nd-tier).</t>
  </si>
  <si>
    <t>5686104 is stability patent expiring 2015.</t>
  </si>
  <si>
    <t>5969156 is crystal form patent expiring 2016.</t>
  </si>
  <si>
    <t>6126971 is a salt patent, expiring 2013.</t>
  </si>
  <si>
    <t>4681893 patent protects until March 2010 and claims racemate production process. Upheld in court and USCAFC, including patent term extension.</t>
  </si>
  <si>
    <t>5273995 reissued 3/17/09 as RE40667. Expires 6/2011 including pediatric exclusivity. This is a salt/R-trans patent. Ranbaxy FTF?</t>
  </si>
  <si>
    <t>Ranbaxy settles 6/18/08 to launch generics 11/30/11.</t>
  </si>
  <si>
    <t>atorvastatin</t>
  </si>
  <si>
    <t>Schizophrenia</t>
  </si>
  <si>
    <t>Geodon</t>
  </si>
  <si>
    <t>TEVA challening. PFE sued TEVA 1/11/07. 07-cv-174, USDC, DofNJ (Newark), Pfizer v. Ivax.</t>
  </si>
  <si>
    <t>Detrol</t>
  </si>
  <si>
    <t>Effexor XR</t>
  </si>
  <si>
    <t>Influvac</t>
  </si>
  <si>
    <t>11/16/2020: Upjohn (Pfizer)/Mylan merger</t>
  </si>
  <si>
    <t>1961: Mylan founded.</t>
  </si>
  <si>
    <t>Net Cash</t>
  </si>
  <si>
    <t>Liabilities</t>
  </si>
  <si>
    <t>Book Value</t>
  </si>
  <si>
    <t>Tangible Book Value</t>
  </si>
  <si>
    <t>SE (Book Value)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</si>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</sst>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2" borderId="0" xfId="2" applyFill="1"/>
    <xf numFmtId="3" fontId="3" fillId="2" borderId="0" xfId="2" applyNumberFormat="1" applyFill="1"/>
    <xf numFmtId="3" fontId="3" fillId="2" borderId="0" xfId="2" applyNumberFormat="1" applyFill="1" applyAlignment="1">
      <alignment horizont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center"/>
    </xf>
    <xf numFmtId="0" fontId="3" fillId="2" borderId="0" xfId="2" applyFill="1" applyAlignment="1">
      <alignment horizontal="center"/>
    </xf>
    <xf numFmtId="0" fontId="4" fillId="2" borderId="0" xfId="2" applyFont="1" applyFill="1" applyAlignment="1">
      <alignment horizontal="center"/>
    </xf>
    <xf numFmtId="1" fontId="3" fillId="2" borderId="0" xfId="2" applyNumberFormat="1" applyFill="1" applyAlignment="1">
      <alignment horizontal="center"/>
    </xf>
    <xf numFmtId="0" fontId="5" fillId="2" borderId="0" xfId="2" applyFont="1" applyFill="1"/>
    <xf numFmtId="0" fontId="4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3" fillId="2" borderId="0" xfId="2" applyFill="1" applyAlignment="1">
      <alignment horizontal="left"/>
    </xf>
    <xf numFmtId="15" fontId="3" fillId="2" borderId="0" xfId="2" applyNumberFormat="1" applyFill="1" applyAlignment="1">
      <alignment horizontal="left"/>
    </xf>
    <xf numFmtId="0" fontId="8" fillId="2" borderId="0" xfId="3" applyFill="1" applyAlignment="1" applyProtection="1"/>
    <xf numFmtId="14" fontId="3" fillId="2" borderId="0" xfId="2" applyNumberFormat="1" applyFill="1"/>
    <xf numFmtId="0" fontId="3" fillId="0" borderId="0" xfId="2"/>
    <xf numFmtId="3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3" fontId="4" fillId="0" borderId="0" xfId="2" applyNumberFormat="1" applyFont="1"/>
    <xf numFmtId="1" fontId="3" fillId="0" borderId="0" xfId="2" applyNumberFormat="1" applyAlignment="1">
      <alignment horizontal="center"/>
    </xf>
    <xf numFmtId="0" fontId="4" fillId="0" borderId="0" xfId="2" applyFont="1"/>
    <xf numFmtId="0" fontId="8" fillId="0" borderId="0" xfId="3" applyAlignment="1" applyProtection="1"/>
    <xf numFmtId="9" fontId="3" fillId="2" borderId="0" xfId="2" applyNumberFormat="1" applyFill="1" applyAlignment="1">
      <alignment horizontal="center"/>
    </xf>
    <xf numFmtId="9" fontId="3" fillId="2" borderId="0" xfId="2" applyNumberFormat="1" applyFill="1"/>
    <xf numFmtId="0" fontId="3" fillId="2" borderId="0" xfId="2" quotePrefix="1" applyFill="1"/>
    <xf numFmtId="14" fontId="3" fillId="2" borderId="0" xfId="2" applyNumberFormat="1" applyFill="1" applyAlignment="1">
      <alignment horizontal="center"/>
    </xf>
    <xf numFmtId="0" fontId="4" fillId="2" borderId="0" xfId="4" applyFill="1"/>
    <xf numFmtId="3" fontId="4" fillId="2" borderId="0" xfId="4" applyNumberFormat="1" applyFill="1" applyAlignment="1">
      <alignment horizontal="center"/>
    </xf>
    <xf numFmtId="0" fontId="4" fillId="2" borderId="0" xfId="4" applyFill="1" applyAlignment="1">
      <alignment horizontal="center"/>
    </xf>
    <xf numFmtId="3" fontId="4" fillId="2" borderId="0" xfId="4" applyNumberFormat="1" applyFill="1"/>
    <xf numFmtId="1" fontId="4" fillId="2" borderId="0" xfId="4" applyNumberFormat="1" applyFill="1" applyAlignment="1">
      <alignment horizontal="center"/>
    </xf>
    <xf numFmtId="9" fontId="0" fillId="0" borderId="0" xfId="0" applyNumberFormat="1"/>
    <xf numFmtId="0" fontId="3" fillId="2" borderId="0" xfId="2" applyFill="1" applyAlignment="1">
      <alignment horizontal="center"/>
    </xf>
  </cellXfs>
  <cellStyles count="5">
    <cellStyle name="Hyperlink" xfId="1" builtinId="8"/>
    <cellStyle name="Hyperlink 2" xfId="3" xr:uid="{0CCD5425-0045-4669-AE8C-0C6883080D73}"/>
    <cellStyle name="Normal" xfId="0" builtinId="0"/>
    <cellStyle name="Normal 2" xfId="2" xr:uid="{FCED1AB9-9B34-4C17-AA06-32893396C27A}"/>
    <cellStyle name="Normal 3" xfId="4" xr:uid="{430EDDB5-2D5A-4E43-BFE8-008BF837DB00}"/>
  </cellStyles>
  <dxfs count="0"/>
  <tableStyles count="1" defaultTableStyle="TableStyleMedium2" defaultPivotStyle="PivotStyleLight16">
    <tableStyle name="Invisible" pivot="0" table="0" count="0" xr9:uid="{7E152EB0-63A4-4DDF-A48A-D6473F2ECE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25684</xdr:colOff>
      <xdr:row>0</xdr:row>
      <xdr:rowOff>0</xdr:rowOff>
    </xdr:from>
    <xdr:to>
      <xdr:col>20</xdr:col>
      <xdr:colOff>25684</xdr:colOff>
      <xdr:row>84</xdr:row>
      <xdr:rowOff>122634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955CAF-2D96-1A5D-AD91-EA07FDB6BB82}"/>
            </a:ext>
          </a:extLst>
        </xdr:cNvPr>
        <xdr:cNvCxnSpPr/>
      </xdr:nvCxnSpPr>
      <xdr:spPr>
        <a:xfrm>
          <a:off x="12515340" y="0"/>
          <a:ext cx="0" cy="136243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30268</xdr:colOff>
      <xdr:row>0</xdr:row>
      <xdr:rowOff>55756</xdr:rowOff>
    </xdr:from>
    <xdr:to>
      <xdr:col>32</xdr:col>
      <xdr:colOff>30268</xdr:colOff>
      <xdr:row>84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B0279C-0707-B9DC-6DEC-78CCC33214BB}"/>
            </a:ext>
          </a:extLst>
        </xdr:cNvPr>
        <xdr:cNvCxnSpPr/>
      </xdr:nvCxnSpPr>
      <xdr:spPr>
        <a:xfrm>
          <a:off x="18661168" y="55756"/>
          <a:ext cx="0" cy="137364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m1\elea_folder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sheetPr codeName="Sheet1"/>
  <dimension ref="B2:N15"/>
  <sheetViews>
    <sheetView tabSelected="1" zoomScale="130" zoomScaleNormal="130" workbookViewId="0">
      <selection activeCell="H6" sqref="H6"/>
    </sheetView>
  </sheetViews>
  <sheetFormatPr defaultRowHeight="12.75" x14ac:dyDescent="0.2"/>
  <cols>
    <col min="2" max="2" width="10.28515625" customWidth="1"/>
  </cols>
  <sheetData>
    <row r="2" spans="2:14" x14ac:dyDescent="0.2">
      <c r="B2" t="s">
        <v>316</v>
      </c>
      <c r="L2" t="s">
        <v>0</v>
      </c>
      <c r="M2" s="1">
        <v>12</v>
      </c>
    </row>
    <row r="3" spans="2:14" x14ac:dyDescent="0.2">
      <c r="L3" t="s">
        <v>1</v>
      </c>
      <c r="M3" s="2">
        <v>1193.5204630000001</v>
      </c>
      <c r="N3" s="3" t="s">
        <v>330</v>
      </c>
    </row>
    <row r="4" spans="2:14" x14ac:dyDescent="0.2">
      <c r="L4" t="s">
        <v>2</v>
      </c>
      <c r="M4" s="2">
        <f>M2*M3</f>
        <v>14322.245556000002</v>
      </c>
      <c r="N4" s="3"/>
    </row>
    <row r="5" spans="2:14" x14ac:dyDescent="0.2">
      <c r="L5" t="s">
        <v>3</v>
      </c>
      <c r="M5" s="2">
        <v>917</v>
      </c>
      <c r="N5" s="3" t="s">
        <v>330</v>
      </c>
    </row>
    <row r="6" spans="2:14" x14ac:dyDescent="0.2">
      <c r="L6" t="s">
        <v>4</v>
      </c>
      <c r="M6" s="2">
        <v>17099</v>
      </c>
      <c r="N6" s="3" t="s">
        <v>330</v>
      </c>
    </row>
    <row r="7" spans="2:14" x14ac:dyDescent="0.2">
      <c r="L7" t="s">
        <v>5</v>
      </c>
      <c r="M7" s="2">
        <f>M4-M5+M6</f>
        <v>30504.245556000002</v>
      </c>
    </row>
    <row r="9" spans="2:14" x14ac:dyDescent="0.2">
      <c r="L9" t="s">
        <v>89</v>
      </c>
    </row>
    <row r="10" spans="2:14" x14ac:dyDescent="0.2">
      <c r="L10" t="s">
        <v>90</v>
      </c>
    </row>
    <row r="11" spans="2:14" x14ac:dyDescent="0.2">
      <c r="L11" t="s">
        <v>91</v>
      </c>
    </row>
    <row r="14" spans="2:14" x14ac:dyDescent="0.2">
      <c r="L14" t="s">
        <v>318</v>
      </c>
    </row>
    <row r="15" spans="2:14" x14ac:dyDescent="0.2">
      <c r="L15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sheetPr codeName="Sheet2"/>
  <dimension ref="A1:AN96"/>
  <sheetViews>
    <sheetView zoomScale="175" zoomScaleNormal="175" workbookViewId="0">
      <pane xSplit="2" ySplit="2" topLeftCell="M39" activePane="bottomRight" state="frozen"/>
      <selection pane="topRight" activeCell="C1" sqref="C1"/>
      <selection pane="bottomLeft" activeCell="A3" sqref="A3"/>
      <selection pane="bottomRight" activeCell="T48" sqref="T48"/>
    </sheetView>
  </sheetViews>
  <sheetFormatPr defaultRowHeight="12.75" x14ac:dyDescent="0.2"/>
  <cols>
    <col min="1" max="1" width="5" bestFit="1" customWidth="1"/>
    <col min="2" max="2" width="18.42578125" customWidth="1"/>
    <col min="3" max="14" width="9.140625" style="3"/>
  </cols>
  <sheetData>
    <row r="1" spans="1:40" x14ac:dyDescent="0.2">
      <c r="A1" s="6" t="s">
        <v>8</v>
      </c>
    </row>
    <row r="2" spans="1:40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  <c r="O2" s="3" t="s">
        <v>325</v>
      </c>
      <c r="P2" s="3" t="s">
        <v>326</v>
      </c>
      <c r="Q2" s="3" t="s">
        <v>327</v>
      </c>
      <c r="R2" s="3" t="s">
        <v>328</v>
      </c>
      <c r="S2" s="3" t="s">
        <v>329</v>
      </c>
      <c r="T2" s="3" t="s">
        <v>330</v>
      </c>
      <c r="U2" s="3" t="s">
        <v>331</v>
      </c>
      <c r="V2" s="3" t="s">
        <v>332</v>
      </c>
      <c r="Y2">
        <v>2015</v>
      </c>
      <c r="Z2">
        <f>Y2+1</f>
        <v>2016</v>
      </c>
      <c r="AA2">
        <f t="shared" ref="AA2:AN2" si="0">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</row>
    <row r="3" spans="1:40" s="2" customFormat="1" x14ac:dyDescent="0.2">
      <c r="B3" s="2" t="s">
        <v>72</v>
      </c>
      <c r="C3" s="7"/>
      <c r="D3" s="7"/>
      <c r="E3" s="7"/>
      <c r="F3" s="7">
        <v>1859</v>
      </c>
      <c r="G3" s="7">
        <v>2724.6</v>
      </c>
      <c r="H3" s="7">
        <v>2701.7</v>
      </c>
      <c r="I3" s="7">
        <v>2803.1</v>
      </c>
      <c r="J3" s="7">
        <v>2611.9</v>
      </c>
      <c r="K3" s="7">
        <v>2554.1</v>
      </c>
      <c r="L3" s="7">
        <v>2483.1</v>
      </c>
      <c r="M3" s="7">
        <v>2540.3000000000002</v>
      </c>
      <c r="N3" s="7"/>
    </row>
    <row r="4" spans="1:40" s="2" customFormat="1" x14ac:dyDescent="0.2">
      <c r="B4" s="2" t="s">
        <v>73</v>
      </c>
      <c r="C4" s="7"/>
      <c r="D4" s="7"/>
      <c r="E4" s="7"/>
      <c r="F4" s="7">
        <v>338.8</v>
      </c>
      <c r="G4" s="7">
        <v>328.9</v>
      </c>
      <c r="H4" s="7">
        <v>332.8</v>
      </c>
      <c r="I4" s="7">
        <v>332</v>
      </c>
      <c r="J4" s="7">
        <v>348.4</v>
      </c>
      <c r="K4" s="7">
        <v>390.8</v>
      </c>
      <c r="L4" s="7">
        <v>354.8</v>
      </c>
      <c r="M4" s="7">
        <v>320.2</v>
      </c>
      <c r="N4" s="7"/>
    </row>
    <row r="5" spans="1:40" s="2" customFormat="1" x14ac:dyDescent="0.2">
      <c r="B5" s="2" t="s">
        <v>74</v>
      </c>
      <c r="C5" s="7"/>
      <c r="D5" s="7"/>
      <c r="E5" s="7"/>
      <c r="F5" s="7">
        <v>1389.9</v>
      </c>
      <c r="G5" s="7">
        <v>1346.6</v>
      </c>
      <c r="H5" s="7">
        <v>1527.2</v>
      </c>
      <c r="I5" s="7">
        <v>1385.4</v>
      </c>
      <c r="J5" s="7">
        <v>1371</v>
      </c>
      <c r="K5" s="7">
        <v>1233.3</v>
      </c>
      <c r="L5" s="7">
        <v>1267.5</v>
      </c>
      <c r="M5" s="7">
        <v>1206.9000000000001</v>
      </c>
      <c r="N5" s="7"/>
    </row>
    <row r="7" spans="1:40" s="2" customFormat="1" x14ac:dyDescent="0.2">
      <c r="B7" s="2" t="s">
        <v>68</v>
      </c>
      <c r="C7" s="7"/>
      <c r="D7" s="7"/>
      <c r="E7" s="7"/>
      <c r="F7" s="7">
        <v>2378.6</v>
      </c>
      <c r="G7" s="7">
        <v>2571.6</v>
      </c>
      <c r="H7" s="7">
        <v>2640.4</v>
      </c>
      <c r="I7" s="7">
        <v>2655.9</v>
      </c>
      <c r="J7" s="7">
        <v>2560.8000000000002</v>
      </c>
      <c r="K7" s="7">
        <v>2476.1</v>
      </c>
      <c r="L7" s="7">
        <v>2479.1</v>
      </c>
      <c r="M7" s="7">
        <v>2431.5</v>
      </c>
      <c r="N7" s="7"/>
      <c r="AE7" s="2">
        <v>10428.700000000001</v>
      </c>
      <c r="AF7" s="2">
        <v>9768.9</v>
      </c>
    </row>
    <row r="8" spans="1:40" s="2" customFormat="1" x14ac:dyDescent="0.2">
      <c r="B8" s="2" t="s">
        <v>69</v>
      </c>
      <c r="C8" s="7"/>
      <c r="D8" s="7"/>
      <c r="E8" s="7"/>
      <c r="F8" s="7">
        <v>190.6</v>
      </c>
      <c r="G8" s="7">
        <v>591.9</v>
      </c>
      <c r="H8" s="7">
        <v>550.29999999999995</v>
      </c>
      <c r="I8" s="7">
        <v>792.5</v>
      </c>
      <c r="J8" s="7">
        <v>503.8</v>
      </c>
      <c r="K8" s="7">
        <v>573.1</v>
      </c>
      <c r="L8" s="7">
        <v>548.29999999999995</v>
      </c>
      <c r="M8" s="7">
        <v>678.9</v>
      </c>
      <c r="N8" s="7"/>
      <c r="AE8" s="2">
        <v>2212.8000000000002</v>
      </c>
      <c r="AF8" s="2">
        <v>2201.1999999999998</v>
      </c>
    </row>
    <row r="9" spans="1:40" s="2" customFormat="1" x14ac:dyDescent="0.2">
      <c r="B9" s="2" t="s">
        <v>70</v>
      </c>
      <c r="C9" s="7"/>
      <c r="D9" s="7"/>
      <c r="E9" s="7"/>
      <c r="F9" s="7">
        <v>389.5</v>
      </c>
      <c r="G9" s="7">
        <v>481.9</v>
      </c>
      <c r="H9" s="7">
        <v>501</v>
      </c>
      <c r="I9" s="7">
        <v>505.3</v>
      </c>
      <c r="J9" s="7">
        <v>539.20000000000005</v>
      </c>
      <c r="K9" s="7">
        <v>423.8</v>
      </c>
      <c r="L9" s="7">
        <v>427.1</v>
      </c>
      <c r="M9" s="7">
        <v>383</v>
      </c>
      <c r="N9" s="7"/>
      <c r="AE9" s="2">
        <v>2027.4</v>
      </c>
      <c r="AF9" s="2">
        <v>1632.4</v>
      </c>
    </row>
    <row r="10" spans="1:40" s="2" customFormat="1" x14ac:dyDescent="0.2">
      <c r="B10" s="2" t="s">
        <v>71</v>
      </c>
      <c r="C10" s="7"/>
      <c r="D10" s="7"/>
      <c r="E10" s="7"/>
      <c r="F10" s="7">
        <v>629</v>
      </c>
      <c r="G10" s="7">
        <v>754.7</v>
      </c>
      <c r="H10" s="7">
        <v>870</v>
      </c>
      <c r="I10" s="7">
        <v>566.79999999999995</v>
      </c>
      <c r="J10" s="7">
        <v>727.5</v>
      </c>
      <c r="K10" s="7">
        <v>705.2</v>
      </c>
      <c r="L10" s="7">
        <v>650.9</v>
      </c>
      <c r="M10" s="7">
        <v>574</v>
      </c>
      <c r="N10" s="7"/>
      <c r="AE10" s="2">
        <v>3144.7</v>
      </c>
      <c r="AF10" s="2">
        <v>2615.6</v>
      </c>
    </row>
    <row r="11" spans="1:40" s="2" customForma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40" s="2" customFormat="1" x14ac:dyDescent="0.2">
      <c r="B12" s="2" t="s">
        <v>75</v>
      </c>
      <c r="C12" s="7"/>
      <c r="D12" s="7"/>
      <c r="E12" s="7"/>
      <c r="F12" s="7"/>
      <c r="G12" s="7">
        <v>464.6</v>
      </c>
      <c r="H12" s="7">
        <v>398.3</v>
      </c>
      <c r="I12" s="7">
        <v>410</v>
      </c>
      <c r="J12" s="7">
        <v>390.3</v>
      </c>
      <c r="K12" s="7">
        <v>440.1</v>
      </c>
      <c r="L12" s="7">
        <v>405.6</v>
      </c>
      <c r="M12" s="7">
        <v>420.4</v>
      </c>
      <c r="N12" s="7"/>
      <c r="P12" s="2">
        <v>380</v>
      </c>
      <c r="T12" s="2">
        <v>348.4</v>
      </c>
    </row>
    <row r="13" spans="1:40" s="2" customFormat="1" x14ac:dyDescent="0.2">
      <c r="B13" s="2" t="s">
        <v>76</v>
      </c>
      <c r="C13" s="7"/>
      <c r="D13" s="7"/>
      <c r="E13" s="7"/>
      <c r="F13" s="7"/>
      <c r="G13" s="7">
        <v>227.7</v>
      </c>
      <c r="H13" s="7">
        <v>209.8</v>
      </c>
      <c r="I13" s="7">
        <v>198.4</v>
      </c>
      <c r="J13" s="7">
        <v>188.8</v>
      </c>
      <c r="K13" s="7">
        <v>207.8</v>
      </c>
      <c r="L13" s="7">
        <v>203</v>
      </c>
      <c r="M13" s="7">
        <v>189.3</v>
      </c>
      <c r="N13" s="7"/>
      <c r="P13" s="2">
        <v>182.4</v>
      </c>
      <c r="T13" s="2">
        <v>161.9</v>
      </c>
    </row>
    <row r="14" spans="1:40" s="2" customFormat="1" x14ac:dyDescent="0.2">
      <c r="B14" s="2" t="s">
        <v>77</v>
      </c>
      <c r="C14" s="7"/>
      <c r="D14" s="7"/>
      <c r="E14" s="7"/>
      <c r="F14" s="7"/>
      <c r="G14" s="7">
        <v>187.8</v>
      </c>
      <c r="H14" s="7">
        <v>192.5</v>
      </c>
      <c r="I14" s="7">
        <v>175.6</v>
      </c>
      <c r="J14" s="7">
        <v>172.6</v>
      </c>
      <c r="K14" s="7">
        <v>171.7</v>
      </c>
      <c r="L14" s="7">
        <v>155.80000000000001</v>
      </c>
      <c r="M14" s="7">
        <v>156.5</v>
      </c>
      <c r="N14" s="7"/>
      <c r="P14" s="2">
        <v>137.1</v>
      </c>
      <c r="T14" s="2">
        <v>124.3</v>
      </c>
    </row>
    <row r="15" spans="1:40" s="2" customFormat="1" x14ac:dyDescent="0.2">
      <c r="B15" s="2" t="s">
        <v>78</v>
      </c>
      <c r="C15" s="7"/>
      <c r="D15" s="7"/>
      <c r="E15" s="7"/>
      <c r="F15" s="7"/>
      <c r="G15" s="7">
        <v>139.6</v>
      </c>
      <c r="H15" s="7">
        <v>134.80000000000001</v>
      </c>
      <c r="I15" s="7">
        <v>138</v>
      </c>
      <c r="J15" s="7">
        <v>121.4</v>
      </c>
      <c r="K15" s="7">
        <v>129.80000000000001</v>
      </c>
      <c r="L15" s="7">
        <v>115.1</v>
      </c>
      <c r="M15" s="7">
        <v>117</v>
      </c>
      <c r="N15" s="7"/>
      <c r="P15" s="2">
        <v>111</v>
      </c>
      <c r="T15" s="2">
        <v>106.1</v>
      </c>
    </row>
    <row r="16" spans="1:40" s="2" customFormat="1" x14ac:dyDescent="0.2">
      <c r="B16" s="2" t="s">
        <v>79</v>
      </c>
      <c r="C16" s="7"/>
      <c r="D16" s="7"/>
      <c r="E16" s="7"/>
      <c r="F16" s="7"/>
      <c r="G16" s="7">
        <v>103.7</v>
      </c>
      <c r="H16" s="7">
        <v>104.1</v>
      </c>
      <c r="I16" s="7">
        <v>129.5</v>
      </c>
      <c r="J16" s="7">
        <v>54.4</v>
      </c>
      <c r="K16" s="7">
        <v>88.8</v>
      </c>
      <c r="L16" s="7">
        <v>106.5</v>
      </c>
      <c r="M16" s="7">
        <v>114.4</v>
      </c>
      <c r="N16" s="7"/>
      <c r="P16" s="2">
        <v>127.5</v>
      </c>
      <c r="T16" s="2">
        <v>115.5</v>
      </c>
    </row>
    <row r="17" spans="2:32" s="2" customFormat="1" x14ac:dyDescent="0.2">
      <c r="B17" s="2" t="s">
        <v>80</v>
      </c>
      <c r="C17" s="7"/>
      <c r="D17" s="7"/>
      <c r="E17" s="7"/>
      <c r="F17" s="7"/>
      <c r="G17" s="7">
        <v>89</v>
      </c>
      <c r="H17" s="7">
        <v>82.3</v>
      </c>
      <c r="I17" s="7">
        <v>86</v>
      </c>
      <c r="J17" s="7">
        <v>87.1</v>
      </c>
      <c r="K17" s="7">
        <v>85.2</v>
      </c>
      <c r="L17" s="7">
        <v>85.9</v>
      </c>
      <c r="M17" s="7">
        <v>82.2</v>
      </c>
      <c r="N17" s="7"/>
      <c r="P17" s="2">
        <v>82</v>
      </c>
      <c r="T17" s="2">
        <v>72.2</v>
      </c>
    </row>
    <row r="18" spans="2:32" s="2" customFormat="1" x14ac:dyDescent="0.2">
      <c r="B18" s="2" t="s">
        <v>81</v>
      </c>
      <c r="C18" s="7"/>
      <c r="D18" s="7"/>
      <c r="E18" s="7"/>
      <c r="F18" s="7"/>
      <c r="G18" s="7">
        <v>69.900000000000006</v>
      </c>
      <c r="H18" s="7">
        <v>80.7</v>
      </c>
      <c r="I18" s="7">
        <v>81.099999999999994</v>
      </c>
      <c r="J18" s="7">
        <v>78.099999999999994</v>
      </c>
      <c r="K18" s="7">
        <v>74.7</v>
      </c>
      <c r="L18" s="7">
        <v>75.400000000000006</v>
      </c>
      <c r="M18" s="7">
        <v>76.400000000000006</v>
      </c>
      <c r="N18" s="7"/>
      <c r="P18" s="2">
        <v>74.099999999999994</v>
      </c>
      <c r="T18" s="2">
        <v>78.2</v>
      </c>
    </row>
    <row r="19" spans="2:32" s="2" customFormat="1" x14ac:dyDescent="0.2">
      <c r="B19" s="2" t="s">
        <v>82</v>
      </c>
      <c r="C19" s="7"/>
      <c r="D19" s="7"/>
      <c r="E19" s="7"/>
      <c r="F19" s="7"/>
      <c r="G19" s="7">
        <v>76.599999999999994</v>
      </c>
      <c r="H19" s="7">
        <v>83.5</v>
      </c>
      <c r="I19" s="7">
        <v>79.5</v>
      </c>
      <c r="J19" s="7">
        <v>77.2</v>
      </c>
      <c r="K19" s="7">
        <v>77.5</v>
      </c>
      <c r="L19" s="7">
        <v>73.7</v>
      </c>
      <c r="M19" s="7">
        <v>64.2</v>
      </c>
      <c r="N19" s="7"/>
      <c r="P19" s="2">
        <v>64.8</v>
      </c>
      <c r="T19" s="2">
        <v>62.7</v>
      </c>
    </row>
    <row r="20" spans="2:32" s="2" customFormat="1" x14ac:dyDescent="0.2">
      <c r="B20" s="2" t="s">
        <v>83</v>
      </c>
      <c r="C20" s="7"/>
      <c r="D20" s="7"/>
      <c r="E20" s="7"/>
      <c r="F20" s="7"/>
      <c r="G20" s="7">
        <v>76.599999999999994</v>
      </c>
      <c r="H20" s="7">
        <v>70.900000000000006</v>
      </c>
      <c r="I20" s="7">
        <v>61.3</v>
      </c>
      <c r="J20" s="7">
        <v>75.5</v>
      </c>
      <c r="K20" s="7">
        <v>73.099999999999994</v>
      </c>
      <c r="L20" s="7">
        <v>62.5</v>
      </c>
      <c r="M20" s="7">
        <v>53.1</v>
      </c>
      <c r="N20" s="7"/>
      <c r="P20" s="2">
        <v>54.5</v>
      </c>
      <c r="T20" s="2">
        <v>58.9</v>
      </c>
    </row>
    <row r="21" spans="2:32" s="2" customFormat="1" x14ac:dyDescent="0.2">
      <c r="B21" s="2" t="s">
        <v>84</v>
      </c>
      <c r="C21" s="7"/>
      <c r="D21" s="7"/>
      <c r="E21" s="7"/>
      <c r="F21" s="7"/>
      <c r="G21" s="7">
        <v>57.9</v>
      </c>
      <c r="H21" s="7">
        <v>58.3</v>
      </c>
      <c r="I21" s="7">
        <v>55.8</v>
      </c>
      <c r="J21" s="7">
        <v>54</v>
      </c>
      <c r="K21" s="7">
        <v>53</v>
      </c>
      <c r="L21" s="7">
        <v>42.7</v>
      </c>
      <c r="M21" s="7">
        <v>51</v>
      </c>
      <c r="N21" s="7"/>
      <c r="P21" s="2">
        <v>50.4</v>
      </c>
      <c r="T21" s="2">
        <v>45.6</v>
      </c>
    </row>
    <row r="22" spans="2:32" s="2" customFormat="1" x14ac:dyDescent="0.2">
      <c r="B22" s="2" t="s">
        <v>317</v>
      </c>
      <c r="C22" s="7"/>
      <c r="D22" s="7"/>
      <c r="E22" s="7"/>
      <c r="F22" s="7"/>
      <c r="G22" s="7"/>
      <c r="H22" s="7"/>
      <c r="I22" s="7">
        <v>161.19999999999999</v>
      </c>
      <c r="J22" s="7">
        <v>134</v>
      </c>
      <c r="K22" s="7"/>
      <c r="L22" s="7"/>
      <c r="M22" s="7">
        <v>159.30000000000001</v>
      </c>
      <c r="N22" s="7"/>
    </row>
    <row r="23" spans="2:32" s="2" customFormat="1" x14ac:dyDescent="0.2">
      <c r="B23" s="2" t="s">
        <v>85</v>
      </c>
      <c r="C23" s="7"/>
      <c r="D23" s="7"/>
      <c r="E23" s="7"/>
      <c r="F23" s="7"/>
      <c r="G23" s="7">
        <v>40.299999999999997</v>
      </c>
      <c r="H23" s="7">
        <v>54.6</v>
      </c>
      <c r="I23" s="7">
        <v>35</v>
      </c>
      <c r="J23" s="7">
        <v>38.1</v>
      </c>
      <c r="K23" s="7">
        <v>44</v>
      </c>
      <c r="L23" s="7">
        <v>55.5</v>
      </c>
      <c r="M23" s="7">
        <v>38.6</v>
      </c>
      <c r="N23" s="7"/>
      <c r="P23" s="2">
        <v>57.7</v>
      </c>
      <c r="T23" s="2">
        <v>55</v>
      </c>
    </row>
    <row r="24" spans="2:32" s="2" customFormat="1" x14ac:dyDescent="0.2">
      <c r="B24" s="2" t="s">
        <v>86</v>
      </c>
      <c r="C24" s="7"/>
      <c r="D24" s="7"/>
      <c r="E24" s="7"/>
      <c r="F24" s="7"/>
      <c r="G24" s="7">
        <v>36.9</v>
      </c>
      <c r="H24" s="7">
        <v>41.8</v>
      </c>
      <c r="I24" s="7">
        <v>39.4</v>
      </c>
      <c r="J24" s="7">
        <v>43.8</v>
      </c>
      <c r="K24" s="7">
        <v>43.7</v>
      </c>
      <c r="L24" s="7">
        <v>49.1</v>
      </c>
      <c r="M24" s="7">
        <v>53.4</v>
      </c>
      <c r="N24" s="7"/>
      <c r="P24" s="2">
        <v>55</v>
      </c>
      <c r="T24" s="2">
        <v>54.5</v>
      </c>
    </row>
    <row r="25" spans="2:32" s="2" customFormat="1" x14ac:dyDescent="0.2">
      <c r="B25" s="2" t="s">
        <v>87</v>
      </c>
      <c r="C25" s="7"/>
      <c r="D25" s="7"/>
      <c r="E25" s="7"/>
      <c r="F25" s="7"/>
      <c r="G25" s="7">
        <v>45.9</v>
      </c>
      <c r="H25" s="7">
        <v>52.1</v>
      </c>
      <c r="I25" s="7">
        <v>49.5</v>
      </c>
      <c r="J25" s="7">
        <v>54</v>
      </c>
      <c r="K25" s="7">
        <v>41.8</v>
      </c>
      <c r="L25" s="7">
        <v>44.1</v>
      </c>
      <c r="M25" s="7">
        <v>39.4</v>
      </c>
      <c r="N25" s="7"/>
      <c r="P25" s="2">
        <v>41.5</v>
      </c>
      <c r="T25" s="2">
        <v>36.9</v>
      </c>
    </row>
    <row r="26" spans="2:32" s="2" customFormat="1" x14ac:dyDescent="0.2">
      <c r="B26" s="2" t="s">
        <v>88</v>
      </c>
      <c r="C26" s="7"/>
      <c r="D26" s="7"/>
      <c r="E26" s="7"/>
      <c r="F26" s="7"/>
      <c r="G26" s="7">
        <v>45.1</v>
      </c>
      <c r="H26" s="7">
        <v>48.8</v>
      </c>
      <c r="I26" s="7">
        <v>47.6</v>
      </c>
      <c r="J26" s="7">
        <v>44.4</v>
      </c>
      <c r="K26" s="7">
        <v>40</v>
      </c>
      <c r="L26" s="7">
        <v>37.200000000000003</v>
      </c>
      <c r="M26" s="7">
        <v>38.299999999999997</v>
      </c>
      <c r="N26" s="7"/>
      <c r="P26" s="2">
        <v>51.8</v>
      </c>
      <c r="T26" s="2">
        <v>35.4</v>
      </c>
    </row>
    <row r="28" spans="2:32" s="2" customFormat="1" x14ac:dyDescent="0.2">
      <c r="B28" s="2" t="s">
        <v>20</v>
      </c>
      <c r="C28" s="7"/>
      <c r="D28" s="7"/>
      <c r="E28" s="7"/>
      <c r="F28" s="7">
        <v>3587.7</v>
      </c>
      <c r="G28" s="7">
        <v>4400.1000000000004</v>
      </c>
      <c r="H28" s="7">
        <v>4561.7</v>
      </c>
      <c r="I28" s="7">
        <v>4520.5</v>
      </c>
      <c r="J28" s="7">
        <v>4331.3</v>
      </c>
      <c r="K28" s="7">
        <v>4178.2</v>
      </c>
      <c r="L28" s="7">
        <v>4105.3999999999996</v>
      </c>
      <c r="M28" s="7">
        <v>4067.4</v>
      </c>
      <c r="N28" s="7"/>
      <c r="P28" s="2">
        <v>3909.5</v>
      </c>
      <c r="T28" s="2">
        <v>3785.9</v>
      </c>
      <c r="AD28" s="2">
        <v>11819.9</v>
      </c>
      <c r="AE28" s="2">
        <f>SUM(AE7:AE10)</f>
        <v>17813.599999999999</v>
      </c>
      <c r="AF28" s="2">
        <f>SUM(AF7:AF10)</f>
        <v>16218.099999999999</v>
      </c>
    </row>
    <row r="29" spans="2:32" s="2" customFormat="1" x14ac:dyDescent="0.2">
      <c r="B29" s="2" t="s">
        <v>21</v>
      </c>
      <c r="C29" s="7"/>
      <c r="D29" s="7"/>
      <c r="E29" s="7"/>
      <c r="F29" s="7">
        <v>35.799999999999997</v>
      </c>
      <c r="G29" s="7">
        <v>30.2</v>
      </c>
      <c r="H29" s="7">
        <v>16.100000000000001</v>
      </c>
      <c r="I29" s="7">
        <v>16.100000000000001</v>
      </c>
      <c r="J29" s="7">
        <v>10.3</v>
      </c>
      <c r="K29" s="7">
        <v>13.5</v>
      </c>
      <c r="L29" s="7">
        <v>11.4</v>
      </c>
      <c r="M29" s="7">
        <v>10.8</v>
      </c>
      <c r="N29" s="7"/>
      <c r="P29" s="2">
        <v>9.1</v>
      </c>
      <c r="T29" s="2">
        <v>10.7</v>
      </c>
      <c r="AD29" s="2">
        <v>126.1</v>
      </c>
      <c r="AE29" s="2">
        <v>72.7</v>
      </c>
      <c r="AF29" s="2">
        <v>44.6</v>
      </c>
    </row>
    <row r="30" spans="2:32" s="8" customFormat="1" x14ac:dyDescent="0.2">
      <c r="B30" s="8" t="s">
        <v>9</v>
      </c>
      <c r="C30" s="9"/>
      <c r="D30" s="9"/>
      <c r="E30" s="9"/>
      <c r="F30" s="9">
        <f t="shared" ref="F30:V30" si="1">+F28+F29</f>
        <v>3623.5</v>
      </c>
      <c r="G30" s="9">
        <f t="shared" si="1"/>
        <v>4430.3</v>
      </c>
      <c r="H30" s="9">
        <f t="shared" si="1"/>
        <v>4577.8</v>
      </c>
      <c r="I30" s="9">
        <f t="shared" si="1"/>
        <v>4536.6000000000004</v>
      </c>
      <c r="J30" s="9">
        <f t="shared" si="1"/>
        <v>4341.6000000000004</v>
      </c>
      <c r="K30" s="9">
        <f t="shared" si="1"/>
        <v>4191.7</v>
      </c>
      <c r="L30" s="9">
        <f t="shared" si="1"/>
        <v>4116.7999999999993</v>
      </c>
      <c r="M30" s="9">
        <f t="shared" si="1"/>
        <v>4078.2000000000003</v>
      </c>
      <c r="N30" s="9">
        <f t="shared" si="1"/>
        <v>0</v>
      </c>
      <c r="O30" s="9">
        <f t="shared" si="1"/>
        <v>0</v>
      </c>
      <c r="P30" s="9">
        <f t="shared" si="1"/>
        <v>3918.6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3796.6</v>
      </c>
      <c r="U30" s="9">
        <f t="shared" si="1"/>
        <v>0</v>
      </c>
      <c r="V30" s="9">
        <f t="shared" si="1"/>
        <v>0</v>
      </c>
      <c r="AD30" s="8">
        <f>AD28+AD29</f>
        <v>11946</v>
      </c>
      <c r="AE30" s="8">
        <f>AE28+AE29</f>
        <v>17886.3</v>
      </c>
      <c r="AF30" s="8">
        <f>AF28+AF29</f>
        <v>16262.699999999999</v>
      </c>
    </row>
    <row r="31" spans="2:32" s="2" customFormat="1" x14ac:dyDescent="0.2">
      <c r="B31" s="2" t="s">
        <v>23</v>
      </c>
      <c r="C31" s="7"/>
      <c r="D31" s="7"/>
      <c r="E31" s="7"/>
      <c r="F31" s="7">
        <v>2917.1</v>
      </c>
      <c r="G31" s="7">
        <v>3303</v>
      </c>
      <c r="H31" s="7">
        <v>3250.1</v>
      </c>
      <c r="I31" s="7">
        <v>2962.5</v>
      </c>
      <c r="J31" s="7">
        <v>2795.2</v>
      </c>
      <c r="K31" s="7">
        <v>2420.5</v>
      </c>
      <c r="L31" s="7">
        <v>2413.5</v>
      </c>
      <c r="M31" s="7">
        <v>2329.8000000000002</v>
      </c>
      <c r="N31" s="7"/>
      <c r="P31" s="2">
        <v>2310</v>
      </c>
      <c r="T31" s="2">
        <v>2351.1999999999998</v>
      </c>
      <c r="AD31" s="2">
        <v>8149.3</v>
      </c>
      <c r="AE31" s="2">
        <v>12310.8</v>
      </c>
      <c r="AF31" s="2">
        <v>9765.7000000000007</v>
      </c>
    </row>
    <row r="32" spans="2:32" s="2" customFormat="1" x14ac:dyDescent="0.2">
      <c r="B32" s="2" t="s">
        <v>24</v>
      </c>
      <c r="C32" s="7"/>
      <c r="D32" s="7"/>
      <c r="E32" s="7"/>
      <c r="F32" s="7">
        <f t="shared" ref="F32:M32" si="2">+F30-F31</f>
        <v>706.40000000000009</v>
      </c>
      <c r="G32" s="7">
        <f t="shared" si="2"/>
        <v>1127.3000000000002</v>
      </c>
      <c r="H32" s="7">
        <f t="shared" si="2"/>
        <v>1327.7000000000003</v>
      </c>
      <c r="I32" s="7">
        <f t="shared" si="2"/>
        <v>1574.1000000000004</v>
      </c>
      <c r="J32" s="7">
        <f t="shared" si="2"/>
        <v>1546.4000000000005</v>
      </c>
      <c r="K32" s="7">
        <f t="shared" si="2"/>
        <v>1771.1999999999998</v>
      </c>
      <c r="L32" s="7">
        <f t="shared" si="2"/>
        <v>1703.2999999999993</v>
      </c>
      <c r="M32" s="7">
        <f t="shared" si="2"/>
        <v>1748.4</v>
      </c>
      <c r="N32" s="7"/>
      <c r="P32" s="2">
        <f>+P30-P31</f>
        <v>1608.6</v>
      </c>
      <c r="T32" s="2">
        <f>+T30-T31</f>
        <v>1445.4</v>
      </c>
      <c r="AD32" s="2">
        <f>AD30-AD31</f>
        <v>3796.7</v>
      </c>
      <c r="AE32" s="2">
        <f>AE30-AE31</f>
        <v>5575.5</v>
      </c>
      <c r="AF32" s="2">
        <f>AF30-AF31</f>
        <v>6496.9999999999982</v>
      </c>
    </row>
    <row r="33" spans="2:32" s="2" customFormat="1" x14ac:dyDescent="0.2">
      <c r="B33" s="2" t="s">
        <v>25</v>
      </c>
      <c r="C33" s="7"/>
      <c r="D33" s="7"/>
      <c r="E33" s="7"/>
      <c r="F33" s="7">
        <v>154.80000000000001</v>
      </c>
      <c r="G33" s="7">
        <v>184.1</v>
      </c>
      <c r="H33" s="7">
        <v>147.69999999999999</v>
      </c>
      <c r="I33" s="7">
        <v>152.1</v>
      </c>
      <c r="J33" s="7">
        <v>267.2</v>
      </c>
      <c r="K33" s="7">
        <v>142.30000000000001</v>
      </c>
      <c r="L33" s="7">
        <v>162.6</v>
      </c>
      <c r="M33" s="7">
        <v>174.9</v>
      </c>
      <c r="N33" s="7"/>
      <c r="P33" s="2">
        <v>208.3</v>
      </c>
      <c r="T33" s="2">
        <v>204.1</v>
      </c>
      <c r="AD33" s="2">
        <v>512.6</v>
      </c>
      <c r="AE33" s="2">
        <v>681</v>
      </c>
      <c r="AF33" s="2">
        <v>662.2</v>
      </c>
    </row>
    <row r="34" spans="2:32" s="2" customFormat="1" x14ac:dyDescent="0.2">
      <c r="B34" s="2" t="s">
        <v>26</v>
      </c>
      <c r="C34" s="7"/>
      <c r="D34" s="7"/>
      <c r="E34" s="7"/>
      <c r="F34" s="7">
        <v>1361.4</v>
      </c>
      <c r="G34" s="7">
        <v>1186.5</v>
      </c>
      <c r="H34" s="7">
        <v>1204.8</v>
      </c>
      <c r="I34" s="7">
        <v>1055</v>
      </c>
      <c r="J34" s="7">
        <v>1082.9000000000001</v>
      </c>
      <c r="K34" s="7">
        <v>915.3</v>
      </c>
      <c r="L34" s="7">
        <v>981.1</v>
      </c>
      <c r="M34" s="7">
        <v>1017.3</v>
      </c>
      <c r="N34" s="7"/>
      <c r="P34" s="2">
        <v>1031.9000000000001</v>
      </c>
      <c r="T34" s="2">
        <v>1358</v>
      </c>
      <c r="AD34" s="2">
        <v>3344.6</v>
      </c>
      <c r="AE34" s="2">
        <v>4529.2</v>
      </c>
      <c r="AF34" s="2">
        <v>4179.1000000000004</v>
      </c>
    </row>
    <row r="35" spans="2:32" s="2" customFormat="1" x14ac:dyDescent="0.2">
      <c r="B35" s="2" t="s">
        <v>27</v>
      </c>
      <c r="C35" s="7"/>
      <c r="D35" s="7"/>
      <c r="E35" s="7"/>
      <c r="F35" s="7">
        <f t="shared" ref="F35:M35" si="3">+F33+F34</f>
        <v>1516.2</v>
      </c>
      <c r="G35" s="7">
        <f t="shared" si="3"/>
        <v>1370.6</v>
      </c>
      <c r="H35" s="7">
        <f t="shared" si="3"/>
        <v>1352.5</v>
      </c>
      <c r="I35" s="7">
        <f t="shared" si="3"/>
        <v>1207.0999999999999</v>
      </c>
      <c r="J35" s="7">
        <f t="shared" si="3"/>
        <v>1350.1000000000001</v>
      </c>
      <c r="K35" s="7">
        <f t="shared" si="3"/>
        <v>1057.5999999999999</v>
      </c>
      <c r="L35" s="7">
        <f t="shared" si="3"/>
        <v>1143.7</v>
      </c>
      <c r="M35" s="7">
        <f t="shared" si="3"/>
        <v>1192.2</v>
      </c>
      <c r="N35" s="7"/>
      <c r="P35" s="2">
        <f>+P33+P34</f>
        <v>1240.2</v>
      </c>
      <c r="T35" s="2">
        <f>+T33+T34</f>
        <v>1562.1</v>
      </c>
      <c r="AD35" s="2">
        <f>AD33+AD34</f>
        <v>3857.2</v>
      </c>
      <c r="AE35" s="2">
        <f t="shared" ref="AE35:AF35" si="4">AE33+AE34</f>
        <v>5210.2</v>
      </c>
      <c r="AF35" s="2">
        <f t="shared" si="4"/>
        <v>4841.3</v>
      </c>
    </row>
    <row r="36" spans="2:32" s="2" customFormat="1" x14ac:dyDescent="0.2">
      <c r="B36" s="2" t="s">
        <v>28</v>
      </c>
      <c r="C36" s="7"/>
      <c r="D36" s="7"/>
      <c r="E36" s="7"/>
      <c r="F36" s="7">
        <f t="shared" ref="F36:M36" si="5">+F32-F35</f>
        <v>-809.8</v>
      </c>
      <c r="G36" s="7">
        <f t="shared" si="5"/>
        <v>-243.29999999999973</v>
      </c>
      <c r="H36" s="7">
        <f t="shared" si="5"/>
        <v>-24.799999999999727</v>
      </c>
      <c r="I36" s="7">
        <f t="shared" si="5"/>
        <v>367.00000000000045</v>
      </c>
      <c r="J36" s="7">
        <f t="shared" si="5"/>
        <v>196.30000000000041</v>
      </c>
      <c r="K36" s="7">
        <f t="shared" si="5"/>
        <v>713.59999999999991</v>
      </c>
      <c r="L36" s="7">
        <f t="shared" si="5"/>
        <v>559.59999999999923</v>
      </c>
      <c r="M36" s="7">
        <f t="shared" si="5"/>
        <v>556.20000000000005</v>
      </c>
      <c r="N36" s="7"/>
      <c r="P36" s="2">
        <f>+P32-P35</f>
        <v>368.39999999999986</v>
      </c>
      <c r="T36" s="2">
        <f>+T32-T35</f>
        <v>-116.69999999999982</v>
      </c>
      <c r="AD36" s="2">
        <f>AD32-AD35</f>
        <v>-60.5</v>
      </c>
      <c r="AE36" s="2">
        <f t="shared" ref="AE36:AF36" si="6">AE32-AE35</f>
        <v>365.30000000000018</v>
      </c>
      <c r="AF36" s="2">
        <f t="shared" si="6"/>
        <v>1655.699999999998</v>
      </c>
    </row>
    <row r="37" spans="2:32" s="2" customFormat="1" x14ac:dyDescent="0.2">
      <c r="B37" s="2" t="s">
        <v>29</v>
      </c>
      <c r="C37" s="7"/>
      <c r="D37" s="7"/>
      <c r="E37" s="7"/>
      <c r="F37" s="7">
        <f>-144.4+12</f>
        <v>-132.4</v>
      </c>
      <c r="G37" s="7">
        <f>-169-6.1</f>
        <v>-175.1</v>
      </c>
      <c r="H37" s="7">
        <f>-167.1-4.2</f>
        <v>-171.29999999999998</v>
      </c>
      <c r="I37" s="7">
        <f>-151.9-5.8</f>
        <v>-157.70000000000002</v>
      </c>
      <c r="J37" s="7">
        <f>-148.2+21.9</f>
        <v>-126.29999999999998</v>
      </c>
      <c r="K37" s="7">
        <f>-146.2-33.7</f>
        <v>-179.89999999999998</v>
      </c>
      <c r="L37" s="7">
        <f>-145.9-13.5</f>
        <v>-159.4</v>
      </c>
      <c r="M37" s="7">
        <f>-153.2+20.6</f>
        <v>-132.6</v>
      </c>
      <c r="N37" s="7"/>
      <c r="P37" s="2">
        <v>-143.69999999999999</v>
      </c>
      <c r="T37" s="2">
        <v>-145.80000000000001</v>
      </c>
      <c r="AD37" s="2">
        <v>-497.8</v>
      </c>
      <c r="AE37" s="2">
        <v>-636.20000000000005</v>
      </c>
      <c r="AF37" s="2">
        <v>-592.4</v>
      </c>
    </row>
    <row r="38" spans="2:32" s="2" customFormat="1" x14ac:dyDescent="0.2">
      <c r="B38" s="2" t="s">
        <v>30</v>
      </c>
      <c r="C38" s="7"/>
      <c r="D38" s="7"/>
      <c r="E38" s="7"/>
      <c r="F38" s="7">
        <f t="shared" ref="F38:P38" si="7">+F36+F37</f>
        <v>-942.19999999999993</v>
      </c>
      <c r="G38" s="7">
        <f t="shared" si="7"/>
        <v>-418.39999999999975</v>
      </c>
      <c r="H38" s="7">
        <f t="shared" si="7"/>
        <v>-196.09999999999971</v>
      </c>
      <c r="I38" s="7">
        <f t="shared" si="7"/>
        <v>209.30000000000044</v>
      </c>
      <c r="J38" s="7">
        <f t="shared" si="7"/>
        <v>70.000000000000426</v>
      </c>
      <c r="K38" s="7">
        <f t="shared" si="7"/>
        <v>533.69999999999993</v>
      </c>
      <c r="L38" s="7">
        <f t="shared" si="7"/>
        <v>400.19999999999925</v>
      </c>
      <c r="M38" s="7">
        <f t="shared" si="7"/>
        <v>423.6</v>
      </c>
      <c r="N38" s="7"/>
      <c r="O38" s="7"/>
      <c r="P38" s="7">
        <f t="shared" si="7"/>
        <v>224.69999999999987</v>
      </c>
      <c r="T38" s="2">
        <f>+T36+T37</f>
        <v>-262.49999999999983</v>
      </c>
      <c r="AD38" s="2">
        <f>AD36+AD37</f>
        <v>-558.29999999999995</v>
      </c>
      <c r="AE38" s="2">
        <f t="shared" ref="AE38:AF38" si="8">AE36+AE37</f>
        <v>-270.89999999999986</v>
      </c>
      <c r="AF38" s="2">
        <f t="shared" si="8"/>
        <v>1063.2999999999979</v>
      </c>
    </row>
    <row r="39" spans="2:32" s="2" customFormat="1" x14ac:dyDescent="0.2">
      <c r="B39" s="2" t="s">
        <v>32</v>
      </c>
      <c r="C39" s="7"/>
      <c r="D39" s="7"/>
      <c r="E39" s="7"/>
      <c r="F39" s="7">
        <v>0</v>
      </c>
      <c r="G39" s="7">
        <v>596.29999999999995</v>
      </c>
      <c r="H39" s="7">
        <v>60.1</v>
      </c>
      <c r="I39" s="7">
        <v>0</v>
      </c>
      <c r="J39" s="7">
        <v>59.9</v>
      </c>
      <c r="K39" s="7">
        <v>128.30000000000001</v>
      </c>
      <c r="L39" s="7">
        <v>75.400000000000006</v>
      </c>
      <c r="M39" s="7">
        <v>73.2</v>
      </c>
      <c r="N39" s="7"/>
      <c r="P39" s="2">
        <v>69</v>
      </c>
      <c r="T39" s="2">
        <v>-65.400000000000006</v>
      </c>
      <c r="AD39" s="2">
        <v>0</v>
      </c>
      <c r="AE39" s="2">
        <v>0</v>
      </c>
      <c r="AF39" s="2">
        <v>734.6</v>
      </c>
    </row>
    <row r="40" spans="2:32" s="2" customFormat="1" x14ac:dyDescent="0.2">
      <c r="B40" s="2" t="s">
        <v>31</v>
      </c>
      <c r="C40" s="7"/>
      <c r="D40" s="7"/>
      <c r="E40" s="7"/>
      <c r="F40" s="7">
        <f t="shared" ref="F40:P40" si="9">+F38-F39</f>
        <v>-942.19999999999993</v>
      </c>
      <c r="G40" s="7">
        <f t="shared" si="9"/>
        <v>-1014.6999999999997</v>
      </c>
      <c r="H40" s="7">
        <f t="shared" si="9"/>
        <v>-256.1999999999997</v>
      </c>
      <c r="I40" s="7">
        <f t="shared" si="9"/>
        <v>209.30000000000044</v>
      </c>
      <c r="J40" s="7">
        <f t="shared" si="9"/>
        <v>10.100000000000428</v>
      </c>
      <c r="K40" s="7">
        <f t="shared" si="9"/>
        <v>405.39999999999992</v>
      </c>
      <c r="L40" s="7">
        <f t="shared" si="9"/>
        <v>324.79999999999927</v>
      </c>
      <c r="M40" s="7">
        <f t="shared" si="9"/>
        <v>350.40000000000003</v>
      </c>
      <c r="N40" s="7"/>
      <c r="O40" s="7"/>
      <c r="P40" s="7">
        <f t="shared" si="9"/>
        <v>155.69999999999987</v>
      </c>
      <c r="T40" s="2">
        <f>+T38+T39</f>
        <v>-327.89999999999986</v>
      </c>
      <c r="AD40" s="2">
        <f>AD38-AD39</f>
        <v>-558.29999999999995</v>
      </c>
      <c r="AE40" s="2">
        <f>AE38-AE39</f>
        <v>-270.89999999999986</v>
      </c>
      <c r="AF40" s="2">
        <f>AF38-AF39</f>
        <v>328.69999999999789</v>
      </c>
    </row>
    <row r="41" spans="2:32" s="1" customFormat="1" x14ac:dyDescent="0.2">
      <c r="B41" s="1" t="s">
        <v>33</v>
      </c>
      <c r="C41" s="5"/>
      <c r="D41" s="5"/>
      <c r="E41" s="5"/>
      <c r="F41" s="5">
        <f t="shared" ref="F41:M41" si="10">+F40/F42</f>
        <v>-1.1027621722846441</v>
      </c>
      <c r="G41" s="5">
        <f t="shared" si="10"/>
        <v>-0.8403312629399583</v>
      </c>
      <c r="H41" s="5">
        <f t="shared" si="10"/>
        <v>-0.21194573130377209</v>
      </c>
      <c r="I41" s="5">
        <f t="shared" si="10"/>
        <v>0.17260432129308961</v>
      </c>
      <c r="J41" s="5">
        <f t="shared" si="10"/>
        <v>8.3512485530018409E-3</v>
      </c>
      <c r="K41" s="5">
        <f t="shared" si="10"/>
        <v>0.33418514549501271</v>
      </c>
      <c r="L41" s="5">
        <f t="shared" si="10"/>
        <v>0.26686385670856899</v>
      </c>
      <c r="M41" s="5">
        <f t="shared" si="10"/>
        <v>0.28766111156719487</v>
      </c>
      <c r="N41" s="5"/>
      <c r="P41" s="1">
        <f>+P40/P42</f>
        <v>0.12937266306605724</v>
      </c>
      <c r="T41" s="1">
        <f>+T40/T42</f>
        <v>-0.27529174712450666</v>
      </c>
      <c r="AD41" s="1">
        <f>AD40/AD42</f>
        <v>-0.92864271457085812</v>
      </c>
      <c r="AE41" s="1">
        <f t="shared" ref="AE41:AF41" si="11">AE40/AE42</f>
        <v>-0.22410655195234933</v>
      </c>
      <c r="AF41" s="1">
        <f t="shared" si="11"/>
        <v>0.27000164284540651</v>
      </c>
    </row>
    <row r="42" spans="2:32" s="2" customFormat="1" x14ac:dyDescent="0.2">
      <c r="B42" s="2" t="s">
        <v>1</v>
      </c>
      <c r="C42" s="7"/>
      <c r="D42" s="7"/>
      <c r="E42" s="7"/>
      <c r="F42" s="7">
        <v>854.4</v>
      </c>
      <c r="G42" s="7">
        <v>1207.5</v>
      </c>
      <c r="H42" s="7">
        <v>1208.8</v>
      </c>
      <c r="I42" s="7">
        <v>1212.5999999999999</v>
      </c>
      <c r="J42" s="7">
        <v>1209.4000000000001</v>
      </c>
      <c r="K42" s="7">
        <v>1213.0999999999999</v>
      </c>
      <c r="L42" s="7">
        <v>1217.0999999999999</v>
      </c>
      <c r="M42" s="7">
        <v>1218.0999999999999</v>
      </c>
      <c r="N42" s="7"/>
      <c r="P42" s="2">
        <v>1203.5</v>
      </c>
      <c r="T42" s="2">
        <v>1191.0999999999999</v>
      </c>
      <c r="AD42" s="2">
        <v>601.20000000000005</v>
      </c>
      <c r="AE42" s="2">
        <v>1208.8</v>
      </c>
      <c r="AF42" s="2">
        <v>1217.4000000000001</v>
      </c>
    </row>
    <row r="45" spans="2:32" x14ac:dyDescent="0.2">
      <c r="B45" s="2" t="s">
        <v>34</v>
      </c>
      <c r="I45" s="4"/>
      <c r="J45" s="4">
        <f>J30/F30-1</f>
        <v>0.19817855664412876</v>
      </c>
      <c r="K45" s="4">
        <f>K30/G30-1</f>
        <v>-5.3856397986592364E-2</v>
      </c>
      <c r="L45" s="4">
        <f>L30/H30-1</f>
        <v>-0.10070339464371547</v>
      </c>
      <c r="M45" s="4">
        <f>M30/I30-1</f>
        <v>-0.1010448353392408</v>
      </c>
      <c r="AE45" s="42">
        <f>AE30/AD30-1</f>
        <v>0.49726268206931179</v>
      </c>
      <c r="AF45" s="42">
        <f t="shared" ref="AF45" si="12">AF30/AE30-1</f>
        <v>-9.0773385216618374E-2</v>
      </c>
    </row>
    <row r="46" spans="2:32" x14ac:dyDescent="0.2">
      <c r="B46" t="s">
        <v>22</v>
      </c>
      <c r="F46" s="4">
        <f t="shared" ref="F46:M46" si="13">+F32/F30</f>
        <v>0.19494963433144752</v>
      </c>
      <c r="G46" s="4">
        <f t="shared" si="13"/>
        <v>0.254452294427014</v>
      </c>
      <c r="H46" s="4">
        <f t="shared" si="13"/>
        <v>0.29003014548473072</v>
      </c>
      <c r="I46" s="4">
        <f t="shared" si="13"/>
        <v>0.34697791297447433</v>
      </c>
      <c r="J46" s="4">
        <f t="shared" si="13"/>
        <v>0.35618205269946573</v>
      </c>
      <c r="K46" s="4">
        <f t="shared" si="13"/>
        <v>0.42254932366343007</v>
      </c>
      <c r="L46" s="4">
        <f t="shared" si="13"/>
        <v>0.41374368441507958</v>
      </c>
      <c r="M46" s="4">
        <f t="shared" si="13"/>
        <v>0.4287185523024864</v>
      </c>
      <c r="AD46" s="42">
        <f>AD32/AD30</f>
        <v>0.31782186505943411</v>
      </c>
      <c r="AE46" s="42">
        <f>AE32/AE30</f>
        <v>0.31171902517569317</v>
      </c>
      <c r="AF46" s="42">
        <f>AF32/AF30</f>
        <v>0.39950315753226701</v>
      </c>
    </row>
    <row r="48" spans="2:32" x14ac:dyDescent="0.2">
      <c r="B48" t="s">
        <v>320</v>
      </c>
      <c r="T48" s="2">
        <f>+T49-T61</f>
        <v>-16181.400000000001</v>
      </c>
      <c r="AF48" s="2">
        <f>AF49-AF61</f>
        <v>-18014.399999999998</v>
      </c>
    </row>
    <row r="49" spans="2:32" s="2" customFormat="1" x14ac:dyDescent="0.2">
      <c r="B49" s="2" t="s">
        <v>3</v>
      </c>
      <c r="C49" s="7"/>
      <c r="D49" s="7"/>
      <c r="E49" s="7"/>
      <c r="F49" s="7"/>
      <c r="G49" s="7"/>
      <c r="H49" s="7"/>
      <c r="I49" s="7"/>
      <c r="J49" s="7"/>
      <c r="K49" s="7">
        <v>752.4</v>
      </c>
      <c r="L49" s="7">
        <v>664.7</v>
      </c>
      <c r="M49" s="7">
        <v>646.70000000000005</v>
      </c>
      <c r="N49" s="7"/>
      <c r="T49" s="2">
        <v>917.2</v>
      </c>
      <c r="AF49" s="2">
        <v>1259.9000000000001</v>
      </c>
    </row>
    <row r="50" spans="2:32" s="2" customFormat="1" x14ac:dyDescent="0.2">
      <c r="B50" s="2" t="s">
        <v>36</v>
      </c>
      <c r="C50" s="7"/>
      <c r="D50" s="7"/>
      <c r="E50" s="7"/>
      <c r="F50" s="7"/>
      <c r="G50" s="7"/>
      <c r="H50" s="7"/>
      <c r="I50" s="7"/>
      <c r="J50" s="7"/>
      <c r="K50" s="7">
        <v>4093.9</v>
      </c>
      <c r="L50" s="7">
        <v>3736.2</v>
      </c>
      <c r="M50" s="7">
        <v>3333.9</v>
      </c>
      <c r="N50" s="7"/>
      <c r="T50" s="2">
        <v>3566.9</v>
      </c>
      <c r="AF50" s="2">
        <v>3814.5</v>
      </c>
    </row>
    <row r="51" spans="2:32" s="2" customFormat="1" x14ac:dyDescent="0.2">
      <c r="B51" s="2" t="s">
        <v>37</v>
      </c>
      <c r="C51" s="7"/>
      <c r="D51" s="7"/>
      <c r="E51" s="7"/>
      <c r="F51" s="7"/>
      <c r="G51" s="7"/>
      <c r="H51" s="7"/>
      <c r="I51" s="7"/>
      <c r="J51" s="7"/>
      <c r="K51" s="7">
        <v>3797.3</v>
      </c>
      <c r="L51" s="7">
        <v>3612.5</v>
      </c>
      <c r="M51" s="7">
        <v>3380.4</v>
      </c>
      <c r="N51" s="7"/>
      <c r="T51" s="2">
        <v>3942.1</v>
      </c>
      <c r="AF51" s="2">
        <v>3519.5</v>
      </c>
    </row>
    <row r="52" spans="2:32" s="2" customFormat="1" x14ac:dyDescent="0.2">
      <c r="B52" s="2" t="s">
        <v>38</v>
      </c>
      <c r="C52" s="7"/>
      <c r="D52" s="7"/>
      <c r="E52" s="7"/>
      <c r="F52" s="7"/>
      <c r="G52" s="7"/>
      <c r="H52" s="7"/>
      <c r="I52" s="7"/>
      <c r="J52" s="7"/>
      <c r="K52" s="7">
        <v>1763.6</v>
      </c>
      <c r="L52" s="7">
        <v>1697.7</v>
      </c>
      <c r="M52" s="7">
        <v>1700.4</v>
      </c>
      <c r="N52" s="7"/>
      <c r="T52" s="2">
        <v>1757</v>
      </c>
      <c r="AF52" s="2">
        <v>1811.2</v>
      </c>
    </row>
    <row r="53" spans="2:32" s="2" customFormat="1" x14ac:dyDescent="0.2">
      <c r="B53" s="2" t="s">
        <v>39</v>
      </c>
      <c r="C53" s="7"/>
      <c r="D53" s="7"/>
      <c r="E53" s="7"/>
      <c r="F53" s="7"/>
      <c r="G53" s="7"/>
      <c r="H53" s="7"/>
      <c r="I53" s="7"/>
      <c r="J53" s="7"/>
      <c r="K53" s="7">
        <v>1337.1</v>
      </c>
      <c r="L53" s="7">
        <v>1465.4</v>
      </c>
      <c r="M53" s="7">
        <v>1426.4</v>
      </c>
      <c r="N53" s="7"/>
      <c r="T53" s="2">
        <v>1608.9</v>
      </c>
      <c r="AF53" s="2">
        <v>230.3</v>
      </c>
    </row>
    <row r="54" spans="2:32" s="2" customFormat="1" x14ac:dyDescent="0.2">
      <c r="B54" s="2" t="s">
        <v>40</v>
      </c>
      <c r="C54" s="7"/>
      <c r="D54" s="7"/>
      <c r="E54" s="7"/>
      <c r="F54" s="7"/>
      <c r="G54" s="7"/>
      <c r="H54" s="7"/>
      <c r="I54" s="7"/>
      <c r="J54" s="7"/>
      <c r="K54" s="7">
        <v>3150.2</v>
      </c>
      <c r="L54" s="7">
        <v>3083.9</v>
      </c>
      <c r="M54" s="7">
        <v>3039</v>
      </c>
      <c r="N54" s="7"/>
      <c r="T54" s="2">
        <v>2662.6</v>
      </c>
      <c r="AF54" s="2">
        <v>3024.5</v>
      </c>
    </row>
    <row r="55" spans="2:32" s="2" customFormat="1" x14ac:dyDescent="0.2">
      <c r="B55" s="2" t="s">
        <v>41</v>
      </c>
      <c r="C55" s="7"/>
      <c r="D55" s="7"/>
      <c r="E55" s="7"/>
      <c r="F55" s="7"/>
      <c r="G55" s="7"/>
      <c r="H55" s="7"/>
      <c r="I55" s="7"/>
      <c r="J55" s="7"/>
      <c r="K55" s="7">
        <f>25251.8+10978.8</f>
        <v>36230.6</v>
      </c>
      <c r="L55" s="7">
        <f>24101.1+10523</f>
        <v>34624.1</v>
      </c>
      <c r="M55" s="7">
        <f>23013.3+10054.6</f>
        <v>33067.9</v>
      </c>
      <c r="N55" s="7"/>
      <c r="T55" s="2">
        <f>18419+9325.9</f>
        <v>27744.9</v>
      </c>
      <c r="AF55" s="8">
        <f>10425.8+22607.1</f>
        <v>33032.899999999994</v>
      </c>
    </row>
    <row r="56" spans="2:32" s="2" customFormat="1" x14ac:dyDescent="0.2">
      <c r="B56" s="2" t="s">
        <v>32</v>
      </c>
      <c r="C56" s="7"/>
      <c r="D56" s="7"/>
      <c r="E56" s="7"/>
      <c r="F56" s="7"/>
      <c r="G56" s="7"/>
      <c r="H56" s="7"/>
      <c r="I56" s="7"/>
      <c r="J56" s="7"/>
      <c r="K56" s="7">
        <v>1285.8</v>
      </c>
      <c r="L56" s="7">
        <v>1243.2</v>
      </c>
      <c r="M56" s="7">
        <v>1104</v>
      </c>
      <c r="N56" s="7"/>
      <c r="T56" s="2">
        <v>685.3</v>
      </c>
      <c r="AF56" s="2">
        <v>925.9</v>
      </c>
    </row>
    <row r="57" spans="2:32" s="2" customFormat="1" x14ac:dyDescent="0.2">
      <c r="B57" s="2" t="s">
        <v>42</v>
      </c>
      <c r="C57" s="7"/>
      <c r="D57" s="7"/>
      <c r="E57" s="7"/>
      <c r="F57" s="7"/>
      <c r="G57" s="7"/>
      <c r="H57" s="7"/>
      <c r="I57" s="7"/>
      <c r="J57" s="7"/>
      <c r="K57" s="7">
        <v>1056</v>
      </c>
      <c r="L57" s="7">
        <v>997.4</v>
      </c>
      <c r="M57" s="7">
        <v>963.9</v>
      </c>
      <c r="N57" s="7"/>
      <c r="T57" s="2">
        <v>2445.1</v>
      </c>
      <c r="AF57" s="2">
        <v>2403.5</v>
      </c>
    </row>
    <row r="58" spans="2:32" s="2" customFormat="1" x14ac:dyDescent="0.2">
      <c r="B58" s="2" t="s">
        <v>35</v>
      </c>
      <c r="C58" s="7"/>
      <c r="D58" s="7"/>
      <c r="E58" s="7"/>
      <c r="F58" s="7"/>
      <c r="G58" s="7"/>
      <c r="H58" s="7"/>
      <c r="I58" s="7"/>
      <c r="J58" s="7"/>
      <c r="K58" s="7">
        <f>SUM(K49:K57)</f>
        <v>53466.9</v>
      </c>
      <c r="L58" s="7">
        <f>SUM(L49:L57)</f>
        <v>51125.1</v>
      </c>
      <c r="M58" s="7">
        <f>SUM(M49:M57)</f>
        <v>48662.6</v>
      </c>
      <c r="N58" s="7"/>
      <c r="T58" s="2">
        <f>SUM(T49:T57)</f>
        <v>45330.000000000007</v>
      </c>
      <c r="AF58" s="8">
        <f>SUM(AF49:AF57)</f>
        <v>50022.2</v>
      </c>
    </row>
    <row r="60" spans="2:32" s="2" customFormat="1" x14ac:dyDescent="0.2">
      <c r="B60" s="2" t="s">
        <v>44</v>
      </c>
      <c r="C60" s="7"/>
      <c r="D60" s="7"/>
      <c r="E60" s="7"/>
      <c r="F60" s="7"/>
      <c r="G60" s="7"/>
      <c r="H60" s="7"/>
      <c r="I60" s="7"/>
      <c r="J60" s="7"/>
      <c r="K60" s="7">
        <v>1499.6</v>
      </c>
      <c r="L60" s="7">
        <v>1670.1</v>
      </c>
      <c r="M60" s="7">
        <v>1310.5</v>
      </c>
      <c r="N60" s="7"/>
      <c r="T60" s="2">
        <v>1957.5</v>
      </c>
      <c r="AF60" s="2">
        <v>1766.6</v>
      </c>
    </row>
    <row r="61" spans="2:32" s="2" customFormat="1" x14ac:dyDescent="0.2">
      <c r="B61" s="2" t="s">
        <v>4</v>
      </c>
      <c r="C61" s="7"/>
      <c r="D61" s="7"/>
      <c r="E61" s="7"/>
      <c r="F61" s="7"/>
      <c r="G61" s="7"/>
      <c r="H61" s="7"/>
      <c r="I61" s="7"/>
      <c r="J61" s="7"/>
      <c r="K61" s="7">
        <f>655.4+18762.5+2606.1</f>
        <v>22024</v>
      </c>
      <c r="L61" s="7">
        <f>1019.7+19206.4+768.2</f>
        <v>20994.300000000003</v>
      </c>
      <c r="M61" s="7">
        <f>500.4+18724.5+763.8</f>
        <v>19988.7</v>
      </c>
      <c r="N61" s="7"/>
      <c r="T61" s="2">
        <f>2367.4+14731.2</f>
        <v>17098.600000000002</v>
      </c>
      <c r="AF61" s="2">
        <f>18015.2+1259.1</f>
        <v>19274.3</v>
      </c>
    </row>
    <row r="62" spans="2:32" s="2" customFormat="1" x14ac:dyDescent="0.2">
      <c r="B62" s="2" t="s">
        <v>32</v>
      </c>
      <c r="C62" s="7"/>
      <c r="D62" s="7"/>
      <c r="E62" s="7"/>
      <c r="F62" s="7"/>
      <c r="G62" s="7"/>
      <c r="H62" s="7"/>
      <c r="I62" s="7"/>
      <c r="J62" s="7"/>
      <c r="K62" s="7">
        <f>177.8+2729.5</f>
        <v>2907.3</v>
      </c>
      <c r="L62" s="7">
        <f>125.7+2617.9</f>
        <v>2743.6</v>
      </c>
      <c r="M62" s="7">
        <f>106.7+2489.3</f>
        <v>2596</v>
      </c>
      <c r="N62" s="7"/>
      <c r="T62" s="2">
        <f>117.7+1573.8</f>
        <v>1691.5</v>
      </c>
      <c r="AF62" s="2">
        <f>279.6+2432</f>
        <v>2711.6</v>
      </c>
    </row>
    <row r="63" spans="2:32" s="2" customFormat="1" x14ac:dyDescent="0.2">
      <c r="B63" s="2" t="s">
        <v>39</v>
      </c>
      <c r="C63" s="7"/>
      <c r="D63" s="7"/>
      <c r="E63" s="7"/>
      <c r="F63" s="7"/>
      <c r="G63" s="7"/>
      <c r="H63" s="7"/>
      <c r="I63" s="7"/>
      <c r="J63" s="7"/>
      <c r="K63" s="7">
        <v>277.7</v>
      </c>
      <c r="L63" s="7">
        <v>285.10000000000002</v>
      </c>
      <c r="M63" s="7">
        <v>335.3</v>
      </c>
      <c r="N63" s="7"/>
      <c r="T63" s="2">
        <v>32.799999999999997</v>
      </c>
      <c r="AF63" s="2">
        <v>0</v>
      </c>
    </row>
    <row r="64" spans="2:32" s="2" customFormat="1" x14ac:dyDescent="0.2">
      <c r="B64" s="2" t="s">
        <v>45</v>
      </c>
      <c r="C64" s="7"/>
      <c r="D64" s="7"/>
      <c r="E64" s="7"/>
      <c r="F64" s="7"/>
      <c r="G64" s="7"/>
      <c r="H64" s="7"/>
      <c r="I64" s="7"/>
      <c r="J64" s="7"/>
      <c r="K64" s="7">
        <v>4426.3</v>
      </c>
      <c r="L64" s="7">
        <v>3812.4</v>
      </c>
      <c r="M64" s="7">
        <v>3504.7</v>
      </c>
      <c r="N64" s="7"/>
      <c r="T64" s="2">
        <v>3233.8</v>
      </c>
      <c r="AF64" s="2">
        <v>3440.9</v>
      </c>
    </row>
    <row r="65" spans="2:32" s="2" customFormat="1" x14ac:dyDescent="0.2">
      <c r="B65" s="2" t="s">
        <v>46</v>
      </c>
      <c r="C65" s="7"/>
      <c r="D65" s="7"/>
      <c r="E65" s="7"/>
      <c r="F65" s="7"/>
      <c r="G65" s="7"/>
      <c r="H65" s="7"/>
      <c r="I65" s="7"/>
      <c r="J65" s="7"/>
      <c r="K65" s="7">
        <v>1884.3</v>
      </c>
      <c r="L65" s="7">
        <v>1814.2</v>
      </c>
      <c r="M65" s="7">
        <v>1745.1</v>
      </c>
      <c r="N65" s="7"/>
      <c r="T65" s="2">
        <v>1795.8</v>
      </c>
      <c r="AF65" s="2">
        <v>1756.5</v>
      </c>
    </row>
    <row r="66" spans="2:32" s="2" customFormat="1" x14ac:dyDescent="0.2">
      <c r="B66" s="2" t="s">
        <v>321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AF66" s="8">
        <f>SUM(AF60:AF65)</f>
        <v>28949.899999999998</v>
      </c>
    </row>
    <row r="67" spans="2:32" s="2" customFormat="1" x14ac:dyDescent="0.2">
      <c r="B67" s="2" t="s">
        <v>324</v>
      </c>
      <c r="C67" s="7"/>
      <c r="D67" s="7"/>
      <c r="E67" s="7"/>
      <c r="F67" s="7"/>
      <c r="G67" s="7"/>
      <c r="H67" s="7"/>
      <c r="I67" s="7"/>
      <c r="J67" s="7"/>
      <c r="K67" s="7">
        <v>20447.7</v>
      </c>
      <c r="L67" s="7">
        <v>19805.400000000001</v>
      </c>
      <c r="M67" s="7">
        <v>19182.3</v>
      </c>
      <c r="N67" s="7"/>
      <c r="T67" s="2">
        <v>19520</v>
      </c>
      <c r="AF67" s="8">
        <f>AF58-AF66</f>
        <v>21072.3</v>
      </c>
    </row>
    <row r="68" spans="2:32" s="2" customFormat="1" x14ac:dyDescent="0.2">
      <c r="B68" s="2" t="s">
        <v>43</v>
      </c>
      <c r="C68" s="7"/>
      <c r="D68" s="7"/>
      <c r="E68" s="7"/>
      <c r="F68" s="7"/>
      <c r="G68" s="7"/>
      <c r="H68" s="7"/>
      <c r="I68" s="7"/>
      <c r="J68" s="7"/>
      <c r="K68" s="7">
        <f>SUM(K60:K67)</f>
        <v>53466.899999999994</v>
      </c>
      <c r="L68" s="7">
        <f>SUM(L60:L67)</f>
        <v>51125.100000000006</v>
      </c>
      <c r="M68" s="7">
        <f>SUM(M60:M67)</f>
        <v>48662.6</v>
      </c>
      <c r="N68" s="7"/>
      <c r="T68" s="2">
        <f>SUM(T60:T67)</f>
        <v>45330</v>
      </c>
      <c r="AF68" s="8">
        <f>AF66+AF67</f>
        <v>50022.2</v>
      </c>
    </row>
    <row r="69" spans="2:32" s="2" customForma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32" s="2" customFormat="1" x14ac:dyDescent="0.2">
      <c r="B70" s="2" t="s">
        <v>322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F70" s="2">
        <f>AF58-AF66</f>
        <v>21072.3</v>
      </c>
    </row>
    <row r="71" spans="2:32" s="2" customFormat="1" x14ac:dyDescent="0.2">
      <c r="B71" s="2" t="s">
        <v>323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AF71" s="8">
        <f>AF70-AF55</f>
        <v>-11960.599999999995</v>
      </c>
    </row>
    <row r="73" spans="2:32" s="2" customFormat="1" x14ac:dyDescent="0.2">
      <c r="B73" s="2" t="s">
        <v>47</v>
      </c>
      <c r="C73" s="7"/>
      <c r="D73" s="7"/>
      <c r="E73" s="7"/>
      <c r="F73" s="7"/>
      <c r="G73" s="7"/>
      <c r="H73" s="7"/>
      <c r="I73" s="7"/>
      <c r="J73" s="7"/>
      <c r="K73" s="7">
        <f>+K40</f>
        <v>405.39999999999992</v>
      </c>
      <c r="L73" s="7">
        <f>+L40</f>
        <v>324.79999999999927</v>
      </c>
      <c r="M73" s="7"/>
      <c r="N73" s="7"/>
    </row>
    <row r="74" spans="2:32" s="2" customFormat="1" x14ac:dyDescent="0.2">
      <c r="B74" s="2" t="s">
        <v>48</v>
      </c>
      <c r="C74" s="7"/>
      <c r="D74" s="7"/>
      <c r="E74" s="7"/>
      <c r="F74" s="7"/>
      <c r="G74" s="7"/>
      <c r="H74" s="7"/>
      <c r="I74" s="7"/>
      <c r="J74" s="7"/>
      <c r="K74" s="7">
        <v>399.2</v>
      </c>
      <c r="L74" s="7">
        <f>713.1-K74</f>
        <v>313.90000000000003</v>
      </c>
      <c r="M74" s="7"/>
      <c r="N74" s="7"/>
    </row>
    <row r="75" spans="2:32" s="2" customFormat="1" x14ac:dyDescent="0.2">
      <c r="B75" s="2" t="s">
        <v>49</v>
      </c>
      <c r="C75" s="7"/>
      <c r="D75" s="7"/>
      <c r="E75" s="7"/>
      <c r="F75" s="7"/>
      <c r="G75" s="7"/>
      <c r="H75" s="7"/>
      <c r="I75" s="7"/>
      <c r="J75" s="7"/>
      <c r="K75" s="7">
        <v>736</v>
      </c>
      <c r="L75" s="7">
        <f>1458.3-K75</f>
        <v>722.3</v>
      </c>
      <c r="M75" s="7"/>
      <c r="N75" s="7"/>
    </row>
    <row r="76" spans="2:32" s="2" customFormat="1" x14ac:dyDescent="0.2">
      <c r="B76" s="2" t="s">
        <v>50</v>
      </c>
      <c r="C76" s="7"/>
      <c r="D76" s="7"/>
      <c r="E76" s="7"/>
      <c r="F76" s="7"/>
      <c r="G76" s="7"/>
      <c r="H76" s="7"/>
      <c r="I76" s="7"/>
      <c r="J76" s="7"/>
      <c r="K76" s="7">
        <v>28.3</v>
      </c>
      <c r="L76" s="7">
        <f>57.7-K76</f>
        <v>29.400000000000002</v>
      </c>
      <c r="M76" s="7"/>
      <c r="N76" s="7"/>
    </row>
    <row r="77" spans="2:32" s="2" customFormat="1" x14ac:dyDescent="0.2">
      <c r="B77" s="2" t="s">
        <v>51</v>
      </c>
      <c r="C77" s="7"/>
      <c r="D77" s="7"/>
      <c r="E77" s="7"/>
      <c r="F77" s="7"/>
      <c r="G77" s="7"/>
      <c r="H77" s="7"/>
      <c r="I77" s="7"/>
      <c r="J77" s="7"/>
      <c r="K77" s="7">
        <v>-52.8</v>
      </c>
      <c r="L77" s="7">
        <f>-157.6-K77</f>
        <v>-104.8</v>
      </c>
      <c r="M77" s="7"/>
      <c r="N77" s="7"/>
    </row>
    <row r="78" spans="2:32" s="2" customFormat="1" x14ac:dyDescent="0.2">
      <c r="B78" s="2" t="s">
        <v>52</v>
      </c>
      <c r="C78" s="7"/>
      <c r="D78" s="7"/>
      <c r="E78" s="7"/>
      <c r="F78" s="7"/>
      <c r="G78" s="7"/>
      <c r="H78" s="7"/>
      <c r="I78" s="7"/>
      <c r="J78" s="7"/>
      <c r="K78" s="7">
        <v>-0.1</v>
      </c>
      <c r="L78" s="7">
        <f>0-K78</f>
        <v>0.1</v>
      </c>
      <c r="M78" s="7"/>
      <c r="N78" s="7"/>
    </row>
    <row r="79" spans="2:32" s="2" customFormat="1" x14ac:dyDescent="0.2">
      <c r="B79" s="2" t="s">
        <v>21</v>
      </c>
      <c r="C79" s="7"/>
      <c r="D79" s="7"/>
      <c r="E79" s="7"/>
      <c r="F79" s="7"/>
      <c r="G79" s="7"/>
      <c r="H79" s="7"/>
      <c r="I79" s="7"/>
      <c r="J79" s="7"/>
      <c r="K79" s="7">
        <v>37.799999999999997</v>
      </c>
      <c r="L79" s="7">
        <f>3.8-K79</f>
        <v>-34</v>
      </c>
      <c r="M79" s="7"/>
      <c r="N79" s="7"/>
    </row>
    <row r="80" spans="2:32" s="2" customFormat="1" x14ac:dyDescent="0.2">
      <c r="B80" s="2" t="s">
        <v>53</v>
      </c>
      <c r="C80" s="7"/>
      <c r="D80" s="7"/>
      <c r="E80" s="7"/>
      <c r="F80" s="7"/>
      <c r="G80" s="7"/>
      <c r="H80" s="7"/>
      <c r="I80" s="7"/>
      <c r="J80" s="7"/>
      <c r="K80" s="7">
        <v>5.2</v>
      </c>
      <c r="L80" s="7">
        <f>10-K80</f>
        <v>4.8</v>
      </c>
      <c r="M80" s="7"/>
      <c r="N80" s="7"/>
    </row>
    <row r="81" spans="2:14" s="2" customFormat="1" x14ac:dyDescent="0.2">
      <c r="B81" s="2" t="s">
        <v>54</v>
      </c>
      <c r="C81" s="7"/>
      <c r="D81" s="7"/>
      <c r="E81" s="7"/>
      <c r="F81" s="7"/>
      <c r="G81" s="7"/>
      <c r="H81" s="7"/>
      <c r="I81" s="7"/>
      <c r="J81" s="7"/>
      <c r="K81" s="7">
        <f>-115.5-69.1-30.2+67+132.7</f>
        <v>-15.099999999999994</v>
      </c>
      <c r="L81" s="7">
        <f>-142.3-270.1+254.5+17.8-4.2-K81</f>
        <v>-129.20000000000002</v>
      </c>
      <c r="M81" s="7"/>
      <c r="N81" s="7"/>
    </row>
    <row r="82" spans="2:14" s="2" customFormat="1" x14ac:dyDescent="0.2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SUM(K74:K81)</f>
        <v>1138.5000000000002</v>
      </c>
      <c r="L82" s="7">
        <f>SUM(L74:L81)</f>
        <v>802.50000000000011</v>
      </c>
      <c r="M82" s="7"/>
      <c r="N82" s="7"/>
    </row>
    <row r="83" spans="2:14" s="2" customForma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s="2" customFormat="1" x14ac:dyDescent="0.2">
      <c r="B84" s="2" t="s">
        <v>60</v>
      </c>
      <c r="C84" s="7"/>
      <c r="D84" s="7"/>
      <c r="E84" s="7"/>
      <c r="F84" s="7"/>
      <c r="G84" s="7"/>
      <c r="H84" s="7"/>
      <c r="I84" s="7"/>
      <c r="J84" s="7"/>
      <c r="K84" s="7">
        <v>-64.5</v>
      </c>
      <c r="L84" s="7">
        <f>-148.4-K84</f>
        <v>-83.9</v>
      </c>
      <c r="M84" s="7"/>
      <c r="N84" s="7"/>
    </row>
    <row r="85" spans="2:14" s="2" customFormat="1" x14ac:dyDescent="0.2">
      <c r="B85" s="2" t="s">
        <v>61</v>
      </c>
      <c r="C85" s="7"/>
      <c r="D85" s="7"/>
      <c r="E85" s="7"/>
      <c r="F85" s="7"/>
      <c r="G85" s="7"/>
      <c r="H85" s="7"/>
      <c r="I85" s="7"/>
      <c r="J85" s="7"/>
      <c r="K85" s="7">
        <f>-8.6+8.5</f>
        <v>-9.9999999999999645E-2</v>
      </c>
      <c r="L85" s="7">
        <f>-13.2+12.8-K85</f>
        <v>-0.29999999999999893</v>
      </c>
      <c r="M85" s="7"/>
      <c r="N85" s="7"/>
    </row>
    <row r="86" spans="2:14" s="2" customFormat="1" x14ac:dyDescent="0.2">
      <c r="B86" s="2" t="s">
        <v>62</v>
      </c>
      <c r="C86" s="7"/>
      <c r="D86" s="7"/>
      <c r="E86" s="7"/>
      <c r="F86" s="7"/>
      <c r="G86" s="7"/>
      <c r="H86" s="7"/>
      <c r="I86" s="7"/>
      <c r="J86" s="7"/>
      <c r="K86" s="7">
        <v>-7.4</v>
      </c>
      <c r="L86" s="7">
        <f>-13-K86</f>
        <v>-5.6</v>
      </c>
      <c r="M86" s="7"/>
      <c r="N86" s="7"/>
    </row>
    <row r="87" spans="2:14" s="2" customFormat="1" x14ac:dyDescent="0.2">
      <c r="B87" s="2" t="s">
        <v>63</v>
      </c>
      <c r="C87" s="7"/>
      <c r="D87" s="7"/>
      <c r="E87" s="7"/>
      <c r="F87" s="7"/>
      <c r="G87" s="7"/>
      <c r="H87" s="7"/>
      <c r="I87" s="7"/>
      <c r="J87" s="7"/>
      <c r="K87" s="7">
        <v>5.0999999999999996</v>
      </c>
      <c r="L87" s="7">
        <f>12.8-K87</f>
        <v>7.7000000000000011</v>
      </c>
      <c r="M87" s="7"/>
      <c r="N87" s="7"/>
    </row>
    <row r="88" spans="2:14" s="2" customFormat="1" x14ac:dyDescent="0.2">
      <c r="B88" s="2" t="s">
        <v>64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-66.900000000000006</v>
      </c>
      <c r="L88" s="7">
        <f>SUM(L84:L87)</f>
        <v>-82.1</v>
      </c>
      <c r="M88" s="7"/>
      <c r="N88" s="7"/>
    </row>
    <row r="89" spans="2:14" s="2" customForma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14" s="2" customFormat="1" x14ac:dyDescent="0.2">
      <c r="B90" s="2" t="s">
        <v>55</v>
      </c>
      <c r="C90" s="7"/>
      <c r="D90" s="7"/>
      <c r="E90" s="7"/>
      <c r="F90" s="7"/>
      <c r="G90" s="7"/>
      <c r="H90" s="7"/>
      <c r="I90" s="7"/>
      <c r="J90" s="7"/>
      <c r="K90" s="7">
        <f>0.1-0.1-837.9-0.4-0.2</f>
        <v>-838.5</v>
      </c>
      <c r="L90" s="7">
        <f>795.4-1787-473.5-1.3+0.7-0.2-K90</f>
        <v>-627.39999999999986</v>
      </c>
      <c r="M90" s="7"/>
      <c r="N90" s="7"/>
    </row>
    <row r="91" spans="2:14" s="2" customFormat="1" x14ac:dyDescent="0.2">
      <c r="B91" s="2" t="s">
        <v>56</v>
      </c>
      <c r="C91" s="7"/>
      <c r="D91" s="7"/>
      <c r="E91" s="7"/>
      <c r="F91" s="7"/>
      <c r="G91" s="7"/>
      <c r="H91" s="7"/>
      <c r="I91" s="7"/>
      <c r="J91" s="7"/>
      <c r="K91" s="7">
        <v>-9.9</v>
      </c>
      <c r="L91" s="7">
        <f>-13.2-K91</f>
        <v>-3.2999999999999989</v>
      </c>
      <c r="M91" s="7"/>
      <c r="N91" s="7"/>
    </row>
    <row r="92" spans="2:14" s="2" customFormat="1" x14ac:dyDescent="0.2">
      <c r="B92" s="2" t="s">
        <v>57</v>
      </c>
      <c r="C92" s="7"/>
      <c r="D92" s="7"/>
      <c r="E92" s="7"/>
      <c r="F92" s="7"/>
      <c r="G92" s="7"/>
      <c r="H92" s="7"/>
      <c r="I92" s="7"/>
      <c r="J92" s="7"/>
      <c r="K92" s="7">
        <v>-15.5</v>
      </c>
      <c r="L92" s="7">
        <f>-18.9-K92</f>
        <v>-3.3999999999999986</v>
      </c>
      <c r="M92" s="7"/>
      <c r="N92" s="7"/>
    </row>
    <row r="93" spans="2:14" s="2" customFormat="1" x14ac:dyDescent="0.2">
      <c r="B93" s="2" t="s">
        <v>58</v>
      </c>
      <c r="C93" s="7"/>
      <c r="D93" s="7"/>
      <c r="E93" s="7"/>
      <c r="F93" s="7"/>
      <c r="G93" s="7"/>
      <c r="H93" s="7"/>
      <c r="I93" s="7"/>
      <c r="J93" s="7"/>
      <c r="K93" s="7">
        <v>-145.1</v>
      </c>
      <c r="L93" s="7">
        <f>-290.6-K93</f>
        <v>-145.50000000000003</v>
      </c>
      <c r="M93" s="7"/>
      <c r="N93" s="7"/>
    </row>
    <row r="94" spans="2:14" s="2" customFormat="1" x14ac:dyDescent="0.2">
      <c r="B94" s="2" t="s">
        <v>59</v>
      </c>
      <c r="C94" s="7"/>
      <c r="D94" s="7"/>
      <c r="E94" s="7"/>
      <c r="F94" s="7"/>
      <c r="G94" s="7"/>
      <c r="H94" s="7"/>
      <c r="I94" s="7"/>
      <c r="J94" s="7"/>
      <c r="K94" s="7">
        <f>SUM(K90:K93)</f>
        <v>-1009</v>
      </c>
      <c r="L94" s="7">
        <f>SUM(L90:L93)</f>
        <v>-779.5999999999998</v>
      </c>
      <c r="M94" s="7"/>
      <c r="N94" s="7"/>
    </row>
    <row r="95" spans="2:14" s="2" customFormat="1" x14ac:dyDescent="0.2">
      <c r="B95" s="2" t="s">
        <v>66</v>
      </c>
      <c r="C95" s="7"/>
      <c r="D95" s="7"/>
      <c r="E95" s="7"/>
      <c r="F95" s="7"/>
      <c r="G95" s="7"/>
      <c r="H95" s="7"/>
      <c r="I95" s="7"/>
      <c r="J95" s="7"/>
      <c r="K95" s="7">
        <v>-11.4</v>
      </c>
      <c r="L95" s="7">
        <f>-40.2-K95</f>
        <v>-28.800000000000004</v>
      </c>
      <c r="M95" s="7"/>
      <c r="N95" s="7"/>
    </row>
    <row r="96" spans="2:14" s="2" customFormat="1" x14ac:dyDescent="0.2">
      <c r="B96" s="2" t="s">
        <v>67</v>
      </c>
      <c r="C96" s="7"/>
      <c r="D96" s="7"/>
      <c r="E96" s="7"/>
      <c r="F96" s="7"/>
      <c r="G96" s="7"/>
      <c r="H96" s="7"/>
      <c r="I96" s="7"/>
      <c r="J96" s="7"/>
      <c r="K96" s="7">
        <f>+K94+K95+K88+K82</f>
        <v>51.200000000000273</v>
      </c>
      <c r="L96" s="7">
        <f>+L94+L95+L88+L82</f>
        <v>-87.999999999999659</v>
      </c>
      <c r="M96" s="7"/>
      <c r="N96" s="7"/>
    </row>
  </sheetData>
  <hyperlinks>
    <hyperlink ref="A1" location="Main!A1" display="Main" xr:uid="{93B33797-E4EA-4FDB-827A-0D8F4F37A4F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89D-EC72-46B3-B2FF-9C49F601E783}">
  <sheetPr codeName="Sheet3"/>
  <dimension ref="A1:AV12"/>
  <sheetViews>
    <sheetView workbookViewId="0"/>
  </sheetViews>
  <sheetFormatPr defaultRowHeight="12.75" x14ac:dyDescent="0.2"/>
  <cols>
    <col min="1" max="1" width="5" style="26" bestFit="1" customWidth="1"/>
    <col min="2" max="2" width="12.85546875" style="26" bestFit="1" customWidth="1"/>
    <col min="3" max="6" width="5.5703125" style="26" bestFit="1" customWidth="1"/>
    <col min="7" max="7" width="6.28515625" style="26" bestFit="1" customWidth="1"/>
    <col min="8" max="19" width="5" style="26" bestFit="1" customWidth="1"/>
    <col min="20" max="20" width="5.85546875" style="26" bestFit="1" customWidth="1"/>
    <col min="21" max="48" width="5.42578125" style="26" bestFit="1" customWidth="1"/>
    <col min="49" max="16384" width="9.140625" style="26"/>
  </cols>
  <sheetData>
    <row r="1" spans="1:48" x14ac:dyDescent="0.2">
      <c r="A1" s="32" t="s">
        <v>8</v>
      </c>
    </row>
    <row r="2" spans="1:48" x14ac:dyDescent="0.2">
      <c r="B2" s="31" t="s">
        <v>185</v>
      </c>
      <c r="C2" s="31" t="s">
        <v>78</v>
      </c>
    </row>
    <row r="3" spans="1:48" x14ac:dyDescent="0.2">
      <c r="B3" s="31" t="s">
        <v>172</v>
      </c>
      <c r="C3" s="31" t="s">
        <v>192</v>
      </c>
    </row>
    <row r="4" spans="1:48" x14ac:dyDescent="0.2">
      <c r="C4" s="26" t="s">
        <v>191</v>
      </c>
    </row>
    <row r="5" spans="1:48" x14ac:dyDescent="0.2">
      <c r="C5" s="26" t="s">
        <v>190</v>
      </c>
    </row>
    <row r="6" spans="1:48" x14ac:dyDescent="0.2">
      <c r="B6" s="31" t="s">
        <v>155</v>
      </c>
      <c r="C6" s="31" t="s">
        <v>189</v>
      </c>
    </row>
    <row r="7" spans="1:48" x14ac:dyDescent="0.2">
      <c r="C7" s="31" t="s">
        <v>188</v>
      </c>
    </row>
    <row r="8" spans="1:48" x14ac:dyDescent="0.2">
      <c r="C8" s="31"/>
    </row>
    <row r="9" spans="1:48" x14ac:dyDescent="0.2">
      <c r="C9" s="28">
        <v>2002</v>
      </c>
      <c r="D9" s="28">
        <v>2003</v>
      </c>
      <c r="E9" s="28">
        <v>2004</v>
      </c>
      <c r="F9" s="28">
        <v>2005</v>
      </c>
      <c r="G9" s="28" t="s">
        <v>140</v>
      </c>
      <c r="H9" s="28">
        <v>2007</v>
      </c>
      <c r="I9" s="28">
        <v>2008</v>
      </c>
      <c r="J9" s="30">
        <v>2009</v>
      </c>
      <c r="K9" s="30">
        <v>2010</v>
      </c>
      <c r="L9" s="30">
        <v>2011</v>
      </c>
      <c r="M9" s="30">
        <v>2012</v>
      </c>
      <c r="N9" s="30">
        <v>2013</v>
      </c>
      <c r="O9" s="30">
        <v>2014</v>
      </c>
      <c r="P9" s="30">
        <v>2015</v>
      </c>
      <c r="Q9" s="30">
        <v>2016</v>
      </c>
      <c r="R9" s="30">
        <v>2017</v>
      </c>
      <c r="S9" s="30">
        <v>2018</v>
      </c>
      <c r="T9" s="26" t="s">
        <v>139</v>
      </c>
      <c r="U9" s="28" t="s">
        <v>126</v>
      </c>
      <c r="V9" s="28" t="s">
        <v>125</v>
      </c>
      <c r="W9" s="28" t="s">
        <v>124</v>
      </c>
      <c r="X9" s="28" t="s">
        <v>123</v>
      </c>
      <c r="Y9" s="28" t="s">
        <v>122</v>
      </c>
      <c r="Z9" s="28" t="s">
        <v>121</v>
      </c>
      <c r="AA9" s="28" t="s">
        <v>120</v>
      </c>
      <c r="AB9" s="28" t="s">
        <v>119</v>
      </c>
      <c r="AC9" s="28" t="s">
        <v>118</v>
      </c>
      <c r="AD9" s="28" t="s">
        <v>117</v>
      </c>
      <c r="AE9" s="28" t="s">
        <v>116</v>
      </c>
      <c r="AF9" s="28" t="s">
        <v>115</v>
      </c>
      <c r="AG9" s="28" t="s">
        <v>114</v>
      </c>
      <c r="AH9" s="28" t="s">
        <v>113</v>
      </c>
      <c r="AI9" s="28" t="s">
        <v>112</v>
      </c>
      <c r="AJ9" s="28" t="s">
        <v>111</v>
      </c>
      <c r="AK9" s="28" t="s">
        <v>110</v>
      </c>
      <c r="AL9" s="28" t="s">
        <v>109</v>
      </c>
      <c r="AM9" s="28" t="s">
        <v>108</v>
      </c>
      <c r="AN9" s="28" t="s">
        <v>107</v>
      </c>
      <c r="AO9" s="28" t="s">
        <v>106</v>
      </c>
      <c r="AP9" s="28" t="s">
        <v>105</v>
      </c>
      <c r="AQ9" s="28" t="s">
        <v>104</v>
      </c>
      <c r="AR9" s="28" t="s">
        <v>187</v>
      </c>
      <c r="AS9" s="28" t="s">
        <v>110</v>
      </c>
      <c r="AT9" s="28" t="s">
        <v>109</v>
      </c>
      <c r="AU9" s="28" t="s">
        <v>108</v>
      </c>
      <c r="AV9" s="28" t="s">
        <v>107</v>
      </c>
    </row>
    <row r="10" spans="1:48" x14ac:dyDescent="0.2">
      <c r="B10" s="29" t="s">
        <v>93</v>
      </c>
      <c r="C10" s="27">
        <v>1000</v>
      </c>
      <c r="D10" s="27">
        <v>1103</v>
      </c>
      <c r="E10" s="27">
        <v>886</v>
      </c>
      <c r="F10" s="27">
        <v>884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U10" s="28"/>
      <c r="V10" s="28"/>
      <c r="W10" s="28"/>
      <c r="Y10" s="26">
        <v>263</v>
      </c>
      <c r="Z10" s="26">
        <v>213</v>
      </c>
      <c r="AA10" s="26">
        <v>256</v>
      </c>
      <c r="AB10" s="26">
        <v>285</v>
      </c>
      <c r="AC10" s="26">
        <v>293</v>
      </c>
      <c r="AD10" s="26">
        <v>227</v>
      </c>
      <c r="AE10" s="26">
        <v>282</v>
      </c>
      <c r="AF10" s="26">
        <v>301</v>
      </c>
      <c r="AG10" s="27">
        <v>220</v>
      </c>
      <c r="AH10" s="27">
        <v>201</v>
      </c>
      <c r="AI10" s="27">
        <v>217</v>
      </c>
      <c r="AJ10" s="27">
        <v>248</v>
      </c>
      <c r="AK10" s="27">
        <v>230</v>
      </c>
      <c r="AL10" s="27">
        <v>174</v>
      </c>
      <c r="AP10" s="28"/>
      <c r="AS10" s="27"/>
      <c r="AT10" s="27"/>
      <c r="AU10" s="27"/>
      <c r="AV10" s="27"/>
    </row>
    <row r="11" spans="1:48" x14ac:dyDescent="0.2">
      <c r="B11" s="29" t="s">
        <v>92</v>
      </c>
      <c r="C11" s="27">
        <v>735</v>
      </c>
      <c r="D11" s="27">
        <v>776</v>
      </c>
      <c r="E11" s="27">
        <v>791</v>
      </c>
      <c r="F11" s="27">
        <v>790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U11" s="28"/>
      <c r="V11" s="28"/>
      <c r="W11" s="28"/>
      <c r="Y11" s="26">
        <v>159</v>
      </c>
      <c r="Z11" s="26">
        <v>172</v>
      </c>
      <c r="AA11" s="26">
        <v>181</v>
      </c>
      <c r="AB11" s="26">
        <v>206</v>
      </c>
      <c r="AC11" s="26">
        <v>182</v>
      </c>
      <c r="AD11" s="26">
        <v>192</v>
      </c>
      <c r="AE11" s="26">
        <v>194</v>
      </c>
      <c r="AF11" s="26">
        <v>208</v>
      </c>
      <c r="AG11" s="27">
        <v>196</v>
      </c>
      <c r="AH11" s="27">
        <v>188</v>
      </c>
      <c r="AI11" s="27">
        <v>186</v>
      </c>
      <c r="AJ11" s="27">
        <v>221</v>
      </c>
      <c r="AK11" s="27">
        <v>208</v>
      </c>
      <c r="AL11" s="27">
        <v>217</v>
      </c>
      <c r="AP11" s="28"/>
      <c r="AS11" s="27"/>
      <c r="AT11" s="27"/>
      <c r="AU11" s="27"/>
      <c r="AV11" s="27"/>
    </row>
    <row r="12" spans="1:48" x14ac:dyDescent="0.2">
      <c r="B12" s="26" t="s">
        <v>186</v>
      </c>
      <c r="C12" s="27">
        <f>C11+C10</f>
        <v>1735</v>
      </c>
      <c r="D12" s="27">
        <f>D11+D10</f>
        <v>1879</v>
      </c>
      <c r="E12" s="27">
        <f>E11+E10</f>
        <v>1677</v>
      </c>
      <c r="F12" s="27">
        <f>F11+F10</f>
        <v>1674</v>
      </c>
    </row>
  </sheetData>
  <hyperlinks>
    <hyperlink ref="A1" location="Main!A1" display="Main" xr:uid="{6771F566-9DB8-4C45-9280-F213A1DE498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4837-4C12-42AB-9DAC-3CC46D00BE3F}">
  <sheetPr codeName="Sheet4"/>
  <dimension ref="A1:BT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5" style="10" bestFit="1" customWidth="1"/>
    <col min="2" max="2" width="17.42578125" style="10" bestFit="1" customWidth="1"/>
    <col min="3" max="3" width="9.7109375" style="10" customWidth="1"/>
    <col min="4" max="6" width="5" style="10" bestFit="1" customWidth="1"/>
    <col min="7" max="14" width="5.5703125" style="10" bestFit="1" customWidth="1"/>
    <col min="15" max="15" width="6.28515625" style="10" bestFit="1" customWidth="1"/>
    <col min="16" max="16" width="5.5703125" style="10" bestFit="1" customWidth="1"/>
    <col min="17" max="27" width="5" style="10" bestFit="1" customWidth="1"/>
    <col min="28" max="28" width="5.85546875" style="10" bestFit="1" customWidth="1"/>
    <col min="29" max="36" width="5.85546875" style="10" customWidth="1"/>
    <col min="37" max="49" width="5.42578125" style="10" bestFit="1" customWidth="1"/>
    <col min="50" max="63" width="5.5703125" style="10" bestFit="1" customWidth="1"/>
    <col min="64" max="64" width="6.7109375" style="10" bestFit="1" customWidth="1"/>
    <col min="65" max="72" width="5.42578125" style="10" bestFit="1" customWidth="1"/>
    <col min="73" max="16384" width="9.140625" style="10"/>
  </cols>
  <sheetData>
    <row r="1" spans="1:3" x14ac:dyDescent="0.2">
      <c r="A1" s="24" t="s">
        <v>8</v>
      </c>
    </row>
    <row r="2" spans="1:3" x14ac:dyDescent="0.2">
      <c r="B2" s="10" t="s">
        <v>173</v>
      </c>
      <c r="C2" s="10" t="s">
        <v>76</v>
      </c>
    </row>
    <row r="3" spans="1:3" x14ac:dyDescent="0.2">
      <c r="B3" s="10" t="s">
        <v>172</v>
      </c>
      <c r="C3" s="10" t="s">
        <v>171</v>
      </c>
    </row>
    <row r="4" spans="1:3" x14ac:dyDescent="0.2">
      <c r="B4" s="10" t="s">
        <v>170</v>
      </c>
      <c r="C4" s="10" t="s">
        <v>169</v>
      </c>
    </row>
    <row r="5" spans="1:3" x14ac:dyDescent="0.2">
      <c r="B5" s="10" t="s">
        <v>168</v>
      </c>
      <c r="C5" s="10" t="s">
        <v>167</v>
      </c>
    </row>
    <row r="6" spans="1:3" x14ac:dyDescent="0.2">
      <c r="C6" s="10" t="s">
        <v>166</v>
      </c>
    </row>
    <row r="7" spans="1:3" x14ac:dyDescent="0.2">
      <c r="C7" s="10" t="s">
        <v>165</v>
      </c>
    </row>
    <row r="8" spans="1:3" x14ac:dyDescent="0.2">
      <c r="C8" s="10" t="s">
        <v>164</v>
      </c>
    </row>
    <row r="9" spans="1:3" x14ac:dyDescent="0.2">
      <c r="B9" s="10" t="s">
        <v>163</v>
      </c>
      <c r="C9" s="10" t="s">
        <v>162</v>
      </c>
    </row>
    <row r="10" spans="1:3" x14ac:dyDescent="0.2">
      <c r="B10" s="10" t="s">
        <v>161</v>
      </c>
      <c r="C10" s="10" t="s">
        <v>160</v>
      </c>
    </row>
    <row r="11" spans="1:3" x14ac:dyDescent="0.2">
      <c r="B11" s="10" t="s">
        <v>159</v>
      </c>
      <c r="C11" s="10" t="s">
        <v>158</v>
      </c>
    </row>
    <row r="12" spans="1:3" x14ac:dyDescent="0.2">
      <c r="C12" s="10" t="s">
        <v>157</v>
      </c>
    </row>
    <row r="13" spans="1:3" x14ac:dyDescent="0.2">
      <c r="B13" s="10" t="s">
        <v>156</v>
      </c>
      <c r="C13" s="23">
        <v>33816</v>
      </c>
    </row>
    <row r="14" spans="1:3" x14ac:dyDescent="0.2">
      <c r="B14" s="10" t="s">
        <v>155</v>
      </c>
      <c r="C14" s="22" t="s">
        <v>154</v>
      </c>
    </row>
    <row r="15" spans="1:3" x14ac:dyDescent="0.2">
      <c r="B15" s="10" t="s">
        <v>153</v>
      </c>
    </row>
    <row r="16" spans="1:3" x14ac:dyDescent="0.2">
      <c r="B16" s="10" t="s">
        <v>152</v>
      </c>
    </row>
    <row r="17" spans="2:72" x14ac:dyDescent="0.2">
      <c r="B17" s="10" t="s">
        <v>151</v>
      </c>
    </row>
    <row r="19" spans="2:72" x14ac:dyDescent="0.2">
      <c r="B19" s="21" t="s">
        <v>150</v>
      </c>
    </row>
    <row r="20" spans="2:72" x14ac:dyDescent="0.2">
      <c r="B20" s="19"/>
    </row>
    <row r="21" spans="2:72" x14ac:dyDescent="0.2">
      <c r="B21" s="20" t="s">
        <v>149</v>
      </c>
    </row>
    <row r="22" spans="2:72" x14ac:dyDescent="0.2">
      <c r="B22" s="19" t="s">
        <v>148</v>
      </c>
    </row>
    <row r="23" spans="2:72" x14ac:dyDescent="0.2">
      <c r="B23" s="19" t="s">
        <v>147</v>
      </c>
    </row>
    <row r="25" spans="2:72" x14ac:dyDescent="0.2">
      <c r="B25" s="10" t="s">
        <v>146</v>
      </c>
    </row>
    <row r="26" spans="2:72" x14ac:dyDescent="0.2">
      <c r="B26" s="10" t="s">
        <v>145</v>
      </c>
    </row>
    <row r="27" spans="2:72" x14ac:dyDescent="0.2">
      <c r="B27" s="10" t="s">
        <v>144</v>
      </c>
    </row>
    <row r="28" spans="2:72" x14ac:dyDescent="0.2">
      <c r="B28" s="10" t="s">
        <v>143</v>
      </c>
    </row>
    <row r="29" spans="2:72" x14ac:dyDescent="0.2">
      <c r="B29" s="10" t="s">
        <v>142</v>
      </c>
    </row>
    <row r="30" spans="2:72" x14ac:dyDescent="0.2">
      <c r="B30" s="18" t="s">
        <v>141</v>
      </c>
    </row>
    <row r="32" spans="2:72" x14ac:dyDescent="0.2">
      <c r="C32" s="15">
        <v>1994</v>
      </c>
      <c r="D32" s="15">
        <v>1995</v>
      </c>
      <c r="E32" s="15">
        <v>1996</v>
      </c>
      <c r="F32" s="15">
        <v>1997</v>
      </c>
      <c r="G32" s="15">
        <v>1998</v>
      </c>
      <c r="H32" s="15">
        <v>1999</v>
      </c>
      <c r="I32" s="15">
        <v>2000</v>
      </c>
      <c r="J32" s="15">
        <v>2001</v>
      </c>
      <c r="K32" s="15">
        <v>2002</v>
      </c>
      <c r="L32" s="15">
        <v>2003</v>
      </c>
      <c r="M32" s="15">
        <v>2004</v>
      </c>
      <c r="N32" s="15">
        <v>2005</v>
      </c>
      <c r="O32" s="15" t="s">
        <v>140</v>
      </c>
      <c r="P32" s="15">
        <v>2007</v>
      </c>
      <c r="Q32" s="15">
        <v>2008</v>
      </c>
      <c r="R32" s="17">
        <v>2009</v>
      </c>
      <c r="S32" s="17">
        <v>2010</v>
      </c>
      <c r="T32" s="17">
        <v>2011</v>
      </c>
      <c r="U32" s="17">
        <v>2012</v>
      </c>
      <c r="V32" s="17">
        <v>2013</v>
      </c>
      <c r="W32" s="17">
        <v>2014</v>
      </c>
      <c r="X32" s="17">
        <v>2015</v>
      </c>
      <c r="Y32" s="17">
        <v>2016</v>
      </c>
      <c r="Z32" s="17">
        <v>2017</v>
      </c>
      <c r="AA32" s="17">
        <v>2018</v>
      </c>
      <c r="AB32" s="10" t="s">
        <v>139</v>
      </c>
      <c r="AC32" s="15" t="s">
        <v>138</v>
      </c>
      <c r="AD32" s="15" t="s">
        <v>137</v>
      </c>
      <c r="AE32" s="15" t="s">
        <v>136</v>
      </c>
      <c r="AF32" s="15" t="s">
        <v>135</v>
      </c>
      <c r="AG32" s="15" t="s">
        <v>134</v>
      </c>
      <c r="AH32" s="15" t="s">
        <v>133</v>
      </c>
      <c r="AI32" s="15" t="s">
        <v>132</v>
      </c>
      <c r="AJ32" s="15" t="s">
        <v>131</v>
      </c>
      <c r="AK32" s="15" t="s">
        <v>130</v>
      </c>
      <c r="AL32" s="15" t="s">
        <v>129</v>
      </c>
      <c r="AM32" s="15" t="s">
        <v>128</v>
      </c>
      <c r="AN32" s="15" t="s">
        <v>127</v>
      </c>
      <c r="AO32" s="15" t="s">
        <v>126</v>
      </c>
      <c r="AP32" s="15" t="s">
        <v>125</v>
      </c>
      <c r="AQ32" s="15" t="s">
        <v>124</v>
      </c>
      <c r="AR32" s="15" t="s">
        <v>123</v>
      </c>
      <c r="AS32" s="15" t="s">
        <v>122</v>
      </c>
      <c r="AT32" s="15" t="s">
        <v>121</v>
      </c>
      <c r="AU32" s="15" t="s">
        <v>120</v>
      </c>
      <c r="AV32" s="15" t="s">
        <v>119</v>
      </c>
      <c r="AW32" s="15" t="s">
        <v>118</v>
      </c>
      <c r="AX32" s="15" t="s">
        <v>117</v>
      </c>
      <c r="AY32" s="15" t="s">
        <v>116</v>
      </c>
      <c r="AZ32" s="15" t="s">
        <v>115</v>
      </c>
      <c r="BA32" s="15" t="s">
        <v>114</v>
      </c>
      <c r="BB32" s="15" t="s">
        <v>113</v>
      </c>
      <c r="BC32" s="15" t="s">
        <v>112</v>
      </c>
      <c r="BD32" s="15" t="s">
        <v>111</v>
      </c>
      <c r="BE32" s="15" t="s">
        <v>110</v>
      </c>
      <c r="BF32" s="15" t="s">
        <v>109</v>
      </c>
      <c r="BG32" s="15" t="s">
        <v>108</v>
      </c>
      <c r="BH32" s="15" t="s">
        <v>107</v>
      </c>
      <c r="BI32" s="15" t="s">
        <v>106</v>
      </c>
      <c r="BJ32" s="15" t="s">
        <v>105</v>
      </c>
      <c r="BK32" s="15" t="s">
        <v>104</v>
      </c>
      <c r="BL32" s="16" t="s">
        <v>103</v>
      </c>
      <c r="BM32" s="15" t="s">
        <v>102</v>
      </c>
      <c r="BN32" s="15" t="s">
        <v>101</v>
      </c>
      <c r="BO32" s="15" t="s">
        <v>100</v>
      </c>
      <c r="BP32" s="15" t="s">
        <v>99</v>
      </c>
      <c r="BQ32" s="15" t="s">
        <v>98</v>
      </c>
      <c r="BR32" s="15" t="s">
        <v>97</v>
      </c>
      <c r="BS32" s="15" t="s">
        <v>96</v>
      </c>
      <c r="BT32" s="15" t="s">
        <v>95</v>
      </c>
    </row>
    <row r="33" spans="2:72" s="11" customFormat="1" collapsed="1" x14ac:dyDescent="0.2">
      <c r="B33" s="11" t="s">
        <v>94</v>
      </c>
      <c r="C33" s="12"/>
      <c r="D33" s="12"/>
      <c r="E33" s="12"/>
      <c r="F33" s="12"/>
      <c r="G33" s="12">
        <v>2575</v>
      </c>
      <c r="H33" s="12">
        <v>3030</v>
      </c>
      <c r="I33" s="12">
        <v>3361</v>
      </c>
      <c r="J33" s="12">
        <v>3581</v>
      </c>
      <c r="K33" s="12">
        <f>K34+K35</f>
        <v>3846</v>
      </c>
      <c r="L33" s="12">
        <f>L34+L35</f>
        <v>4335</v>
      </c>
      <c r="M33" s="12">
        <f>M34+M35</f>
        <v>4462</v>
      </c>
      <c r="N33" s="12">
        <f>N34+N35</f>
        <v>4612</v>
      </c>
      <c r="O33" s="12">
        <v>5164</v>
      </c>
      <c r="P33" s="12">
        <f>O33*0.65</f>
        <v>3356.6</v>
      </c>
      <c r="Q33" s="12">
        <f>P33*0.1</f>
        <v>335.66</v>
      </c>
      <c r="R33" s="12">
        <f>Q33*0.4</f>
        <v>134.26400000000001</v>
      </c>
      <c r="S33" s="12">
        <f>R33*0.2</f>
        <v>26.852800000000002</v>
      </c>
      <c r="T33" s="12">
        <f>S33*0.2</f>
        <v>5.3705600000000011</v>
      </c>
      <c r="U33" s="12">
        <f>T33*0.2</f>
        <v>1.0741120000000002</v>
      </c>
      <c r="V33" s="12">
        <f>U33*0.2</f>
        <v>0.21482240000000005</v>
      </c>
      <c r="W33" s="12"/>
      <c r="X33" s="12"/>
      <c r="Y33" s="12"/>
      <c r="Z33" s="12"/>
      <c r="AA33" s="12"/>
      <c r="AC33" s="12">
        <f t="shared" ref="AC33:BK33" si="0">AC34+AC35</f>
        <v>567</v>
      </c>
      <c r="AD33" s="12">
        <f t="shared" si="0"/>
        <v>618</v>
      </c>
      <c r="AE33" s="12">
        <f t="shared" si="0"/>
        <v>671</v>
      </c>
      <c r="AF33" s="12">
        <f t="shared" si="0"/>
        <v>719</v>
      </c>
      <c r="AG33" s="12">
        <f t="shared" si="0"/>
        <v>694</v>
      </c>
      <c r="AH33" s="12">
        <f t="shared" si="0"/>
        <v>713</v>
      </c>
      <c r="AI33" s="12">
        <f t="shared" si="0"/>
        <v>778</v>
      </c>
      <c r="AJ33" s="12">
        <f t="shared" si="0"/>
        <v>807</v>
      </c>
      <c r="AK33" s="12">
        <f t="shared" si="0"/>
        <v>782</v>
      </c>
      <c r="AL33" s="12">
        <f t="shared" si="0"/>
        <v>805</v>
      </c>
      <c r="AM33" s="12">
        <f t="shared" si="0"/>
        <v>847</v>
      </c>
      <c r="AN33" s="12">
        <f t="shared" si="0"/>
        <v>928</v>
      </c>
      <c r="AO33" s="12">
        <f t="shared" si="0"/>
        <v>860</v>
      </c>
      <c r="AP33" s="12">
        <f t="shared" si="0"/>
        <v>879</v>
      </c>
      <c r="AQ33" s="12">
        <f t="shared" si="0"/>
        <v>881</v>
      </c>
      <c r="AR33" s="12">
        <f t="shared" si="0"/>
        <v>962</v>
      </c>
      <c r="AS33" s="12">
        <f t="shared" si="0"/>
        <v>931</v>
      </c>
      <c r="AT33" s="12">
        <f t="shared" si="0"/>
        <v>886</v>
      </c>
      <c r="AU33" s="12">
        <f t="shared" si="0"/>
        <v>963</v>
      </c>
      <c r="AV33" s="12">
        <f t="shared" si="0"/>
        <v>1066</v>
      </c>
      <c r="AW33" s="12">
        <f t="shared" si="0"/>
        <v>983</v>
      </c>
      <c r="AX33" s="12">
        <f t="shared" si="0"/>
        <v>1003</v>
      </c>
      <c r="AY33" s="12">
        <f t="shared" si="0"/>
        <v>1104</v>
      </c>
      <c r="AZ33" s="12">
        <f t="shared" si="0"/>
        <v>1245</v>
      </c>
      <c r="BA33" s="12">
        <f t="shared" si="0"/>
        <v>1141</v>
      </c>
      <c r="BB33" s="12">
        <f t="shared" si="0"/>
        <v>1032</v>
      </c>
      <c r="BC33" s="12">
        <f t="shared" si="0"/>
        <v>1036</v>
      </c>
      <c r="BD33" s="12">
        <f t="shared" si="0"/>
        <v>1253</v>
      </c>
      <c r="BE33" s="12">
        <f t="shared" si="0"/>
        <v>1175</v>
      </c>
      <c r="BF33" s="12">
        <f t="shared" si="0"/>
        <v>1156</v>
      </c>
      <c r="BG33" s="12">
        <f t="shared" si="0"/>
        <v>1131</v>
      </c>
      <c r="BH33" s="12">
        <f t="shared" si="0"/>
        <v>1244</v>
      </c>
      <c r="BI33" s="12">
        <f t="shared" si="0"/>
        <v>1183</v>
      </c>
      <c r="BJ33" s="12">
        <f t="shared" si="0"/>
        <v>1158</v>
      </c>
      <c r="BK33" s="12">
        <f t="shared" si="0"/>
        <v>1208</v>
      </c>
      <c r="BL33" s="14"/>
      <c r="BM33" s="12"/>
    </row>
    <row r="34" spans="2:72" s="11" customFormat="1" x14ac:dyDescent="0.2">
      <c r="B34" s="13" t="s">
        <v>93</v>
      </c>
      <c r="C34" s="12"/>
      <c r="D34" s="12"/>
      <c r="E34" s="12"/>
      <c r="F34" s="12"/>
      <c r="G34" s="12"/>
      <c r="H34" s="12"/>
      <c r="I34" s="12"/>
      <c r="J34" s="12"/>
      <c r="K34" s="12">
        <v>1775</v>
      </c>
      <c r="L34" s="12">
        <f>SUM(AW34:AZ34)</f>
        <v>1934</v>
      </c>
      <c r="M34" s="12">
        <v>1991</v>
      </c>
      <c r="N34" s="12">
        <v>2112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>
        <v>259</v>
      </c>
      <c r="AD34" s="12">
        <v>280</v>
      </c>
      <c r="AE34" s="12">
        <v>342</v>
      </c>
      <c r="AF34" s="12">
        <v>324</v>
      </c>
      <c r="AG34" s="12">
        <v>307</v>
      </c>
      <c r="AH34" s="12">
        <v>306</v>
      </c>
      <c r="AI34" s="12">
        <v>358</v>
      </c>
      <c r="AJ34" s="12">
        <v>364</v>
      </c>
      <c r="AK34" s="12">
        <v>346</v>
      </c>
      <c r="AL34" s="12">
        <v>337</v>
      </c>
      <c r="AM34" s="12">
        <v>404</v>
      </c>
      <c r="AN34" s="12">
        <v>439</v>
      </c>
      <c r="AO34" s="12">
        <v>391</v>
      </c>
      <c r="AP34" s="12">
        <v>391</v>
      </c>
      <c r="AQ34" s="12">
        <v>426</v>
      </c>
      <c r="AR34" s="12">
        <v>459</v>
      </c>
      <c r="AS34" s="12">
        <v>448</v>
      </c>
      <c r="AT34" s="12">
        <v>380</v>
      </c>
      <c r="AU34" s="12">
        <v>440</v>
      </c>
      <c r="AV34" s="12">
        <v>507</v>
      </c>
      <c r="AW34" s="12">
        <v>436</v>
      </c>
      <c r="AX34" s="12">
        <v>424</v>
      </c>
      <c r="AY34" s="12">
        <v>489</v>
      </c>
      <c r="AZ34" s="12">
        <v>585</v>
      </c>
      <c r="BA34" s="12">
        <v>489</v>
      </c>
      <c r="BB34" s="12">
        <v>412</v>
      </c>
      <c r="BC34" s="12">
        <v>471</v>
      </c>
      <c r="BD34" s="12">
        <v>619</v>
      </c>
      <c r="BE34" s="12">
        <v>540</v>
      </c>
      <c r="BF34" s="12">
        <v>523</v>
      </c>
      <c r="BG34" s="12">
        <v>546</v>
      </c>
      <c r="BH34" s="12">
        <v>613</v>
      </c>
      <c r="BI34" s="12">
        <v>626</v>
      </c>
      <c r="BJ34" s="12">
        <v>560</v>
      </c>
      <c r="BK34" s="12">
        <v>628</v>
      </c>
      <c r="BL34" s="12"/>
      <c r="BM34" s="12"/>
      <c r="BN34" s="12"/>
      <c r="BO34" s="12"/>
      <c r="BP34" s="12"/>
      <c r="BQ34" s="12"/>
      <c r="BR34" s="12"/>
      <c r="BS34" s="12"/>
      <c r="BT34" s="12"/>
    </row>
    <row r="35" spans="2:72" s="11" customFormat="1" x14ac:dyDescent="0.2">
      <c r="B35" s="13" t="s">
        <v>92</v>
      </c>
      <c r="C35" s="12"/>
      <c r="D35" s="12"/>
      <c r="E35" s="12"/>
      <c r="F35" s="12"/>
      <c r="G35" s="12"/>
      <c r="H35" s="12"/>
      <c r="I35" s="12"/>
      <c r="J35" s="12"/>
      <c r="K35" s="12">
        <v>2071</v>
      </c>
      <c r="L35" s="12">
        <f>SUM(AW35:AZ35)</f>
        <v>2401</v>
      </c>
      <c r="M35" s="12">
        <v>2471</v>
      </c>
      <c r="N35" s="12">
        <v>2500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C35" s="12">
        <v>308</v>
      </c>
      <c r="AD35" s="12">
        <v>338</v>
      </c>
      <c r="AE35" s="12">
        <v>329</v>
      </c>
      <c r="AF35" s="12">
        <v>395</v>
      </c>
      <c r="AG35" s="12">
        <v>387</v>
      </c>
      <c r="AH35" s="12">
        <v>407</v>
      </c>
      <c r="AI35" s="12">
        <v>420</v>
      </c>
      <c r="AJ35" s="12">
        <v>443</v>
      </c>
      <c r="AK35" s="12">
        <v>436</v>
      </c>
      <c r="AL35" s="12">
        <v>468</v>
      </c>
      <c r="AM35" s="12">
        <v>443</v>
      </c>
      <c r="AN35" s="12">
        <v>489</v>
      </c>
      <c r="AO35" s="12">
        <v>469</v>
      </c>
      <c r="AP35" s="12">
        <v>488</v>
      </c>
      <c r="AQ35" s="12">
        <v>455</v>
      </c>
      <c r="AR35" s="12">
        <v>503</v>
      </c>
      <c r="AS35" s="12">
        <v>483</v>
      </c>
      <c r="AT35" s="12">
        <v>506</v>
      </c>
      <c r="AU35" s="12">
        <v>523</v>
      </c>
      <c r="AV35" s="12">
        <v>559</v>
      </c>
      <c r="AW35" s="12">
        <v>547</v>
      </c>
      <c r="AX35" s="12">
        <v>579</v>
      </c>
      <c r="AY35" s="12">
        <v>615</v>
      </c>
      <c r="AZ35" s="12">
        <v>660</v>
      </c>
      <c r="BA35" s="12">
        <v>652</v>
      </c>
      <c r="BB35" s="12">
        <v>620</v>
      </c>
      <c r="BC35" s="12">
        <v>565</v>
      </c>
      <c r="BD35" s="12">
        <v>634</v>
      </c>
      <c r="BE35" s="12">
        <v>635</v>
      </c>
      <c r="BF35" s="12">
        <v>633</v>
      </c>
      <c r="BG35" s="12">
        <v>585</v>
      </c>
      <c r="BH35" s="12">
        <v>631</v>
      </c>
      <c r="BI35" s="12">
        <v>557</v>
      </c>
      <c r="BJ35" s="12">
        <v>598</v>
      </c>
      <c r="BK35" s="12">
        <v>580</v>
      </c>
      <c r="BL35" s="13"/>
      <c r="BM35" s="12"/>
      <c r="BN35" s="12"/>
      <c r="BO35" s="12"/>
      <c r="BP35" s="12"/>
      <c r="BQ35" s="12"/>
      <c r="BR35" s="12"/>
      <c r="BS35" s="12"/>
      <c r="BT35" s="12"/>
    </row>
  </sheetData>
  <hyperlinks>
    <hyperlink ref="A1" location="Main!A1" display="Main" xr:uid="{9123C3FA-F081-4CBA-88A6-0D80534EB2CA}"/>
  </hyperlink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6628-F333-4875-A4E3-B3DF6EB0E6AB}">
  <sheetPr codeName="Sheet5"/>
  <dimension ref="A1:D38"/>
  <sheetViews>
    <sheetView workbookViewId="0">
      <selection activeCell="F28" sqref="F28"/>
    </sheetView>
  </sheetViews>
  <sheetFormatPr defaultRowHeight="12.75" x14ac:dyDescent="0.2"/>
  <cols>
    <col min="1" max="1" width="5.85546875" style="10" customWidth="1"/>
    <col min="2" max="2" width="15.140625" style="10" customWidth="1"/>
    <col min="3" max="4" width="9.140625" style="10"/>
    <col min="5" max="5" width="13.28515625" style="10" customWidth="1"/>
    <col min="6" max="6" width="12" style="10" bestFit="1" customWidth="1"/>
    <col min="7" max="16384" width="9.140625" style="10"/>
  </cols>
  <sheetData>
    <row r="1" spans="1:4" x14ac:dyDescent="0.2">
      <c r="A1" s="24" t="s">
        <v>8</v>
      </c>
    </row>
    <row r="2" spans="1:4" x14ac:dyDescent="0.2">
      <c r="A2" s="24"/>
      <c r="B2" s="10" t="s">
        <v>185</v>
      </c>
      <c r="C2" s="10" t="s">
        <v>77</v>
      </c>
    </row>
    <row r="3" spans="1:4" x14ac:dyDescent="0.2">
      <c r="A3" s="24"/>
      <c r="B3" s="10" t="s">
        <v>172</v>
      </c>
      <c r="C3" s="10" t="s">
        <v>184</v>
      </c>
    </row>
    <row r="4" spans="1:4" x14ac:dyDescent="0.2">
      <c r="A4" s="24"/>
      <c r="B4" s="10" t="s">
        <v>168</v>
      </c>
      <c r="C4" s="10" t="s">
        <v>183</v>
      </c>
    </row>
    <row r="5" spans="1:4" x14ac:dyDescent="0.2">
      <c r="B5" s="10" t="s">
        <v>170</v>
      </c>
      <c r="C5" s="10" t="s">
        <v>182</v>
      </c>
    </row>
    <row r="6" spans="1:4" x14ac:dyDescent="0.2">
      <c r="C6" s="19" t="s">
        <v>181</v>
      </c>
    </row>
    <row r="7" spans="1:4" x14ac:dyDescent="0.2">
      <c r="B7" s="19" t="s">
        <v>180</v>
      </c>
      <c r="C7" s="10" t="s">
        <v>179</v>
      </c>
    </row>
    <row r="8" spans="1:4" x14ac:dyDescent="0.2">
      <c r="B8" s="19" t="s">
        <v>155</v>
      </c>
      <c r="C8" s="19" t="s">
        <v>178</v>
      </c>
    </row>
    <row r="9" spans="1:4" x14ac:dyDescent="0.2">
      <c r="B9" s="19"/>
      <c r="C9" s="19" t="s">
        <v>177</v>
      </c>
    </row>
    <row r="10" spans="1:4" x14ac:dyDescent="0.2">
      <c r="B10" s="10" t="s">
        <v>176</v>
      </c>
    </row>
    <row r="11" spans="1:4" x14ac:dyDescent="0.2">
      <c r="C11" s="15" t="s">
        <v>175</v>
      </c>
      <c r="D11" s="15" t="s">
        <v>174</v>
      </c>
    </row>
    <row r="12" spans="1:4" x14ac:dyDescent="0.2">
      <c r="C12" s="15"/>
      <c r="D12" s="15"/>
    </row>
    <row r="13" spans="1:4" x14ac:dyDescent="0.2">
      <c r="B13" s="25">
        <v>40130</v>
      </c>
      <c r="C13" s="12">
        <v>49634</v>
      </c>
      <c r="D13" s="12">
        <v>209947</v>
      </c>
    </row>
    <row r="14" spans="1:4" x14ac:dyDescent="0.2">
      <c r="B14" s="25">
        <f t="shared" ref="B14:B20" si="0">B13-7</f>
        <v>40123</v>
      </c>
      <c r="C14" s="12">
        <v>52695</v>
      </c>
      <c r="D14" s="12">
        <v>220362</v>
      </c>
    </row>
    <row r="15" spans="1:4" x14ac:dyDescent="0.2">
      <c r="B15" s="25">
        <f t="shared" si="0"/>
        <v>40116</v>
      </c>
      <c r="C15" s="12">
        <v>52148</v>
      </c>
      <c r="D15" s="12">
        <v>210793</v>
      </c>
    </row>
    <row r="16" spans="1:4" x14ac:dyDescent="0.2">
      <c r="B16" s="25">
        <f t="shared" si="0"/>
        <v>40109</v>
      </c>
      <c r="C16" s="12">
        <v>52617</v>
      </c>
      <c r="D16" s="12">
        <v>207146</v>
      </c>
    </row>
    <row r="17" spans="2:4" x14ac:dyDescent="0.2">
      <c r="B17" s="25">
        <f t="shared" si="0"/>
        <v>40102</v>
      </c>
      <c r="C17" s="12">
        <v>52309</v>
      </c>
      <c r="D17" s="12">
        <v>201328</v>
      </c>
    </row>
    <row r="18" spans="2:4" x14ac:dyDescent="0.2">
      <c r="B18" s="25">
        <f t="shared" si="0"/>
        <v>40095</v>
      </c>
      <c r="C18" s="12">
        <v>57242</v>
      </c>
      <c r="D18" s="12">
        <v>208037</v>
      </c>
    </row>
    <row r="19" spans="2:4" x14ac:dyDescent="0.2">
      <c r="B19" s="25">
        <f t="shared" si="0"/>
        <v>40088</v>
      </c>
      <c r="C19" s="12">
        <v>59496</v>
      </c>
      <c r="D19" s="12">
        <v>219471</v>
      </c>
    </row>
    <row r="20" spans="2:4" x14ac:dyDescent="0.2">
      <c r="B20" s="25">
        <f t="shared" si="0"/>
        <v>40081</v>
      </c>
      <c r="C20" s="12">
        <v>57651</v>
      </c>
      <c r="D20" s="12">
        <v>210721</v>
      </c>
    </row>
    <row r="21" spans="2:4" x14ac:dyDescent="0.2">
      <c r="B21" s="25">
        <v>39759</v>
      </c>
      <c r="C21" s="12">
        <v>128829</v>
      </c>
      <c r="D21" s="12">
        <v>242130</v>
      </c>
    </row>
    <row r="22" spans="2:4" x14ac:dyDescent="0.2">
      <c r="B22" s="25">
        <v>39304</v>
      </c>
      <c r="C22" s="12">
        <v>104844</v>
      </c>
      <c r="D22" s="12">
        <v>175214</v>
      </c>
    </row>
    <row r="23" spans="2:4" x14ac:dyDescent="0.2">
      <c r="B23" s="25">
        <f>B24+7</f>
        <v>39297</v>
      </c>
      <c r="C23" s="12">
        <v>105008</v>
      </c>
      <c r="D23" s="12">
        <v>177479</v>
      </c>
    </row>
    <row r="24" spans="2:4" x14ac:dyDescent="0.2">
      <c r="B24" s="25">
        <v>39290</v>
      </c>
      <c r="C24" s="12">
        <v>100901</v>
      </c>
      <c r="D24" s="12">
        <v>168257</v>
      </c>
    </row>
    <row r="25" spans="2:4" x14ac:dyDescent="0.2">
      <c r="B25" s="25">
        <v>39283</v>
      </c>
      <c r="C25" s="12">
        <v>99262</v>
      </c>
      <c r="D25" s="12">
        <v>167102</v>
      </c>
    </row>
    <row r="26" spans="2:4" x14ac:dyDescent="0.2">
      <c r="B26" s="25">
        <v>39276</v>
      </c>
      <c r="C26" s="12">
        <v>98465</v>
      </c>
      <c r="D26" s="12">
        <v>162285</v>
      </c>
    </row>
    <row r="27" spans="2:4" x14ac:dyDescent="0.2">
      <c r="B27" s="25">
        <f>B26-7</f>
        <v>39269</v>
      </c>
      <c r="C27" s="12">
        <v>85691</v>
      </c>
      <c r="D27" s="12">
        <v>155583</v>
      </c>
    </row>
    <row r="28" spans="2:4" x14ac:dyDescent="0.2">
      <c r="B28" s="25">
        <v>39251</v>
      </c>
      <c r="C28" s="12">
        <v>93717</v>
      </c>
      <c r="D28" s="12">
        <v>162729</v>
      </c>
    </row>
    <row r="29" spans="2:4" x14ac:dyDescent="0.2">
      <c r="B29" s="25">
        <f>B28-7</f>
        <v>39244</v>
      </c>
      <c r="C29" s="12">
        <v>82375</v>
      </c>
      <c r="D29" s="12">
        <v>148171</v>
      </c>
    </row>
    <row r="30" spans="2:4" x14ac:dyDescent="0.2">
      <c r="B30" s="25">
        <v>39192</v>
      </c>
      <c r="C30" s="12">
        <v>87415</v>
      </c>
      <c r="D30" s="12">
        <v>151082</v>
      </c>
    </row>
    <row r="31" spans="2:4" x14ac:dyDescent="0.2">
      <c r="B31" s="25">
        <v>39185</v>
      </c>
      <c r="C31" s="12">
        <v>84808</v>
      </c>
      <c r="D31" s="12">
        <v>147646</v>
      </c>
    </row>
    <row r="32" spans="2:4" x14ac:dyDescent="0.2">
      <c r="B32" s="25">
        <v>39108</v>
      </c>
      <c r="C32" s="12">
        <v>83184</v>
      </c>
      <c r="D32" s="12">
        <v>140832</v>
      </c>
    </row>
    <row r="33" spans="2:4" x14ac:dyDescent="0.2">
      <c r="B33" s="25">
        <v>39094</v>
      </c>
      <c r="C33" s="12">
        <v>85518</v>
      </c>
      <c r="D33" s="12">
        <v>147117</v>
      </c>
    </row>
    <row r="34" spans="2:4" x14ac:dyDescent="0.2">
      <c r="B34" s="25">
        <v>39087</v>
      </c>
      <c r="C34" s="12">
        <v>75652</v>
      </c>
      <c r="D34" s="12">
        <v>139183</v>
      </c>
    </row>
    <row r="35" spans="2:4" x14ac:dyDescent="0.2">
      <c r="B35" s="25">
        <v>39080</v>
      </c>
      <c r="C35" s="12">
        <v>64517</v>
      </c>
      <c r="D35" s="12">
        <v>120643</v>
      </c>
    </row>
    <row r="36" spans="2:4" x14ac:dyDescent="0.2">
      <c r="B36" s="25">
        <v>39066</v>
      </c>
      <c r="C36" s="12"/>
      <c r="D36" s="12">
        <v>137766</v>
      </c>
    </row>
    <row r="37" spans="2:4" x14ac:dyDescent="0.2">
      <c r="B37" s="25">
        <v>39059</v>
      </c>
      <c r="C37" s="12"/>
      <c r="D37" s="12">
        <v>140308</v>
      </c>
    </row>
    <row r="38" spans="2:4" x14ac:dyDescent="0.2">
      <c r="C38" s="12"/>
      <c r="D38" s="12"/>
    </row>
  </sheetData>
  <hyperlinks>
    <hyperlink ref="A1" location="Main!A1" display="Main" xr:uid="{F9ADAA24-2D20-419A-8F02-0E370DC5723E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AEE2-BA4A-47CF-9BFC-FDD7E8A6B133}">
  <sheetPr codeName="Sheet6"/>
  <dimension ref="A1:P226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2.75" x14ac:dyDescent="0.2"/>
  <cols>
    <col min="1" max="1" width="5" style="10" bestFit="1" customWidth="1"/>
    <col min="2" max="2" width="12" style="10" bestFit="1" customWidth="1"/>
    <col min="3" max="4" width="9.140625" style="10"/>
    <col min="5" max="5" width="13.5703125" style="10" customWidth="1"/>
    <col min="6" max="16384" width="9.140625" style="10"/>
  </cols>
  <sheetData>
    <row r="1" spans="1:6" x14ac:dyDescent="0.2">
      <c r="A1" s="24" t="s">
        <v>8</v>
      </c>
    </row>
    <row r="2" spans="1:6" x14ac:dyDescent="0.2">
      <c r="A2" s="24"/>
      <c r="B2" s="10" t="s">
        <v>185</v>
      </c>
      <c r="C2" s="10" t="s">
        <v>75</v>
      </c>
      <c r="E2" s="10" t="s">
        <v>172</v>
      </c>
      <c r="F2" s="10" t="s">
        <v>311</v>
      </c>
    </row>
    <row r="3" spans="1:6" x14ac:dyDescent="0.2">
      <c r="A3" s="24"/>
      <c r="B3" s="10" t="s">
        <v>155</v>
      </c>
      <c r="C3" s="19" t="s">
        <v>310</v>
      </c>
    </row>
    <row r="4" spans="1:6" x14ac:dyDescent="0.2">
      <c r="A4" s="24"/>
      <c r="C4" s="19" t="s">
        <v>309</v>
      </c>
    </row>
    <row r="5" spans="1:6" x14ac:dyDescent="0.2">
      <c r="A5" s="24"/>
      <c r="C5" s="19" t="s">
        <v>308</v>
      </c>
    </row>
    <row r="6" spans="1:6" x14ac:dyDescent="0.2">
      <c r="A6" s="24"/>
      <c r="C6" s="19" t="s">
        <v>307</v>
      </c>
    </row>
    <row r="7" spans="1:6" x14ac:dyDescent="0.2">
      <c r="A7" s="24"/>
      <c r="C7" s="19" t="s">
        <v>306</v>
      </c>
    </row>
    <row r="8" spans="1:6" x14ac:dyDescent="0.2">
      <c r="A8" s="24"/>
      <c r="C8" s="19" t="s">
        <v>305</v>
      </c>
    </row>
    <row r="9" spans="1:6" x14ac:dyDescent="0.2">
      <c r="B9" s="25" t="s">
        <v>139</v>
      </c>
      <c r="C9" s="10" t="s">
        <v>304</v>
      </c>
    </row>
    <row r="10" spans="1:6" x14ac:dyDescent="0.2">
      <c r="C10" s="10" t="s">
        <v>303</v>
      </c>
    </row>
    <row r="11" spans="1:6" x14ac:dyDescent="0.2">
      <c r="C11" s="10" t="s">
        <v>302</v>
      </c>
    </row>
    <row r="12" spans="1:6" x14ac:dyDescent="0.2">
      <c r="B12" s="10" t="s">
        <v>170</v>
      </c>
      <c r="C12" s="19" t="s">
        <v>301</v>
      </c>
    </row>
    <row r="13" spans="1:6" x14ac:dyDescent="0.2">
      <c r="B13" s="10" t="s">
        <v>168</v>
      </c>
      <c r="C13" s="19" t="s">
        <v>300</v>
      </c>
    </row>
    <row r="14" spans="1:6" x14ac:dyDescent="0.2">
      <c r="B14" s="10" t="s">
        <v>299</v>
      </c>
    </row>
    <row r="15" spans="1:6" x14ac:dyDescent="0.2">
      <c r="C15" s="19" t="s">
        <v>298</v>
      </c>
    </row>
    <row r="16" spans="1:6" x14ac:dyDescent="0.2">
      <c r="C16" s="10" t="s">
        <v>297</v>
      </c>
    </row>
    <row r="17" spans="3:3" x14ac:dyDescent="0.2">
      <c r="C17" s="10" t="s">
        <v>296</v>
      </c>
    </row>
    <row r="18" spans="3:3" x14ac:dyDescent="0.2">
      <c r="C18" s="10" t="s">
        <v>295</v>
      </c>
    </row>
    <row r="19" spans="3:3" x14ac:dyDescent="0.2">
      <c r="C19" s="19" t="s">
        <v>294</v>
      </c>
    </row>
    <row r="20" spans="3:3" x14ac:dyDescent="0.2">
      <c r="C20" s="10" t="s">
        <v>293</v>
      </c>
    </row>
    <row r="21" spans="3:3" x14ac:dyDescent="0.2">
      <c r="C21" s="19" t="s">
        <v>292</v>
      </c>
    </row>
    <row r="22" spans="3:3" x14ac:dyDescent="0.2">
      <c r="C22" s="19" t="s">
        <v>291</v>
      </c>
    </row>
    <row r="23" spans="3:3" x14ac:dyDescent="0.2">
      <c r="C23" s="10" t="s">
        <v>290</v>
      </c>
    </row>
    <row r="24" spans="3:3" x14ac:dyDescent="0.2">
      <c r="C24" s="10" t="s">
        <v>289</v>
      </c>
    </row>
    <row r="25" spans="3:3" x14ac:dyDescent="0.2">
      <c r="C25" s="10" t="s">
        <v>288</v>
      </c>
    </row>
    <row r="26" spans="3:3" x14ac:dyDescent="0.2">
      <c r="C26" s="10" t="s">
        <v>287</v>
      </c>
    </row>
    <row r="27" spans="3:3" x14ac:dyDescent="0.2">
      <c r="C27" s="19" t="s">
        <v>286</v>
      </c>
    </row>
    <row r="28" spans="3:3" x14ac:dyDescent="0.2">
      <c r="C28" s="10" t="s">
        <v>285</v>
      </c>
    </row>
    <row r="29" spans="3:3" x14ac:dyDescent="0.2">
      <c r="C29" s="10" t="s">
        <v>284</v>
      </c>
    </row>
    <row r="30" spans="3:3" x14ac:dyDescent="0.2">
      <c r="C30" s="10" t="s">
        <v>283</v>
      </c>
    </row>
    <row r="31" spans="3:3" x14ac:dyDescent="0.2">
      <c r="C31" s="10" t="s">
        <v>282</v>
      </c>
    </row>
    <row r="32" spans="3:3" x14ac:dyDescent="0.2">
      <c r="C32" s="10" t="s">
        <v>281</v>
      </c>
    </row>
    <row r="33" spans="2:8" x14ac:dyDescent="0.2">
      <c r="C33" s="10" t="s">
        <v>280</v>
      </c>
    </row>
    <row r="34" spans="2:8" x14ac:dyDescent="0.2">
      <c r="C34" s="10" t="s">
        <v>279</v>
      </c>
    </row>
    <row r="35" spans="2:8" x14ac:dyDescent="0.2">
      <c r="C35" s="10" t="s">
        <v>278</v>
      </c>
    </row>
    <row r="36" spans="2:8" x14ac:dyDescent="0.2">
      <c r="C36" s="10" t="s">
        <v>277</v>
      </c>
    </row>
    <row r="37" spans="2:8" x14ac:dyDescent="0.2">
      <c r="C37" s="10" t="s">
        <v>276</v>
      </c>
    </row>
    <row r="38" spans="2:8" x14ac:dyDescent="0.2">
      <c r="C38" s="10" t="s">
        <v>275</v>
      </c>
    </row>
    <row r="39" spans="2:8" x14ac:dyDescent="0.2">
      <c r="C39" s="10" t="s">
        <v>274</v>
      </c>
    </row>
    <row r="40" spans="2:8" x14ac:dyDescent="0.2">
      <c r="C40" s="10" t="s">
        <v>273</v>
      </c>
    </row>
    <row r="41" spans="2:8" x14ac:dyDescent="0.2">
      <c r="C41" s="10" t="s">
        <v>272</v>
      </c>
    </row>
    <row r="42" spans="2:8" x14ac:dyDescent="0.2">
      <c r="C42" s="10" t="s">
        <v>271</v>
      </c>
    </row>
    <row r="43" spans="2:8" x14ac:dyDescent="0.2">
      <c r="B43" s="10" t="s">
        <v>270</v>
      </c>
      <c r="C43" s="10" t="s">
        <v>269</v>
      </c>
    </row>
    <row r="44" spans="2:8" x14ac:dyDescent="0.2">
      <c r="B44" s="10" t="s">
        <v>0</v>
      </c>
      <c r="C44" s="10" t="s">
        <v>268</v>
      </c>
    </row>
    <row r="45" spans="2:8" x14ac:dyDescent="0.2">
      <c r="B45" s="19" t="s">
        <v>267</v>
      </c>
      <c r="C45" s="10" t="s">
        <v>266</v>
      </c>
    </row>
    <row r="46" spans="2:8" x14ac:dyDescent="0.2">
      <c r="B46" s="19" t="s">
        <v>153</v>
      </c>
    </row>
    <row r="47" spans="2:8" x14ac:dyDescent="0.2">
      <c r="C47" s="10" t="s">
        <v>265</v>
      </c>
      <c r="D47" s="10" t="s">
        <v>264</v>
      </c>
      <c r="E47" s="10" t="s">
        <v>263</v>
      </c>
      <c r="F47" s="10" t="s">
        <v>262</v>
      </c>
      <c r="G47" s="10" t="s">
        <v>261</v>
      </c>
      <c r="H47" s="10" t="s">
        <v>260</v>
      </c>
    </row>
    <row r="48" spans="2:8" x14ac:dyDescent="0.2">
      <c r="C48" s="10" t="s">
        <v>75</v>
      </c>
      <c r="D48" s="35" t="s">
        <v>259</v>
      </c>
      <c r="E48" s="35" t="s">
        <v>258</v>
      </c>
      <c r="F48" s="35" t="s">
        <v>257</v>
      </c>
      <c r="G48" s="35" t="s">
        <v>256</v>
      </c>
      <c r="H48" s="35" t="s">
        <v>255</v>
      </c>
    </row>
    <row r="49" spans="2:12" x14ac:dyDescent="0.2">
      <c r="C49" s="10" t="s">
        <v>254</v>
      </c>
      <c r="D49" s="10" t="s">
        <v>222</v>
      </c>
      <c r="E49" s="35" t="s">
        <v>253</v>
      </c>
      <c r="F49" s="35" t="s">
        <v>252</v>
      </c>
      <c r="G49" s="10" t="s">
        <v>222</v>
      </c>
      <c r="H49" s="35" t="s">
        <v>251</v>
      </c>
    </row>
    <row r="50" spans="2:12" x14ac:dyDescent="0.2">
      <c r="C50" s="10" t="s">
        <v>200</v>
      </c>
      <c r="D50" s="35" t="s">
        <v>250</v>
      </c>
      <c r="E50" s="35" t="s">
        <v>249</v>
      </c>
      <c r="F50" s="35" t="s">
        <v>248</v>
      </c>
      <c r="G50" s="35" t="s">
        <v>247</v>
      </c>
      <c r="H50" s="35" t="s">
        <v>246</v>
      </c>
    </row>
    <row r="51" spans="2:12" x14ac:dyDescent="0.2">
      <c r="C51" s="10" t="s">
        <v>245</v>
      </c>
      <c r="D51" s="35" t="s">
        <v>244</v>
      </c>
      <c r="E51" s="35" t="s">
        <v>243</v>
      </c>
      <c r="F51" s="35" t="s">
        <v>242</v>
      </c>
      <c r="G51" s="35" t="s">
        <v>241</v>
      </c>
      <c r="H51" s="35" t="s">
        <v>240</v>
      </c>
    </row>
    <row r="52" spans="2:12" x14ac:dyDescent="0.2">
      <c r="C52" s="10" t="s">
        <v>239</v>
      </c>
      <c r="D52" s="35" t="s">
        <v>238</v>
      </c>
      <c r="E52" s="35" t="s">
        <v>237</v>
      </c>
      <c r="F52" s="35" t="s">
        <v>236</v>
      </c>
      <c r="G52" s="35" t="s">
        <v>235</v>
      </c>
      <c r="H52" s="35" t="s">
        <v>234</v>
      </c>
    </row>
    <row r="53" spans="2:12" x14ac:dyDescent="0.2">
      <c r="C53" s="10" t="s">
        <v>233</v>
      </c>
      <c r="D53" s="35" t="s">
        <v>232</v>
      </c>
      <c r="E53" s="35" t="s">
        <v>231</v>
      </c>
      <c r="F53" s="10" t="s">
        <v>222</v>
      </c>
      <c r="G53" s="35" t="s">
        <v>230</v>
      </c>
      <c r="H53" s="35" t="s">
        <v>229</v>
      </c>
    </row>
    <row r="54" spans="2:12" x14ac:dyDescent="0.2">
      <c r="C54" s="10" t="s">
        <v>228</v>
      </c>
      <c r="D54" s="10" t="s">
        <v>222</v>
      </c>
      <c r="E54" s="35" t="s">
        <v>227</v>
      </c>
      <c r="F54" s="10" t="s">
        <v>222</v>
      </c>
      <c r="G54" s="35" t="s">
        <v>226</v>
      </c>
      <c r="H54" s="35" t="s">
        <v>225</v>
      </c>
    </row>
    <row r="55" spans="2:12" x14ac:dyDescent="0.2">
      <c r="C55" s="10" t="s">
        <v>197</v>
      </c>
      <c r="D55" s="35" t="s">
        <v>224</v>
      </c>
      <c r="E55" s="35" t="s">
        <v>223</v>
      </c>
      <c r="F55" s="10" t="s">
        <v>222</v>
      </c>
      <c r="G55" s="35" t="s">
        <v>221</v>
      </c>
      <c r="H55" s="35" t="s">
        <v>220</v>
      </c>
    </row>
    <row r="56" spans="2:12" x14ac:dyDescent="0.2">
      <c r="C56" s="10" t="s">
        <v>198</v>
      </c>
      <c r="D56" s="35" t="s">
        <v>219</v>
      </c>
      <c r="E56" s="35" t="s">
        <v>218</v>
      </c>
      <c r="F56" s="35" t="s">
        <v>217</v>
      </c>
      <c r="G56" s="35" t="s">
        <v>216</v>
      </c>
      <c r="H56" s="35" t="s">
        <v>215</v>
      </c>
    </row>
    <row r="57" spans="2:12" x14ac:dyDescent="0.2">
      <c r="C57" s="10" t="s">
        <v>199</v>
      </c>
      <c r="D57" s="35" t="s">
        <v>214</v>
      </c>
      <c r="E57" s="35" t="s">
        <v>213</v>
      </c>
      <c r="F57" s="35" t="s">
        <v>212</v>
      </c>
      <c r="G57" s="35" t="s">
        <v>211</v>
      </c>
      <c r="H57" s="35" t="s">
        <v>210</v>
      </c>
    </row>
    <row r="59" spans="2:12" x14ac:dyDescent="0.2">
      <c r="C59" s="10" t="s">
        <v>200</v>
      </c>
      <c r="E59" s="10" t="s">
        <v>75</v>
      </c>
      <c r="G59" s="10" t="s">
        <v>197</v>
      </c>
      <c r="I59" s="10" t="s">
        <v>209</v>
      </c>
      <c r="K59" s="10" t="s">
        <v>198</v>
      </c>
    </row>
    <row r="60" spans="2:12" x14ac:dyDescent="0.2">
      <c r="C60" s="10" t="s">
        <v>208</v>
      </c>
      <c r="D60" s="10">
        <v>2.4700000000000002</v>
      </c>
      <c r="E60" s="10" t="s">
        <v>207</v>
      </c>
      <c r="F60" s="10">
        <v>2.2799999999999998</v>
      </c>
      <c r="G60" s="10" t="s">
        <v>207</v>
      </c>
      <c r="H60" s="10">
        <v>2.75</v>
      </c>
      <c r="I60" s="10" t="s">
        <v>207</v>
      </c>
      <c r="J60" s="10">
        <v>2.27</v>
      </c>
      <c r="K60" s="10" t="s">
        <v>207</v>
      </c>
      <c r="L60" s="10">
        <v>2.27</v>
      </c>
    </row>
    <row r="61" spans="2:12" x14ac:dyDescent="0.2">
      <c r="C61" s="10" t="s">
        <v>207</v>
      </c>
      <c r="D61" s="10">
        <v>2.4700000000000002</v>
      </c>
      <c r="E61" s="10" t="s">
        <v>206</v>
      </c>
      <c r="F61" s="10">
        <v>3.31</v>
      </c>
      <c r="G61" s="10" t="s">
        <v>206</v>
      </c>
      <c r="H61" s="10">
        <v>2.79</v>
      </c>
      <c r="K61" s="10" t="s">
        <v>206</v>
      </c>
      <c r="L61" s="10">
        <v>3.97</v>
      </c>
    </row>
    <row r="62" spans="2:12" x14ac:dyDescent="0.2">
      <c r="C62" s="10" t="s">
        <v>206</v>
      </c>
      <c r="D62" s="10">
        <v>2.4700000000000002</v>
      </c>
      <c r="E62" s="10" t="s">
        <v>205</v>
      </c>
      <c r="F62" s="10">
        <v>3.15</v>
      </c>
      <c r="G62" s="10" t="s">
        <v>205</v>
      </c>
      <c r="H62" s="10">
        <v>4.0999999999999996</v>
      </c>
      <c r="K62" s="10" t="s">
        <v>205</v>
      </c>
      <c r="L62" s="10">
        <v>3.97</v>
      </c>
    </row>
    <row r="63" spans="2:12" x14ac:dyDescent="0.2">
      <c r="C63" s="10" t="s">
        <v>205</v>
      </c>
      <c r="D63" s="10">
        <v>2.4700000000000002</v>
      </c>
      <c r="E63" s="10" t="s">
        <v>204</v>
      </c>
      <c r="F63" s="10">
        <v>3.15</v>
      </c>
      <c r="G63" s="10" t="s">
        <v>204</v>
      </c>
      <c r="H63" s="10">
        <v>4.0999999999999996</v>
      </c>
      <c r="K63" s="10" t="s">
        <v>204</v>
      </c>
      <c r="L63" s="10">
        <v>3.97</v>
      </c>
    </row>
    <row r="64" spans="2:12" x14ac:dyDescent="0.2">
      <c r="B64" s="19" t="s">
        <v>203</v>
      </c>
      <c r="C64" s="10" t="s">
        <v>202</v>
      </c>
    </row>
    <row r="65" spans="2:16" x14ac:dyDescent="0.2">
      <c r="B65" s="19" t="s">
        <v>201</v>
      </c>
    </row>
    <row r="66" spans="2:16" x14ac:dyDescent="0.2">
      <c r="C66" s="15" t="s">
        <v>75</v>
      </c>
      <c r="D66" s="15"/>
      <c r="G66" s="15" t="s">
        <v>200</v>
      </c>
      <c r="H66" s="15"/>
      <c r="I66" s="43" t="s">
        <v>200</v>
      </c>
      <c r="J66" s="43"/>
      <c r="K66" s="43" t="s">
        <v>199</v>
      </c>
      <c r="L66" s="43"/>
      <c r="M66" s="43" t="s">
        <v>198</v>
      </c>
      <c r="N66" s="43"/>
      <c r="O66" s="43" t="s">
        <v>197</v>
      </c>
      <c r="P66" s="43"/>
    </row>
    <row r="67" spans="2:16" x14ac:dyDescent="0.2">
      <c r="C67" s="15" t="s">
        <v>196</v>
      </c>
      <c r="D67" s="15" t="s">
        <v>195</v>
      </c>
      <c r="E67" s="15" t="s">
        <v>194</v>
      </c>
      <c r="F67" s="15" t="s">
        <v>193</v>
      </c>
      <c r="G67" s="15" t="s">
        <v>196</v>
      </c>
      <c r="H67" s="15" t="s">
        <v>195</v>
      </c>
      <c r="I67" s="15" t="s">
        <v>194</v>
      </c>
      <c r="J67" s="15" t="s">
        <v>193</v>
      </c>
      <c r="K67" s="15" t="s">
        <v>194</v>
      </c>
      <c r="L67" s="15" t="s">
        <v>193</v>
      </c>
      <c r="M67" s="15" t="s">
        <v>194</v>
      </c>
      <c r="N67" s="15" t="s">
        <v>193</v>
      </c>
      <c r="O67" s="15" t="s">
        <v>194</v>
      </c>
      <c r="P67" s="15" t="s">
        <v>193</v>
      </c>
    </row>
    <row r="68" spans="2:16" x14ac:dyDescent="0.2">
      <c r="B68" s="25">
        <f t="shared" ref="B68:B99" si="0">B69+7</f>
        <v>40221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x14ac:dyDescent="0.2">
      <c r="B69" s="25">
        <f t="shared" si="0"/>
        <v>40214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x14ac:dyDescent="0.2">
      <c r="B70" s="25">
        <f t="shared" si="0"/>
        <v>40207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x14ac:dyDescent="0.2">
      <c r="B71" s="25">
        <f t="shared" si="0"/>
        <v>40200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x14ac:dyDescent="0.2">
      <c r="B72" s="25">
        <f t="shared" si="0"/>
        <v>40193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x14ac:dyDescent="0.2">
      <c r="B73" s="25">
        <f t="shared" si="0"/>
        <v>40186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x14ac:dyDescent="0.2">
      <c r="B74" s="25">
        <f t="shared" si="0"/>
        <v>40179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x14ac:dyDescent="0.2">
      <c r="B75" s="25">
        <f t="shared" si="0"/>
        <v>40172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x14ac:dyDescent="0.2">
      <c r="B76" s="25">
        <f t="shared" si="0"/>
        <v>40165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x14ac:dyDescent="0.2">
      <c r="B77" s="25">
        <f t="shared" si="0"/>
        <v>40158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x14ac:dyDescent="0.2">
      <c r="B78" s="25">
        <f t="shared" si="0"/>
        <v>40151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x14ac:dyDescent="0.2">
      <c r="B79" s="25">
        <f t="shared" si="0"/>
        <v>40144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x14ac:dyDescent="0.2">
      <c r="B80" s="25">
        <f t="shared" si="0"/>
        <v>40137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x14ac:dyDescent="0.2">
      <c r="B81" s="25">
        <f t="shared" si="0"/>
        <v>40130</v>
      </c>
      <c r="D81" s="15"/>
      <c r="E81" s="12">
        <v>1244936</v>
      </c>
      <c r="F81" s="15"/>
      <c r="H81" s="15"/>
      <c r="I81" s="12">
        <v>553680</v>
      </c>
      <c r="J81" s="15"/>
      <c r="K81" s="12">
        <v>267299</v>
      </c>
      <c r="L81" s="15"/>
      <c r="M81" s="12">
        <f>1960934+7410</f>
        <v>1968344</v>
      </c>
      <c r="N81" s="15"/>
      <c r="O81" s="12">
        <f>410232+3008</f>
        <v>413240</v>
      </c>
      <c r="P81" s="15"/>
    </row>
    <row r="82" spans="2:16" x14ac:dyDescent="0.2">
      <c r="B82" s="25">
        <f t="shared" si="0"/>
        <v>40123</v>
      </c>
      <c r="C82" s="34">
        <f>E82/E134-1</f>
        <v>0.16059951450905285</v>
      </c>
      <c r="D82" s="15"/>
      <c r="E82" s="12">
        <v>1302860</v>
      </c>
      <c r="F82" s="15"/>
      <c r="H82" s="15"/>
      <c r="I82" s="12">
        <v>574381</v>
      </c>
      <c r="J82" s="15"/>
      <c r="K82" s="12">
        <v>279971</v>
      </c>
      <c r="L82" s="15"/>
      <c r="M82" s="12">
        <f>2036533+7526</f>
        <v>2044059</v>
      </c>
      <c r="N82" s="15"/>
      <c r="O82" s="12">
        <f>413424+3144</f>
        <v>416568</v>
      </c>
      <c r="P82" s="15"/>
    </row>
    <row r="83" spans="2:16" x14ac:dyDescent="0.2">
      <c r="B83" s="25">
        <f t="shared" si="0"/>
        <v>40116</v>
      </c>
      <c r="C83" s="34"/>
      <c r="D83" s="15"/>
      <c r="E83" s="12">
        <v>1264561</v>
      </c>
      <c r="F83" s="15"/>
      <c r="H83" s="15"/>
      <c r="I83" s="12">
        <v>549275</v>
      </c>
      <c r="J83" s="15"/>
      <c r="K83" s="12">
        <v>270499</v>
      </c>
      <c r="L83" s="15"/>
      <c r="M83" s="12">
        <f>1958794+7472</f>
        <v>1966266</v>
      </c>
      <c r="N83" s="15"/>
      <c r="O83" s="12">
        <f>408731+3370</f>
        <v>412101</v>
      </c>
      <c r="P83" s="15"/>
    </row>
    <row r="84" spans="2:16" x14ac:dyDescent="0.2">
      <c r="B84" s="25">
        <f t="shared" si="0"/>
        <v>40109</v>
      </c>
      <c r="C84" s="34">
        <f>E84/E136-1</f>
        <v>0.18308012307456356</v>
      </c>
      <c r="D84" s="15"/>
      <c r="E84" s="12">
        <v>1234272</v>
      </c>
      <c r="F84" s="15"/>
      <c r="H84" s="15"/>
      <c r="I84" s="12">
        <v>542200</v>
      </c>
      <c r="J84" s="15"/>
      <c r="K84" s="12">
        <v>264541</v>
      </c>
      <c r="L84" s="15"/>
      <c r="M84" s="12">
        <f>1911713+7341</f>
        <v>1919054</v>
      </c>
      <c r="N84" s="15"/>
      <c r="O84" s="12">
        <f>388439+3220</f>
        <v>391659</v>
      </c>
      <c r="P84" s="15"/>
    </row>
    <row r="85" spans="2:16" x14ac:dyDescent="0.2">
      <c r="B85" s="25">
        <f t="shared" si="0"/>
        <v>40102</v>
      </c>
      <c r="C85" s="34">
        <f>E85/E137-1</f>
        <v>0.15180250558340602</v>
      </c>
      <c r="D85" s="15"/>
      <c r="E85" s="12">
        <v>1201641</v>
      </c>
      <c r="F85" s="15"/>
      <c r="H85" s="15"/>
      <c r="I85" s="12">
        <v>524453</v>
      </c>
      <c r="J85" s="15"/>
      <c r="K85" s="12">
        <v>257895</v>
      </c>
      <c r="L85" s="15"/>
      <c r="M85" s="12">
        <f>1847003+7234</f>
        <v>1854237</v>
      </c>
      <c r="N85" s="15"/>
      <c r="O85" s="12">
        <f>374173+3131</f>
        <v>377304</v>
      </c>
      <c r="P85" s="15"/>
    </row>
    <row r="86" spans="2:16" x14ac:dyDescent="0.2">
      <c r="B86" s="25">
        <f t="shared" si="0"/>
        <v>40095</v>
      </c>
      <c r="C86" s="34">
        <f>E86/E138-1</f>
        <v>0.15812828646086508</v>
      </c>
      <c r="D86" s="15"/>
      <c r="E86" s="12">
        <v>1255623</v>
      </c>
      <c r="F86" s="15"/>
      <c r="H86" s="15"/>
      <c r="I86" s="12">
        <v>539816</v>
      </c>
      <c r="J86" s="15"/>
      <c r="K86" s="12">
        <v>268125</v>
      </c>
      <c r="L86" s="15"/>
      <c r="M86" s="12">
        <f>1919989+7409</f>
        <v>1927398</v>
      </c>
      <c r="N86" s="15"/>
      <c r="O86" s="12">
        <f>392268+3089</f>
        <v>395357</v>
      </c>
      <c r="P86" s="15"/>
    </row>
    <row r="87" spans="2:16" x14ac:dyDescent="0.2">
      <c r="B87" s="25">
        <f t="shared" si="0"/>
        <v>40088</v>
      </c>
      <c r="C87" s="34"/>
      <c r="D87" s="15"/>
      <c r="E87" s="12">
        <v>1311075</v>
      </c>
      <c r="F87" s="15"/>
      <c r="H87" s="15"/>
      <c r="I87" s="12">
        <v>562927</v>
      </c>
      <c r="J87" s="15"/>
      <c r="K87" s="12">
        <v>282165</v>
      </c>
      <c r="L87" s="15"/>
      <c r="M87" s="12">
        <f>2001454+7624</f>
        <v>2009078</v>
      </c>
      <c r="N87" s="15"/>
      <c r="O87" s="12">
        <f>409841+3424</f>
        <v>413265</v>
      </c>
      <c r="P87" s="15"/>
    </row>
    <row r="88" spans="2:16" x14ac:dyDescent="0.2">
      <c r="B88" s="25">
        <f t="shared" si="0"/>
        <v>40081</v>
      </c>
      <c r="C88" s="34">
        <f>E88/E140-1</f>
        <v>0.16611351798846918</v>
      </c>
      <c r="D88" s="15"/>
      <c r="E88" s="12">
        <v>1256450</v>
      </c>
      <c r="F88" s="15"/>
      <c r="H88" s="15"/>
      <c r="I88" s="12">
        <v>542271</v>
      </c>
      <c r="J88" s="15"/>
      <c r="K88" s="12">
        <v>270801</v>
      </c>
      <c r="L88" s="15"/>
      <c r="M88" s="12">
        <f>1902259+7405</f>
        <v>1909664</v>
      </c>
      <c r="N88" s="15"/>
      <c r="O88" s="12">
        <f>390436+7405</f>
        <v>397841</v>
      </c>
      <c r="P88" s="15"/>
    </row>
    <row r="89" spans="2:16" x14ac:dyDescent="0.2">
      <c r="B89" s="25">
        <f t="shared" si="0"/>
        <v>40074</v>
      </c>
      <c r="C89" s="3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x14ac:dyDescent="0.2">
      <c r="B90" s="25">
        <f t="shared" si="0"/>
        <v>40067</v>
      </c>
      <c r="C90" s="3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x14ac:dyDescent="0.2">
      <c r="B91" s="25">
        <f t="shared" si="0"/>
        <v>40060</v>
      </c>
      <c r="C91" s="3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x14ac:dyDescent="0.2">
      <c r="B92" s="25">
        <f t="shared" si="0"/>
        <v>40053</v>
      </c>
      <c r="C92" s="3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x14ac:dyDescent="0.2">
      <c r="B93" s="25">
        <f t="shared" si="0"/>
        <v>40046</v>
      </c>
      <c r="C93" s="3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x14ac:dyDescent="0.2">
      <c r="B94" s="25">
        <f t="shared" si="0"/>
        <v>40039</v>
      </c>
      <c r="C94" s="3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x14ac:dyDescent="0.2">
      <c r="B95" s="25">
        <f t="shared" si="0"/>
        <v>40032</v>
      </c>
      <c r="C95" s="3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x14ac:dyDescent="0.2">
      <c r="B96" s="25">
        <f t="shared" si="0"/>
        <v>40025</v>
      </c>
      <c r="C96" s="3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x14ac:dyDescent="0.2">
      <c r="B97" s="25">
        <f t="shared" si="0"/>
        <v>40018</v>
      </c>
      <c r="C97" s="3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x14ac:dyDescent="0.2">
      <c r="B98" s="25">
        <f t="shared" si="0"/>
        <v>40011</v>
      </c>
      <c r="C98" s="3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x14ac:dyDescent="0.2">
      <c r="B99" s="25">
        <f t="shared" si="0"/>
        <v>40004</v>
      </c>
      <c r="C99" s="3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x14ac:dyDescent="0.2">
      <c r="B100" s="25">
        <f t="shared" ref="B100:B131" si="1">B101+7</f>
        <v>39997</v>
      </c>
      <c r="C100" s="3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x14ac:dyDescent="0.2">
      <c r="B101" s="25">
        <f t="shared" si="1"/>
        <v>39990</v>
      </c>
      <c r="C101" s="3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x14ac:dyDescent="0.2">
      <c r="B102" s="25">
        <f t="shared" si="1"/>
        <v>39983</v>
      </c>
      <c r="C102" s="3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x14ac:dyDescent="0.2">
      <c r="B103" s="25">
        <f t="shared" si="1"/>
        <v>39976</v>
      </c>
      <c r="C103" s="3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x14ac:dyDescent="0.2">
      <c r="B104" s="25">
        <f t="shared" si="1"/>
        <v>39969</v>
      </c>
      <c r="C104" s="3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x14ac:dyDescent="0.2">
      <c r="B105" s="25">
        <f t="shared" si="1"/>
        <v>39962</v>
      </c>
      <c r="C105" s="3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x14ac:dyDescent="0.2">
      <c r="B106" s="25">
        <f t="shared" si="1"/>
        <v>39955</v>
      </c>
      <c r="C106" s="3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x14ac:dyDescent="0.2">
      <c r="B107" s="25">
        <f t="shared" si="1"/>
        <v>39948</v>
      </c>
      <c r="C107" s="3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x14ac:dyDescent="0.2">
      <c r="B108" s="25">
        <f t="shared" si="1"/>
        <v>39941</v>
      </c>
      <c r="C108" s="3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x14ac:dyDescent="0.2">
      <c r="B109" s="25">
        <f t="shared" si="1"/>
        <v>39934</v>
      </c>
      <c r="C109" s="3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x14ac:dyDescent="0.2">
      <c r="B110" s="25">
        <f t="shared" si="1"/>
        <v>39927</v>
      </c>
      <c r="C110" s="3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x14ac:dyDescent="0.2">
      <c r="B111" s="25">
        <f t="shared" si="1"/>
        <v>39920</v>
      </c>
      <c r="C111" s="3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x14ac:dyDescent="0.2">
      <c r="B112" s="25">
        <f t="shared" si="1"/>
        <v>39913</v>
      </c>
      <c r="C112" s="3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x14ac:dyDescent="0.2">
      <c r="B113" s="25">
        <f t="shared" si="1"/>
        <v>39906</v>
      </c>
      <c r="C113" s="3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x14ac:dyDescent="0.2">
      <c r="B114" s="25">
        <f t="shared" si="1"/>
        <v>39899</v>
      </c>
      <c r="C114" s="3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x14ac:dyDescent="0.2">
      <c r="B115" s="25">
        <f t="shared" si="1"/>
        <v>39892</v>
      </c>
      <c r="C115" s="3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x14ac:dyDescent="0.2">
      <c r="B116" s="25">
        <f t="shared" si="1"/>
        <v>39885</v>
      </c>
      <c r="C116" s="3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x14ac:dyDescent="0.2">
      <c r="B117" s="25">
        <f t="shared" si="1"/>
        <v>39878</v>
      </c>
      <c r="C117" s="3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x14ac:dyDescent="0.2">
      <c r="B118" s="25">
        <f t="shared" si="1"/>
        <v>39871</v>
      </c>
      <c r="C118" s="3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x14ac:dyDescent="0.2">
      <c r="B119" s="25">
        <f t="shared" si="1"/>
        <v>39864</v>
      </c>
      <c r="C119" s="3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x14ac:dyDescent="0.2">
      <c r="B120" s="25">
        <f t="shared" si="1"/>
        <v>39857</v>
      </c>
      <c r="C120" s="3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x14ac:dyDescent="0.2">
      <c r="B121" s="25">
        <f t="shared" si="1"/>
        <v>39850</v>
      </c>
      <c r="C121" s="3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x14ac:dyDescent="0.2">
      <c r="B122" s="25">
        <f t="shared" si="1"/>
        <v>39843</v>
      </c>
      <c r="C122" s="3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x14ac:dyDescent="0.2">
      <c r="B123" s="25">
        <f t="shared" si="1"/>
        <v>39836</v>
      </c>
      <c r="C123" s="3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x14ac:dyDescent="0.2">
      <c r="B124" s="25">
        <f t="shared" si="1"/>
        <v>39829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x14ac:dyDescent="0.2">
      <c r="B125" s="25">
        <f t="shared" si="1"/>
        <v>39822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x14ac:dyDescent="0.2">
      <c r="B126" s="25">
        <f t="shared" si="1"/>
        <v>39815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x14ac:dyDescent="0.2">
      <c r="B127" s="25">
        <f t="shared" si="1"/>
        <v>39808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x14ac:dyDescent="0.2">
      <c r="B128" s="25">
        <f t="shared" si="1"/>
        <v>39801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x14ac:dyDescent="0.2">
      <c r="B129" s="25">
        <f t="shared" si="1"/>
        <v>39794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x14ac:dyDescent="0.2">
      <c r="B130" s="25">
        <f t="shared" si="1"/>
        <v>39787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x14ac:dyDescent="0.2">
      <c r="B131" s="25">
        <f t="shared" si="1"/>
        <v>39780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x14ac:dyDescent="0.2">
      <c r="B132" s="25">
        <f t="shared" ref="B132:B153" si="2">B133+7</f>
        <v>39773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x14ac:dyDescent="0.2">
      <c r="B133" s="25">
        <f t="shared" si="2"/>
        <v>39766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x14ac:dyDescent="0.2">
      <c r="B134" s="25">
        <f t="shared" si="2"/>
        <v>39759</v>
      </c>
      <c r="C134" s="15"/>
      <c r="D134" s="15"/>
      <c r="E134" s="12">
        <v>1122575</v>
      </c>
      <c r="F134" s="12">
        <v>337278</v>
      </c>
      <c r="G134" s="15"/>
      <c r="H134" s="15"/>
      <c r="I134" s="12">
        <v>366666</v>
      </c>
      <c r="J134" s="12">
        <v>122355</v>
      </c>
      <c r="K134" s="12">
        <v>277672</v>
      </c>
      <c r="L134" s="12">
        <v>80237</v>
      </c>
      <c r="M134" s="12">
        <v>1456845</v>
      </c>
      <c r="N134" s="12">
        <v>472225</v>
      </c>
      <c r="O134" s="12">
        <v>285700</v>
      </c>
      <c r="P134" s="12">
        <v>95102</v>
      </c>
    </row>
    <row r="135" spans="2:16" x14ac:dyDescent="0.2">
      <c r="B135" s="25">
        <f t="shared" si="2"/>
        <v>39752</v>
      </c>
      <c r="C135" s="15"/>
      <c r="D135" s="15"/>
      <c r="E135" s="12"/>
      <c r="F135" s="12"/>
      <c r="G135" s="15"/>
      <c r="H135" s="15"/>
      <c r="I135" s="12"/>
      <c r="J135" s="12"/>
      <c r="K135" s="12"/>
      <c r="L135" s="12"/>
      <c r="M135" s="12"/>
      <c r="N135" s="12"/>
      <c r="O135" s="12"/>
      <c r="P135" s="12"/>
    </row>
    <row r="136" spans="2:16" x14ac:dyDescent="0.2">
      <c r="B136" s="25">
        <f t="shared" si="2"/>
        <v>39745</v>
      </c>
      <c r="C136" s="15"/>
      <c r="D136" s="15"/>
      <c r="E136" s="12">
        <v>1043270</v>
      </c>
      <c r="F136" s="12">
        <v>315823</v>
      </c>
      <c r="G136" s="15"/>
      <c r="H136" s="15"/>
      <c r="I136" s="12">
        <v>337257</v>
      </c>
      <c r="J136" s="12">
        <v>113989</v>
      </c>
      <c r="K136" s="12">
        <v>262636</v>
      </c>
      <c r="L136" s="12">
        <v>76234</v>
      </c>
      <c r="M136" s="12">
        <v>1342025</v>
      </c>
      <c r="N136" s="12">
        <v>446292</v>
      </c>
      <c r="O136" s="12">
        <v>263570</v>
      </c>
      <c r="P136" s="12">
        <v>88767</v>
      </c>
    </row>
    <row r="137" spans="2:16" x14ac:dyDescent="0.2">
      <c r="B137" s="25">
        <f t="shared" si="2"/>
        <v>39738</v>
      </c>
      <c r="C137" s="15"/>
      <c r="D137" s="15"/>
      <c r="E137" s="12">
        <v>1043270</v>
      </c>
      <c r="F137" s="12">
        <v>315823</v>
      </c>
      <c r="G137" s="15"/>
      <c r="H137" s="15"/>
      <c r="I137" s="12">
        <v>337257</v>
      </c>
      <c r="J137" s="12">
        <v>113989</v>
      </c>
      <c r="K137" s="12">
        <v>262636</v>
      </c>
      <c r="L137" s="12">
        <v>76234</v>
      </c>
      <c r="M137" s="12">
        <v>1342025</v>
      </c>
      <c r="N137" s="12">
        <v>446292</v>
      </c>
      <c r="O137" s="12">
        <v>263570</v>
      </c>
      <c r="P137" s="12">
        <v>88767</v>
      </c>
    </row>
    <row r="138" spans="2:16" x14ac:dyDescent="0.2">
      <c r="B138" s="25">
        <f t="shared" si="2"/>
        <v>39731</v>
      </c>
      <c r="C138" s="15"/>
      <c r="D138" s="15"/>
      <c r="E138" s="12">
        <v>1084183</v>
      </c>
      <c r="F138" s="12">
        <v>326304</v>
      </c>
      <c r="G138" s="15"/>
      <c r="H138" s="15"/>
      <c r="I138" s="12">
        <v>349957</v>
      </c>
      <c r="J138" s="12">
        <v>117208</v>
      </c>
      <c r="K138" s="12">
        <v>273062</v>
      </c>
      <c r="L138" s="12">
        <v>78661</v>
      </c>
      <c r="M138" s="12">
        <v>1377413</v>
      </c>
      <c r="N138" s="12">
        <v>460702</v>
      </c>
      <c r="O138" s="12">
        <v>268780</v>
      </c>
      <c r="P138" s="12">
        <v>89714</v>
      </c>
    </row>
    <row r="139" spans="2:16" x14ac:dyDescent="0.2">
      <c r="B139" s="25">
        <f t="shared" si="2"/>
        <v>39724</v>
      </c>
      <c r="C139" s="15"/>
      <c r="D139" s="15"/>
      <c r="E139" s="12"/>
      <c r="F139" s="12"/>
      <c r="G139" s="15"/>
      <c r="H139" s="15"/>
      <c r="I139" s="12"/>
      <c r="J139" s="12"/>
      <c r="K139" s="12"/>
      <c r="L139" s="12"/>
      <c r="M139" s="12"/>
      <c r="N139" s="12"/>
      <c r="O139" s="12"/>
      <c r="P139" s="12"/>
    </row>
    <row r="140" spans="2:16" x14ac:dyDescent="0.2">
      <c r="B140" s="25">
        <f t="shared" si="2"/>
        <v>39717</v>
      </c>
      <c r="C140" s="15"/>
      <c r="D140" s="15"/>
      <c r="E140" s="12">
        <v>1077468</v>
      </c>
      <c r="F140" s="12">
        <v>327911</v>
      </c>
      <c r="G140" s="15"/>
      <c r="H140" s="15"/>
      <c r="I140" s="12">
        <v>341434</v>
      </c>
      <c r="J140" s="12">
        <v>115173</v>
      </c>
      <c r="K140" s="12">
        <v>271605</v>
      </c>
      <c r="L140" s="12">
        <v>78151</v>
      </c>
      <c r="M140" s="12">
        <v>1341811</v>
      </c>
      <c r="N140" s="12">
        <v>467422</v>
      </c>
      <c r="O140" s="12">
        <v>262879</v>
      </c>
      <c r="P140" s="12">
        <v>88483</v>
      </c>
    </row>
    <row r="141" spans="2:16" x14ac:dyDescent="0.2">
      <c r="B141" s="25">
        <f t="shared" si="2"/>
        <v>39710</v>
      </c>
      <c r="C141" s="15"/>
      <c r="D141" s="15"/>
      <c r="E141" s="12">
        <v>1068721</v>
      </c>
      <c r="F141" s="12">
        <v>326103</v>
      </c>
      <c r="G141" s="15"/>
      <c r="H141" s="15"/>
      <c r="I141" s="12">
        <v>335336</v>
      </c>
      <c r="J141" s="12">
        <v>114108</v>
      </c>
      <c r="K141" s="12">
        <v>272695</v>
      </c>
      <c r="L141" s="12">
        <v>78520</v>
      </c>
      <c r="M141" s="12">
        <v>1329844</v>
      </c>
      <c r="N141" s="12">
        <v>473081</v>
      </c>
      <c r="O141" s="12">
        <v>258922</v>
      </c>
      <c r="P141" s="12">
        <v>86978</v>
      </c>
    </row>
    <row r="142" spans="2:16" x14ac:dyDescent="0.2">
      <c r="B142" s="25">
        <f t="shared" si="2"/>
        <v>39703</v>
      </c>
      <c r="C142" s="15"/>
      <c r="D142" s="15"/>
      <c r="E142" s="12"/>
      <c r="F142" s="12"/>
      <c r="G142" s="15"/>
      <c r="H142" s="15"/>
      <c r="I142" s="12"/>
      <c r="J142" s="12"/>
      <c r="K142" s="12"/>
      <c r="L142" s="12"/>
      <c r="M142" s="12"/>
      <c r="N142" s="12"/>
      <c r="O142" s="12"/>
      <c r="P142" s="12"/>
    </row>
    <row r="143" spans="2:16" x14ac:dyDescent="0.2">
      <c r="B143" s="25">
        <f t="shared" si="2"/>
        <v>39696</v>
      </c>
      <c r="C143" s="15"/>
      <c r="D143" s="15"/>
      <c r="E143" s="12"/>
      <c r="F143" s="12"/>
      <c r="G143" s="15"/>
      <c r="H143" s="15"/>
      <c r="I143" s="12"/>
      <c r="J143" s="12"/>
      <c r="K143" s="12"/>
      <c r="L143" s="12"/>
      <c r="M143" s="12"/>
      <c r="N143" s="12"/>
      <c r="O143" s="12"/>
      <c r="P143" s="12"/>
    </row>
    <row r="144" spans="2:16" x14ac:dyDescent="0.2">
      <c r="B144" s="25">
        <f t="shared" si="2"/>
        <v>39689</v>
      </c>
      <c r="C144" s="15"/>
      <c r="D144" s="15"/>
      <c r="E144" s="12"/>
      <c r="F144" s="12"/>
      <c r="G144" s="15"/>
      <c r="H144" s="15"/>
      <c r="I144" s="12"/>
      <c r="J144" s="12"/>
      <c r="K144" s="12"/>
      <c r="L144" s="12"/>
      <c r="M144" s="12"/>
      <c r="N144" s="12"/>
      <c r="O144" s="12"/>
      <c r="P144" s="12"/>
    </row>
    <row r="145" spans="2:16" x14ac:dyDescent="0.2">
      <c r="B145" s="25">
        <f t="shared" si="2"/>
        <v>39682</v>
      </c>
      <c r="C145" s="15"/>
      <c r="D145" s="15"/>
      <c r="E145" s="12"/>
      <c r="F145" s="12"/>
      <c r="G145" s="15"/>
      <c r="H145" s="15"/>
      <c r="I145" s="12"/>
      <c r="J145" s="12"/>
      <c r="K145" s="12"/>
      <c r="L145" s="12"/>
      <c r="M145" s="12"/>
      <c r="N145" s="12"/>
      <c r="O145" s="12"/>
      <c r="P145" s="12"/>
    </row>
    <row r="146" spans="2:16" x14ac:dyDescent="0.2">
      <c r="B146" s="25">
        <f t="shared" si="2"/>
        <v>39675</v>
      </c>
      <c r="C146" s="15"/>
      <c r="D146" s="15"/>
      <c r="E146" s="12">
        <v>1071035</v>
      </c>
      <c r="F146" s="12">
        <v>304626</v>
      </c>
      <c r="G146" s="15"/>
      <c r="H146" s="15"/>
      <c r="I146" s="12">
        <v>333303</v>
      </c>
      <c r="J146" s="12">
        <v>105689</v>
      </c>
      <c r="K146" s="12">
        <v>278519</v>
      </c>
      <c r="L146" s="12">
        <v>75857</v>
      </c>
      <c r="M146" s="12">
        <v>1328758</v>
      </c>
      <c r="N146" s="12">
        <v>460202</v>
      </c>
      <c r="O146" s="12">
        <v>255717</v>
      </c>
      <c r="P146" s="12">
        <v>80234</v>
      </c>
    </row>
    <row r="147" spans="2:16" x14ac:dyDescent="0.2">
      <c r="B147" s="25">
        <f t="shared" si="2"/>
        <v>39668</v>
      </c>
      <c r="C147" s="15"/>
      <c r="D147" s="15"/>
      <c r="E147" s="12">
        <v>1102924</v>
      </c>
      <c r="F147" s="12">
        <v>330100</v>
      </c>
      <c r="G147" s="15"/>
      <c r="H147" s="15"/>
      <c r="I147" s="12">
        <v>337562</v>
      </c>
      <c r="J147" s="12">
        <v>112241</v>
      </c>
      <c r="K147" s="12">
        <v>295350</v>
      </c>
      <c r="L147" s="12">
        <v>84566</v>
      </c>
      <c r="M147" s="12">
        <v>1332313</v>
      </c>
      <c r="N147" s="12">
        <v>499433</v>
      </c>
      <c r="O147" s="12">
        <v>258087</v>
      </c>
      <c r="P147" s="12">
        <v>85574</v>
      </c>
    </row>
    <row r="148" spans="2:16" x14ac:dyDescent="0.2">
      <c r="B148" s="25">
        <f t="shared" si="2"/>
        <v>39661</v>
      </c>
      <c r="C148" s="15"/>
      <c r="D148" s="15"/>
      <c r="E148" s="12">
        <v>1111568</v>
      </c>
      <c r="F148" s="12">
        <v>331983</v>
      </c>
      <c r="G148" s="15"/>
      <c r="H148" s="15"/>
      <c r="I148" s="12">
        <v>339824</v>
      </c>
      <c r="J148" s="12">
        <v>113623</v>
      </c>
      <c r="K148" s="12">
        <v>297938</v>
      </c>
      <c r="L148" s="12">
        <v>85087</v>
      </c>
      <c r="M148" s="12">
        <v>1328223</v>
      </c>
      <c r="N148" s="12">
        <v>493634</v>
      </c>
      <c r="O148" s="12">
        <v>256863</v>
      </c>
      <c r="P148" s="12">
        <v>84489</v>
      </c>
    </row>
    <row r="149" spans="2:16" x14ac:dyDescent="0.2">
      <c r="B149" s="25">
        <f t="shared" si="2"/>
        <v>39654</v>
      </c>
      <c r="C149" s="15"/>
      <c r="D149" s="15"/>
      <c r="E149" s="12">
        <v>1064350</v>
      </c>
      <c r="F149" s="12">
        <v>323461</v>
      </c>
      <c r="G149" s="15"/>
      <c r="H149" s="15"/>
      <c r="I149" s="12">
        <v>325204</v>
      </c>
      <c r="J149" s="12">
        <v>110435</v>
      </c>
      <c r="K149" s="12">
        <v>286253</v>
      </c>
      <c r="L149" s="12">
        <v>83253</v>
      </c>
      <c r="M149" s="12">
        <v>1272391</v>
      </c>
      <c r="N149" s="12">
        <v>471861</v>
      </c>
      <c r="O149" s="12">
        <v>245845</v>
      </c>
      <c r="P149" s="12">
        <v>82199</v>
      </c>
    </row>
    <row r="150" spans="2:16" x14ac:dyDescent="0.2">
      <c r="B150" s="25">
        <f t="shared" si="2"/>
        <v>39647</v>
      </c>
      <c r="C150" s="15"/>
      <c r="D150" s="15"/>
      <c r="E150" s="12"/>
      <c r="F150" s="12"/>
      <c r="G150" s="15"/>
      <c r="H150" s="15"/>
      <c r="I150" s="12"/>
      <c r="J150" s="12"/>
      <c r="K150" s="12"/>
      <c r="L150" s="12"/>
      <c r="M150" s="12"/>
      <c r="N150" s="12"/>
      <c r="O150" s="12"/>
      <c r="P150" s="12"/>
    </row>
    <row r="151" spans="2:16" x14ac:dyDescent="0.2">
      <c r="B151" s="25">
        <f t="shared" si="2"/>
        <v>39640</v>
      </c>
      <c r="C151" s="15"/>
      <c r="D151" s="15"/>
      <c r="E151" s="12"/>
      <c r="F151" s="12"/>
      <c r="G151" s="15"/>
      <c r="H151" s="15"/>
      <c r="I151" s="12"/>
      <c r="J151" s="12"/>
      <c r="K151" s="12"/>
      <c r="L151" s="12"/>
      <c r="M151" s="12"/>
      <c r="N151" s="12"/>
      <c r="O151" s="12"/>
      <c r="P151" s="12"/>
    </row>
    <row r="152" spans="2:16" x14ac:dyDescent="0.2">
      <c r="B152" s="25">
        <f t="shared" si="2"/>
        <v>39633</v>
      </c>
      <c r="C152" s="15"/>
      <c r="D152" s="15"/>
      <c r="E152" s="12"/>
      <c r="F152" s="12"/>
      <c r="G152" s="15"/>
      <c r="H152" s="15"/>
      <c r="I152" s="12"/>
      <c r="J152" s="12"/>
      <c r="K152" s="12"/>
      <c r="L152" s="12"/>
      <c r="M152" s="12"/>
      <c r="N152" s="12"/>
      <c r="O152" s="12"/>
      <c r="P152" s="12"/>
    </row>
    <row r="153" spans="2:16" x14ac:dyDescent="0.2">
      <c r="B153" s="25">
        <f t="shared" si="2"/>
        <v>39626</v>
      </c>
      <c r="C153" s="15"/>
      <c r="D153" s="15"/>
      <c r="E153" s="12">
        <v>1097626</v>
      </c>
      <c r="F153" s="12">
        <v>334955</v>
      </c>
      <c r="G153" s="15"/>
      <c r="H153" s="15"/>
      <c r="I153" s="12">
        <v>328162</v>
      </c>
      <c r="J153" s="12">
        <v>112676</v>
      </c>
      <c r="K153" s="12">
        <v>305798</v>
      </c>
      <c r="L153" s="12">
        <v>89079</v>
      </c>
      <c r="M153" s="12">
        <v>1262484</v>
      </c>
      <c r="N153" s="12">
        <v>430535</v>
      </c>
      <c r="O153" s="12">
        <v>244748</v>
      </c>
      <c r="P153" s="12">
        <v>82141</v>
      </c>
    </row>
    <row r="154" spans="2:16" x14ac:dyDescent="0.2">
      <c r="B154" s="25">
        <v>39619</v>
      </c>
      <c r="C154" s="15"/>
      <c r="D154" s="15"/>
      <c r="E154" s="12">
        <v>1085854</v>
      </c>
      <c r="F154" s="12">
        <v>332164</v>
      </c>
      <c r="G154" s="15"/>
      <c r="H154" s="15"/>
      <c r="I154" s="12">
        <v>325513</v>
      </c>
      <c r="J154" s="12">
        <v>111389</v>
      </c>
      <c r="K154" s="12">
        <v>304164</v>
      </c>
      <c r="L154" s="12">
        <v>88640</v>
      </c>
      <c r="M154" s="12">
        <v>1254038</v>
      </c>
      <c r="N154" s="12">
        <v>418719</v>
      </c>
      <c r="O154" s="12">
        <v>244074</v>
      </c>
      <c r="P154" s="12">
        <v>81896</v>
      </c>
    </row>
    <row r="155" spans="2:16" x14ac:dyDescent="0.2">
      <c r="B155" s="25">
        <v>39612</v>
      </c>
      <c r="C155" s="15"/>
      <c r="D155" s="15"/>
      <c r="E155" s="12">
        <v>1096990</v>
      </c>
      <c r="F155" s="12">
        <v>335427</v>
      </c>
      <c r="G155" s="15"/>
      <c r="H155" s="15"/>
      <c r="I155" s="12">
        <v>324610</v>
      </c>
      <c r="J155" s="12">
        <v>110347</v>
      </c>
      <c r="K155" s="12">
        <v>308439</v>
      </c>
      <c r="L155" s="12">
        <v>89439</v>
      </c>
      <c r="M155" s="12">
        <v>1249507</v>
      </c>
      <c r="N155" s="12">
        <v>410741</v>
      </c>
      <c r="O155" s="12">
        <v>243627</v>
      </c>
      <c r="P155" s="12">
        <v>80864</v>
      </c>
    </row>
    <row r="156" spans="2:16" x14ac:dyDescent="0.2">
      <c r="B156" s="25">
        <v>39605</v>
      </c>
      <c r="C156" s="15"/>
      <c r="D156" s="15"/>
      <c r="E156" s="12">
        <v>1180313</v>
      </c>
      <c r="F156" s="12">
        <v>356659</v>
      </c>
      <c r="G156" s="15"/>
      <c r="H156" s="15"/>
      <c r="I156" s="12">
        <v>346921</v>
      </c>
      <c r="J156" s="12">
        <v>116333</v>
      </c>
      <c r="K156" s="12">
        <v>334600</v>
      </c>
      <c r="L156" s="12">
        <v>95244</v>
      </c>
      <c r="M156" s="12">
        <v>1339610</v>
      </c>
      <c r="N156" s="12">
        <v>436458</v>
      </c>
      <c r="O156" s="12">
        <v>258135</v>
      </c>
      <c r="P156" s="12">
        <v>84643</v>
      </c>
    </row>
    <row r="157" spans="2:16" x14ac:dyDescent="0.2">
      <c r="B157" s="25">
        <v>39598</v>
      </c>
      <c r="C157" s="15"/>
      <c r="D157" s="15"/>
      <c r="E157" s="12">
        <v>1034153</v>
      </c>
      <c r="F157" s="12">
        <v>304092</v>
      </c>
      <c r="G157" s="15"/>
      <c r="H157" s="15"/>
      <c r="I157" s="12">
        <v>302172</v>
      </c>
      <c r="J157" s="12">
        <v>99025</v>
      </c>
      <c r="K157" s="12">
        <v>295583</v>
      </c>
      <c r="L157" s="12">
        <v>80785</v>
      </c>
      <c r="M157" s="12">
        <v>1171586</v>
      </c>
      <c r="N157" s="12">
        <v>370755</v>
      </c>
      <c r="O157" s="12">
        <v>227255</v>
      </c>
      <c r="P157" s="12">
        <v>72679</v>
      </c>
    </row>
    <row r="158" spans="2:16" x14ac:dyDescent="0.2">
      <c r="B158" s="25">
        <v>39591</v>
      </c>
      <c r="C158" s="15"/>
      <c r="D158" s="15"/>
      <c r="E158" s="12">
        <v>1093517</v>
      </c>
      <c r="F158" s="12">
        <v>335876</v>
      </c>
      <c r="G158" s="15"/>
      <c r="H158" s="15"/>
      <c r="I158" s="12">
        <v>321678</v>
      </c>
      <c r="J158" s="12">
        <v>110927</v>
      </c>
      <c r="K158" s="12">
        <v>314551</v>
      </c>
      <c r="L158" s="12">
        <v>90211</v>
      </c>
      <c r="M158" s="12">
        <v>1237003</v>
      </c>
      <c r="N158" s="12">
        <v>413427</v>
      </c>
      <c r="O158" s="12">
        <v>240880</v>
      </c>
      <c r="P158" s="12">
        <v>81245</v>
      </c>
    </row>
    <row r="159" spans="2:16" x14ac:dyDescent="0.2">
      <c r="B159" s="25">
        <v>39584</v>
      </c>
      <c r="C159" s="15"/>
      <c r="D159" s="15"/>
      <c r="E159" s="12">
        <v>1097560</v>
      </c>
      <c r="F159" s="12">
        <v>337807</v>
      </c>
      <c r="G159" s="15"/>
      <c r="H159" s="15"/>
      <c r="I159" s="12">
        <v>321467</v>
      </c>
      <c r="J159" s="12">
        <v>110885</v>
      </c>
      <c r="K159" s="12">
        <v>316192</v>
      </c>
      <c r="L159" s="12">
        <v>89770</v>
      </c>
      <c r="M159" s="12">
        <v>1235906</v>
      </c>
      <c r="N159" s="12">
        <v>418399</v>
      </c>
      <c r="O159" s="12">
        <v>239407</v>
      </c>
      <c r="P159" s="12">
        <v>79796</v>
      </c>
    </row>
    <row r="160" spans="2:16" x14ac:dyDescent="0.2">
      <c r="B160" s="25">
        <v>39570</v>
      </c>
      <c r="C160" s="15"/>
      <c r="D160" s="15"/>
      <c r="E160" s="12">
        <v>1166306</v>
      </c>
      <c r="F160" s="12">
        <v>355012</v>
      </c>
      <c r="G160" s="15"/>
      <c r="H160" s="15"/>
      <c r="I160" s="12">
        <v>335348</v>
      </c>
      <c r="J160" s="12">
        <v>114439</v>
      </c>
      <c r="K160" s="12">
        <v>339650</v>
      </c>
      <c r="L160" s="12">
        <v>94995</v>
      </c>
      <c r="M160" s="12">
        <v>1292901</v>
      </c>
      <c r="N160" s="12">
        <v>432797</v>
      </c>
      <c r="O160" s="12">
        <v>248171</v>
      </c>
      <c r="P160" s="12">
        <v>82915</v>
      </c>
    </row>
    <row r="161" spans="2:16" x14ac:dyDescent="0.2">
      <c r="B161" s="25">
        <v>39542</v>
      </c>
      <c r="C161" s="15"/>
      <c r="D161" s="15"/>
      <c r="E161" s="12">
        <v>1183952</v>
      </c>
      <c r="F161" s="12">
        <v>363506</v>
      </c>
      <c r="G161" s="15"/>
      <c r="H161" s="15"/>
      <c r="I161" s="12">
        <v>333850</v>
      </c>
      <c r="J161" s="12">
        <v>114883</v>
      </c>
      <c r="K161" s="12">
        <v>350417</v>
      </c>
      <c r="L161" s="12">
        <v>99475</v>
      </c>
      <c r="M161" s="12">
        <v>1279837</v>
      </c>
      <c r="N161" s="12">
        <v>440822</v>
      </c>
      <c r="O161" s="12">
        <v>242924</v>
      </c>
      <c r="P161" s="12">
        <v>81589</v>
      </c>
    </row>
    <row r="162" spans="2:16" x14ac:dyDescent="0.2">
      <c r="B162" s="25">
        <v>39507</v>
      </c>
      <c r="C162" s="15"/>
      <c r="D162" s="15"/>
      <c r="E162" s="12">
        <v>1150494</v>
      </c>
      <c r="F162" s="12">
        <v>366738</v>
      </c>
      <c r="G162" s="15"/>
      <c r="H162" s="15"/>
      <c r="I162" s="12">
        <v>312554</v>
      </c>
      <c r="J162" s="12">
        <v>109493</v>
      </c>
      <c r="K162" s="12">
        <v>380219</v>
      </c>
      <c r="L162" s="12">
        <v>114578</v>
      </c>
      <c r="M162" s="12">
        <v>1181871</v>
      </c>
      <c r="N162" s="12">
        <v>413072</v>
      </c>
      <c r="O162" s="12">
        <v>219469</v>
      </c>
      <c r="P162" s="12">
        <v>77044</v>
      </c>
    </row>
    <row r="163" spans="2:16" x14ac:dyDescent="0.2">
      <c r="B163" s="25">
        <v>39506</v>
      </c>
      <c r="C163" s="15"/>
      <c r="D163" s="15"/>
      <c r="E163" s="12">
        <v>1100449</v>
      </c>
      <c r="F163" s="12">
        <v>354021</v>
      </c>
      <c r="G163" s="15"/>
      <c r="H163" s="15"/>
      <c r="I163" s="12">
        <v>302041</v>
      </c>
      <c r="J163" s="12">
        <v>106269</v>
      </c>
      <c r="K163" s="12">
        <v>364323</v>
      </c>
      <c r="L163" s="12">
        <v>110031</v>
      </c>
      <c r="M163" s="12">
        <v>1072550</v>
      </c>
      <c r="N163" s="12">
        <v>378179</v>
      </c>
      <c r="O163" s="12">
        <v>208645</v>
      </c>
      <c r="P163" s="12">
        <v>73266</v>
      </c>
    </row>
    <row r="164" spans="2:16" x14ac:dyDescent="0.2">
      <c r="B164" s="25">
        <v>39304</v>
      </c>
      <c r="C164" s="15"/>
      <c r="D164" s="15"/>
      <c r="E164" s="12">
        <v>1221454</v>
      </c>
      <c r="F164" s="12">
        <v>361618</v>
      </c>
      <c r="G164" s="15"/>
      <c r="H164" s="15"/>
      <c r="I164" s="12">
        <v>302735</v>
      </c>
      <c r="J164" s="12">
        <v>101123</v>
      </c>
      <c r="K164" s="12">
        <v>430336</v>
      </c>
      <c r="L164" s="12">
        <v>136145</v>
      </c>
      <c r="M164" s="12">
        <v>949365</v>
      </c>
      <c r="N164" s="12">
        <v>319579</v>
      </c>
      <c r="O164" s="12">
        <v>197625</v>
      </c>
      <c r="P164" s="12">
        <v>64311</v>
      </c>
    </row>
    <row r="165" spans="2:16" x14ac:dyDescent="0.2">
      <c r="B165" s="25">
        <v>39297</v>
      </c>
      <c r="C165" s="15"/>
      <c r="D165" s="15"/>
      <c r="E165" s="12"/>
      <c r="F165" s="12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2:16" x14ac:dyDescent="0.2">
      <c r="B166" s="25">
        <v>39290</v>
      </c>
      <c r="C166" s="15"/>
      <c r="D166" s="15"/>
      <c r="E166" s="12"/>
      <c r="F166" s="12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2:16" x14ac:dyDescent="0.2">
      <c r="B167" s="25">
        <v>39283</v>
      </c>
      <c r="C167" s="15"/>
      <c r="D167" s="15"/>
      <c r="E167" s="12"/>
      <c r="F167" s="12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2:16" x14ac:dyDescent="0.2">
      <c r="B168" s="25">
        <v>39276</v>
      </c>
      <c r="C168" s="15"/>
      <c r="D168" s="15"/>
      <c r="E168" s="12"/>
      <c r="F168" s="12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2:16" x14ac:dyDescent="0.2">
      <c r="B169" s="25">
        <v>39269</v>
      </c>
      <c r="C169" s="15"/>
      <c r="D169" s="15"/>
      <c r="E169" s="12"/>
      <c r="F169" s="12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2:16" x14ac:dyDescent="0.2">
      <c r="B170" s="25">
        <v>39262</v>
      </c>
      <c r="C170" s="15"/>
      <c r="D170" s="15"/>
      <c r="E170" s="12"/>
      <c r="F170" s="12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2:16" x14ac:dyDescent="0.2">
      <c r="B171" s="25">
        <v>39255</v>
      </c>
      <c r="C171" s="15"/>
      <c r="D171" s="15"/>
      <c r="E171" s="12"/>
      <c r="F171" s="12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2:16" x14ac:dyDescent="0.2">
      <c r="B172" s="25">
        <v>39248</v>
      </c>
      <c r="C172" s="15"/>
      <c r="D172" s="15"/>
      <c r="E172" s="12"/>
      <c r="F172" s="12"/>
      <c r="G172" s="15"/>
      <c r="H172" s="15"/>
      <c r="I172" s="15"/>
      <c r="J172" s="15"/>
      <c r="K172" s="15"/>
      <c r="L172" s="15"/>
    </row>
    <row r="173" spans="2:16" x14ac:dyDescent="0.2">
      <c r="B173" s="25">
        <v>39241</v>
      </c>
      <c r="C173" s="15"/>
      <c r="D173" s="15"/>
      <c r="E173" s="12"/>
      <c r="F173" s="12"/>
      <c r="G173" s="15"/>
      <c r="H173" s="15"/>
      <c r="I173" s="15"/>
      <c r="J173" s="15"/>
      <c r="K173" s="15"/>
      <c r="L173" s="15"/>
    </row>
    <row r="174" spans="2:16" x14ac:dyDescent="0.2">
      <c r="B174" s="25">
        <v>39234</v>
      </c>
      <c r="C174" s="15"/>
      <c r="D174" s="15"/>
      <c r="E174" s="12"/>
      <c r="F174" s="12"/>
      <c r="G174" s="15"/>
      <c r="H174" s="15"/>
      <c r="I174" s="15"/>
      <c r="J174" s="15"/>
      <c r="K174" s="15"/>
      <c r="L174" s="15"/>
    </row>
    <row r="175" spans="2:16" x14ac:dyDescent="0.2">
      <c r="B175" s="25">
        <v>39227</v>
      </c>
      <c r="C175" s="15"/>
      <c r="D175" s="15"/>
      <c r="E175" s="12"/>
      <c r="F175" s="12"/>
      <c r="G175" s="15"/>
      <c r="H175" s="15"/>
      <c r="I175" s="15"/>
      <c r="J175" s="15"/>
      <c r="K175" s="15"/>
      <c r="L175" s="15"/>
    </row>
    <row r="176" spans="2:16" x14ac:dyDescent="0.2">
      <c r="B176" s="25">
        <v>39220</v>
      </c>
      <c r="C176" s="15"/>
      <c r="D176" s="15"/>
      <c r="E176" s="12">
        <v>1247116</v>
      </c>
      <c r="F176" s="12">
        <v>378113</v>
      </c>
      <c r="G176" s="15"/>
      <c r="H176" s="15"/>
      <c r="I176" s="12">
        <v>298905</v>
      </c>
      <c r="J176" s="12">
        <v>101563</v>
      </c>
      <c r="K176" s="12">
        <v>417761</v>
      </c>
      <c r="L176" s="12">
        <v>136009</v>
      </c>
      <c r="M176" s="12">
        <v>900625</v>
      </c>
      <c r="N176" s="12">
        <v>309194</v>
      </c>
      <c r="O176" s="12">
        <v>195188</v>
      </c>
      <c r="P176" s="12">
        <v>63480</v>
      </c>
    </row>
    <row r="177" spans="2:16" x14ac:dyDescent="0.2">
      <c r="B177" s="25">
        <v>39213</v>
      </c>
      <c r="C177" s="15"/>
      <c r="D177" s="15"/>
      <c r="E177" s="12">
        <v>1284240</v>
      </c>
      <c r="F177" s="12">
        <v>390754</v>
      </c>
      <c r="G177" s="15"/>
      <c r="H177" s="15"/>
      <c r="I177" s="12">
        <v>304049</v>
      </c>
      <c r="J177" s="12">
        <v>104454</v>
      </c>
      <c r="K177" s="12">
        <v>425365</v>
      </c>
      <c r="L177" s="12">
        <v>139098</v>
      </c>
      <c r="M177" s="12">
        <v>917785</v>
      </c>
      <c r="N177" s="12">
        <v>317755</v>
      </c>
      <c r="O177" s="12">
        <v>199524</v>
      </c>
      <c r="P177" s="12">
        <v>65198</v>
      </c>
    </row>
    <row r="178" spans="2:16" x14ac:dyDescent="0.2">
      <c r="B178" s="25">
        <v>39206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6" x14ac:dyDescent="0.2">
      <c r="B179" s="25">
        <v>39199</v>
      </c>
      <c r="C179" s="15"/>
      <c r="D179" s="15"/>
      <c r="E179" s="12">
        <v>1267538</v>
      </c>
      <c r="F179" s="12">
        <v>388603</v>
      </c>
      <c r="G179" s="15"/>
      <c r="H179" s="15"/>
      <c r="I179" s="12">
        <v>296076</v>
      </c>
      <c r="J179" s="12">
        <v>102731</v>
      </c>
      <c r="K179" s="12">
        <v>416712</v>
      </c>
      <c r="L179" s="12">
        <v>138082</v>
      </c>
      <c r="M179" s="12">
        <v>882758</v>
      </c>
      <c r="N179" s="12">
        <v>309148</v>
      </c>
      <c r="O179" s="12">
        <v>195033</v>
      </c>
      <c r="P179" s="12">
        <v>63464</v>
      </c>
    </row>
    <row r="180" spans="2:16" x14ac:dyDescent="0.2">
      <c r="B180" s="25">
        <v>39192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6" x14ac:dyDescent="0.2">
      <c r="B181" s="25">
        <v>39185</v>
      </c>
      <c r="C181" s="33">
        <v>-0.11</v>
      </c>
      <c r="D181" s="33">
        <v>-0.12</v>
      </c>
      <c r="E181" s="12">
        <v>1280780</v>
      </c>
      <c r="F181" s="12">
        <v>387310</v>
      </c>
      <c r="G181" s="15"/>
      <c r="H181" s="15"/>
      <c r="I181" s="12">
        <v>296843</v>
      </c>
      <c r="J181" s="12">
        <v>101859</v>
      </c>
      <c r="K181" s="12">
        <v>414757</v>
      </c>
      <c r="L181" s="12">
        <v>136497</v>
      </c>
      <c r="M181" s="12">
        <v>872596</v>
      </c>
      <c r="N181" s="12">
        <v>303569</v>
      </c>
      <c r="O181" s="12">
        <v>193011</v>
      </c>
      <c r="P181" s="12">
        <v>62235</v>
      </c>
    </row>
    <row r="182" spans="2:16" x14ac:dyDescent="0.2">
      <c r="B182" s="25">
        <v>39178</v>
      </c>
      <c r="C182" s="33">
        <v>-0.1</v>
      </c>
      <c r="D182" s="33">
        <v>-0.13</v>
      </c>
      <c r="E182" s="15"/>
      <c r="F182" s="15"/>
      <c r="G182" s="15"/>
      <c r="H182" s="15"/>
      <c r="I182" s="15"/>
      <c r="J182" s="15"/>
      <c r="K182" s="15"/>
      <c r="L182" s="15"/>
    </row>
    <row r="183" spans="2:16" x14ac:dyDescent="0.2">
      <c r="B183" s="25">
        <v>39171</v>
      </c>
      <c r="C183" s="33">
        <v>-0.1</v>
      </c>
      <c r="D183" s="33">
        <v>-0.12</v>
      </c>
      <c r="E183" s="15"/>
      <c r="F183" s="15"/>
      <c r="G183" s="15"/>
      <c r="H183" s="15"/>
      <c r="I183" s="15"/>
      <c r="J183" s="15"/>
      <c r="K183" s="15"/>
      <c r="L183" s="15"/>
    </row>
    <row r="184" spans="2:16" x14ac:dyDescent="0.2">
      <c r="B184" s="25">
        <v>39164</v>
      </c>
      <c r="C184" s="33">
        <v>-0.12</v>
      </c>
      <c r="D184" s="33">
        <v>-0.14000000000000001</v>
      </c>
      <c r="E184" s="15"/>
      <c r="F184" s="15"/>
      <c r="G184" s="15"/>
      <c r="H184" s="15"/>
      <c r="I184" s="15"/>
      <c r="J184" s="15"/>
      <c r="K184" s="15"/>
      <c r="L184" s="15"/>
    </row>
    <row r="185" spans="2:16" x14ac:dyDescent="0.2">
      <c r="B185" s="25">
        <v>39157</v>
      </c>
      <c r="C185" s="33">
        <v>-0.11</v>
      </c>
      <c r="D185" s="33">
        <v>-0.14000000000000001</v>
      </c>
      <c r="E185" s="15"/>
      <c r="F185" s="15"/>
      <c r="G185" s="15"/>
      <c r="H185" s="15"/>
      <c r="I185" s="15"/>
      <c r="J185" s="15"/>
      <c r="K185" s="15"/>
      <c r="L185" s="15"/>
    </row>
    <row r="186" spans="2:16" x14ac:dyDescent="0.2">
      <c r="B186" s="25">
        <v>39150</v>
      </c>
      <c r="C186" s="33">
        <v>-0.11</v>
      </c>
      <c r="D186" s="33">
        <v>-0.15</v>
      </c>
      <c r="E186" s="15"/>
      <c r="F186" s="15"/>
      <c r="G186" s="15"/>
      <c r="H186" s="15"/>
      <c r="I186" s="15"/>
      <c r="J186" s="15"/>
      <c r="K186" s="15"/>
      <c r="L186" s="15"/>
    </row>
    <row r="187" spans="2:16" x14ac:dyDescent="0.2"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6" x14ac:dyDescent="0.2"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6" x14ac:dyDescent="0.2">
      <c r="B189" s="25">
        <v>39108</v>
      </c>
      <c r="C189" s="15"/>
      <c r="D189" s="15"/>
      <c r="E189" s="12">
        <v>1303591</v>
      </c>
      <c r="F189" s="12">
        <v>414213</v>
      </c>
      <c r="G189" s="15"/>
      <c r="H189" s="15"/>
      <c r="I189" s="12">
        <v>287525</v>
      </c>
      <c r="J189" s="12">
        <v>102818</v>
      </c>
      <c r="K189" s="12">
        <v>388789</v>
      </c>
      <c r="L189" s="12">
        <v>134920</v>
      </c>
    </row>
    <row r="190" spans="2:16" x14ac:dyDescent="0.2">
      <c r="B190" s="25">
        <v>39101</v>
      </c>
      <c r="C190" s="15"/>
      <c r="D190" s="15"/>
      <c r="E190" s="12">
        <f>E189-21585</f>
        <v>1282006</v>
      </c>
      <c r="F190" s="12">
        <f>F189-1388</f>
        <v>412825</v>
      </c>
      <c r="G190" s="15"/>
      <c r="H190" s="15"/>
      <c r="I190" s="12">
        <f>I189-5826</f>
        <v>281699</v>
      </c>
      <c r="J190" s="12">
        <f>J189-392</f>
        <v>102426</v>
      </c>
      <c r="K190" s="12">
        <f>K189-6347</f>
        <v>382442</v>
      </c>
      <c r="L190" s="12">
        <f>L189-572</f>
        <v>134348</v>
      </c>
    </row>
    <row r="191" spans="2:16" x14ac:dyDescent="0.2">
      <c r="B191" s="25">
        <v>39094</v>
      </c>
      <c r="C191" s="33">
        <v>-7.0000000000000007E-2</v>
      </c>
      <c r="D191" s="33">
        <v>-0.13</v>
      </c>
      <c r="E191" s="15"/>
      <c r="F191" s="15"/>
      <c r="G191" s="15"/>
      <c r="H191" s="15"/>
      <c r="I191" s="15"/>
      <c r="J191" s="15"/>
    </row>
    <row r="192" spans="2:16" x14ac:dyDescent="0.2">
      <c r="B192" s="25">
        <v>39087</v>
      </c>
      <c r="C192" s="33">
        <v>-7.0000000000000007E-2</v>
      </c>
      <c r="D192" s="33">
        <v>-0.14000000000000001</v>
      </c>
      <c r="E192" s="15"/>
      <c r="F192" s="15"/>
      <c r="G192" s="15"/>
      <c r="H192" s="15"/>
      <c r="I192" s="15"/>
      <c r="J192" s="15"/>
    </row>
    <row r="193" spans="2:10" x14ac:dyDescent="0.2">
      <c r="B193" s="25">
        <v>39080</v>
      </c>
      <c r="C193" s="33">
        <v>-0.09</v>
      </c>
      <c r="D193" s="33">
        <v>-0.13</v>
      </c>
      <c r="E193" s="15"/>
      <c r="F193" s="15"/>
      <c r="G193" s="15"/>
      <c r="H193" s="15"/>
      <c r="I193" s="15"/>
      <c r="J193" s="15"/>
    </row>
    <row r="194" spans="2:10" x14ac:dyDescent="0.2">
      <c r="B194" s="25">
        <v>39073</v>
      </c>
      <c r="C194" s="33">
        <v>-7.0000000000000007E-2</v>
      </c>
      <c r="D194" s="33">
        <v>-0.1</v>
      </c>
      <c r="E194" s="15"/>
      <c r="F194" s="15"/>
      <c r="G194" s="15"/>
      <c r="H194" s="15"/>
      <c r="I194" s="15"/>
      <c r="J194" s="15"/>
    </row>
    <row r="195" spans="2:10" x14ac:dyDescent="0.2">
      <c r="B195" s="25">
        <v>39066</v>
      </c>
      <c r="C195" s="33">
        <v>-7.0000000000000007E-2</v>
      </c>
      <c r="D195" s="33">
        <v>-0.1</v>
      </c>
      <c r="E195" s="15"/>
      <c r="F195" s="15"/>
      <c r="G195" s="33">
        <v>0.56999999999999995</v>
      </c>
      <c r="H195" s="33">
        <v>0.56999999999999995</v>
      </c>
      <c r="I195" s="15"/>
      <c r="J195" s="15"/>
    </row>
    <row r="196" spans="2:10" x14ac:dyDescent="0.2">
      <c r="B196" s="25">
        <v>39059</v>
      </c>
      <c r="C196" s="33">
        <v>-0.04</v>
      </c>
      <c r="D196" s="33">
        <v>-7.0000000000000007E-2</v>
      </c>
      <c r="E196" s="15"/>
      <c r="F196" s="15"/>
      <c r="G196" s="33">
        <v>0.6</v>
      </c>
      <c r="H196" s="33">
        <v>0.57999999999999996</v>
      </c>
      <c r="I196" s="15"/>
      <c r="J196" s="15"/>
    </row>
    <row r="197" spans="2:10" x14ac:dyDescent="0.2">
      <c r="B197" s="25">
        <v>39052</v>
      </c>
      <c r="C197" s="33">
        <v>-0.08</v>
      </c>
      <c r="D197" s="33">
        <v>-0.12</v>
      </c>
      <c r="E197" s="15"/>
      <c r="F197" s="15"/>
      <c r="G197" s="33">
        <v>0.56000000000000005</v>
      </c>
      <c r="H197" s="33">
        <v>0.55000000000000004</v>
      </c>
      <c r="I197" s="15"/>
      <c r="J197" s="15"/>
    </row>
    <row r="198" spans="2:10" x14ac:dyDescent="0.2">
      <c r="B198" s="25">
        <v>39045</v>
      </c>
      <c r="C198" s="33">
        <v>-0.09</v>
      </c>
      <c r="D198" s="33">
        <v>-0.11</v>
      </c>
      <c r="E198" s="15"/>
      <c r="F198" s="15"/>
      <c r="G198" s="33">
        <v>0.59</v>
      </c>
      <c r="H198" s="33">
        <v>0.6</v>
      </c>
      <c r="I198" s="15"/>
      <c r="J198" s="15"/>
    </row>
    <row r="199" spans="2:10" x14ac:dyDescent="0.2">
      <c r="B199" s="25">
        <v>39038</v>
      </c>
      <c r="C199" s="33">
        <v>-0.09</v>
      </c>
      <c r="D199" s="33">
        <v>-0.13</v>
      </c>
      <c r="E199" s="15"/>
      <c r="F199" s="15"/>
      <c r="G199" s="33">
        <v>0.56999999999999995</v>
      </c>
      <c r="H199" s="33">
        <v>0.54</v>
      </c>
      <c r="I199" s="15"/>
      <c r="J199" s="15"/>
    </row>
    <row r="200" spans="2:10" x14ac:dyDescent="0.2">
      <c r="B200" s="25">
        <v>39031</v>
      </c>
      <c r="C200" s="33">
        <v>-7.0000000000000007E-2</v>
      </c>
      <c r="D200" s="33">
        <v>-0.11</v>
      </c>
      <c r="E200" s="15"/>
      <c r="F200" s="15"/>
      <c r="G200" s="33">
        <v>0.6</v>
      </c>
      <c r="H200" s="33">
        <v>0.57999999999999996</v>
      </c>
      <c r="I200" s="15"/>
      <c r="J200" s="15"/>
    </row>
    <row r="201" spans="2:10" x14ac:dyDescent="0.2">
      <c r="B201" s="25">
        <v>39024</v>
      </c>
      <c r="C201" s="15"/>
      <c r="D201" s="15"/>
      <c r="E201" s="15"/>
      <c r="F201" s="15"/>
      <c r="I201" s="15"/>
      <c r="J201" s="15"/>
    </row>
    <row r="202" spans="2:10" x14ac:dyDescent="0.2">
      <c r="B202" s="25">
        <v>39017</v>
      </c>
      <c r="C202" s="15"/>
      <c r="D202" s="15"/>
      <c r="E202" s="15"/>
      <c r="F202" s="15"/>
      <c r="I202" s="15"/>
      <c r="J202" s="15"/>
    </row>
    <row r="203" spans="2:10" x14ac:dyDescent="0.2">
      <c r="B203" s="25">
        <v>39010</v>
      </c>
      <c r="C203" s="15"/>
      <c r="D203" s="15"/>
      <c r="E203" s="15"/>
      <c r="F203" s="15"/>
      <c r="I203" s="15"/>
      <c r="J203" s="15"/>
    </row>
    <row r="204" spans="2:10" x14ac:dyDescent="0.2">
      <c r="B204" s="25">
        <v>39003</v>
      </c>
      <c r="C204" s="15"/>
      <c r="D204" s="15"/>
      <c r="E204" s="15"/>
      <c r="F204" s="15"/>
      <c r="I204" s="15"/>
      <c r="J204" s="15"/>
    </row>
    <row r="205" spans="2:10" x14ac:dyDescent="0.2">
      <c r="B205" s="25">
        <v>38996</v>
      </c>
      <c r="C205" s="15"/>
      <c r="D205" s="15"/>
      <c r="E205" s="15"/>
      <c r="F205" s="15"/>
      <c r="I205" s="15"/>
      <c r="J205" s="15"/>
    </row>
    <row r="206" spans="2:10" x14ac:dyDescent="0.2">
      <c r="B206" s="25">
        <v>38989</v>
      </c>
      <c r="C206" s="15"/>
      <c r="D206" s="15"/>
      <c r="E206" s="15"/>
      <c r="F206" s="15"/>
    </row>
    <row r="207" spans="2:10" x14ac:dyDescent="0.2">
      <c r="B207" s="25">
        <v>38982</v>
      </c>
      <c r="C207" s="15"/>
      <c r="D207" s="15"/>
      <c r="E207" s="15"/>
      <c r="F207" s="15"/>
    </row>
    <row r="208" spans="2:10" x14ac:dyDescent="0.2">
      <c r="B208" s="25">
        <v>38975</v>
      </c>
      <c r="C208" s="15"/>
      <c r="D208" s="15"/>
      <c r="E208" s="15"/>
      <c r="F208" s="15"/>
    </row>
    <row r="209" spans="2:6" x14ac:dyDescent="0.2">
      <c r="B209" s="25">
        <v>38968</v>
      </c>
      <c r="C209" s="15"/>
      <c r="D209" s="15"/>
      <c r="E209" s="15"/>
      <c r="F209" s="15"/>
    </row>
    <row r="210" spans="2:6" x14ac:dyDescent="0.2">
      <c r="B210" s="25">
        <v>38961</v>
      </c>
      <c r="C210" s="15"/>
      <c r="D210" s="15"/>
      <c r="E210" s="15"/>
      <c r="F210" s="15"/>
    </row>
    <row r="211" spans="2:6" x14ac:dyDescent="0.2">
      <c r="B211" s="25">
        <v>38954</v>
      </c>
      <c r="C211" s="15"/>
      <c r="D211" s="15"/>
      <c r="E211" s="15"/>
      <c r="F211" s="15"/>
    </row>
    <row r="212" spans="2:6" x14ac:dyDescent="0.2">
      <c r="B212" s="25">
        <v>38947</v>
      </c>
      <c r="C212" s="15"/>
      <c r="D212" s="15"/>
      <c r="E212" s="15"/>
      <c r="F212" s="15"/>
    </row>
    <row r="213" spans="2:6" x14ac:dyDescent="0.2">
      <c r="B213" s="25">
        <v>38940</v>
      </c>
      <c r="C213" s="15"/>
      <c r="D213" s="15"/>
      <c r="E213" s="15"/>
      <c r="F213" s="15"/>
    </row>
    <row r="214" spans="2:6" x14ac:dyDescent="0.2">
      <c r="B214" s="25">
        <v>38933</v>
      </c>
      <c r="C214" s="33">
        <v>-0.05</v>
      </c>
      <c r="D214" s="33">
        <v>-7.0000000000000007E-2</v>
      </c>
      <c r="E214" s="15"/>
      <c r="F214" s="15"/>
    </row>
    <row r="215" spans="2:6" x14ac:dyDescent="0.2">
      <c r="B215" s="25">
        <v>38926</v>
      </c>
      <c r="C215" s="33">
        <v>-0.04</v>
      </c>
      <c r="D215" s="33">
        <v>-0.04</v>
      </c>
      <c r="E215" s="15"/>
      <c r="F215" s="15"/>
    </row>
    <row r="216" spans="2:6" x14ac:dyDescent="0.2">
      <c r="B216" s="25">
        <v>38919</v>
      </c>
      <c r="C216" s="33">
        <v>-0.05</v>
      </c>
      <c r="D216" s="33">
        <v>-0.06</v>
      </c>
      <c r="E216" s="15"/>
      <c r="F216" s="15"/>
    </row>
    <row r="217" spans="2:6" x14ac:dyDescent="0.2">
      <c r="B217" s="25">
        <v>38912</v>
      </c>
      <c r="C217" s="33">
        <v>-0.05</v>
      </c>
      <c r="D217" s="33">
        <v>-7.0000000000000007E-2</v>
      </c>
      <c r="E217" s="15"/>
      <c r="F217" s="15"/>
    </row>
    <row r="218" spans="2:6" x14ac:dyDescent="0.2">
      <c r="B218" s="25">
        <v>38905</v>
      </c>
      <c r="C218" s="33">
        <v>-0.04</v>
      </c>
      <c r="D218" s="33">
        <v>-7.0000000000000007E-2</v>
      </c>
      <c r="E218" s="15"/>
      <c r="F218" s="15"/>
    </row>
    <row r="219" spans="2:6" x14ac:dyDescent="0.2">
      <c r="B219" s="25">
        <v>38898</v>
      </c>
      <c r="C219" s="33">
        <v>-0.06</v>
      </c>
      <c r="D219" s="33">
        <v>-7.0000000000000007E-2</v>
      </c>
      <c r="E219" s="15"/>
      <c r="F219" s="15"/>
    </row>
    <row r="220" spans="2:6" x14ac:dyDescent="0.2">
      <c r="B220" s="25">
        <v>38891</v>
      </c>
      <c r="C220" s="33">
        <v>-0.04</v>
      </c>
      <c r="D220" s="33">
        <v>-0.05</v>
      </c>
      <c r="E220" s="15"/>
      <c r="F220" s="15"/>
    </row>
    <row r="221" spans="2:6" x14ac:dyDescent="0.2">
      <c r="B221" s="25">
        <v>38884</v>
      </c>
      <c r="C221" s="33">
        <v>-0.05</v>
      </c>
      <c r="D221" s="33">
        <v>-0.09</v>
      </c>
      <c r="E221" s="15"/>
      <c r="F221" s="15"/>
    </row>
    <row r="222" spans="2:6" x14ac:dyDescent="0.2">
      <c r="B222" s="25">
        <v>38877</v>
      </c>
      <c r="C222" s="33">
        <v>-0.02</v>
      </c>
      <c r="D222" s="33">
        <v>-0.05</v>
      </c>
      <c r="E222" s="15"/>
      <c r="F222" s="15"/>
    </row>
    <row r="223" spans="2:6" x14ac:dyDescent="0.2">
      <c r="B223" s="25">
        <v>38870</v>
      </c>
      <c r="C223" s="33">
        <v>-0.03</v>
      </c>
      <c r="D223" s="33">
        <v>-0.06</v>
      </c>
      <c r="E223" s="15"/>
      <c r="F223" s="15"/>
    </row>
    <row r="224" spans="2:6" x14ac:dyDescent="0.2">
      <c r="B224" s="25">
        <v>38863</v>
      </c>
      <c r="C224" s="33">
        <v>-0.01</v>
      </c>
      <c r="D224" s="33">
        <v>-0.05</v>
      </c>
      <c r="E224" s="15"/>
      <c r="F224" s="15"/>
    </row>
    <row r="225" spans="2:6" x14ac:dyDescent="0.2">
      <c r="B225" s="25">
        <v>38856</v>
      </c>
      <c r="C225" s="33">
        <v>-0.03</v>
      </c>
      <c r="D225" s="33">
        <v>-0.06</v>
      </c>
      <c r="E225" s="15"/>
      <c r="F225" s="15"/>
    </row>
    <row r="226" spans="2:6" x14ac:dyDescent="0.2">
      <c r="C226" s="15"/>
      <c r="E226" s="15"/>
      <c r="F226" s="15"/>
    </row>
  </sheetData>
  <mergeCells count="4">
    <mergeCell ref="I66:J66"/>
    <mergeCell ref="K66:L66"/>
    <mergeCell ref="M66:N66"/>
    <mergeCell ref="O66:P66"/>
  </mergeCells>
  <hyperlinks>
    <hyperlink ref="A1" location="Main!A1" display="Main" xr:uid="{F1E822DE-C50A-47D5-B928-75E795E76207}"/>
  </hyperlinks>
  <pageMargins left="0.75" right="0.75" top="1" bottom="1" header="0.5" footer="0.5"/>
  <pageSetup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6ECA-08C7-4C07-9DB3-0845355D4472}">
  <sheetPr codeName="Sheet7"/>
  <dimension ref="A1:E7"/>
  <sheetViews>
    <sheetView zoomScale="130" workbookViewId="0"/>
  </sheetViews>
  <sheetFormatPr defaultRowHeight="12.75" x14ac:dyDescent="0.2"/>
  <cols>
    <col min="1" max="1" width="5" style="10" bestFit="1" customWidth="1"/>
    <col min="2" max="2" width="11.28515625" style="10" bestFit="1" customWidth="1"/>
    <col min="3" max="16384" width="9.140625" style="10"/>
  </cols>
  <sheetData>
    <row r="1" spans="1:5" x14ac:dyDescent="0.2">
      <c r="A1" s="24" t="s">
        <v>8</v>
      </c>
    </row>
    <row r="2" spans="1:5" x14ac:dyDescent="0.2">
      <c r="B2" s="10" t="s">
        <v>185</v>
      </c>
      <c r="C2" s="10" t="s">
        <v>313</v>
      </c>
    </row>
    <row r="3" spans="1:5" x14ac:dyDescent="0.2">
      <c r="B3" s="10" t="s">
        <v>170</v>
      </c>
      <c r="C3" s="10" t="s">
        <v>312</v>
      </c>
    </row>
    <row r="4" spans="1:5" x14ac:dyDescent="0.2">
      <c r="B4" s="10" t="s">
        <v>176</v>
      </c>
      <c r="C4" s="15"/>
      <c r="D4" s="15" t="s">
        <v>194</v>
      </c>
      <c r="E4" s="15" t="s">
        <v>193</v>
      </c>
    </row>
    <row r="5" spans="1:5" x14ac:dyDescent="0.2">
      <c r="C5" s="36">
        <v>39234</v>
      </c>
      <c r="D5" s="12">
        <v>54890</v>
      </c>
      <c r="E5" s="12">
        <v>28992</v>
      </c>
    </row>
    <row r="6" spans="1:5" x14ac:dyDescent="0.2">
      <c r="C6" s="36">
        <f>C5-7</f>
        <v>39227</v>
      </c>
      <c r="D6" s="12">
        <v>55676</v>
      </c>
      <c r="E6" s="12">
        <v>30599</v>
      </c>
    </row>
    <row r="7" spans="1:5" x14ac:dyDescent="0.2">
      <c r="C7" s="36">
        <f>C5-365</f>
        <v>38869</v>
      </c>
      <c r="D7" s="12">
        <v>49358</v>
      </c>
      <c r="E7" s="12">
        <v>26331</v>
      </c>
    </row>
  </sheetData>
  <hyperlinks>
    <hyperlink ref="A1" location="Main!A1" display="Main" xr:uid="{3C4A705A-B11A-4E0B-82E3-10E4A41DF474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20BB-432E-4C99-8C06-8286563E3263}">
  <sheetPr codeName="Sheet19"/>
  <dimension ref="A1:AV11"/>
  <sheetViews>
    <sheetView workbookViewId="0">
      <selection activeCell="M39" sqref="M39"/>
    </sheetView>
  </sheetViews>
  <sheetFormatPr defaultRowHeight="12.75" x14ac:dyDescent="0.2"/>
  <cols>
    <col min="1" max="1" width="5" style="37" bestFit="1" customWidth="1"/>
    <col min="2" max="2" width="11.28515625" style="37" bestFit="1" customWidth="1"/>
    <col min="3" max="5" width="5" style="37" bestFit="1" customWidth="1"/>
    <col min="6" max="6" width="6.28515625" style="37" bestFit="1" customWidth="1"/>
    <col min="7" max="18" width="5" style="37" bestFit="1" customWidth="1"/>
    <col min="19" max="19" width="5.85546875" style="37" bestFit="1" customWidth="1"/>
    <col min="20" max="47" width="5.42578125" style="37" bestFit="1" customWidth="1"/>
    <col min="48" max="16384" width="9.140625" style="37"/>
  </cols>
  <sheetData>
    <row r="1" spans="1:48" x14ac:dyDescent="0.2">
      <c r="A1" s="24" t="s">
        <v>8</v>
      </c>
    </row>
    <row r="2" spans="1:48" x14ac:dyDescent="0.2">
      <c r="B2" s="37" t="s">
        <v>185</v>
      </c>
      <c r="C2" s="37" t="s">
        <v>315</v>
      </c>
    </row>
    <row r="3" spans="1:48" x14ac:dyDescent="0.2">
      <c r="B3" s="37" t="s">
        <v>155</v>
      </c>
      <c r="C3" s="37" t="s">
        <v>314</v>
      </c>
    </row>
    <row r="8" spans="1:48" x14ac:dyDescent="0.2">
      <c r="C8" s="39">
        <v>2002</v>
      </c>
      <c r="D8" s="39">
        <v>2003</v>
      </c>
      <c r="E8" s="39">
        <v>2004</v>
      </c>
      <c r="F8" s="39">
        <v>2005</v>
      </c>
      <c r="G8" s="39" t="s">
        <v>140</v>
      </c>
      <c r="H8" s="39">
        <v>2007</v>
      </c>
      <c r="I8" s="39">
        <v>2008</v>
      </c>
      <c r="J8" s="41">
        <v>2009</v>
      </c>
      <c r="K8" s="41">
        <v>2010</v>
      </c>
      <c r="L8" s="41">
        <v>2011</v>
      </c>
      <c r="M8" s="41">
        <v>2012</v>
      </c>
      <c r="N8" s="41">
        <v>2013</v>
      </c>
      <c r="O8" s="41">
        <v>2014</v>
      </c>
      <c r="P8" s="41">
        <v>2015</v>
      </c>
      <c r="Q8" s="41">
        <v>2016</v>
      </c>
      <c r="R8" s="41">
        <v>2017</v>
      </c>
      <c r="S8" s="41">
        <v>2018</v>
      </c>
      <c r="T8" s="37" t="s">
        <v>139</v>
      </c>
      <c r="U8" s="39" t="s">
        <v>126</v>
      </c>
      <c r="V8" s="39" t="s">
        <v>125</v>
      </c>
      <c r="W8" s="39" t="s">
        <v>124</v>
      </c>
      <c r="X8" s="39" t="s">
        <v>123</v>
      </c>
      <c r="Y8" s="39" t="s">
        <v>122</v>
      </c>
      <c r="Z8" s="39" t="s">
        <v>121</v>
      </c>
      <c r="AA8" s="39" t="s">
        <v>120</v>
      </c>
      <c r="AB8" s="39" t="s">
        <v>119</v>
      </c>
      <c r="AC8" s="39" t="s">
        <v>118</v>
      </c>
      <c r="AD8" s="39" t="s">
        <v>117</v>
      </c>
      <c r="AE8" s="39" t="s">
        <v>116</v>
      </c>
      <c r="AF8" s="39" t="s">
        <v>115</v>
      </c>
      <c r="AG8" s="39" t="s">
        <v>114</v>
      </c>
      <c r="AH8" s="39" t="s">
        <v>113</v>
      </c>
      <c r="AI8" s="39" t="s">
        <v>112</v>
      </c>
      <c r="AJ8" s="39" t="s">
        <v>111</v>
      </c>
      <c r="AK8" s="39" t="s">
        <v>110</v>
      </c>
      <c r="AL8" s="39" t="s">
        <v>109</v>
      </c>
      <c r="AM8" s="39" t="s">
        <v>108</v>
      </c>
      <c r="AN8" s="39" t="s">
        <v>107</v>
      </c>
      <c r="AO8" s="39" t="s">
        <v>106</v>
      </c>
      <c r="AP8" s="39" t="s">
        <v>105</v>
      </c>
      <c r="AQ8" s="39" t="s">
        <v>104</v>
      </c>
      <c r="AR8" s="39" t="s">
        <v>187</v>
      </c>
      <c r="AS8" s="39" t="s">
        <v>110</v>
      </c>
      <c r="AT8" s="39" t="s">
        <v>109</v>
      </c>
      <c r="AU8" s="39" t="s">
        <v>108</v>
      </c>
      <c r="AV8" s="39" t="s">
        <v>107</v>
      </c>
    </row>
    <row r="9" spans="1:48" x14ac:dyDescent="0.2">
      <c r="B9" s="40" t="s">
        <v>93</v>
      </c>
      <c r="C9" s="38">
        <v>580</v>
      </c>
      <c r="D9" s="38">
        <v>413</v>
      </c>
      <c r="E9" s="38">
        <v>633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U9" s="39"/>
      <c r="V9" s="39"/>
      <c r="W9" s="39"/>
      <c r="Y9" s="39">
        <v>137</v>
      </c>
      <c r="Z9" s="39">
        <v>149</v>
      </c>
      <c r="AA9" s="39">
        <v>152</v>
      </c>
      <c r="AB9" s="39">
        <v>142</v>
      </c>
      <c r="AC9" s="39">
        <v>145</v>
      </c>
      <c r="AD9" s="39">
        <v>77</v>
      </c>
      <c r="AE9" s="39">
        <v>160</v>
      </c>
      <c r="AF9" s="39">
        <v>176</v>
      </c>
      <c r="AG9" s="38">
        <v>145</v>
      </c>
      <c r="AH9" s="38">
        <v>115</v>
      </c>
      <c r="AI9" s="38">
        <v>166</v>
      </c>
      <c r="AJ9" s="38">
        <v>207</v>
      </c>
      <c r="AK9" s="38">
        <v>180</v>
      </c>
      <c r="AL9" s="38">
        <v>142</v>
      </c>
      <c r="AP9" s="39"/>
      <c r="AS9" s="38"/>
      <c r="AT9" s="38"/>
      <c r="AU9" s="38"/>
      <c r="AV9" s="38"/>
    </row>
    <row r="10" spans="1:48" x14ac:dyDescent="0.2">
      <c r="B10" s="40" t="s">
        <v>92</v>
      </c>
      <c r="C10" s="38">
        <v>177</v>
      </c>
      <c r="D10" s="38">
        <v>130</v>
      </c>
      <c r="E10" s="38">
        <v>271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39"/>
      <c r="V10" s="39"/>
      <c r="W10" s="39"/>
      <c r="Y10" s="39">
        <v>37</v>
      </c>
      <c r="Z10" s="39">
        <v>42</v>
      </c>
      <c r="AA10" s="39">
        <v>45</v>
      </c>
      <c r="AB10" s="39">
        <v>53</v>
      </c>
      <c r="AC10" s="39">
        <v>45</v>
      </c>
      <c r="AD10" s="39">
        <v>21</v>
      </c>
      <c r="AE10" s="39">
        <v>51</v>
      </c>
      <c r="AF10" s="39">
        <v>58</v>
      </c>
      <c r="AG10" s="38">
        <v>61</v>
      </c>
      <c r="AH10" s="38">
        <v>67</v>
      </c>
      <c r="AI10" s="38">
        <v>65</v>
      </c>
      <c r="AJ10" s="38">
        <v>78</v>
      </c>
      <c r="AK10" s="38">
        <v>72</v>
      </c>
      <c r="AL10" s="38">
        <v>80</v>
      </c>
      <c r="AP10" s="39"/>
      <c r="AS10" s="38"/>
      <c r="AT10" s="38"/>
      <c r="AU10" s="38"/>
      <c r="AV10" s="38"/>
    </row>
    <row r="11" spans="1:48" x14ac:dyDescent="0.2">
      <c r="B11" s="37" t="s">
        <v>186</v>
      </c>
      <c r="C11" s="38">
        <f>C10+C9</f>
        <v>757</v>
      </c>
      <c r="D11" s="38">
        <f>D10+D9</f>
        <v>543</v>
      </c>
      <c r="E11" s="38">
        <f>E10+E9</f>
        <v>904</v>
      </c>
      <c r="F11" s="38"/>
    </row>
  </sheetData>
  <hyperlinks>
    <hyperlink ref="A1" location="Main!A1" display="Main" xr:uid="{265A368A-35E9-4AC8-8DA1-C48C915C67F4}"/>
  </hyperlink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Viagra</vt:lpstr>
      <vt:lpstr>Norvasc</vt:lpstr>
      <vt:lpstr>Lyrica</vt:lpstr>
      <vt:lpstr>Lipitor</vt:lpstr>
      <vt:lpstr>Geodon</vt:lpstr>
      <vt:lpstr>Detrol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2022-07-20T19:29:44Z</dcterms:created>
  <dcterms:modified xsi:type="dcterms:W3CDTF">2024-09-02T17:33:48Z</dcterms:modified>
</cp:coreProperties>
</file>