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69F923F-858C-4EB6-83D3-E7FFFBC3C1B9}" xr6:coauthVersionLast="47" xr6:coauthVersionMax="47" xr10:uidLastSave="{00000000-0000-0000-0000-000000000000}"/>
  <bookViews>
    <workbookView xWindow="-28050" yWindow="1380" windowWidth="28035" windowHeight="18975" activeTab="1" xr2:uid="{EE8EC31E-92BF-4988-AF8F-23431ADD336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2" l="1"/>
  <c r="AC21" i="2"/>
  <c r="AD21" i="2"/>
  <c r="AD17" i="2"/>
  <c r="AC17" i="2"/>
  <c r="AB17" i="2"/>
  <c r="AA17" i="2"/>
  <c r="Z17" i="2"/>
  <c r="AA2" i="2"/>
  <c r="Z2" i="2" s="1"/>
  <c r="Y2" i="2" s="1"/>
  <c r="AB2" i="2"/>
  <c r="AG21" i="2"/>
  <c r="AF21" i="2"/>
  <c r="AE21" i="2"/>
  <c r="AG17" i="2"/>
  <c r="AF17" i="2"/>
  <c r="AE17" i="2"/>
  <c r="AJ21" i="2"/>
  <c r="AI21" i="2"/>
  <c r="AH21" i="2"/>
  <c r="AJ17" i="2"/>
  <c r="AI17" i="2"/>
  <c r="AH17" i="2"/>
  <c r="AI2" i="2"/>
  <c r="AH2" i="2" s="1"/>
  <c r="AG2" i="2" s="1"/>
  <c r="AF2" i="2" s="1"/>
  <c r="AE2" i="2" s="1"/>
  <c r="AD2" i="2" s="1"/>
  <c r="AC2" i="2" s="1"/>
  <c r="AK21" i="2"/>
  <c r="AL21" i="2"/>
  <c r="AL6" i="2"/>
  <c r="AK6" i="2"/>
  <c r="AL5" i="2"/>
  <c r="AL7" i="2" s="1"/>
  <c r="AL9" i="2" s="1"/>
  <c r="AL11" i="2" s="1"/>
  <c r="AL13" i="2" s="1"/>
  <c r="AL14" i="2" s="1"/>
  <c r="AK5" i="2"/>
  <c r="AK7" i="2" s="1"/>
  <c r="AK9" i="2" s="1"/>
  <c r="AK11" i="2" s="1"/>
  <c r="AK13" i="2" s="1"/>
  <c r="AK14" i="2" s="1"/>
  <c r="H6" i="1"/>
  <c r="M9" i="1"/>
  <c r="AM21" i="2"/>
  <c r="AN21" i="2"/>
  <c r="AM6" i="2"/>
  <c r="AM5" i="2"/>
  <c r="AN6" i="2"/>
  <c r="AN5" i="2"/>
  <c r="AO21" i="2"/>
  <c r="AP21" i="2"/>
  <c r="AO10" i="2"/>
  <c r="AO6" i="2"/>
  <c r="AO5" i="2"/>
  <c r="AP10" i="2"/>
  <c r="AP6" i="2"/>
  <c r="AP5" i="2"/>
  <c r="AP17" i="2" s="1"/>
  <c r="AR30" i="2"/>
  <c r="AR24" i="2"/>
  <c r="AQ6" i="2"/>
  <c r="AQ21" i="2"/>
  <c r="AR21" i="2"/>
  <c r="M6" i="1"/>
  <c r="AR10" i="2"/>
  <c r="AR6" i="2"/>
  <c r="AR5" i="2"/>
  <c r="AR7" i="2" s="1"/>
  <c r="AR9" i="2" s="1"/>
  <c r="AQ5" i="2"/>
  <c r="AO2" i="2"/>
  <c r="AP2" i="2" s="1"/>
  <c r="AQ2" i="2" s="1"/>
  <c r="AR2" i="2" s="1"/>
  <c r="I12" i="2"/>
  <c r="I10" i="2"/>
  <c r="M12" i="2"/>
  <c r="M10" i="2"/>
  <c r="I6" i="2"/>
  <c r="M6" i="2"/>
  <c r="I5" i="2"/>
  <c r="M5" i="2"/>
  <c r="M7" i="2" s="1"/>
  <c r="M9" i="2" s="1"/>
  <c r="M4" i="1"/>
  <c r="M7" i="1" s="1"/>
  <c r="AO17" i="2" l="1"/>
  <c r="AK17" i="2"/>
  <c r="AL17" i="2"/>
  <c r="AN7" i="2"/>
  <c r="AN9" i="2" s="1"/>
  <c r="AN11" i="2" s="1"/>
  <c r="AN13" i="2" s="1"/>
  <c r="AN14" i="2" s="1"/>
  <c r="AM7" i="2"/>
  <c r="AM9" i="2" s="1"/>
  <c r="AM11" i="2" s="1"/>
  <c r="AM13" i="2" s="1"/>
  <c r="AM14" i="2" s="1"/>
  <c r="AQ7" i="2"/>
  <c r="AQ9" i="2" s="1"/>
  <c r="AQ11" i="2" s="1"/>
  <c r="AQ13" i="2" s="1"/>
  <c r="AQ14" i="2" s="1"/>
  <c r="AR33" i="2"/>
  <c r="AM17" i="2"/>
  <c r="AR11" i="2"/>
  <c r="AR13" i="2" s="1"/>
  <c r="AR14" i="2" s="1"/>
  <c r="AR17" i="2"/>
  <c r="AQ17" i="2"/>
  <c r="AN17" i="2"/>
  <c r="AO7" i="2"/>
  <c r="AO9" i="2" s="1"/>
  <c r="AO11" i="2" s="1"/>
  <c r="AO13" i="2" s="1"/>
  <c r="AO14" i="2" s="1"/>
  <c r="M11" i="2"/>
  <c r="M13" i="2" s="1"/>
  <c r="M14" i="2" s="1"/>
  <c r="I7" i="2"/>
  <c r="I9" i="2" s="1"/>
  <c r="I11" i="2" s="1"/>
  <c r="I13" i="2" s="1"/>
  <c r="I14" i="2" s="1"/>
  <c r="M17" i="2"/>
  <c r="AP7" i="2"/>
  <c r="AP9" i="2" s="1"/>
  <c r="AP11" i="2" s="1"/>
  <c r="AP13" i="2" s="1"/>
  <c r="AP14" i="2" s="1"/>
</calcChain>
</file>

<file path=xl/sharedStrings.xml><?xml version="1.0" encoding="utf-8"?>
<sst xmlns="http://schemas.openxmlformats.org/spreadsheetml/2006/main" count="63" uniqueCount="57">
  <si>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</si>
  <si>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</si>
  <si>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</si>
  <si>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</si>
  <si>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</si>
  <si>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</si>
  <si>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</si>
  <si>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</si>
  <si>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</si>
  <si>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</si>
  <si>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</si>
  <si>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</si>
  <si>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</si>
  <si>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</si>
  <si>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</si>
  <si>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</si>
  <si>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</si>
  <si>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</si>
  <si>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</si>
  <si>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</si>
  <si>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Service</t>
  </si>
  <si>
    <t>Wireless</t>
  </si>
  <si>
    <t>COGS</t>
  </si>
  <si>
    <t>Gross Margin</t>
  </si>
  <si>
    <t>SG&amp;A</t>
  </si>
  <si>
    <t>OpInc</t>
  </si>
  <si>
    <t>Interest</t>
  </si>
  <si>
    <t>Pretax</t>
  </si>
  <si>
    <t>Taxes</t>
  </si>
  <si>
    <t>Net Income</t>
  </si>
  <si>
    <t>EPS</t>
  </si>
  <si>
    <t>Revenue y/y</t>
  </si>
  <si>
    <t>Q123</t>
  </si>
  <si>
    <t>Q223</t>
  </si>
  <si>
    <t>Q323</t>
  </si>
  <si>
    <t>Q423</t>
  </si>
  <si>
    <t>Q124</t>
  </si>
  <si>
    <t>Q224</t>
  </si>
  <si>
    <t>Q324</t>
  </si>
  <si>
    <t>Q424</t>
  </si>
  <si>
    <t>CFFO</t>
  </si>
  <si>
    <t>FCF</t>
  </si>
  <si>
    <t>CapEx</t>
  </si>
  <si>
    <t>Assets</t>
  </si>
  <si>
    <t>AR</t>
  </si>
  <si>
    <t>Inventories</t>
  </si>
  <si>
    <t>Prepaids</t>
  </si>
  <si>
    <t>PP&amp;E</t>
  </si>
  <si>
    <t>Goodwill</t>
  </si>
  <si>
    <t>ROU</t>
  </si>
  <si>
    <t>Other</t>
  </si>
  <si>
    <t>4/2/2035 5.25%</t>
  </si>
  <si>
    <t>US Treasury</t>
  </si>
  <si>
    <t>2/15/2035 4.625%</t>
  </si>
  <si>
    <t>STOCK</t>
  </si>
  <si>
    <t>Verizon Equity</t>
  </si>
  <si>
    <t>Verizon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</si>
</sst>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0" fontId="0" fillId="0" borderId="0" xfId="0" quotePrefix="1"/>
    <xf numFmtId="10" fontId="0" fillId="0" borderId="0" xfId="0" applyNumberFormat="1"/>
    <xf numFmtId="14" fontId="0" fillId="0" borderId="0" xfId="0" applyNumberFormat="1"/>
    <xf numFmtId="10" fontId="0" fillId="0" borderId="0" xfId="0" applyNumberFormat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B703F2D-768C-46D7-8185-7F3B91A8F2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AAFC-19A0-483F-8699-3EDDA2329883}">
  <dimension ref="F2:N9"/>
  <sheetViews>
    <sheetView zoomScale="295" zoomScaleNormal="295" workbookViewId="0"/>
  </sheetViews>
  <sheetFormatPr defaultRowHeight="12.75" x14ac:dyDescent="0.2"/>
  <sheetData>
    <row r="2" spans="6:14" x14ac:dyDescent="0.2">
      <c r="L2" t="s">
        <v>0</v>
      </c>
      <c r="M2" s="1">
        <v>45</v>
      </c>
    </row>
    <row r="3" spans="6:14" x14ac:dyDescent="0.2">
      <c r="L3" t="s">
        <v>1</v>
      </c>
      <c r="M3" s="2">
        <v>4223</v>
      </c>
      <c r="N3" s="3" t="s">
        <v>39</v>
      </c>
    </row>
    <row r="4" spans="6:14" x14ac:dyDescent="0.2">
      <c r="L4" t="s">
        <v>2</v>
      </c>
      <c r="M4" s="2">
        <f>+M2*M3</f>
        <v>190035</v>
      </c>
    </row>
    <row r="5" spans="6:14" x14ac:dyDescent="0.2">
      <c r="L5" t="s">
        <v>3</v>
      </c>
      <c r="M5" s="2">
        <v>4194</v>
      </c>
      <c r="N5" s="3" t="s">
        <v>39</v>
      </c>
    </row>
    <row r="6" spans="6:14" x14ac:dyDescent="0.2">
      <c r="F6" t="s">
        <v>54</v>
      </c>
      <c r="H6" s="12">
        <f>+M9</f>
        <v>6.0632702247957436E-2</v>
      </c>
      <c r="I6" t="s">
        <v>55</v>
      </c>
      <c r="L6" t="s">
        <v>4</v>
      </c>
      <c r="M6" s="2">
        <f>121381+22633</f>
        <v>144014</v>
      </c>
      <c r="N6" s="3" t="s">
        <v>39</v>
      </c>
    </row>
    <row r="7" spans="6:14" x14ac:dyDescent="0.2">
      <c r="F7" s="11" t="s">
        <v>51</v>
      </c>
      <c r="H7" s="12">
        <v>5.1389999999999998E-2</v>
      </c>
      <c r="I7" t="s">
        <v>56</v>
      </c>
      <c r="L7" t="s">
        <v>5</v>
      </c>
      <c r="M7" s="2">
        <f>+M4-M5+M6</f>
        <v>329855</v>
      </c>
    </row>
    <row r="8" spans="6:14" x14ac:dyDescent="0.2">
      <c r="F8" s="13" t="s">
        <v>53</v>
      </c>
      <c r="H8" s="14">
        <v>4.6249999999999999E-2</v>
      </c>
      <c r="I8" s="15" t="s">
        <v>52</v>
      </c>
      <c r="M8">
        <v>20000</v>
      </c>
    </row>
    <row r="9" spans="6:14" x14ac:dyDescent="0.2">
      <c r="H9" s="12"/>
      <c r="M9" s="10">
        <f>+M8/M7</f>
        <v>6.0632702247957436E-2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EA4F-4C34-4A37-A937-7588FDD490FB}">
  <dimension ref="A1:AR33"/>
  <sheetViews>
    <sheetView tabSelected="1" zoomScale="220" zoomScaleNormal="220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AQ6" sqref="AQ6"/>
    </sheetView>
  </sheetViews>
  <sheetFormatPr defaultRowHeight="12.75" x14ac:dyDescent="0.2"/>
  <cols>
    <col min="1" max="1" width="5" bestFit="1" customWidth="1"/>
    <col min="2" max="2" width="12.28515625" bestFit="1" customWidth="1"/>
    <col min="3" max="14" width="9.140625" style="3"/>
  </cols>
  <sheetData>
    <row r="1" spans="1:44" x14ac:dyDescent="0.2">
      <c r="A1" s="9" t="s">
        <v>7</v>
      </c>
    </row>
    <row r="2" spans="1:4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Y2">
        <f t="shared" ref="Y2:AB2" si="0">+Z2-1</f>
        <v>2005</v>
      </c>
      <c r="Z2">
        <f t="shared" si="0"/>
        <v>2006</v>
      </c>
      <c r="AA2">
        <f t="shared" si="0"/>
        <v>2007</v>
      </c>
      <c r="AB2">
        <f>+AC2-1</f>
        <v>2008</v>
      </c>
      <c r="AC2">
        <f t="shared" ref="AC2:AF2" si="1">+AD2-1</f>
        <v>2009</v>
      </c>
      <c r="AD2">
        <f t="shared" si="1"/>
        <v>2010</v>
      </c>
      <c r="AE2">
        <f t="shared" si="1"/>
        <v>2011</v>
      </c>
      <c r="AF2">
        <f>+AG2-1</f>
        <v>2012</v>
      </c>
      <c r="AG2">
        <f>+AH2-1</f>
        <v>2013</v>
      </c>
      <c r="AH2">
        <f>+AI2-1</f>
        <v>2014</v>
      </c>
      <c r="AI2">
        <f>+AJ2-1</f>
        <v>2015</v>
      </c>
      <c r="AJ2">
        <v>2016</v>
      </c>
      <c r="AK2">
        <v>2017</v>
      </c>
      <c r="AL2">
        <v>2018</v>
      </c>
      <c r="AM2">
        <v>2019</v>
      </c>
      <c r="AN2">
        <v>2020</v>
      </c>
      <c r="AO2">
        <f>+AN2+1</f>
        <v>2021</v>
      </c>
      <c r="AP2">
        <f>+AO2+1</f>
        <v>2022</v>
      </c>
      <c r="AQ2">
        <f>+AP2+1</f>
        <v>2023</v>
      </c>
      <c r="AR2">
        <f>+AQ2+1</f>
        <v>2024</v>
      </c>
    </row>
    <row r="3" spans="1:44" s="2" customFormat="1" x14ac:dyDescent="0.2">
      <c r="B3" s="2" t="s">
        <v>20</v>
      </c>
      <c r="C3" s="5"/>
      <c r="D3" s="5"/>
      <c r="E3" s="5"/>
      <c r="F3" s="5"/>
      <c r="G3" s="5"/>
      <c r="H3" s="5"/>
      <c r="I3" s="5">
        <v>27565</v>
      </c>
      <c r="J3" s="5"/>
      <c r="K3" s="5"/>
      <c r="L3" s="5"/>
      <c r="M3" s="5">
        <v>27666</v>
      </c>
      <c r="N3" s="5"/>
      <c r="AK3" s="2">
        <v>107145</v>
      </c>
      <c r="AL3" s="2">
        <v>108605</v>
      </c>
      <c r="AM3" s="2">
        <v>110305</v>
      </c>
      <c r="AN3" s="2">
        <v>109872</v>
      </c>
      <c r="AO3" s="2">
        <v>110449</v>
      </c>
      <c r="AP3" s="2">
        <v>109625</v>
      </c>
      <c r="AQ3" s="2">
        <v>109652</v>
      </c>
      <c r="AR3" s="2">
        <v>111571</v>
      </c>
    </row>
    <row r="4" spans="1:44" s="2" customFormat="1" x14ac:dyDescent="0.2">
      <c r="B4" s="2" t="s">
        <v>21</v>
      </c>
      <c r="C4" s="5"/>
      <c r="D4" s="5"/>
      <c r="E4" s="5"/>
      <c r="F4" s="5"/>
      <c r="G4" s="5"/>
      <c r="H4" s="5"/>
      <c r="I4" s="5">
        <v>5350</v>
      </c>
      <c r="J4" s="5"/>
      <c r="K4" s="5"/>
      <c r="L4" s="5"/>
      <c r="M4" s="5">
        <v>6575</v>
      </c>
      <c r="N4" s="5"/>
      <c r="AK4" s="2">
        <v>18889</v>
      </c>
      <c r="AL4" s="2">
        <v>22258</v>
      </c>
      <c r="AM4" s="2">
        <v>21563</v>
      </c>
      <c r="AN4" s="2">
        <v>18420</v>
      </c>
      <c r="AO4" s="2">
        <v>23164</v>
      </c>
      <c r="AP4" s="2">
        <v>27210</v>
      </c>
      <c r="AQ4" s="2">
        <v>24322</v>
      </c>
      <c r="AR4" s="2">
        <v>23217</v>
      </c>
    </row>
    <row r="5" spans="1:44" s="6" customFormat="1" x14ac:dyDescent="0.2">
      <c r="B5" s="6" t="s">
        <v>8</v>
      </c>
      <c r="C5" s="7"/>
      <c r="D5" s="7"/>
      <c r="E5" s="7"/>
      <c r="F5" s="7"/>
      <c r="G5" s="7"/>
      <c r="H5" s="7"/>
      <c r="I5" s="7">
        <f>+I3+I4</f>
        <v>32915</v>
      </c>
      <c r="J5" s="7"/>
      <c r="K5" s="7"/>
      <c r="L5" s="7"/>
      <c r="M5" s="7">
        <f>+M3+M4</f>
        <v>34241</v>
      </c>
      <c r="N5" s="7"/>
      <c r="Y5" s="6">
        <v>88182</v>
      </c>
      <c r="Z5" s="6">
        <v>93469</v>
      </c>
      <c r="AA5" s="6">
        <v>97354</v>
      </c>
      <c r="AB5" s="6">
        <v>107808</v>
      </c>
      <c r="AC5" s="6">
        <v>107808</v>
      </c>
      <c r="AD5" s="6">
        <v>106565</v>
      </c>
      <c r="AE5" s="6">
        <v>110875</v>
      </c>
      <c r="AF5" s="6">
        <v>115846</v>
      </c>
      <c r="AG5" s="6">
        <v>120550</v>
      </c>
      <c r="AH5" s="6">
        <v>127079</v>
      </c>
      <c r="AI5" s="6">
        <v>131620</v>
      </c>
      <c r="AJ5" s="6">
        <v>125980</v>
      </c>
      <c r="AK5" s="6">
        <f t="shared" ref="AK5" si="2">+AK4+AK3</f>
        <v>126034</v>
      </c>
      <c r="AL5" s="6">
        <f t="shared" ref="AL5" si="3">+AL4+AL3</f>
        <v>130863</v>
      </c>
      <c r="AM5" s="6">
        <f t="shared" ref="AM5:AN5" si="4">+AM4+AM3</f>
        <v>131868</v>
      </c>
      <c r="AN5" s="6">
        <f t="shared" si="4"/>
        <v>128292</v>
      </c>
      <c r="AO5" s="6">
        <f>+AO4+AO3</f>
        <v>133613</v>
      </c>
      <c r="AP5" s="6">
        <f>+AP4+AP3</f>
        <v>136835</v>
      </c>
      <c r="AQ5" s="6">
        <f>+AQ4+AQ3</f>
        <v>133974</v>
      </c>
      <c r="AR5" s="6">
        <f>+AR4+AR3</f>
        <v>134788</v>
      </c>
    </row>
    <row r="6" spans="1:44" s="2" customFormat="1" x14ac:dyDescent="0.2">
      <c r="B6" s="2" t="s">
        <v>22</v>
      </c>
      <c r="C6" s="5"/>
      <c r="D6" s="5"/>
      <c r="E6" s="5"/>
      <c r="F6" s="5"/>
      <c r="G6" s="5"/>
      <c r="H6" s="5"/>
      <c r="I6" s="5">
        <f>7855+5673</f>
        <v>13528</v>
      </c>
      <c r="J6" s="5"/>
      <c r="K6" s="5"/>
      <c r="L6" s="5"/>
      <c r="M6" s="5">
        <f>7293+7308</f>
        <v>14601</v>
      </c>
      <c r="N6" s="5"/>
      <c r="AK6" s="2">
        <f>30916+22147</f>
        <v>53063</v>
      </c>
      <c r="AL6" s="2">
        <f>32185+23323</f>
        <v>55508</v>
      </c>
      <c r="AM6" s="2">
        <f>31772+22954</f>
        <v>54726</v>
      </c>
      <c r="AN6" s="2">
        <f>31401+19800</f>
        <v>51201</v>
      </c>
      <c r="AO6" s="2">
        <f>31234+25067</f>
        <v>56301</v>
      </c>
      <c r="AP6" s="2">
        <f>28637+30496</f>
        <v>59133</v>
      </c>
      <c r="AQ6" s="2">
        <f>28100+26787</f>
        <v>54887</v>
      </c>
      <c r="AR6" s="2">
        <f>27997+26100</f>
        <v>54097</v>
      </c>
    </row>
    <row r="7" spans="1:44" s="2" customFormat="1" x14ac:dyDescent="0.2">
      <c r="B7" s="2" t="s">
        <v>23</v>
      </c>
      <c r="C7" s="5"/>
      <c r="D7" s="5"/>
      <c r="E7" s="5"/>
      <c r="F7" s="5"/>
      <c r="G7" s="5"/>
      <c r="H7" s="5"/>
      <c r="I7" s="5">
        <f>+I5-I6</f>
        <v>19387</v>
      </c>
      <c r="J7" s="5"/>
      <c r="K7" s="5"/>
      <c r="L7" s="5"/>
      <c r="M7" s="5">
        <f>+M5-M6</f>
        <v>19640</v>
      </c>
      <c r="N7" s="5"/>
      <c r="AK7" s="2">
        <f t="shared" ref="AK7" si="5">+AK5-AK6</f>
        <v>72971</v>
      </c>
      <c r="AL7" s="2">
        <f t="shared" ref="AL7" si="6">+AL5-AL6</f>
        <v>75355</v>
      </c>
      <c r="AM7" s="2">
        <f t="shared" ref="AM7:AN7" si="7">+AM5-AM6</f>
        <v>77142</v>
      </c>
      <c r="AN7" s="2">
        <f t="shared" si="7"/>
        <v>77091</v>
      </c>
      <c r="AO7" s="2">
        <f>+AO5-AO6</f>
        <v>77312</v>
      </c>
      <c r="AP7" s="2">
        <f>+AP5-AP6</f>
        <v>77702</v>
      </c>
      <c r="AQ7" s="2">
        <f>+AQ5-AQ6</f>
        <v>79087</v>
      </c>
      <c r="AR7" s="2">
        <f>+AR5-AR6</f>
        <v>80691</v>
      </c>
    </row>
    <row r="8" spans="1:44" s="2" customFormat="1" x14ac:dyDescent="0.2">
      <c r="B8" s="2" t="s">
        <v>24</v>
      </c>
      <c r="C8" s="5"/>
      <c r="D8" s="5"/>
      <c r="E8" s="5"/>
      <c r="F8" s="5"/>
      <c r="G8" s="5"/>
      <c r="H8" s="5"/>
      <c r="I8" s="5">
        <v>6521</v>
      </c>
      <c r="J8" s="5"/>
      <c r="K8" s="5"/>
      <c r="L8" s="5"/>
      <c r="M8" s="5">
        <v>7422</v>
      </c>
      <c r="N8" s="5"/>
      <c r="AK8" s="2">
        <v>28592</v>
      </c>
      <c r="AL8" s="2">
        <v>31083</v>
      </c>
      <c r="AM8" s="2">
        <v>29896</v>
      </c>
      <c r="AN8" s="2">
        <v>31573</v>
      </c>
      <c r="AO8" s="2">
        <v>28658</v>
      </c>
      <c r="AP8" s="2">
        <v>30136</v>
      </c>
      <c r="AQ8" s="2">
        <v>32745</v>
      </c>
      <c r="AR8" s="2">
        <v>34113</v>
      </c>
    </row>
    <row r="9" spans="1:44" s="2" customFormat="1" x14ac:dyDescent="0.2">
      <c r="B9" s="2" t="s">
        <v>25</v>
      </c>
      <c r="C9" s="5"/>
      <c r="D9" s="5"/>
      <c r="E9" s="5"/>
      <c r="F9" s="5"/>
      <c r="G9" s="5"/>
      <c r="H9" s="5"/>
      <c r="I9" s="5">
        <f>+I7-I8</f>
        <v>12866</v>
      </c>
      <c r="J9" s="5"/>
      <c r="K9" s="5"/>
      <c r="L9" s="5"/>
      <c r="M9" s="5">
        <f>+M7-M8</f>
        <v>12218</v>
      </c>
      <c r="N9" s="5"/>
      <c r="AK9" s="2">
        <f t="shared" ref="AK9" si="8">+AK7-AK8</f>
        <v>44379</v>
      </c>
      <c r="AL9" s="2">
        <f t="shared" ref="AL9" si="9">+AL7-AL8</f>
        <v>44272</v>
      </c>
      <c r="AM9" s="2">
        <f t="shared" ref="AM9:AN9" si="10">+AM7-AM8</f>
        <v>47246</v>
      </c>
      <c r="AN9" s="2">
        <f t="shared" si="10"/>
        <v>45518</v>
      </c>
      <c r="AO9" s="2">
        <f>+AO7-AO8</f>
        <v>48654</v>
      </c>
      <c r="AP9" s="2">
        <f>+AP7-AP8</f>
        <v>47566</v>
      </c>
      <c r="AQ9" s="2">
        <f>+AQ7-AQ8</f>
        <v>46342</v>
      </c>
      <c r="AR9" s="2">
        <f>+AR7-AR8</f>
        <v>46578</v>
      </c>
    </row>
    <row r="10" spans="1:44" s="2" customFormat="1" x14ac:dyDescent="0.2">
      <c r="B10" s="2" t="s">
        <v>26</v>
      </c>
      <c r="C10" s="5"/>
      <c r="D10" s="5"/>
      <c r="E10" s="5"/>
      <c r="F10" s="5"/>
      <c r="G10" s="5"/>
      <c r="H10" s="5"/>
      <c r="I10" s="5">
        <f>1+269-801</f>
        <v>-531</v>
      </c>
      <c r="J10" s="5"/>
      <c r="K10" s="5"/>
      <c r="L10" s="5"/>
      <c r="M10" s="5">
        <f>2-439-937</f>
        <v>-1374</v>
      </c>
      <c r="N10" s="5"/>
      <c r="AK10" s="2">
        <v>-4733</v>
      </c>
      <c r="AL10" s="2">
        <v>-4833</v>
      </c>
      <c r="AM10" s="2">
        <v>-4730</v>
      </c>
      <c r="AN10" s="2">
        <v>-4247</v>
      </c>
      <c r="AO10" s="2">
        <f>-3485+312</f>
        <v>-3173</v>
      </c>
      <c r="AP10" s="2">
        <f>-3613+1373</f>
        <v>-2240</v>
      </c>
      <c r="AQ10" s="2">
        <v>-5524</v>
      </c>
      <c r="AR10" s="2">
        <f>-6649+995</f>
        <v>-5654</v>
      </c>
    </row>
    <row r="11" spans="1:44" s="2" customFormat="1" x14ac:dyDescent="0.2">
      <c r="B11" s="2" t="s">
        <v>27</v>
      </c>
      <c r="C11" s="5"/>
      <c r="D11" s="5"/>
      <c r="E11" s="5"/>
      <c r="F11" s="5"/>
      <c r="G11" s="5"/>
      <c r="H11" s="5"/>
      <c r="I11" s="5">
        <f>+I9+I10</f>
        <v>12335</v>
      </c>
      <c r="J11" s="5"/>
      <c r="K11" s="5"/>
      <c r="L11" s="5"/>
      <c r="M11" s="5">
        <f>+M9+M10</f>
        <v>10844</v>
      </c>
      <c r="N11" s="5"/>
      <c r="AK11" s="2">
        <f t="shared" ref="AK11" si="11">+AK9+AK10</f>
        <v>39646</v>
      </c>
      <c r="AL11" s="2">
        <f t="shared" ref="AL11" si="12">+AL9+AL10</f>
        <v>39439</v>
      </c>
      <c r="AM11" s="2">
        <f t="shared" ref="AM11:AN11" si="13">+AM9+AM10</f>
        <v>42516</v>
      </c>
      <c r="AN11" s="2">
        <f t="shared" si="13"/>
        <v>41271</v>
      </c>
      <c r="AO11" s="2">
        <f>+AO9+AO10</f>
        <v>45481</v>
      </c>
      <c r="AP11" s="2">
        <f>+AP9+AP10</f>
        <v>45326</v>
      </c>
      <c r="AQ11" s="2">
        <f>+AQ9+AQ10</f>
        <v>40818</v>
      </c>
      <c r="AR11" s="2">
        <f>+AR9+AR10</f>
        <v>40924</v>
      </c>
    </row>
    <row r="12" spans="1:44" s="2" customFormat="1" x14ac:dyDescent="0.2">
      <c r="B12" s="2" t="s">
        <v>28</v>
      </c>
      <c r="C12" s="5"/>
      <c r="D12" s="5"/>
      <c r="E12" s="5"/>
      <c r="F12" s="5"/>
      <c r="G12" s="5"/>
      <c r="H12" s="5"/>
      <c r="I12" s="5">
        <f>1820+147</f>
        <v>1967</v>
      </c>
      <c r="J12" s="5"/>
      <c r="K12" s="5"/>
      <c r="L12" s="5"/>
      <c r="M12" s="5">
        <f>1496+124</f>
        <v>1620</v>
      </c>
      <c r="N12" s="5"/>
      <c r="AK12" s="2">
        <v>0</v>
      </c>
      <c r="AL12" s="2">
        <v>3584</v>
      </c>
      <c r="AM12" s="2">
        <v>2945</v>
      </c>
      <c r="AN12" s="2">
        <v>5619</v>
      </c>
      <c r="AO12" s="2">
        <v>6802</v>
      </c>
      <c r="AP12" s="2">
        <v>6523</v>
      </c>
      <c r="AQ12" s="2">
        <v>4892</v>
      </c>
      <c r="AR12" s="2">
        <v>5030</v>
      </c>
    </row>
    <row r="13" spans="1:44" s="2" customFormat="1" x14ac:dyDescent="0.2">
      <c r="B13" s="2" t="s">
        <v>29</v>
      </c>
      <c r="C13" s="5"/>
      <c r="D13" s="5"/>
      <c r="E13" s="5"/>
      <c r="F13" s="5"/>
      <c r="G13" s="5"/>
      <c r="H13" s="5"/>
      <c r="I13" s="5">
        <f>+I11-I12</f>
        <v>10368</v>
      </c>
      <c r="J13" s="5"/>
      <c r="K13" s="5"/>
      <c r="L13" s="5"/>
      <c r="M13" s="5">
        <f>+M11-M12</f>
        <v>9224</v>
      </c>
      <c r="N13" s="5"/>
      <c r="AK13" s="2">
        <f t="shared" ref="AK13" si="14">+AK11-AK12</f>
        <v>39646</v>
      </c>
      <c r="AL13" s="2">
        <f t="shared" ref="AL13" si="15">+AL11-AL12</f>
        <v>35855</v>
      </c>
      <c r="AM13" s="2">
        <f t="shared" ref="AM13:AN13" si="16">+AM11-AM12</f>
        <v>39571</v>
      </c>
      <c r="AN13" s="2">
        <f t="shared" si="16"/>
        <v>35652</v>
      </c>
      <c r="AO13" s="2">
        <f>+AO11-AO12</f>
        <v>38679</v>
      </c>
      <c r="AP13" s="2">
        <f>+AP11-AP12</f>
        <v>38803</v>
      </c>
      <c r="AQ13" s="2">
        <f>+AQ11-AQ12</f>
        <v>35926</v>
      </c>
      <c r="AR13" s="2">
        <f>+AR11-AR12</f>
        <v>35894</v>
      </c>
    </row>
    <row r="14" spans="1:44" x14ac:dyDescent="0.2">
      <c r="B14" s="2" t="s">
        <v>30</v>
      </c>
      <c r="I14" s="4">
        <f>+I13/I15</f>
        <v>2.5019305019305018</v>
      </c>
      <c r="M14" s="4">
        <f>+M13/M15</f>
        <v>2.1941008563273074</v>
      </c>
      <c r="AK14" s="1">
        <f t="shared" ref="AK14" si="17">+AK13/AK15</f>
        <v>9.6957691367082415</v>
      </c>
      <c r="AL14" s="1">
        <f t="shared" ref="AL14" si="18">+AL13/AL15</f>
        <v>8.6773959341723135</v>
      </c>
      <c r="AM14" s="1">
        <f t="shared" ref="AM14:AN14" si="19">+AM13/AM15</f>
        <v>9.5582125603864743</v>
      </c>
      <c r="AN14" s="1">
        <f t="shared" si="19"/>
        <v>8.6074360212457748</v>
      </c>
      <c r="AO14" s="1">
        <f>+AO13/AO15</f>
        <v>9.3202409638554222</v>
      </c>
      <c r="AP14" s="1">
        <f>+AP13/AP15</f>
        <v>9.2300190294957183</v>
      </c>
      <c r="AQ14" s="1">
        <f>+AQ13/AQ15</f>
        <v>8.5233689205219463</v>
      </c>
      <c r="AR14" s="1">
        <f>+AR13/AR15</f>
        <v>8.4996448022732647</v>
      </c>
    </row>
    <row r="15" spans="1:44" x14ac:dyDescent="0.2">
      <c r="B15" s="2" t="s">
        <v>1</v>
      </c>
      <c r="I15" s="5">
        <v>4144</v>
      </c>
      <c r="M15" s="5">
        <v>4204</v>
      </c>
      <c r="AK15" s="2">
        <v>4089</v>
      </c>
      <c r="AL15" s="2">
        <v>4132</v>
      </c>
      <c r="AM15" s="2">
        <v>4140</v>
      </c>
      <c r="AN15" s="2">
        <v>4142</v>
      </c>
      <c r="AO15" s="2">
        <v>4150</v>
      </c>
      <c r="AP15" s="2">
        <v>4204</v>
      </c>
      <c r="AQ15" s="2">
        <v>4215</v>
      </c>
      <c r="AR15" s="2">
        <v>4223</v>
      </c>
    </row>
    <row r="16" spans="1:44" x14ac:dyDescent="0.2">
      <c r="B16" s="2"/>
    </row>
    <row r="17" spans="2:44" x14ac:dyDescent="0.2">
      <c r="B17" s="2" t="s">
        <v>31</v>
      </c>
      <c r="M17" s="8">
        <f>M5/I5-1</f>
        <v>4.0285584080206549E-2</v>
      </c>
      <c r="Z17" s="10">
        <f t="shared" ref="Z17:AE17" si="20">+Z5/Y5-1</f>
        <v>5.9955546483409394E-2</v>
      </c>
      <c r="AA17" s="10">
        <f t="shared" si="20"/>
        <v>4.1564582909841663E-2</v>
      </c>
      <c r="AB17" s="10">
        <f t="shared" si="20"/>
        <v>0.10738130944799384</v>
      </c>
      <c r="AC17" s="10">
        <f t="shared" si="20"/>
        <v>0</v>
      </c>
      <c r="AD17" s="10">
        <f t="shared" si="20"/>
        <v>-1.1529756604333641E-2</v>
      </c>
      <c r="AE17" s="10">
        <f t="shared" ref="AD17:AH17" si="21">+AE5/AD5-1</f>
        <v>4.0444798948998217E-2</v>
      </c>
      <c r="AF17" s="10">
        <f t="shared" si="21"/>
        <v>4.4834272829763266E-2</v>
      </c>
      <c r="AG17" s="10">
        <f t="shared" si="21"/>
        <v>4.0605631614384574E-2</v>
      </c>
      <c r="AH17" s="10">
        <f t="shared" ref="AH17:AL17" si="22">+AH5/AG5-1</f>
        <v>5.4160099543757667E-2</v>
      </c>
      <c r="AI17" s="10">
        <f t="shared" si="22"/>
        <v>3.5733677476215586E-2</v>
      </c>
      <c r="AJ17" s="10">
        <f t="shared" si="22"/>
        <v>-4.2850630603251783E-2</v>
      </c>
      <c r="AK17" s="10">
        <f t="shared" si="22"/>
        <v>4.2863946658200369E-4</v>
      </c>
      <c r="AL17" s="10">
        <f t="shared" si="22"/>
        <v>3.8315057841534772E-2</v>
      </c>
      <c r="AM17" s="10">
        <f t="shared" ref="AM17:AO17" si="23">+AM5/AL5-1</f>
        <v>7.6797872584306592E-3</v>
      </c>
      <c r="AN17" s="10">
        <f t="shared" si="23"/>
        <v>-2.7118027118027133E-2</v>
      </c>
      <c r="AO17" s="10">
        <f t="shared" si="23"/>
        <v>4.1475696068344003E-2</v>
      </c>
      <c r="AP17" s="10">
        <f>+AP5/AO5-1</f>
        <v>2.4114420004041515E-2</v>
      </c>
      <c r="AQ17" s="10">
        <f>+AQ5/AP5-1</f>
        <v>-2.090839332042238E-2</v>
      </c>
      <c r="AR17" s="10">
        <f>+AR5/AQ5-1</f>
        <v>6.0758057533552012E-3</v>
      </c>
    </row>
    <row r="19" spans="2:44" s="2" customFormat="1" x14ac:dyDescent="0.2">
      <c r="B19" s="2" t="s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AB19" s="2">
        <v>27452</v>
      </c>
      <c r="AC19" s="2">
        <v>31390</v>
      </c>
      <c r="AD19" s="2">
        <v>33363</v>
      </c>
      <c r="AE19" s="2">
        <v>29780</v>
      </c>
      <c r="AF19" s="2">
        <v>31486</v>
      </c>
      <c r="AG19" s="2">
        <v>38818</v>
      </c>
      <c r="AH19" s="2">
        <v>30631</v>
      </c>
      <c r="AI19" s="2">
        <v>38930</v>
      </c>
      <c r="AJ19" s="2">
        <v>22715</v>
      </c>
      <c r="AK19" s="2">
        <v>24318</v>
      </c>
      <c r="AL19" s="2">
        <v>34339</v>
      </c>
      <c r="AM19" s="2">
        <v>35746</v>
      </c>
      <c r="AN19" s="2">
        <v>41768</v>
      </c>
      <c r="AO19" s="2">
        <v>39539</v>
      </c>
      <c r="AP19" s="2">
        <v>37141</v>
      </c>
      <c r="AQ19" s="2">
        <v>37475</v>
      </c>
      <c r="AR19" s="2">
        <v>36912</v>
      </c>
    </row>
    <row r="20" spans="2:44" s="2" customFormat="1" x14ac:dyDescent="0.2">
      <c r="B20" s="2" t="s">
        <v>42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AB20" s="2">
        <v>17133</v>
      </c>
      <c r="AC20" s="2">
        <v>16872</v>
      </c>
      <c r="AD20" s="2">
        <v>16458</v>
      </c>
      <c r="AE20" s="2">
        <v>16244</v>
      </c>
      <c r="AF20" s="2">
        <v>16175</v>
      </c>
      <c r="AG20" s="2">
        <v>16604</v>
      </c>
      <c r="AH20" s="2">
        <v>17191</v>
      </c>
      <c r="AI20" s="2">
        <v>17775</v>
      </c>
      <c r="AJ20" s="2">
        <v>17059</v>
      </c>
      <c r="AK20" s="2">
        <v>17247</v>
      </c>
      <c r="AL20" s="2">
        <v>16658</v>
      </c>
      <c r="AM20" s="2">
        <v>17939</v>
      </c>
      <c r="AN20" s="2">
        <v>18192</v>
      </c>
      <c r="AO20" s="2">
        <v>20286</v>
      </c>
      <c r="AP20" s="2">
        <v>23087</v>
      </c>
      <c r="AQ20" s="2">
        <v>18767</v>
      </c>
      <c r="AR20" s="2">
        <v>17090</v>
      </c>
    </row>
    <row r="21" spans="2:44" s="2" customFormat="1" x14ac:dyDescent="0.2">
      <c r="B21" s="2" t="s">
        <v>41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AB21" s="2">
        <f t="shared" ref="AB21:AE21" si="24">+AB19-AB20</f>
        <v>10319</v>
      </c>
      <c r="AC21" s="2">
        <f t="shared" si="24"/>
        <v>14518</v>
      </c>
      <c r="AD21" s="2">
        <f t="shared" si="24"/>
        <v>16905</v>
      </c>
      <c r="AE21" s="2">
        <f t="shared" si="24"/>
        <v>13536</v>
      </c>
      <c r="AF21" s="2">
        <f t="shared" ref="AF21" si="25">+AF19-AF20</f>
        <v>15311</v>
      </c>
      <c r="AG21" s="2">
        <f t="shared" ref="AG21" si="26">+AG19-AG20</f>
        <v>22214</v>
      </c>
      <c r="AH21" s="2">
        <f t="shared" ref="AH21:AJ21" si="27">+AH19-AH20</f>
        <v>13440</v>
      </c>
      <c r="AI21" s="2">
        <f t="shared" si="27"/>
        <v>21155</v>
      </c>
      <c r="AJ21" s="2">
        <f t="shared" si="27"/>
        <v>5656</v>
      </c>
      <c r="AK21" s="2">
        <f>+AK19-AK20</f>
        <v>7071</v>
      </c>
      <c r="AL21" s="2">
        <f>+AL19-AL20</f>
        <v>17681</v>
      </c>
      <c r="AM21" s="2">
        <f>+AM19-AM20</f>
        <v>17807</v>
      </c>
      <c r="AN21" s="2">
        <f>+AN19-AN20</f>
        <v>23576</v>
      </c>
      <c r="AO21" s="2">
        <f>+AO19-AO20</f>
        <v>19253</v>
      </c>
      <c r="AP21" s="2">
        <f>+AP19-AP20</f>
        <v>14054</v>
      </c>
      <c r="AQ21" s="2">
        <f>+AQ19-AQ20</f>
        <v>18708</v>
      </c>
      <c r="AR21" s="2">
        <f>+AR19-AR20</f>
        <v>19822</v>
      </c>
    </row>
    <row r="24" spans="2:44" s="2" customFormat="1" x14ac:dyDescent="0.2">
      <c r="B24" s="2" t="s">
        <v>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AR24" s="2">
        <f>4194+842</f>
        <v>5036</v>
      </c>
    </row>
    <row r="25" spans="2:44" s="2" customFormat="1" x14ac:dyDescent="0.2">
      <c r="B25" s="2" t="s">
        <v>44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AR25" s="2">
        <v>26109</v>
      </c>
    </row>
    <row r="26" spans="2:44" s="2" customFormat="1" x14ac:dyDescent="0.2">
      <c r="B26" s="2" t="s">
        <v>45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AR26" s="2">
        <v>2247</v>
      </c>
    </row>
    <row r="27" spans="2:44" s="2" customFormat="1" x14ac:dyDescent="0.2">
      <c r="B27" s="2" t="s">
        <v>46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AR27" s="2">
        <v>7973</v>
      </c>
    </row>
    <row r="28" spans="2:44" s="2" customFormat="1" x14ac:dyDescent="0.2">
      <c r="B28" s="2" t="s">
        <v>47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AR28" s="2">
        <v>108522</v>
      </c>
    </row>
    <row r="29" spans="2:44" x14ac:dyDescent="0.2">
      <c r="B29" s="2" t="s">
        <v>21</v>
      </c>
      <c r="AR29" s="2">
        <v>156613</v>
      </c>
    </row>
    <row r="30" spans="2:44" x14ac:dyDescent="0.2">
      <c r="B30" s="2" t="s">
        <v>48</v>
      </c>
      <c r="AR30" s="2">
        <f>22841+11129</f>
        <v>33970</v>
      </c>
    </row>
    <row r="31" spans="2:44" x14ac:dyDescent="0.2">
      <c r="B31" s="2" t="s">
        <v>49</v>
      </c>
      <c r="AR31" s="2">
        <v>24472</v>
      </c>
    </row>
    <row r="32" spans="2:44" x14ac:dyDescent="0.2">
      <c r="B32" s="2" t="s">
        <v>50</v>
      </c>
      <c r="AR32" s="2">
        <v>19769</v>
      </c>
    </row>
    <row r="33" spans="2:44" x14ac:dyDescent="0.2">
      <c r="B33" t="s">
        <v>43</v>
      </c>
      <c r="AR33" s="2">
        <f>SUM(AR24:AR32)</f>
        <v>384711</v>
      </c>
    </row>
  </sheetData>
  <hyperlinks>
    <hyperlink ref="A1" location="Main!A1" display="Main" xr:uid="{A2D96C4C-0F3F-4E42-938F-E7ADB3B460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2022-12-26T23:54:41Z</dcterms:created>
  <dcterms:modified xsi:type="dcterms:W3CDTF">2025-04-01T14:43:21Z</dcterms:modified>
</cp:coreProperties>
</file>