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DDF84BD-3C8C-4546-863D-7A704D23BFC2}" xr6:coauthVersionLast="47" xr6:coauthVersionMax="47" xr10:uidLastSave="{00000000-0000-0000-0000-000000000000}"/>
  <bookViews>
    <workbookView xWindow="-23070" yWindow="2055" windowWidth="22905" windowHeight="16875" xr2:uid="{D34B6A0E-BD75-4196-AE8C-3E013A62F0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T78" i="2"/>
  <c r="S78" i="2"/>
  <c r="R78" i="2"/>
  <c r="T74" i="2"/>
  <c r="T73" i="2"/>
  <c r="T72" i="2"/>
  <c r="T71" i="2"/>
  <c r="T70" i="2"/>
  <c r="T69" i="2"/>
  <c r="T68" i="2"/>
  <c r="T67" i="2"/>
  <c r="T65" i="2"/>
  <c r="T64" i="2"/>
  <c r="T63" i="2"/>
  <c r="T62" i="2"/>
  <c r="T60" i="2"/>
  <c r="T55" i="2"/>
  <c r="T56" i="2"/>
  <c r="T57" i="2"/>
  <c r="T58" i="2"/>
  <c r="T59" i="2"/>
  <c r="T54" i="2"/>
  <c r="T53" i="2"/>
  <c r="T42" i="2"/>
  <c r="T51" i="2"/>
  <c r="T33" i="2"/>
  <c r="T50" i="2"/>
  <c r="T49" i="2"/>
  <c r="T48" i="2"/>
  <c r="T47" i="2"/>
  <c r="T46" i="2"/>
  <c r="T45" i="2"/>
  <c r="T44" i="2"/>
  <c r="T41" i="2"/>
  <c r="T40" i="2"/>
  <c r="T39" i="2"/>
  <c r="T38" i="2"/>
  <c r="T37" i="2"/>
  <c r="T36" i="2"/>
  <c r="T35" i="2"/>
  <c r="T34" i="2"/>
  <c r="J78" i="2"/>
  <c r="J74" i="2"/>
  <c r="J73" i="2"/>
  <c r="J72" i="2"/>
  <c r="J71" i="2"/>
  <c r="J70" i="2"/>
  <c r="J69" i="2"/>
  <c r="J68" i="2"/>
  <c r="J67" i="2"/>
  <c r="J65" i="2"/>
  <c r="J63" i="2"/>
  <c r="J62" i="2"/>
  <c r="J58" i="2"/>
  <c r="J60" i="2" s="1"/>
  <c r="J59" i="2"/>
  <c r="J57" i="2"/>
  <c r="J56" i="2"/>
  <c r="J55" i="2"/>
  <c r="I53" i="2"/>
  <c r="H53" i="2"/>
  <c r="G53" i="2"/>
  <c r="J54" i="2"/>
  <c r="J21" i="2"/>
  <c r="J20" i="2"/>
  <c r="J19" i="2"/>
  <c r="J18" i="2"/>
  <c r="J17" i="2"/>
  <c r="J16" i="2"/>
  <c r="J22" i="2"/>
  <c r="J23" i="2"/>
  <c r="J24" i="2"/>
  <c r="J25" i="2"/>
  <c r="J26" i="2"/>
  <c r="J15" i="2"/>
  <c r="J14" i="2"/>
  <c r="M53" i="2"/>
  <c r="L53" i="2"/>
  <c r="K53" i="2"/>
  <c r="J51" i="2"/>
  <c r="J50" i="2"/>
  <c r="J48" i="2"/>
  <c r="J49" i="2"/>
  <c r="J44" i="2"/>
  <c r="J42" i="2"/>
  <c r="J39" i="2"/>
  <c r="J33" i="2"/>
  <c r="M31" i="2"/>
  <c r="L31" i="2"/>
  <c r="K31" i="2"/>
  <c r="I31" i="2"/>
  <c r="H31" i="2"/>
  <c r="G31" i="2"/>
  <c r="M30" i="2"/>
  <c r="L30" i="2"/>
  <c r="K30" i="2"/>
  <c r="I30" i="2"/>
  <c r="H30" i="2"/>
  <c r="G30" i="2"/>
  <c r="S30" i="2"/>
  <c r="R30" i="2"/>
  <c r="T30" i="2"/>
  <c r="T23" i="2"/>
  <c r="S23" i="2"/>
  <c r="R23" i="2"/>
  <c r="R21" i="2"/>
  <c r="S21" i="2"/>
  <c r="T21" i="2"/>
  <c r="S16" i="2"/>
  <c r="R16" i="2"/>
  <c r="R18" i="2" s="1"/>
  <c r="R29" i="2" s="1"/>
  <c r="T16" i="2"/>
  <c r="T18" i="2" s="1"/>
  <c r="T29" i="2" s="1"/>
  <c r="J8" i="2"/>
  <c r="J10" i="2" s="1"/>
  <c r="T8" i="2"/>
  <c r="T10" i="2" s="1"/>
  <c r="T2" i="2"/>
  <c r="U2" i="2" s="1"/>
  <c r="V2" i="2" s="1"/>
  <c r="W2" i="2" s="1"/>
  <c r="X2" i="2" s="1"/>
  <c r="K44" i="2"/>
  <c r="K48" i="2"/>
  <c r="K50" i="2"/>
  <c r="K49" i="2"/>
  <c r="K39" i="2"/>
  <c r="K42" i="2" s="1"/>
  <c r="G23" i="2"/>
  <c r="G21" i="2"/>
  <c r="G16" i="2"/>
  <c r="G18" i="2" s="1"/>
  <c r="G20" i="2" s="1"/>
  <c r="G22" i="2" s="1"/>
  <c r="H23" i="2"/>
  <c r="H21" i="2"/>
  <c r="H16" i="2"/>
  <c r="H18" i="2" s="1"/>
  <c r="H29" i="2" s="1"/>
  <c r="K23" i="2"/>
  <c r="K21" i="2"/>
  <c r="K16" i="2"/>
  <c r="K18" i="2" s="1"/>
  <c r="K20" i="2" s="1"/>
  <c r="K22" i="2" s="1"/>
  <c r="L44" i="2"/>
  <c r="L33" i="2" s="1"/>
  <c r="L48" i="2"/>
  <c r="L49" i="2"/>
  <c r="L50" i="2"/>
  <c r="L39" i="2"/>
  <c r="L42" i="2" s="1"/>
  <c r="L23" i="2"/>
  <c r="L21" i="2"/>
  <c r="L16" i="2"/>
  <c r="L18" i="2" s="1"/>
  <c r="L29" i="2" s="1"/>
  <c r="M50" i="2"/>
  <c r="M48" i="2"/>
  <c r="M49" i="2"/>
  <c r="M44" i="2"/>
  <c r="M39" i="2"/>
  <c r="M42" i="2" s="1"/>
  <c r="K4" i="1"/>
  <c r="I21" i="2"/>
  <c r="M21" i="2"/>
  <c r="I16" i="2"/>
  <c r="I18" i="2" s="1"/>
  <c r="I20" i="2" s="1"/>
  <c r="M16" i="2"/>
  <c r="M18" i="2" s="1"/>
  <c r="M20" i="2" s="1"/>
  <c r="J53" i="2" l="1"/>
  <c r="T28" i="2"/>
  <c r="S18" i="2"/>
  <c r="T20" i="2"/>
  <c r="T22" i="2" s="1"/>
  <c r="T24" i="2" s="1"/>
  <c r="T25" i="2" s="1"/>
  <c r="R20" i="2"/>
  <c r="R22" i="2" s="1"/>
  <c r="R24" i="2" s="1"/>
  <c r="R25" i="2" s="1"/>
  <c r="G24" i="2"/>
  <c r="G25" i="2" s="1"/>
  <c r="S28" i="2"/>
  <c r="M51" i="2"/>
  <c r="L28" i="2"/>
  <c r="K29" i="2"/>
  <c r="I29" i="2"/>
  <c r="M28" i="2"/>
  <c r="K28" i="2"/>
  <c r="M29" i="2"/>
  <c r="G29" i="2"/>
  <c r="K51" i="2"/>
  <c r="K33" i="2"/>
  <c r="M22" i="2"/>
  <c r="M24" i="2" s="1"/>
  <c r="M25" i="2" s="1"/>
  <c r="M33" i="2"/>
  <c r="H20" i="2"/>
  <c r="H22" i="2" s="1"/>
  <c r="H24" i="2" s="1"/>
  <c r="H25" i="2" s="1"/>
  <c r="K24" i="2"/>
  <c r="K25" i="2" s="1"/>
  <c r="L51" i="2"/>
  <c r="I22" i="2"/>
  <c r="I24" i="2" s="1"/>
  <c r="I25" i="2" s="1"/>
  <c r="L20" i="2"/>
  <c r="L22" i="2" s="1"/>
  <c r="L24" i="2" s="1"/>
  <c r="L25" i="2" s="1"/>
  <c r="S29" i="2" l="1"/>
  <c r="S20" i="2"/>
  <c r="S22" i="2" s="1"/>
  <c r="S24" i="2" s="1"/>
  <c r="S25" i="2" s="1"/>
</calcChain>
</file>

<file path=xl/sharedStrings.xml><?xml version="1.0" encoding="utf-8"?>
<sst xmlns="http://schemas.openxmlformats.org/spreadsheetml/2006/main" count="83" uniqueCount="72">
  <si>
    <t>Price</t>
  </si>
  <si>
    <t>Shares</t>
  </si>
  <si>
    <t>MC</t>
  </si>
  <si>
    <t>Cash</t>
  </si>
  <si>
    <t>Debt</t>
  </si>
  <si>
    <t>EV</t>
  </si>
  <si>
    <t>Main</t>
  </si>
  <si>
    <t>Revenue</t>
  </si>
  <si>
    <t>Sales</t>
  </si>
  <si>
    <t>Membership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</si>
  <si>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</si>
  <si>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</si>
  <si>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</si>
  <si>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</si>
  <si>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</si>
  <si>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</si>
  <si>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</si>
  <si>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</si>
  <si>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</si>
  <si>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</si>
  <si>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</si>
  <si>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</si>
  <si>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Profit</t>
  </si>
  <si>
    <t>COGS</t>
  </si>
  <si>
    <t>SG&amp;A</t>
  </si>
  <si>
    <t>Operating Income</t>
  </si>
  <si>
    <t>Pretax Income</t>
  </si>
  <si>
    <t>Interest Income</t>
  </si>
  <si>
    <t>Taxes</t>
  </si>
  <si>
    <t>Net Income</t>
  </si>
  <si>
    <t>EPS</t>
  </si>
  <si>
    <t>Assets</t>
  </si>
  <si>
    <t>OLTA</t>
  </si>
  <si>
    <t>Goodwill</t>
  </si>
  <si>
    <t>Lease</t>
  </si>
  <si>
    <t>PP&amp;E</t>
  </si>
  <si>
    <t>Prepaids</t>
  </si>
  <si>
    <t>Inventories</t>
  </si>
  <si>
    <t>Receivables</t>
  </si>
  <si>
    <t>Leases</t>
  </si>
  <si>
    <t>AP</t>
  </si>
  <si>
    <t>Dividends</t>
  </si>
  <si>
    <t>Liabilities</t>
  </si>
  <si>
    <t>S/E</t>
  </si>
  <si>
    <t>L+S/E</t>
  </si>
  <si>
    <t>Net Cash</t>
  </si>
  <si>
    <t>Revenue y/y</t>
  </si>
  <si>
    <t>Stores</t>
  </si>
  <si>
    <t>US</t>
  </si>
  <si>
    <t>International</t>
  </si>
  <si>
    <t>Distribution Facilities</t>
  </si>
  <si>
    <t>SSS</t>
  </si>
  <si>
    <t>Gross Margin</t>
  </si>
  <si>
    <t>Operating Margin</t>
  </si>
  <si>
    <t>Tax Rate</t>
  </si>
  <si>
    <t>Model NI</t>
  </si>
  <si>
    <t>Reported NI</t>
  </si>
  <si>
    <t>D&amp;A</t>
  </si>
  <si>
    <t>Unrealized</t>
  </si>
  <si>
    <t>DT</t>
  </si>
  <si>
    <t>Other</t>
  </si>
  <si>
    <t>WC</t>
  </si>
  <si>
    <t>CFFO</t>
  </si>
  <si>
    <t>CapEx</t>
  </si>
  <si>
    <t>CFFI</t>
  </si>
  <si>
    <t>Acquisitions</t>
  </si>
  <si>
    <t>FCF</t>
  </si>
  <si>
    <t>CIC</t>
  </si>
  <si>
    <t>FX</t>
  </si>
  <si>
    <t>CFFF</t>
  </si>
  <si>
    <t>Buyback</t>
  </si>
  <si>
    <t>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</si>
</sst>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m/d/yy;@"/>
    <numFmt numFmtId="167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1"/>
    <xf numFmtId="9" fontId="0" fillId="0" borderId="0" xfId="0" applyNumberFormat="1" applyAlignment="1">
      <alignment horizontal="right"/>
    </xf>
    <xf numFmtId="3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EB9C06C-BAEF-492A-9F3D-C094C13BBD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25066</xdr:colOff>
      <xdr:row>0</xdr:row>
      <xdr:rowOff>0</xdr:rowOff>
    </xdr:from>
    <xdr:to>
      <xdr:col>13</xdr:col>
      <xdr:colOff>25066</xdr:colOff>
      <xdr:row>83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618BC4-DEA2-F0F7-0F00-611D0C75E710}"/>
            </a:ext>
          </a:extLst>
        </xdr:cNvPr>
        <xdr:cNvCxnSpPr/>
      </xdr:nvCxnSpPr>
      <xdr:spPr>
        <a:xfrm>
          <a:off x="8254666" y="0"/>
          <a:ext cx="0" cy="136615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16329</xdr:colOff>
      <xdr:row>0</xdr:row>
      <xdr:rowOff>43543</xdr:rowOff>
    </xdr:from>
    <xdr:to>
      <xdr:col>20</xdr:col>
      <xdr:colOff>16329</xdr:colOff>
      <xdr:row>81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A4A234A-0D54-68BF-F5D8-390083DBF4E1}"/>
            </a:ext>
          </a:extLst>
        </xdr:cNvPr>
        <xdr:cNvCxnSpPr/>
      </xdr:nvCxnSpPr>
      <xdr:spPr>
        <a:xfrm>
          <a:off x="12513129" y="43543"/>
          <a:ext cx="0" cy="13220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B72F-94E0-4E69-B93D-80B7A904758A}">
  <dimension ref="J2:L8"/>
  <sheetViews>
    <sheetView tabSelected="1" zoomScale="175" zoomScaleNormal="175" workbookViewId="0">
      <selection activeCell="K2" sqref="K2"/>
    </sheetView>
  </sheetViews>
  <sheetFormatPr defaultRowHeight="12.75" x14ac:dyDescent="0.2"/>
  <sheetData>
    <row r="2" spans="10:12" x14ac:dyDescent="0.2">
      <c r="J2" t="s">
        <v>0</v>
      </c>
      <c r="K2" s="1">
        <v>95.98</v>
      </c>
    </row>
    <row r="3" spans="10:12" x14ac:dyDescent="0.2">
      <c r="J3" t="s">
        <v>1</v>
      </c>
      <c r="K3" s="5">
        <v>8082</v>
      </c>
      <c r="L3" s="2" t="s">
        <v>20</v>
      </c>
    </row>
    <row r="4" spans="10:12" x14ac:dyDescent="0.2">
      <c r="J4" t="s">
        <v>2</v>
      </c>
      <c r="K4" s="5">
        <f>+K2*K3</f>
        <v>775710.36</v>
      </c>
    </row>
    <row r="5" spans="10:12" x14ac:dyDescent="0.2">
      <c r="J5" t="s">
        <v>3</v>
      </c>
      <c r="K5" s="5">
        <v>10049</v>
      </c>
      <c r="L5" s="2" t="s">
        <v>20</v>
      </c>
    </row>
    <row r="6" spans="10:12" x14ac:dyDescent="0.2">
      <c r="J6" t="s">
        <v>4</v>
      </c>
      <c r="K6" s="5">
        <v>40470</v>
      </c>
      <c r="L6" s="2" t="s">
        <v>20</v>
      </c>
    </row>
    <row r="7" spans="10:12" x14ac:dyDescent="0.2">
      <c r="J7" t="s">
        <v>5</v>
      </c>
      <c r="K7" s="5">
        <f>+K4-K5+K6</f>
        <v>806131.36</v>
      </c>
    </row>
    <row r="8" spans="10:12" x14ac:dyDescent="0.2">
      <c r="K8">
        <f>+K7/18000</f>
        <v>44.785075555555558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EDCC-E7E4-47DB-A1BC-9901E0492214}">
  <dimension ref="A1:X78"/>
  <sheetViews>
    <sheetView zoomScale="175" zoomScaleNormal="175" workbookViewId="0">
      <pane xSplit="2" ySplit="3" topLeftCell="R61" activePane="bottomRight" state="frozen"/>
      <selection pane="topRight" activeCell="C1" sqref="C1"/>
      <selection pane="bottomLeft" activeCell="A3" sqref="A3"/>
      <selection pane="bottomRight" activeCell="U78" sqref="U78"/>
    </sheetView>
  </sheetViews>
  <sheetFormatPr defaultRowHeight="12.75" x14ac:dyDescent="0.2"/>
  <cols>
    <col min="1" max="1" width="5" bestFit="1" customWidth="1"/>
    <col min="2" max="2" width="16.5703125" customWidth="1"/>
    <col min="3" max="12" width="9.140625" style="2"/>
    <col min="13" max="13" width="10.42578125" style="2" bestFit="1" customWidth="1"/>
    <col min="14" max="14" width="9.140625" style="2"/>
  </cols>
  <sheetData>
    <row r="1" spans="1:24" x14ac:dyDescent="0.2">
      <c r="A1" s="12" t="s">
        <v>6</v>
      </c>
    </row>
    <row r="2" spans="1:24" s="3" customFormat="1" x14ac:dyDescent="0.2">
      <c r="C2" s="4"/>
      <c r="D2" s="4"/>
      <c r="E2" s="4"/>
      <c r="F2" s="4"/>
      <c r="G2" s="4">
        <v>45046</v>
      </c>
      <c r="H2" s="4">
        <v>45504</v>
      </c>
      <c r="I2" s="4">
        <v>45230</v>
      </c>
      <c r="J2" s="4">
        <v>45322</v>
      </c>
      <c r="K2" s="4">
        <v>45412</v>
      </c>
      <c r="L2" s="4">
        <v>45504</v>
      </c>
      <c r="M2" s="4">
        <v>45596</v>
      </c>
      <c r="N2" s="4">
        <v>45688</v>
      </c>
      <c r="R2" s="3">
        <v>44592</v>
      </c>
      <c r="S2" s="3">
        <v>44957</v>
      </c>
      <c r="T2" s="3">
        <f>+S2+365</f>
        <v>45322</v>
      </c>
      <c r="U2" s="3">
        <f>+T2+366</f>
        <v>45688</v>
      </c>
      <c r="V2" s="3">
        <f>+U2+365</f>
        <v>46053</v>
      </c>
      <c r="W2" s="3">
        <f>+V2+365</f>
        <v>46418</v>
      </c>
      <c r="X2" s="3">
        <f>+W2+365</f>
        <v>46783</v>
      </c>
    </row>
    <row r="3" spans="1:24" x14ac:dyDescent="0.2"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</row>
    <row r="4" spans="1:24" s="5" customFormat="1" x14ac:dyDescent="0.2">
      <c r="C4" s="6"/>
      <c r="D4" s="6"/>
      <c r="E4" s="6"/>
      <c r="F4" s="6"/>
      <c r="G4" s="6"/>
      <c r="H4" s="6"/>
      <c r="I4" s="6"/>
      <c r="J4" s="5">
        <v>3560</v>
      </c>
      <c r="K4" s="6"/>
      <c r="L4" s="6"/>
      <c r="M4" s="6"/>
      <c r="T4" s="5">
        <v>3560</v>
      </c>
    </row>
    <row r="5" spans="1:24" s="5" customFormat="1" x14ac:dyDescent="0.2">
      <c r="C5" s="6"/>
      <c r="D5" s="6"/>
      <c r="E5" s="6"/>
      <c r="F5" s="6"/>
      <c r="G5" s="6"/>
      <c r="H5" s="6"/>
      <c r="I5" s="6"/>
      <c r="J5" s="5">
        <v>360</v>
      </c>
      <c r="K5" s="6"/>
      <c r="L5" s="6"/>
      <c r="M5" s="6"/>
      <c r="T5" s="5">
        <v>360</v>
      </c>
    </row>
    <row r="6" spans="1:24" s="5" customFormat="1" x14ac:dyDescent="0.2">
      <c r="C6" s="6"/>
      <c r="D6" s="6"/>
      <c r="E6" s="6"/>
      <c r="F6" s="6"/>
      <c r="G6" s="6"/>
      <c r="H6" s="6"/>
      <c r="I6" s="6"/>
      <c r="J6" s="5">
        <v>695</v>
      </c>
      <c r="K6" s="6"/>
      <c r="L6" s="6"/>
      <c r="M6" s="6"/>
      <c r="T6" s="5">
        <v>695</v>
      </c>
    </row>
    <row r="7" spans="1:24" s="5" customFormat="1" x14ac:dyDescent="0.2">
      <c r="C7" s="6"/>
      <c r="D7" s="6"/>
      <c r="E7" s="6"/>
      <c r="F7" s="6"/>
      <c r="G7" s="6"/>
      <c r="H7" s="6"/>
      <c r="I7" s="6"/>
      <c r="J7" s="5">
        <v>599</v>
      </c>
      <c r="K7" s="6"/>
      <c r="L7" s="6"/>
      <c r="M7" s="6"/>
      <c r="T7" s="5">
        <v>599</v>
      </c>
    </row>
    <row r="8" spans="1:24" s="5" customFormat="1" x14ac:dyDescent="0.2">
      <c r="B8" s="5" t="s">
        <v>48</v>
      </c>
      <c r="C8" s="6"/>
      <c r="D8" s="6"/>
      <c r="E8" s="6"/>
      <c r="F8" s="6"/>
      <c r="G8" s="6"/>
      <c r="H8" s="6"/>
      <c r="I8" s="6"/>
      <c r="J8" s="14">
        <f>SUM(J4:J7)</f>
        <v>5214</v>
      </c>
      <c r="K8" s="6"/>
      <c r="L8" s="6"/>
      <c r="M8" s="6"/>
      <c r="N8" s="14"/>
      <c r="T8" s="14">
        <f>SUM(T4:T7)</f>
        <v>5214</v>
      </c>
    </row>
    <row r="9" spans="1:24" s="5" customFormat="1" x14ac:dyDescent="0.2">
      <c r="B9" s="5" t="s">
        <v>49</v>
      </c>
      <c r="C9" s="6"/>
      <c r="D9" s="6"/>
      <c r="E9" s="6"/>
      <c r="F9" s="6"/>
      <c r="G9" s="6"/>
      <c r="H9" s="6"/>
      <c r="I9" s="6"/>
      <c r="J9" s="14">
        <v>5402</v>
      </c>
      <c r="K9" s="6"/>
      <c r="L9" s="6"/>
      <c r="M9" s="6"/>
      <c r="N9" s="14"/>
      <c r="T9" s="14">
        <v>5402</v>
      </c>
    </row>
    <row r="10" spans="1:24" s="5" customFormat="1" x14ac:dyDescent="0.2">
      <c r="B10" s="5" t="s">
        <v>47</v>
      </c>
      <c r="C10" s="6"/>
      <c r="D10" s="6"/>
      <c r="E10" s="6"/>
      <c r="F10" s="6"/>
      <c r="G10" s="6"/>
      <c r="H10" s="6"/>
      <c r="I10" s="6"/>
      <c r="J10" s="6">
        <f>+J9+J8</f>
        <v>10616</v>
      </c>
      <c r="K10" s="6"/>
      <c r="L10" s="6"/>
      <c r="M10" s="6"/>
      <c r="N10" s="6"/>
      <c r="T10" s="6">
        <f>+T9+T8</f>
        <v>10616</v>
      </c>
    </row>
    <row r="11" spans="1:24" s="5" customFormat="1" x14ac:dyDescent="0.2">
      <c r="B11" s="5" t="s">
        <v>50</v>
      </c>
      <c r="C11" s="6"/>
      <c r="D11" s="6"/>
      <c r="E11" s="6"/>
      <c r="F11" s="6"/>
      <c r="G11" s="6"/>
      <c r="H11" s="6"/>
      <c r="I11" s="6"/>
      <c r="J11" s="6">
        <v>368</v>
      </c>
      <c r="K11" s="6"/>
      <c r="L11" s="6"/>
      <c r="M11" s="6"/>
      <c r="N11" s="6"/>
      <c r="T11" s="6">
        <v>368</v>
      </c>
    </row>
    <row r="12" spans="1:24" s="5" customFormat="1" x14ac:dyDescent="0.2">
      <c r="B12" s="5" t="s">
        <v>51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S12" s="15">
        <v>8.2000000000000003E-2</v>
      </c>
      <c r="T12" s="16">
        <v>4.9000000000000002E-2</v>
      </c>
    </row>
    <row r="14" spans="1:24" s="5" customFormat="1" x14ac:dyDescent="0.2">
      <c r="B14" s="5" t="s">
        <v>8</v>
      </c>
      <c r="C14" s="6"/>
      <c r="D14" s="6"/>
      <c r="E14" s="6"/>
      <c r="F14" s="6"/>
      <c r="G14" s="6">
        <v>151004</v>
      </c>
      <c r="H14" s="6">
        <v>160280</v>
      </c>
      <c r="I14" s="6">
        <v>159439</v>
      </c>
      <c r="J14" s="6">
        <f>+T14-I14-H14-G14</f>
        <v>171914</v>
      </c>
      <c r="K14" s="6">
        <v>159938</v>
      </c>
      <c r="L14" s="6">
        <v>167767</v>
      </c>
      <c r="M14" s="6">
        <v>168003</v>
      </c>
      <c r="N14" s="6"/>
      <c r="R14" s="5">
        <v>567762</v>
      </c>
      <c r="S14" s="5">
        <v>605881</v>
      </c>
      <c r="T14" s="5">
        <v>642637</v>
      </c>
    </row>
    <row r="15" spans="1:24" s="5" customFormat="1" x14ac:dyDescent="0.2">
      <c r="B15" s="5" t="s">
        <v>9</v>
      </c>
      <c r="C15" s="6"/>
      <c r="D15" s="6"/>
      <c r="E15" s="6"/>
      <c r="F15" s="6"/>
      <c r="G15" s="6">
        <v>1297</v>
      </c>
      <c r="H15" s="6">
        <v>1352</v>
      </c>
      <c r="I15" s="6">
        <v>1365</v>
      </c>
      <c r="J15" s="6">
        <f>+T15-I15-H15-G15</f>
        <v>1474</v>
      </c>
      <c r="K15" s="6">
        <v>1570</v>
      </c>
      <c r="L15" s="6">
        <v>1568</v>
      </c>
      <c r="M15" s="6">
        <v>1585</v>
      </c>
      <c r="N15" s="6"/>
      <c r="R15" s="5">
        <v>4992</v>
      </c>
      <c r="S15" s="5">
        <v>5408</v>
      </c>
      <c r="T15" s="5">
        <v>5488</v>
      </c>
    </row>
    <row r="16" spans="1:24" s="7" customFormat="1" x14ac:dyDescent="0.2">
      <c r="B16" s="7" t="s">
        <v>7</v>
      </c>
      <c r="C16" s="8"/>
      <c r="D16" s="8"/>
      <c r="E16" s="8"/>
      <c r="F16" s="8"/>
      <c r="G16" s="8">
        <f>+G14+G15</f>
        <v>152301</v>
      </c>
      <c r="H16" s="8">
        <f>+H14+H15</f>
        <v>161632</v>
      </c>
      <c r="I16" s="8">
        <f>+I14+I15</f>
        <v>160804</v>
      </c>
      <c r="J16" s="8">
        <f>+J14+J15</f>
        <v>173388</v>
      </c>
      <c r="K16" s="8">
        <f>+K14+K15</f>
        <v>161508</v>
      </c>
      <c r="L16" s="8">
        <f>+L14+L15</f>
        <v>169335</v>
      </c>
      <c r="M16" s="8">
        <f>+M14+M15</f>
        <v>169588</v>
      </c>
      <c r="N16" s="8"/>
      <c r="R16" s="7">
        <f t="shared" ref="R16:S16" si="0">+R14+R15</f>
        <v>572754</v>
      </c>
      <c r="S16" s="7">
        <f t="shared" si="0"/>
        <v>611289</v>
      </c>
      <c r="T16" s="7">
        <f>+T14+T15</f>
        <v>648125</v>
      </c>
    </row>
    <row r="17" spans="2:20" s="5" customFormat="1" x14ac:dyDescent="0.2">
      <c r="B17" s="5" t="s">
        <v>23</v>
      </c>
      <c r="C17" s="6"/>
      <c r="D17" s="6"/>
      <c r="E17" s="6"/>
      <c r="F17" s="6"/>
      <c r="G17" s="6">
        <v>115284</v>
      </c>
      <c r="H17" s="6">
        <v>121850</v>
      </c>
      <c r="I17" s="6">
        <v>121183</v>
      </c>
      <c r="J17" s="6">
        <f>+T17-I17-H17-G17</f>
        <v>131825</v>
      </c>
      <c r="K17" s="6">
        <v>121431</v>
      </c>
      <c r="L17" s="6">
        <v>126810</v>
      </c>
      <c r="M17" s="6">
        <v>127340</v>
      </c>
      <c r="N17" s="6"/>
      <c r="R17" s="5">
        <v>429000</v>
      </c>
      <c r="S17" s="5">
        <v>463721</v>
      </c>
      <c r="T17" s="5">
        <v>490142</v>
      </c>
    </row>
    <row r="18" spans="2:20" s="5" customFormat="1" x14ac:dyDescent="0.2">
      <c r="B18" s="5" t="s">
        <v>22</v>
      </c>
      <c r="C18" s="6"/>
      <c r="D18" s="6"/>
      <c r="E18" s="6"/>
      <c r="F18" s="6"/>
      <c r="G18" s="6">
        <f>+G16-G17</f>
        <v>37017</v>
      </c>
      <c r="H18" s="6">
        <f>+H16-H17</f>
        <v>39782</v>
      </c>
      <c r="I18" s="6">
        <f>+I16-I17</f>
        <v>39621</v>
      </c>
      <c r="J18" s="6">
        <f>+J16-J17</f>
        <v>41563</v>
      </c>
      <c r="K18" s="6">
        <f>+K16-K17</f>
        <v>40077</v>
      </c>
      <c r="L18" s="6">
        <f>+L16-L17</f>
        <v>42525</v>
      </c>
      <c r="M18" s="6">
        <f>+M16-M17</f>
        <v>42248</v>
      </c>
      <c r="N18" s="6"/>
      <c r="R18" s="5">
        <f t="shared" ref="R18:S18" si="1">+R16-R17</f>
        <v>143754</v>
      </c>
      <c r="S18" s="5">
        <f t="shared" si="1"/>
        <v>147568</v>
      </c>
      <c r="T18" s="5">
        <f>+T16-T17</f>
        <v>157983</v>
      </c>
    </row>
    <row r="19" spans="2:20" s="5" customFormat="1" x14ac:dyDescent="0.2">
      <c r="B19" s="5" t="s">
        <v>24</v>
      </c>
      <c r="C19" s="6"/>
      <c r="D19" s="6"/>
      <c r="E19" s="6"/>
      <c r="F19" s="6"/>
      <c r="G19" s="6">
        <v>30777</v>
      </c>
      <c r="H19" s="6">
        <v>32466</v>
      </c>
      <c r="I19" s="6">
        <v>33419</v>
      </c>
      <c r="J19" s="6">
        <f>+T19-I19-H19-G19</f>
        <v>34309</v>
      </c>
      <c r="K19" s="6">
        <v>33236</v>
      </c>
      <c r="L19" s="6">
        <v>34585</v>
      </c>
      <c r="M19" s="6">
        <v>35540</v>
      </c>
      <c r="N19" s="6"/>
      <c r="R19" s="5">
        <v>117812</v>
      </c>
      <c r="S19" s="5">
        <v>127140</v>
      </c>
      <c r="T19" s="5">
        <v>130971</v>
      </c>
    </row>
    <row r="20" spans="2:20" x14ac:dyDescent="0.2">
      <c r="B20" s="5" t="s">
        <v>25</v>
      </c>
      <c r="G20" s="6">
        <f>+G18-G19</f>
        <v>6240</v>
      </c>
      <c r="H20" s="6">
        <f>+H18-H19</f>
        <v>7316</v>
      </c>
      <c r="I20" s="6">
        <f>+I18-I19</f>
        <v>6202</v>
      </c>
      <c r="J20" s="6">
        <f>+J18-J19</f>
        <v>7254</v>
      </c>
      <c r="K20" s="6">
        <f>+K18-K19</f>
        <v>6841</v>
      </c>
      <c r="L20" s="6">
        <f>+L18-L19</f>
        <v>7940</v>
      </c>
      <c r="M20" s="6">
        <f>+M18-M19</f>
        <v>6708</v>
      </c>
      <c r="R20" s="5">
        <f t="shared" ref="R20:S20" si="2">+R18-R19</f>
        <v>25942</v>
      </c>
      <c r="S20" s="5">
        <f t="shared" si="2"/>
        <v>20428</v>
      </c>
      <c r="T20" s="5">
        <f>+T18-T19</f>
        <v>27012</v>
      </c>
    </row>
    <row r="21" spans="2:20" x14ac:dyDescent="0.2">
      <c r="B21" s="5" t="s">
        <v>27</v>
      </c>
      <c r="G21" s="6">
        <f>-557-2995</f>
        <v>-3552</v>
      </c>
      <c r="H21" s="6">
        <f>-494+3905</f>
        <v>3411</v>
      </c>
      <c r="I21" s="2">
        <f>-572-110+145</f>
        <v>-537</v>
      </c>
      <c r="J21" s="6">
        <f>+T21-I21-H21-G21</f>
        <v>-4486</v>
      </c>
      <c r="K21" s="6">
        <f>-600+794</f>
        <v>194</v>
      </c>
      <c r="L21" s="6">
        <f>-565-1162</f>
        <v>-1727</v>
      </c>
      <c r="M21" s="2">
        <f>-496-122+140-132</f>
        <v>-610</v>
      </c>
      <c r="R21" s="5">
        <f>-1836-3000</f>
        <v>-4836</v>
      </c>
      <c r="S21" s="5">
        <f>-1874-1538</f>
        <v>-3412</v>
      </c>
      <c r="T21" s="5">
        <f>-2137-3027</f>
        <v>-5164</v>
      </c>
    </row>
    <row r="22" spans="2:20" s="5" customFormat="1" x14ac:dyDescent="0.2">
      <c r="B22" s="5" t="s">
        <v>26</v>
      </c>
      <c r="C22" s="6"/>
      <c r="D22" s="6"/>
      <c r="E22" s="6"/>
      <c r="F22" s="6"/>
      <c r="G22" s="6">
        <f>+G20+G21</f>
        <v>2688</v>
      </c>
      <c r="H22" s="6">
        <f>+H20+H21</f>
        <v>10727</v>
      </c>
      <c r="I22" s="6">
        <f t="shared" ref="I22:J22" si="3">+I20+I21</f>
        <v>5665</v>
      </c>
      <c r="J22" s="6">
        <f>+J20+J21</f>
        <v>2768</v>
      </c>
      <c r="K22" s="6">
        <f>+K20+K21</f>
        <v>7035</v>
      </c>
      <c r="L22" s="6">
        <f>+L20+L21</f>
        <v>6213</v>
      </c>
      <c r="M22" s="6">
        <f>+M20+M21</f>
        <v>6098</v>
      </c>
      <c r="N22" s="6"/>
      <c r="R22" s="5">
        <f>+R20+R21</f>
        <v>21106</v>
      </c>
      <c r="S22" s="5">
        <f>+S20+S21</f>
        <v>17016</v>
      </c>
      <c r="T22" s="5">
        <f>+T20+T21</f>
        <v>21848</v>
      </c>
    </row>
    <row r="23" spans="2:20" s="5" customFormat="1" x14ac:dyDescent="0.2">
      <c r="B23" s="5" t="s">
        <v>28</v>
      </c>
      <c r="C23" s="6"/>
      <c r="D23" s="6"/>
      <c r="E23" s="6"/>
      <c r="F23" s="6"/>
      <c r="G23" s="6">
        <f>792+223</f>
        <v>1015</v>
      </c>
      <c r="H23" s="6">
        <f>2674+162</f>
        <v>2836</v>
      </c>
      <c r="I23" s="6">
        <v>272</v>
      </c>
      <c r="J23" s="6">
        <f>+T23-I23-H23-G23</f>
        <v>2214</v>
      </c>
      <c r="K23" s="6">
        <f>1728+203</f>
        <v>1931</v>
      </c>
      <c r="L23" s="6">
        <f>1502+210</f>
        <v>1712</v>
      </c>
      <c r="M23" s="6">
        <v>1384</v>
      </c>
      <c r="N23" s="6"/>
      <c r="R23" s="5">
        <f>4756+267</f>
        <v>5023</v>
      </c>
      <c r="S23" s="5">
        <f>5724-388</f>
        <v>5336</v>
      </c>
      <c r="T23" s="5">
        <f>5578+759</f>
        <v>6337</v>
      </c>
    </row>
    <row r="24" spans="2:20" s="5" customFormat="1" x14ac:dyDescent="0.2">
      <c r="B24" s="5" t="s">
        <v>29</v>
      </c>
      <c r="C24" s="6"/>
      <c r="D24" s="6"/>
      <c r="E24" s="6"/>
      <c r="F24" s="6"/>
      <c r="G24" s="6">
        <f t="shared" ref="G24:M24" si="4">+G22-G23</f>
        <v>1673</v>
      </c>
      <c r="H24" s="6">
        <f t="shared" si="4"/>
        <v>7891</v>
      </c>
      <c r="I24" s="6">
        <f>+I22-I23</f>
        <v>5393</v>
      </c>
      <c r="J24" s="6">
        <f>+J22-J23</f>
        <v>554</v>
      </c>
      <c r="K24" s="6">
        <f t="shared" si="4"/>
        <v>5104</v>
      </c>
      <c r="L24" s="6">
        <f t="shared" si="4"/>
        <v>4501</v>
      </c>
      <c r="M24" s="6">
        <f t="shared" si="4"/>
        <v>4714</v>
      </c>
      <c r="N24" s="6"/>
      <c r="R24" s="5">
        <f t="shared" ref="R24:S24" si="5">+R22-R23</f>
        <v>16083</v>
      </c>
      <c r="S24" s="5">
        <f t="shared" si="5"/>
        <v>11680</v>
      </c>
      <c r="T24" s="5">
        <f>+T22-T23</f>
        <v>15511</v>
      </c>
    </row>
    <row r="25" spans="2:20" x14ac:dyDescent="0.2">
      <c r="B25" s="5" t="s">
        <v>30</v>
      </c>
      <c r="G25" s="9">
        <f>+G24/G26</f>
        <v>0.20623767258382644</v>
      </c>
      <c r="H25" s="9">
        <f>+H24/H26</f>
        <v>0.97323630981746423</v>
      </c>
      <c r="I25" s="9">
        <f>+I24/I26</f>
        <v>0.66498150431565972</v>
      </c>
      <c r="J25" s="9">
        <f>+J24/J26</f>
        <v>6.8327577701036007E-2</v>
      </c>
      <c r="K25" s="9">
        <f>+K24/K26</f>
        <v>0.63137060860959926</v>
      </c>
      <c r="L25" s="9">
        <f>+L24/L26</f>
        <v>0.55698552159386217</v>
      </c>
      <c r="M25" s="9">
        <f>+M24/M26</f>
        <v>0.58327146745854985</v>
      </c>
      <c r="R25" s="1">
        <f>+R24/R26</f>
        <v>1.9112299465240641</v>
      </c>
      <c r="S25" s="1">
        <f t="shared" ref="S25:T25" si="6">+S24/S26</f>
        <v>1.4240429163618629</v>
      </c>
      <c r="T25" s="1">
        <f t="shared" si="6"/>
        <v>1.9130488406512087</v>
      </c>
    </row>
    <row r="26" spans="2:20" s="5" customFormat="1" x14ac:dyDescent="0.2">
      <c r="B26" s="5" t="s">
        <v>1</v>
      </c>
      <c r="C26" s="6"/>
      <c r="D26" s="6"/>
      <c r="E26" s="6"/>
      <c r="F26" s="6"/>
      <c r="G26" s="6">
        <v>8112</v>
      </c>
      <c r="H26" s="6">
        <v>8108</v>
      </c>
      <c r="I26" s="6">
        <v>8110</v>
      </c>
      <c r="J26" s="6">
        <f>T26</f>
        <v>8108</v>
      </c>
      <c r="K26" s="6">
        <v>8084</v>
      </c>
      <c r="L26" s="6">
        <v>8081</v>
      </c>
      <c r="M26" s="6">
        <v>8082</v>
      </c>
      <c r="N26" s="6"/>
      <c r="R26" s="5">
        <v>8415</v>
      </c>
      <c r="S26" s="5">
        <v>8202</v>
      </c>
      <c r="T26" s="5">
        <v>8108</v>
      </c>
    </row>
    <row r="28" spans="2:20" x14ac:dyDescent="0.2">
      <c r="B28" s="5" t="s">
        <v>46</v>
      </c>
      <c r="K28" s="13">
        <f>K16/G16-1</f>
        <v>6.045265625307783E-2</v>
      </c>
      <c r="L28" s="13">
        <f>L16/H16-1</f>
        <v>4.765764205107903E-2</v>
      </c>
      <c r="M28" s="13">
        <f>M16/I16-1</f>
        <v>5.4625506828188453E-2</v>
      </c>
      <c r="S28" s="11">
        <f>+S16/R16-1</f>
        <v>6.7280193590965709E-2</v>
      </c>
      <c r="T28" s="11">
        <f>+T16/S16-1</f>
        <v>6.02595499019285E-2</v>
      </c>
    </row>
    <row r="29" spans="2:20" x14ac:dyDescent="0.2">
      <c r="B29" s="5" t="s">
        <v>52</v>
      </c>
      <c r="G29" s="13">
        <f t="shared" ref="G29:I29" si="7">+G18/G16</f>
        <v>0.24305158863040952</v>
      </c>
      <c r="H29" s="13">
        <f t="shared" si="7"/>
        <v>0.24612700455355374</v>
      </c>
      <c r="I29" s="13">
        <f t="shared" si="7"/>
        <v>0.24639312454914056</v>
      </c>
      <c r="K29" s="13">
        <f>+K18/K16</f>
        <v>0.24814250687272457</v>
      </c>
      <c r="L29" s="13">
        <f t="shared" ref="L29:M29" si="8">+L18/L16</f>
        <v>0.25112941801753919</v>
      </c>
      <c r="M29" s="13">
        <f t="shared" si="8"/>
        <v>0.24912140009906361</v>
      </c>
      <c r="R29" s="13">
        <f t="shared" ref="R29:T29" si="9">+R18/R16</f>
        <v>0.25098733487675334</v>
      </c>
      <c r="S29" s="13">
        <f t="shared" si="9"/>
        <v>0.24140463839525986</v>
      </c>
      <c r="T29" s="13">
        <f t="shared" si="9"/>
        <v>0.24375390549662487</v>
      </c>
    </row>
    <row r="30" spans="2:20" x14ac:dyDescent="0.2">
      <c r="B30" s="5" t="s">
        <v>53</v>
      </c>
      <c r="G30" s="13">
        <f t="shared" ref="G30:M30" si="10">+G20/G16</f>
        <v>4.0971497232454156E-2</v>
      </c>
      <c r="H30" s="13">
        <f t="shared" si="10"/>
        <v>4.5263314195208869E-2</v>
      </c>
      <c r="I30" s="13">
        <f t="shared" si="10"/>
        <v>3.8568692321086541E-2</v>
      </c>
      <c r="J30" s="13"/>
      <c r="K30" s="13">
        <f t="shared" si="10"/>
        <v>4.2357034945637369E-2</v>
      </c>
      <c r="L30" s="13">
        <f t="shared" si="10"/>
        <v>4.6889302270646943E-2</v>
      </c>
      <c r="M30" s="13">
        <f t="shared" si="10"/>
        <v>3.9554685473028754E-2</v>
      </c>
      <c r="R30" s="13">
        <f t="shared" ref="R30:T30" si="11">+R20/R16</f>
        <v>4.5293441861602016E-2</v>
      </c>
      <c r="S30" s="13">
        <f t="shared" si="11"/>
        <v>3.3417908714208827E-2</v>
      </c>
      <c r="T30" s="13">
        <f>+T20/T16</f>
        <v>4.16771456123433E-2</v>
      </c>
    </row>
    <row r="31" spans="2:20" x14ac:dyDescent="0.2">
      <c r="B31" s="5" t="s">
        <v>54</v>
      </c>
      <c r="G31" s="13">
        <f>+G23/G22</f>
        <v>0.37760416666666669</v>
      </c>
      <c r="H31" s="13">
        <f t="shared" ref="H31:N31" si="12">+H23/H22</f>
        <v>0.26437960287125944</v>
      </c>
      <c r="I31" s="13">
        <f t="shared" si="12"/>
        <v>4.8014121800529566E-2</v>
      </c>
      <c r="J31" s="13"/>
      <c r="K31" s="13">
        <f t="shared" si="12"/>
        <v>0.27448471926083867</v>
      </c>
      <c r="L31" s="13">
        <f t="shared" si="12"/>
        <v>0.27555126347980041</v>
      </c>
      <c r="M31" s="13">
        <f t="shared" si="12"/>
        <v>0.22695965890455888</v>
      </c>
      <c r="N31" s="13"/>
      <c r="R31" s="13"/>
      <c r="S31" s="13"/>
      <c r="T31" s="13"/>
    </row>
    <row r="33" spans="2:20" x14ac:dyDescent="0.2">
      <c r="B33" s="5" t="s">
        <v>45</v>
      </c>
      <c r="J33" s="6">
        <f>+J34-J44</f>
        <v>-30590</v>
      </c>
      <c r="K33" s="6">
        <f>+K34-K44</f>
        <v>-33845</v>
      </c>
      <c r="L33" s="6">
        <f>+L34-L44</f>
        <v>-31243</v>
      </c>
      <c r="M33" s="6">
        <f>+M34-M44</f>
        <v>-30421</v>
      </c>
      <c r="T33" s="5">
        <f>+T34-T44</f>
        <v>-30590</v>
      </c>
    </row>
    <row r="34" spans="2:20" s="5" customFormat="1" x14ac:dyDescent="0.2">
      <c r="B34" s="5" t="s">
        <v>3</v>
      </c>
      <c r="C34" s="6"/>
      <c r="D34" s="6"/>
      <c r="E34" s="6"/>
      <c r="F34" s="6"/>
      <c r="G34" s="6"/>
      <c r="H34" s="6"/>
      <c r="I34" s="6"/>
      <c r="J34" s="6">
        <v>9867</v>
      </c>
      <c r="K34" s="6">
        <v>9405</v>
      </c>
      <c r="L34" s="6">
        <v>8811</v>
      </c>
      <c r="M34" s="6">
        <v>10049</v>
      </c>
      <c r="N34" s="6"/>
      <c r="T34" s="5">
        <f t="shared" ref="T34:T51" si="13">+J34</f>
        <v>9867</v>
      </c>
    </row>
    <row r="35" spans="2:20" s="5" customFormat="1" x14ac:dyDescent="0.2">
      <c r="B35" s="5" t="s">
        <v>38</v>
      </c>
      <c r="C35" s="6"/>
      <c r="D35" s="6"/>
      <c r="E35" s="6"/>
      <c r="F35" s="6"/>
      <c r="G35" s="6"/>
      <c r="H35" s="6"/>
      <c r="I35" s="6"/>
      <c r="J35" s="6">
        <v>8796</v>
      </c>
      <c r="K35" s="6">
        <v>9075</v>
      </c>
      <c r="L35" s="6">
        <v>8650</v>
      </c>
      <c r="M35" s="6">
        <v>10039</v>
      </c>
      <c r="N35" s="6"/>
      <c r="T35" s="5">
        <f t="shared" si="13"/>
        <v>8796</v>
      </c>
    </row>
    <row r="36" spans="2:20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>
        <v>54892</v>
      </c>
      <c r="K36" s="6">
        <v>55382</v>
      </c>
      <c r="L36" s="6">
        <v>55611</v>
      </c>
      <c r="M36" s="6">
        <v>63302</v>
      </c>
      <c r="N36" s="6"/>
      <c r="T36" s="5">
        <f t="shared" si="13"/>
        <v>54892</v>
      </c>
    </row>
    <row r="37" spans="2:20" s="5" customFormat="1" x14ac:dyDescent="0.2">
      <c r="B37" s="5" t="s">
        <v>36</v>
      </c>
      <c r="C37" s="6"/>
      <c r="D37" s="6"/>
      <c r="E37" s="6"/>
      <c r="F37" s="6"/>
      <c r="G37" s="6"/>
      <c r="H37" s="6"/>
      <c r="I37" s="6"/>
      <c r="J37" s="10">
        <v>3322</v>
      </c>
      <c r="K37" s="6">
        <v>3290</v>
      </c>
      <c r="L37" s="6">
        <v>3438</v>
      </c>
      <c r="M37" s="6">
        <v>3548</v>
      </c>
      <c r="N37" s="6"/>
      <c r="T37" s="5">
        <f t="shared" si="13"/>
        <v>3322</v>
      </c>
    </row>
    <row r="38" spans="2:20" s="7" customFormat="1" x14ac:dyDescent="0.2">
      <c r="B38" s="7" t="s">
        <v>35</v>
      </c>
      <c r="C38" s="8"/>
      <c r="D38" s="8"/>
      <c r="E38" s="8"/>
      <c r="F38" s="8"/>
      <c r="G38" s="8"/>
      <c r="H38" s="8"/>
      <c r="I38" s="10"/>
      <c r="J38" s="10">
        <v>110810</v>
      </c>
      <c r="K38" s="10">
        <v>111498</v>
      </c>
      <c r="L38" s="10">
        <v>113818</v>
      </c>
      <c r="M38" s="10">
        <v>116598</v>
      </c>
      <c r="N38" s="8"/>
      <c r="T38" s="5">
        <f t="shared" si="13"/>
        <v>110810</v>
      </c>
    </row>
    <row r="39" spans="2:20" s="5" customFormat="1" x14ac:dyDescent="0.2">
      <c r="B39" s="5" t="s">
        <v>34</v>
      </c>
      <c r="C39" s="6"/>
      <c r="D39" s="6"/>
      <c r="E39" s="6"/>
      <c r="F39" s="6"/>
      <c r="G39" s="6"/>
      <c r="H39" s="6"/>
      <c r="I39" s="6"/>
      <c r="J39" s="6">
        <f>13673+5855</f>
        <v>19528</v>
      </c>
      <c r="K39" s="6">
        <f>13562+6285</f>
        <v>19847</v>
      </c>
      <c r="L39" s="6">
        <f>13579+6341</f>
        <v>19920</v>
      </c>
      <c r="M39" s="6">
        <f>13701+6227</f>
        <v>19928</v>
      </c>
      <c r="N39" s="6"/>
      <c r="O39" s="11"/>
      <c r="P39" s="1"/>
      <c r="T39" s="5">
        <f t="shared" si="13"/>
        <v>19528</v>
      </c>
    </row>
    <row r="40" spans="2:20" s="5" customFormat="1" x14ac:dyDescent="0.2">
      <c r="B40" s="5" t="s">
        <v>33</v>
      </c>
      <c r="C40" s="6"/>
      <c r="D40" s="6"/>
      <c r="E40" s="6"/>
      <c r="F40" s="6"/>
      <c r="G40" s="6"/>
      <c r="H40" s="6"/>
      <c r="I40" s="6"/>
      <c r="J40" s="6">
        <v>28113</v>
      </c>
      <c r="K40" s="6">
        <v>27999</v>
      </c>
      <c r="L40" s="6">
        <v>27930</v>
      </c>
      <c r="M40" s="6">
        <v>27942</v>
      </c>
      <c r="N40" s="6"/>
      <c r="T40" s="5">
        <f t="shared" si="13"/>
        <v>28113</v>
      </c>
    </row>
    <row r="41" spans="2:20" s="5" customFormat="1" x14ac:dyDescent="0.2">
      <c r="B41" s="5" t="s">
        <v>32</v>
      </c>
      <c r="C41" s="6"/>
      <c r="D41" s="6"/>
      <c r="E41" s="6"/>
      <c r="F41" s="6"/>
      <c r="G41" s="6"/>
      <c r="H41" s="6"/>
      <c r="I41" s="6"/>
      <c r="J41" s="6">
        <v>17071</v>
      </c>
      <c r="K41" s="6">
        <v>17558</v>
      </c>
      <c r="L41" s="6">
        <v>16262</v>
      </c>
      <c r="M41" s="6">
        <v>11993</v>
      </c>
      <c r="N41" s="6"/>
      <c r="T41" s="5">
        <f t="shared" si="13"/>
        <v>17071</v>
      </c>
    </row>
    <row r="42" spans="2:20" s="5" customFormat="1" x14ac:dyDescent="0.2">
      <c r="B42" s="5" t="s">
        <v>31</v>
      </c>
      <c r="C42" s="6"/>
      <c r="D42" s="6"/>
      <c r="E42" s="6"/>
      <c r="F42" s="6"/>
      <c r="G42" s="6"/>
      <c r="H42" s="6"/>
      <c r="I42" s="6"/>
      <c r="J42" s="6">
        <f>SUM(J34:J41)</f>
        <v>252399</v>
      </c>
      <c r="K42" s="6">
        <f>SUM(K34:K41)</f>
        <v>254054</v>
      </c>
      <c r="L42" s="6">
        <f>SUM(L34:L41)</f>
        <v>254440</v>
      </c>
      <c r="M42" s="6">
        <f>SUM(M34:M41)</f>
        <v>263399</v>
      </c>
      <c r="N42" s="6"/>
      <c r="T42" s="5">
        <f>SUM(T34:T41)</f>
        <v>252399</v>
      </c>
    </row>
    <row r="43" spans="2:20" x14ac:dyDescent="0.2">
      <c r="T43" s="5"/>
    </row>
    <row r="44" spans="2:20" x14ac:dyDescent="0.2">
      <c r="B44" s="5" t="s">
        <v>4</v>
      </c>
      <c r="J44" s="6">
        <f>878+36132+3447</f>
        <v>40457</v>
      </c>
      <c r="K44" s="6">
        <f>5457+35928+1865</f>
        <v>43250</v>
      </c>
      <c r="L44" s="6">
        <f>3195+35364+1495</f>
        <v>40054</v>
      </c>
      <c r="M44" s="6">
        <f>3579+3246+33645</f>
        <v>40470</v>
      </c>
      <c r="T44" s="5">
        <f t="shared" si="13"/>
        <v>40457</v>
      </c>
    </row>
    <row r="45" spans="2:20" x14ac:dyDescent="0.2">
      <c r="B45" s="5" t="s">
        <v>40</v>
      </c>
      <c r="J45" s="6">
        <v>56812</v>
      </c>
      <c r="K45" s="6">
        <v>56071</v>
      </c>
      <c r="L45" s="6">
        <v>56716</v>
      </c>
      <c r="M45" s="6">
        <v>62863</v>
      </c>
      <c r="T45" s="5">
        <f t="shared" si="13"/>
        <v>56812</v>
      </c>
    </row>
    <row r="46" spans="2:20" x14ac:dyDescent="0.2">
      <c r="B46" s="5" t="s">
        <v>41</v>
      </c>
      <c r="J46" s="6">
        <v>0</v>
      </c>
      <c r="K46" s="6">
        <v>5013</v>
      </c>
      <c r="L46" s="6">
        <v>3343</v>
      </c>
      <c r="M46" s="6">
        <v>1674</v>
      </c>
      <c r="T46" s="5">
        <f t="shared" si="13"/>
        <v>0</v>
      </c>
    </row>
    <row r="47" spans="2:20" x14ac:dyDescent="0.2">
      <c r="B47" s="5" t="s">
        <v>42</v>
      </c>
      <c r="J47" s="6">
        <v>28759</v>
      </c>
      <c r="K47" s="6">
        <v>24092</v>
      </c>
      <c r="L47" s="6">
        <v>27656</v>
      </c>
      <c r="M47" s="6">
        <v>28117</v>
      </c>
      <c r="T47" s="5">
        <f t="shared" si="13"/>
        <v>28759</v>
      </c>
    </row>
    <row r="48" spans="2:20" x14ac:dyDescent="0.2">
      <c r="B48" s="5" t="s">
        <v>28</v>
      </c>
      <c r="J48" s="6">
        <f>307+14629</f>
        <v>14936</v>
      </c>
      <c r="K48" s="6">
        <f>1276+14849</f>
        <v>16125</v>
      </c>
      <c r="L48" s="6">
        <f>576+14072</f>
        <v>14648</v>
      </c>
      <c r="M48" s="6">
        <f>783+13748</f>
        <v>14531</v>
      </c>
      <c r="T48" s="5">
        <f t="shared" si="13"/>
        <v>14936</v>
      </c>
    </row>
    <row r="49" spans="2:20" x14ac:dyDescent="0.2">
      <c r="B49" s="5" t="s">
        <v>39</v>
      </c>
      <c r="J49" s="6">
        <f>725+1487+12943+5709</f>
        <v>20864</v>
      </c>
      <c r="K49" s="6">
        <f>844+1482+6047+12840</f>
        <v>21213</v>
      </c>
      <c r="L49" s="6">
        <f>1493+786+12811+6161</f>
        <v>21251</v>
      </c>
      <c r="M49" s="6">
        <f>1507+789+12927+6056</f>
        <v>21279</v>
      </c>
      <c r="T49" s="5">
        <f t="shared" si="13"/>
        <v>20864</v>
      </c>
    </row>
    <row r="50" spans="2:20" x14ac:dyDescent="0.2">
      <c r="B50" s="5" t="s">
        <v>43</v>
      </c>
      <c r="J50" s="6">
        <f>222+90349</f>
        <v>90571</v>
      </c>
      <c r="K50" s="6">
        <f>88073+217</f>
        <v>88290</v>
      </c>
      <c r="L50" s="6">
        <f>90565+207</f>
        <v>90772</v>
      </c>
      <c r="M50" s="6">
        <f>94276+189</f>
        <v>94465</v>
      </c>
      <c r="T50" s="5">
        <f t="shared" si="13"/>
        <v>90571</v>
      </c>
    </row>
    <row r="51" spans="2:20" x14ac:dyDescent="0.2">
      <c r="B51" s="5" t="s">
        <v>44</v>
      </c>
      <c r="J51" s="6">
        <f>SUM(J44:J50)</f>
        <v>252399</v>
      </c>
      <c r="K51" s="6">
        <f>SUM(K44:K50)</f>
        <v>254054</v>
      </c>
      <c r="L51" s="6">
        <f>SUM(L44:L50)</f>
        <v>254440</v>
      </c>
      <c r="M51" s="6">
        <f>SUM(M44:M50)</f>
        <v>263399</v>
      </c>
      <c r="T51" s="5">
        <f>SUM(T44:T50)</f>
        <v>252399</v>
      </c>
    </row>
    <row r="52" spans="2:20" x14ac:dyDescent="0.2">
      <c r="B52" s="5"/>
      <c r="M52" s="6"/>
    </row>
    <row r="53" spans="2:20" s="5" customFormat="1" x14ac:dyDescent="0.2">
      <c r="B53" s="5" t="s">
        <v>55</v>
      </c>
      <c r="C53" s="6"/>
      <c r="D53" s="6"/>
      <c r="E53" s="6"/>
      <c r="F53" s="6"/>
      <c r="G53" s="6">
        <f t="shared" ref="G53:J53" si="14">+G24</f>
        <v>1673</v>
      </c>
      <c r="H53" s="6">
        <f t="shared" si="14"/>
        <v>7891</v>
      </c>
      <c r="I53" s="6">
        <f t="shared" si="14"/>
        <v>5393</v>
      </c>
      <c r="J53" s="6">
        <f>+J24</f>
        <v>554</v>
      </c>
      <c r="K53" s="6">
        <f>+K24</f>
        <v>5104</v>
      </c>
      <c r="L53" s="6">
        <f>+L24</f>
        <v>4501</v>
      </c>
      <c r="M53" s="6">
        <f>+M24</f>
        <v>4714</v>
      </c>
      <c r="N53" s="6"/>
      <c r="T53" s="5">
        <f>SUM(G53:J53)</f>
        <v>15511</v>
      </c>
    </row>
    <row r="54" spans="2:20" s="5" customFormat="1" x14ac:dyDescent="0.2">
      <c r="B54" s="5" t="s">
        <v>56</v>
      </c>
      <c r="C54" s="6"/>
      <c r="D54" s="6"/>
      <c r="E54" s="6"/>
      <c r="F54" s="6"/>
      <c r="G54" s="6"/>
      <c r="H54" s="6"/>
      <c r="I54" s="6"/>
      <c r="J54" s="6">
        <f>16270-I54-H54-G54</f>
        <v>16270</v>
      </c>
      <c r="K54" s="6"/>
      <c r="L54" s="6"/>
      <c r="M54" s="6"/>
      <c r="N54" s="6"/>
      <c r="T54" s="5">
        <f>SUM(G54:J54)</f>
        <v>16270</v>
      </c>
    </row>
    <row r="55" spans="2:20" s="5" customFormat="1" x14ac:dyDescent="0.2">
      <c r="B55" s="5" t="s">
        <v>57</v>
      </c>
      <c r="C55" s="6"/>
      <c r="D55" s="6"/>
      <c r="E55" s="6"/>
      <c r="F55" s="6"/>
      <c r="G55" s="6"/>
      <c r="H55" s="6"/>
      <c r="I55" s="6"/>
      <c r="J55" s="6">
        <f>11853-I55-H55-G55</f>
        <v>11853</v>
      </c>
      <c r="K55" s="6"/>
      <c r="L55" s="6"/>
      <c r="M55" s="6"/>
      <c r="N55" s="6"/>
      <c r="T55" s="5">
        <f t="shared" ref="T55:T59" si="15">SUM(G55:J55)</f>
        <v>11853</v>
      </c>
    </row>
    <row r="56" spans="2:20" s="5" customFormat="1" x14ac:dyDescent="0.2">
      <c r="B56" s="5" t="s">
        <v>58</v>
      </c>
      <c r="C56" s="6"/>
      <c r="D56" s="6"/>
      <c r="E56" s="6"/>
      <c r="F56" s="6"/>
      <c r="G56" s="6"/>
      <c r="H56" s="6"/>
      <c r="I56" s="6"/>
      <c r="J56" s="6">
        <f>3193-I56-H56-G56</f>
        <v>3193</v>
      </c>
      <c r="K56" s="6"/>
      <c r="L56" s="6"/>
      <c r="M56" s="6"/>
      <c r="N56" s="6"/>
      <c r="T56" s="5">
        <f t="shared" si="15"/>
        <v>3193</v>
      </c>
    </row>
    <row r="57" spans="2:20" s="5" customFormat="1" x14ac:dyDescent="0.2">
      <c r="B57" s="5" t="s">
        <v>59</v>
      </c>
      <c r="C57" s="6"/>
      <c r="D57" s="6"/>
      <c r="E57" s="6"/>
      <c r="F57" s="6"/>
      <c r="G57" s="6"/>
      <c r="H57" s="6"/>
      <c r="I57" s="6"/>
      <c r="J57" s="6">
        <f>-175-I57-H57-G57</f>
        <v>-175</v>
      </c>
      <c r="K57" s="6"/>
      <c r="L57" s="6"/>
      <c r="M57" s="6"/>
      <c r="N57" s="6"/>
      <c r="T57" s="5">
        <f t="shared" si="15"/>
        <v>-175</v>
      </c>
    </row>
    <row r="58" spans="2:20" s="5" customFormat="1" x14ac:dyDescent="0.2">
      <c r="B58" s="5" t="s">
        <v>60</v>
      </c>
      <c r="C58" s="6"/>
      <c r="D58" s="6"/>
      <c r="E58" s="6"/>
      <c r="F58" s="6"/>
      <c r="G58" s="6"/>
      <c r="H58" s="6"/>
      <c r="I58" s="6"/>
      <c r="J58" s="6">
        <f>2642-I58-H58-G58</f>
        <v>2642</v>
      </c>
      <c r="K58" s="6"/>
      <c r="L58" s="6"/>
      <c r="M58" s="6"/>
      <c r="N58" s="6"/>
      <c r="T58" s="5">
        <f t="shared" si="15"/>
        <v>2642</v>
      </c>
    </row>
    <row r="59" spans="2:20" s="5" customFormat="1" x14ac:dyDescent="0.2">
      <c r="B59" s="5" t="s">
        <v>61</v>
      </c>
      <c r="C59" s="6"/>
      <c r="D59" s="6"/>
      <c r="E59" s="6"/>
      <c r="F59" s="6"/>
      <c r="G59" s="6"/>
      <c r="H59" s="6"/>
      <c r="I59" s="6"/>
      <c r="J59" s="6">
        <f>-797+2017+2515-1324-468-I59-H59-G59</f>
        <v>1943</v>
      </c>
      <c r="K59" s="6"/>
      <c r="L59" s="6"/>
      <c r="M59" s="6"/>
      <c r="N59" s="6"/>
      <c r="T59" s="5">
        <f t="shared" si="15"/>
        <v>1943</v>
      </c>
    </row>
    <row r="60" spans="2:20" s="5" customFormat="1" x14ac:dyDescent="0.2">
      <c r="B60" s="5" t="s">
        <v>62</v>
      </c>
      <c r="C60" s="6"/>
      <c r="D60" s="6"/>
      <c r="E60" s="6"/>
      <c r="F60" s="6"/>
      <c r="G60" s="6"/>
      <c r="H60" s="6"/>
      <c r="I60" s="6"/>
      <c r="J60" s="6">
        <f>SUM(J54:J59)</f>
        <v>35726</v>
      </c>
      <c r="K60" s="6"/>
      <c r="L60" s="6"/>
      <c r="M60" s="6"/>
      <c r="N60" s="6"/>
      <c r="R60" s="5">
        <v>24181</v>
      </c>
      <c r="S60" s="5">
        <v>28841</v>
      </c>
      <c r="T60" s="5">
        <f>SUM(T54:T59)</f>
        <v>35726</v>
      </c>
    </row>
    <row r="61" spans="2:20" x14ac:dyDescent="0.2">
      <c r="R61" s="5"/>
      <c r="S61" s="5"/>
      <c r="T61" s="5"/>
    </row>
    <row r="62" spans="2:20" x14ac:dyDescent="0.2">
      <c r="B62" s="5" t="s">
        <v>63</v>
      </c>
      <c r="J62" s="6">
        <f>-20606+250</f>
        <v>-20356</v>
      </c>
      <c r="R62" s="5">
        <v>-13106</v>
      </c>
      <c r="S62" s="5">
        <v>-16857</v>
      </c>
      <c r="T62" s="5">
        <f t="shared" ref="T62:T64" si="16">SUM(G62:J62)</f>
        <v>-20356</v>
      </c>
    </row>
    <row r="63" spans="2:20" x14ac:dyDescent="0.2">
      <c r="B63" s="5" t="s">
        <v>65</v>
      </c>
      <c r="J63" s="6">
        <f>135-9</f>
        <v>126</v>
      </c>
      <c r="R63" s="5"/>
      <c r="S63" s="5"/>
      <c r="T63" s="5">
        <f t="shared" si="16"/>
        <v>126</v>
      </c>
    </row>
    <row r="64" spans="2:20" x14ac:dyDescent="0.2">
      <c r="B64" s="5" t="s">
        <v>60</v>
      </c>
      <c r="J64" s="6">
        <v>-1057</v>
      </c>
      <c r="R64" s="5"/>
      <c r="S64" s="5"/>
      <c r="T64" s="5">
        <f t="shared" si="16"/>
        <v>-1057</v>
      </c>
    </row>
    <row r="65" spans="2:20" x14ac:dyDescent="0.2">
      <c r="B65" t="s">
        <v>64</v>
      </c>
      <c r="J65" s="6">
        <f>SUM(J62:J64)</f>
        <v>-21287</v>
      </c>
      <c r="R65" s="5"/>
      <c r="S65" s="5"/>
      <c r="T65" s="5">
        <f>SUM(T62:T64)</f>
        <v>-21287</v>
      </c>
    </row>
    <row r="66" spans="2:20" x14ac:dyDescent="0.2">
      <c r="R66" s="5"/>
      <c r="S66" s="5"/>
      <c r="T66" s="5"/>
    </row>
    <row r="67" spans="2:20" s="5" customFormat="1" x14ac:dyDescent="0.2">
      <c r="B67" s="5" t="s">
        <v>4</v>
      </c>
      <c r="C67" s="6"/>
      <c r="D67" s="6"/>
      <c r="E67" s="6"/>
      <c r="F67" s="6"/>
      <c r="G67" s="6"/>
      <c r="H67" s="6"/>
      <c r="I67" s="6"/>
      <c r="J67" s="6">
        <f>512+4967-4217-I67-H67-G67</f>
        <v>1262</v>
      </c>
      <c r="K67" s="6"/>
      <c r="L67" s="6"/>
      <c r="M67" s="6"/>
      <c r="N67" s="6"/>
      <c r="T67" s="5">
        <f t="shared" ref="T67:T73" si="17">SUM(G67:J67)</f>
        <v>1262</v>
      </c>
    </row>
    <row r="68" spans="2:20" s="5" customFormat="1" x14ac:dyDescent="0.2">
      <c r="B68" s="5" t="s">
        <v>41</v>
      </c>
      <c r="C68" s="6"/>
      <c r="D68" s="6"/>
      <c r="E68" s="6"/>
      <c r="F68" s="6"/>
      <c r="G68" s="6"/>
      <c r="H68" s="6"/>
      <c r="I68" s="6"/>
      <c r="J68" s="6">
        <f>-6140-I68-H68-G68</f>
        <v>-6140</v>
      </c>
      <c r="K68" s="6"/>
      <c r="L68" s="6"/>
      <c r="M68" s="6"/>
      <c r="N68" s="6"/>
      <c r="T68" s="5">
        <f t="shared" si="17"/>
        <v>-6140</v>
      </c>
    </row>
    <row r="69" spans="2:20" s="5" customFormat="1" x14ac:dyDescent="0.2">
      <c r="B69" s="5" t="s">
        <v>70</v>
      </c>
      <c r="C69" s="6"/>
      <c r="D69" s="6"/>
      <c r="E69" s="6"/>
      <c r="F69" s="6"/>
      <c r="G69" s="6"/>
      <c r="H69" s="6"/>
      <c r="I69" s="6"/>
      <c r="J69" s="6">
        <f>-2779-I69-H69-G69</f>
        <v>-2779</v>
      </c>
      <c r="K69" s="6"/>
      <c r="L69" s="6"/>
      <c r="M69" s="6"/>
      <c r="N69" s="6"/>
      <c r="T69" s="5">
        <f t="shared" si="17"/>
        <v>-2779</v>
      </c>
    </row>
    <row r="70" spans="2:20" s="5" customFormat="1" x14ac:dyDescent="0.2">
      <c r="B70" s="5" t="s">
        <v>71</v>
      </c>
      <c r="C70" s="6"/>
      <c r="D70" s="6"/>
      <c r="E70" s="6"/>
      <c r="F70" s="6"/>
      <c r="G70" s="6"/>
      <c r="H70" s="6"/>
      <c r="I70" s="6"/>
      <c r="J70" s="6">
        <f>-763-3462+716-I70-H70-G70</f>
        <v>-3509</v>
      </c>
      <c r="K70" s="6"/>
      <c r="L70" s="6"/>
      <c r="M70" s="6"/>
      <c r="N70" s="6"/>
      <c r="T70" s="5">
        <f t="shared" si="17"/>
        <v>-3509</v>
      </c>
    </row>
    <row r="71" spans="2:20" s="5" customFormat="1" x14ac:dyDescent="0.2">
      <c r="B71" s="5" t="s">
        <v>60</v>
      </c>
      <c r="C71" s="6"/>
      <c r="D71" s="6"/>
      <c r="E71" s="6"/>
      <c r="F71" s="6"/>
      <c r="G71" s="6"/>
      <c r="H71" s="6"/>
      <c r="I71" s="6"/>
      <c r="J71" s="6">
        <f>-2248-I71-H71-G71</f>
        <v>-2248</v>
      </c>
      <c r="K71" s="6"/>
      <c r="L71" s="6"/>
      <c r="M71" s="6"/>
      <c r="N71" s="6"/>
      <c r="T71" s="5">
        <f t="shared" si="17"/>
        <v>-2248</v>
      </c>
    </row>
    <row r="72" spans="2:20" s="5" customFormat="1" x14ac:dyDescent="0.2">
      <c r="B72" s="5" t="s">
        <v>69</v>
      </c>
      <c r="C72" s="6"/>
      <c r="D72" s="6"/>
      <c r="E72" s="6"/>
      <c r="F72" s="6"/>
      <c r="G72" s="6"/>
      <c r="H72" s="6"/>
      <c r="I72" s="6"/>
      <c r="J72" s="6">
        <f>SUM(J67:J71)</f>
        <v>-13414</v>
      </c>
      <c r="K72" s="6"/>
      <c r="L72" s="6"/>
      <c r="M72" s="6"/>
      <c r="N72" s="6"/>
      <c r="T72" s="5">
        <f>SUM(T67:T71)</f>
        <v>-13414</v>
      </c>
    </row>
    <row r="73" spans="2:20" s="5" customFormat="1" x14ac:dyDescent="0.2">
      <c r="B73" s="5" t="s">
        <v>68</v>
      </c>
      <c r="C73" s="6"/>
      <c r="D73" s="6"/>
      <c r="E73" s="6"/>
      <c r="F73" s="6"/>
      <c r="G73" s="6"/>
      <c r="H73" s="6"/>
      <c r="I73" s="6"/>
      <c r="J73" s="6">
        <f>69-I73-H73-G73</f>
        <v>69</v>
      </c>
      <c r="K73" s="6"/>
      <c r="L73" s="6"/>
      <c r="M73" s="6"/>
      <c r="N73" s="6"/>
      <c r="T73" s="5">
        <f t="shared" si="17"/>
        <v>69</v>
      </c>
    </row>
    <row r="74" spans="2:20" s="5" customFormat="1" x14ac:dyDescent="0.2">
      <c r="B74" s="5" t="s">
        <v>67</v>
      </c>
      <c r="C74" s="6"/>
      <c r="D74" s="6"/>
      <c r="E74" s="6"/>
      <c r="F74" s="6"/>
      <c r="G74" s="6"/>
      <c r="H74" s="6"/>
      <c r="I74" s="6"/>
      <c r="J74" s="6">
        <f>J73+J72+J65+J60</f>
        <v>1094</v>
      </c>
      <c r="K74" s="6"/>
      <c r="L74" s="6"/>
      <c r="M74" s="6"/>
      <c r="N74" s="6"/>
      <c r="T74" s="6">
        <f>T73+T72+T65+T60</f>
        <v>1094</v>
      </c>
    </row>
    <row r="75" spans="2:20" x14ac:dyDescent="0.2">
      <c r="R75" s="5"/>
      <c r="S75" s="5"/>
      <c r="T75" s="5"/>
    </row>
    <row r="76" spans="2:20" x14ac:dyDescent="0.2">
      <c r="R76" s="5"/>
      <c r="S76" s="5"/>
      <c r="T76" s="5"/>
    </row>
    <row r="77" spans="2:20" x14ac:dyDescent="0.2">
      <c r="R77" s="5"/>
      <c r="S77" s="5"/>
      <c r="T77" s="5"/>
    </row>
    <row r="78" spans="2:20" x14ac:dyDescent="0.2">
      <c r="B78" t="s">
        <v>66</v>
      </c>
      <c r="J78" s="6">
        <f>+J60+J62</f>
        <v>15370</v>
      </c>
      <c r="R78" s="6">
        <f t="shared" ref="R78:T78" si="18">+R60+R62</f>
        <v>11075</v>
      </c>
      <c r="S78" s="6">
        <f t="shared" si="18"/>
        <v>11984</v>
      </c>
      <c r="T78" s="6">
        <f t="shared" si="18"/>
        <v>15370</v>
      </c>
    </row>
  </sheetData>
  <hyperlinks>
    <hyperlink ref="A1" location="Main!A1" display="Main" xr:uid="{7A08F92C-8A56-4958-97EB-65BA8EA783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2025-03-06T16:16:50Z</dcterms:created>
  <dcterms:modified xsi:type="dcterms:W3CDTF">2025-03-06T18:07:28Z</dcterms:modified>
</cp:coreProperties>
</file>