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1E798D3-558B-40FD-9620-3982BAEF6D32}" xr6:coauthVersionLast="47" xr6:coauthVersionMax="47" xr10:uidLastSave="{00000000-0000-0000-0000-000000000000}"/>
  <bookViews>
    <workbookView xWindow="-50700" yWindow="3270" windowWidth="26895" windowHeight="16290" activeTab="1" xr2:uid="{02BCB5C1-16CB-43F2-AC29-522114270D6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9" i="2" l="1"/>
  <c r="AD38" i="2"/>
  <c r="AD33" i="2"/>
  <c r="AD34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C21" i="2"/>
  <c r="AD20" i="2"/>
  <c r="AD19" i="2"/>
  <c r="AD18" i="2"/>
  <c r="AD16" i="2"/>
  <c r="AD14" i="2"/>
  <c r="AD12" i="2"/>
  <c r="AD11" i="2"/>
  <c r="AD10" i="2"/>
  <c r="N33" i="2"/>
  <c r="N29" i="2"/>
  <c r="N26" i="2"/>
  <c r="N25" i="2"/>
  <c r="N24" i="2"/>
  <c r="N23" i="2"/>
  <c r="N22" i="2"/>
  <c r="N21" i="2"/>
  <c r="N20" i="2"/>
  <c r="N19" i="2"/>
  <c r="N18" i="2"/>
  <c r="N16" i="2"/>
  <c r="N14" i="2"/>
  <c r="N12" i="2"/>
  <c r="N11" i="2"/>
  <c r="N10" i="2"/>
  <c r="R39" i="2"/>
  <c r="Q39" i="2"/>
  <c r="P39" i="2"/>
  <c r="R38" i="2"/>
  <c r="Q38" i="2"/>
  <c r="P38" i="2"/>
  <c r="R40" i="2"/>
  <c r="Q40" i="2"/>
  <c r="P40" i="2"/>
  <c r="Q36" i="2"/>
  <c r="P36" i="2"/>
  <c r="R37" i="2"/>
  <c r="Q37" i="2"/>
  <c r="P37" i="2"/>
  <c r="P21" i="2"/>
  <c r="P22" i="2" s="1"/>
  <c r="P28" i="2" s="1"/>
  <c r="O39" i="2"/>
  <c r="N39" i="2"/>
  <c r="O37" i="2"/>
  <c r="N37" i="2"/>
  <c r="O31" i="2"/>
  <c r="O27" i="2"/>
  <c r="O21" i="2"/>
  <c r="M65" i="2"/>
  <c r="M64" i="2"/>
  <c r="M58" i="2"/>
  <c r="M51" i="2"/>
  <c r="M60" i="2" s="1"/>
  <c r="M39" i="2"/>
  <c r="M37" i="2"/>
  <c r="M31" i="2"/>
  <c r="M29" i="2"/>
  <c r="M27" i="2"/>
  <c r="M21" i="2"/>
  <c r="AD37" i="2" l="1"/>
  <c r="N27" i="2"/>
  <c r="N28" i="2" s="1"/>
  <c r="N30" i="2" s="1"/>
  <c r="N32" i="2" s="1"/>
  <c r="M69" i="2"/>
  <c r="N15" i="2"/>
  <c r="R36" i="2" s="1"/>
  <c r="O15" i="2"/>
  <c r="O40" i="2" s="1"/>
  <c r="P15" i="2"/>
  <c r="Q15" i="2"/>
  <c r="R15" i="2"/>
  <c r="M15" i="2"/>
  <c r="AJ15" i="2"/>
  <c r="AI15" i="2"/>
  <c r="AH15" i="2"/>
  <c r="AG15" i="2"/>
  <c r="AF15" i="2"/>
  <c r="AE15" i="2"/>
  <c r="AD15" i="2"/>
  <c r="AD36" i="2" s="1"/>
  <c r="W37" i="2"/>
  <c r="V37" i="2"/>
  <c r="V27" i="2"/>
  <c r="U27" i="2"/>
  <c r="V21" i="2"/>
  <c r="U21" i="2"/>
  <c r="U15" i="2"/>
  <c r="V15" i="2"/>
  <c r="X37" i="2"/>
  <c r="W29" i="2"/>
  <c r="W27" i="2"/>
  <c r="W21" i="2"/>
  <c r="W15" i="2"/>
  <c r="Z37" i="2"/>
  <c r="Y37" i="2"/>
  <c r="X39" i="2"/>
  <c r="Y39" i="2"/>
  <c r="Y29" i="2"/>
  <c r="X29" i="2"/>
  <c r="Y27" i="2"/>
  <c r="X27" i="2"/>
  <c r="Y21" i="2"/>
  <c r="X21" i="2"/>
  <c r="Y15" i="2"/>
  <c r="X15" i="2"/>
  <c r="Z39" i="2"/>
  <c r="AA37" i="2"/>
  <c r="Z29" i="2"/>
  <c r="Z27" i="2"/>
  <c r="Z21" i="2"/>
  <c r="Z15" i="2"/>
  <c r="U22" i="2" l="1"/>
  <c r="W36" i="2"/>
  <c r="N38" i="2"/>
  <c r="N40" i="2"/>
  <c r="M40" i="2"/>
  <c r="M22" i="2"/>
  <c r="O22" i="2"/>
  <c r="V36" i="2"/>
  <c r="V22" i="2"/>
  <c r="V38" i="2" s="1"/>
  <c r="U28" i="2"/>
  <c r="U30" i="2" s="1"/>
  <c r="U32" i="2" s="1"/>
  <c r="U33" i="2" s="1"/>
  <c r="Z36" i="2"/>
  <c r="X36" i="2"/>
  <c r="Y36" i="2"/>
  <c r="Z22" i="2"/>
  <c r="Z38" i="2" s="1"/>
  <c r="W22" i="2"/>
  <c r="W38" i="2" s="1"/>
  <c r="X22" i="2"/>
  <c r="X38" i="2" s="1"/>
  <c r="Y22" i="2"/>
  <c r="Y38" i="2" s="1"/>
  <c r="Y28" i="2"/>
  <c r="Y30" i="2" s="1"/>
  <c r="Y32" i="2" s="1"/>
  <c r="Y33" i="2" s="1"/>
  <c r="F31" i="2"/>
  <c r="F26" i="2"/>
  <c r="F25" i="2"/>
  <c r="F24" i="2"/>
  <c r="F23" i="2"/>
  <c r="F20" i="2"/>
  <c r="F39" i="2" s="1"/>
  <c r="F19" i="2"/>
  <c r="F18" i="2"/>
  <c r="F16" i="2"/>
  <c r="G29" i="2"/>
  <c r="H37" i="2"/>
  <c r="G37" i="2"/>
  <c r="D39" i="2"/>
  <c r="C39" i="2"/>
  <c r="C29" i="2"/>
  <c r="C27" i="2"/>
  <c r="C21" i="2"/>
  <c r="D29" i="2"/>
  <c r="D27" i="2"/>
  <c r="D21" i="2"/>
  <c r="F34" i="2"/>
  <c r="J34" i="2"/>
  <c r="J31" i="2"/>
  <c r="J26" i="2"/>
  <c r="J25" i="2"/>
  <c r="J24" i="2"/>
  <c r="J23" i="2"/>
  <c r="J20" i="2"/>
  <c r="J39" i="2" s="1"/>
  <c r="J19" i="2"/>
  <c r="J18" i="2"/>
  <c r="J16" i="2"/>
  <c r="I39" i="2"/>
  <c r="I37" i="2"/>
  <c r="E39" i="2"/>
  <c r="E29" i="2"/>
  <c r="I29" i="2"/>
  <c r="E27" i="2"/>
  <c r="E21" i="2"/>
  <c r="J37" i="2"/>
  <c r="F15" i="2"/>
  <c r="E15" i="2"/>
  <c r="D15" i="2"/>
  <c r="C15" i="2"/>
  <c r="K37" i="2"/>
  <c r="L37" i="2"/>
  <c r="AA39" i="2"/>
  <c r="AC39" i="2"/>
  <c r="AB39" i="2"/>
  <c r="AB37" i="2"/>
  <c r="AC37" i="2"/>
  <c r="AC29" i="2"/>
  <c r="AB29" i="2"/>
  <c r="AA29" i="2"/>
  <c r="AC27" i="2"/>
  <c r="AB27" i="2"/>
  <c r="AA27" i="2"/>
  <c r="AA21" i="2"/>
  <c r="AB21" i="2"/>
  <c r="AA15" i="2"/>
  <c r="AB15" i="2"/>
  <c r="AC15" i="2"/>
  <c r="AC36" i="2" s="1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G39" i="2"/>
  <c r="K39" i="2"/>
  <c r="K29" i="2"/>
  <c r="G27" i="2"/>
  <c r="G21" i="2"/>
  <c r="K15" i="2"/>
  <c r="O36" i="2" s="1"/>
  <c r="J15" i="2"/>
  <c r="N36" i="2" s="1"/>
  <c r="I15" i="2"/>
  <c r="M36" i="2" s="1"/>
  <c r="H15" i="2"/>
  <c r="G15" i="2"/>
  <c r="L39" i="2"/>
  <c r="H39" i="2"/>
  <c r="H29" i="2"/>
  <c r="K21" i="2"/>
  <c r="I21" i="2"/>
  <c r="H21" i="2"/>
  <c r="K27" i="2"/>
  <c r="I27" i="2"/>
  <c r="H27" i="2"/>
  <c r="L31" i="2"/>
  <c r="L29" i="2"/>
  <c r="L27" i="2"/>
  <c r="L21" i="2"/>
  <c r="L15" i="2"/>
  <c r="K7" i="1"/>
  <c r="K6" i="1"/>
  <c r="K5" i="1"/>
  <c r="K4" i="1"/>
  <c r="K3" i="1"/>
  <c r="V28" i="2" l="1"/>
  <c r="V30" i="2" s="1"/>
  <c r="V32" i="2" s="1"/>
  <c r="V33" i="2" s="1"/>
  <c r="O28" i="2"/>
  <c r="O30" i="2" s="1"/>
  <c r="O32" i="2" s="1"/>
  <c r="O38" i="2"/>
  <c r="Z28" i="2"/>
  <c r="Z30" i="2" s="1"/>
  <c r="Z32" i="2" s="1"/>
  <c r="Z33" i="2" s="1"/>
  <c r="M38" i="2"/>
  <c r="M28" i="2"/>
  <c r="M30" i="2" s="1"/>
  <c r="M32" i="2" s="1"/>
  <c r="M33" i="2" s="1"/>
  <c r="X28" i="2"/>
  <c r="X30" i="2" s="1"/>
  <c r="X32" i="2" s="1"/>
  <c r="X33" i="2" s="1"/>
  <c r="AA22" i="2"/>
  <c r="AA28" i="2" s="1"/>
  <c r="AA30" i="2" s="1"/>
  <c r="AA32" i="2" s="1"/>
  <c r="AA33" i="2" s="1"/>
  <c r="AA36" i="2"/>
  <c r="W28" i="2"/>
  <c r="W30" i="2" s="1"/>
  <c r="W32" i="2" s="1"/>
  <c r="W33" i="2" s="1"/>
  <c r="AB36" i="2"/>
  <c r="F27" i="2"/>
  <c r="H40" i="2"/>
  <c r="G36" i="2"/>
  <c r="D40" i="2"/>
  <c r="J36" i="2"/>
  <c r="I40" i="2"/>
  <c r="J29" i="2"/>
  <c r="H36" i="2"/>
  <c r="F29" i="2"/>
  <c r="I36" i="2"/>
  <c r="C40" i="2"/>
  <c r="L40" i="2"/>
  <c r="D22" i="2"/>
  <c r="D38" i="2" s="1"/>
  <c r="E22" i="2"/>
  <c r="E40" i="2"/>
  <c r="C22" i="2"/>
  <c r="C38" i="2" s="1"/>
  <c r="F21" i="2"/>
  <c r="F22" i="2" s="1"/>
  <c r="F38" i="2" s="1"/>
  <c r="J27" i="2"/>
  <c r="J21" i="2"/>
  <c r="J40" i="2" s="1"/>
  <c r="I22" i="2"/>
  <c r="K40" i="2"/>
  <c r="L36" i="2"/>
  <c r="K36" i="2"/>
  <c r="G22" i="2"/>
  <c r="G38" i="2" s="1"/>
  <c r="AB22" i="2"/>
  <c r="AB38" i="2" s="1"/>
  <c r="L22" i="2"/>
  <c r="G40" i="2"/>
  <c r="AC22" i="2"/>
  <c r="H22" i="2"/>
  <c r="H38" i="2" s="1"/>
  <c r="K22" i="2"/>
  <c r="AA38" i="2" l="1"/>
  <c r="D28" i="2"/>
  <c r="D30" i="2" s="1"/>
  <c r="D32" i="2" s="1"/>
  <c r="D33" i="2" s="1"/>
  <c r="J22" i="2"/>
  <c r="AB28" i="2"/>
  <c r="AB30" i="2" s="1"/>
  <c r="AB32" i="2" s="1"/>
  <c r="AB33" i="2" s="1"/>
  <c r="I28" i="2"/>
  <c r="I30" i="2" s="1"/>
  <c r="I32" i="2" s="1"/>
  <c r="I33" i="2" s="1"/>
  <c r="I38" i="2"/>
  <c r="J38" i="2"/>
  <c r="J28" i="2"/>
  <c r="J30" i="2" s="1"/>
  <c r="J32" i="2" s="1"/>
  <c r="J33" i="2" s="1"/>
  <c r="C28" i="2"/>
  <c r="C30" i="2" s="1"/>
  <c r="C32" i="2" s="1"/>
  <c r="C33" i="2" s="1"/>
  <c r="E28" i="2"/>
  <c r="E30" i="2" s="1"/>
  <c r="E32" i="2" s="1"/>
  <c r="E33" i="2" s="1"/>
  <c r="E38" i="2"/>
  <c r="H28" i="2"/>
  <c r="H30" i="2" s="1"/>
  <c r="H32" i="2" s="1"/>
  <c r="H33" i="2" s="1"/>
  <c r="F40" i="2"/>
  <c r="F28" i="2"/>
  <c r="F30" i="2" s="1"/>
  <c r="F32" i="2" s="1"/>
  <c r="F33" i="2" s="1"/>
  <c r="G28" i="2"/>
  <c r="G30" i="2" s="1"/>
  <c r="G32" i="2" s="1"/>
  <c r="G33" i="2" s="1"/>
  <c r="AC28" i="2"/>
  <c r="AC30" i="2" s="1"/>
  <c r="AC32" i="2" s="1"/>
  <c r="AC33" i="2" s="1"/>
  <c r="AC38" i="2"/>
  <c r="K28" i="2"/>
  <c r="K30" i="2" s="1"/>
  <c r="K32" i="2" s="1"/>
  <c r="K33" i="2" s="1"/>
  <c r="K38" i="2"/>
  <c r="L28" i="2"/>
  <c r="L30" i="2" s="1"/>
  <c r="L32" i="2" s="1"/>
  <c r="L33" i="2" s="1"/>
  <c r="L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tc={C46ADBAE-BBC6-4DD3-BC0C-22E2AB64A5E8}</author>
    <author>tc={41E313D4-F13A-4D72-B8EC-5A41B289E5F9}</author>
    <author>tc={F7D4B78D-D387-468E-8207-B527C8AC51C1}</author>
  </authors>
  <commentList>
    <comment ref="L22" authorId="0" shapeId="0" xr:uid="{C46ADBAE-BBC6-4DD3-BC0C-22E2AB64A5E8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2.000B-2.020B</t>
      </text>
    </comment>
    <comment ref="AE22" authorId="1" shapeId="0" xr:uid="{41E313D4-F13A-4D72-B8EC-5A41B289E5F9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 guidance: 10.22B
Q125 guidance: 9.96B</t>
      </text>
    </comment>
    <comment ref="AE28" authorId="2" shapeId="0" xr:uid="{F7D4B78D-D387-468E-8207-B527C8AC51C1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 guidance: 2.1B 
Q125 guidance: 1.9B</t>
      </text>
    </comment>
  </commentList>
</comments>
</file>

<file path=xl/sharedStrings.xml><?xml version="1.0" encoding="utf-8"?>
<sst xmlns="http://schemas.openxmlformats.org/spreadsheetml/2006/main" count="82" uniqueCount="70">
  <si>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</si>
  <si>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</si>
  <si>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</si>
  <si>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</si>
  <si>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</si>
  <si>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</si>
  <si>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</si>
  <si>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</si>
  <si>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</si>
  <si>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Q124</t>
  </si>
  <si>
    <t>Q123</t>
  </si>
  <si>
    <t>Q223</t>
  </si>
  <si>
    <t>Q323</t>
  </si>
  <si>
    <t>Q423</t>
  </si>
  <si>
    <t>Q324</t>
  </si>
  <si>
    <t>Q424</t>
  </si>
  <si>
    <t>Transaction</t>
  </si>
  <si>
    <t>Subscription</t>
  </si>
  <si>
    <t>Hardware</t>
  </si>
  <si>
    <t>Bitcoin</t>
  </si>
  <si>
    <t>COGS</t>
  </si>
  <si>
    <t>Gross Profit</t>
  </si>
  <si>
    <t>Operating Income</t>
  </si>
  <si>
    <t>Operating Expenses</t>
  </si>
  <si>
    <t>S&amp;M</t>
  </si>
  <si>
    <t>Product Development</t>
  </si>
  <si>
    <t>G&amp;A</t>
  </si>
  <si>
    <t>Losses</t>
  </si>
  <si>
    <t>Net Income</t>
  </si>
  <si>
    <t>EPS</t>
  </si>
  <si>
    <t>Interest Income</t>
  </si>
  <si>
    <t>Pretax Income</t>
  </si>
  <si>
    <t>Taxes</t>
  </si>
  <si>
    <t>Revenue Growth</t>
  </si>
  <si>
    <t>Gross Margin</t>
  </si>
  <si>
    <t>Bitcoin Margin</t>
  </si>
  <si>
    <t>ex-Bitcoin GM</t>
  </si>
  <si>
    <t>Mostly Cashapp (20% Square/Other)</t>
  </si>
  <si>
    <t>Almost all Square (1% CashApp)</t>
  </si>
  <si>
    <t>Revenue Growth ex-BTC</t>
  </si>
  <si>
    <t>CFFO</t>
  </si>
  <si>
    <t>Acquisitions</t>
  </si>
  <si>
    <t>PP&amp;E</t>
  </si>
  <si>
    <t>Q122</t>
  </si>
  <si>
    <t>Q222</t>
  </si>
  <si>
    <t>Q322</t>
  </si>
  <si>
    <t>Q422</t>
  </si>
  <si>
    <t>EBITDA</t>
  </si>
  <si>
    <t>CashApp - Monthly Transacting Actives</t>
  </si>
  <si>
    <t>Afterpay: 1/31/22 114m shares.</t>
  </si>
  <si>
    <t>Starbucks</t>
  </si>
  <si>
    <t>Q125</t>
  </si>
  <si>
    <t>Q225</t>
  </si>
  <si>
    <t>Q325</t>
  </si>
  <si>
    <t>Q425</t>
  </si>
  <si>
    <t>Settlements Receivable</t>
  </si>
  <si>
    <t>Customer Funds</t>
  </si>
  <si>
    <t>Consumer Receivables</t>
  </si>
  <si>
    <t>Loans</t>
  </si>
  <si>
    <t>Bitcoin Held</t>
  </si>
  <si>
    <t>OCA</t>
  </si>
  <si>
    <t>Goodwill</t>
  </si>
  <si>
    <t>ONCA</t>
  </si>
  <si>
    <t>Assets</t>
  </si>
  <si>
    <t>L+SE</t>
  </si>
  <si>
    <t>SE</t>
  </si>
  <si>
    <t>Monthly Transacting Actives</t>
  </si>
  <si>
    <t>Cash App Card</t>
  </si>
  <si>
    <t>Inflows</t>
  </si>
  <si>
    <t>GPV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</si>
</sst>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937D2D1-8DEB-4EFA-AACA-0A29BD358CD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28018</xdr:colOff>
      <xdr:row>0</xdr:row>
      <xdr:rowOff>0</xdr:rowOff>
    </xdr:from>
    <xdr:to>
      <xdr:col>15</xdr:col>
      <xdr:colOff>28018</xdr:colOff>
      <xdr:row>74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8AAB47D-A75A-6946-795D-0DD67F39C298}"/>
            </a:ext>
          </a:extLst>
        </xdr:cNvPr>
        <xdr:cNvCxnSpPr/>
      </xdr:nvCxnSpPr>
      <xdr:spPr>
        <a:xfrm>
          <a:off x="9863834" y="0"/>
          <a:ext cx="0" cy="1122947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14352</xdr:colOff>
      <xdr:row>0</xdr:row>
      <xdr:rowOff>0</xdr:rowOff>
    </xdr:from>
    <xdr:to>
      <xdr:col>30</xdr:col>
      <xdr:colOff>14352</xdr:colOff>
      <xdr:row>51</xdr:row>
      <xdr:rowOff>40105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B9DE43C-DBA3-417C-9FC9-4BBC991950AB}"/>
            </a:ext>
          </a:extLst>
        </xdr:cNvPr>
        <xdr:cNvCxnSpPr/>
      </xdr:nvCxnSpPr>
      <xdr:spPr>
        <a:xfrm>
          <a:off x="19766194" y="0"/>
          <a:ext cx="0" cy="82215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A625B8AE-5E9B-49E9-9BC8-18478F34269D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2" dT="2024-09-05T16:19:22.73" personId="{A625B8AE-5E9B-49E9-9BC8-18478F34269D}" id="{C46ADBAE-BBC6-4DD3-BC0C-22E2AB64A5E8}">
    <text>Q4 guidance: 2.000B-2.020B</text>
  </threadedComment>
  <threadedComment ref="AE22" dT="2025-05-02T18:54:01.17" personId="{A625B8AE-5E9B-49E9-9BC8-18478F34269D}" id="{41E313D4-F13A-4D72-B8EC-5A41B289E5F9}">
    <text>Q424 guidance: 10.22B
Q125 guidance: 9.96B</text>
  </threadedComment>
  <threadedComment ref="AE28" dT="2025-05-02T18:53:48.00" personId="{A625B8AE-5E9B-49E9-9BC8-18478F34269D}" id="{F7D4B78D-D387-468E-8207-B527C8AC51C1}">
    <text>Q424 guidance: 2.1B 
Q125 guidance: 1.9B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57A4-2F21-479E-86DA-4FB48D328B20}">
  <dimension ref="B2:L10"/>
  <sheetViews>
    <sheetView zoomScale="175" zoomScaleNormal="175" workbookViewId="0"/>
  </sheetViews>
  <sheetFormatPr defaultRowHeight="12.75" x14ac:dyDescent="0.2"/>
  <cols>
    <col min="1" max="1" width="3.28515625" customWidth="1"/>
    <col min="2" max="2" width="11.28515625" bestFit="1" customWidth="1"/>
  </cols>
  <sheetData>
    <row r="2" spans="2:12" x14ac:dyDescent="0.2">
      <c r="B2" t="s">
        <v>17</v>
      </c>
      <c r="C2" t="s">
        <v>37</v>
      </c>
      <c r="J2" t="s">
        <v>0</v>
      </c>
      <c r="K2" s="1">
        <v>46.58</v>
      </c>
    </row>
    <row r="3" spans="2:12" x14ac:dyDescent="0.2">
      <c r="B3" t="s">
        <v>16</v>
      </c>
      <c r="C3" t="s">
        <v>38</v>
      </c>
      <c r="J3" t="s">
        <v>1</v>
      </c>
      <c r="K3" s="3">
        <f>555.234+60.411</f>
        <v>615.64499999999998</v>
      </c>
      <c r="L3" s="2" t="s">
        <v>6</v>
      </c>
    </row>
    <row r="4" spans="2:12" x14ac:dyDescent="0.2">
      <c r="J4" t="s">
        <v>2</v>
      </c>
      <c r="K4" s="3">
        <f>+K2*K3</f>
        <v>28676.7441</v>
      </c>
    </row>
    <row r="5" spans="2:12" x14ac:dyDescent="0.2">
      <c r="J5" t="s">
        <v>3</v>
      </c>
      <c r="K5" s="3">
        <f>7799.093+658.001</f>
        <v>8457.0939999999991</v>
      </c>
      <c r="L5" s="2" t="s">
        <v>6</v>
      </c>
    </row>
    <row r="6" spans="2:12" x14ac:dyDescent="0.2">
      <c r="J6" t="s">
        <v>4</v>
      </c>
      <c r="K6" s="3">
        <f>997.958+5101.023</f>
        <v>6098.9809999999998</v>
      </c>
      <c r="L6" s="2" t="s">
        <v>6</v>
      </c>
    </row>
    <row r="7" spans="2:12" x14ac:dyDescent="0.2">
      <c r="J7" t="s">
        <v>5</v>
      </c>
      <c r="K7" s="3">
        <f>+K4-K5+K6</f>
        <v>26318.631099999999</v>
      </c>
    </row>
    <row r="10" spans="2:12" x14ac:dyDescent="0.2">
      <c r="B10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B31A-D83A-4415-BA58-E16A98F56101}">
  <dimension ref="A1:CO69"/>
  <sheetViews>
    <sheetView tabSelected="1" zoomScale="190" zoomScaleNormal="190" workbookViewId="0">
      <pane xSplit="2" ySplit="2" topLeftCell="W20" activePane="bottomRight" state="frozen"/>
      <selection pane="topRight" activeCell="C1" sqref="C1"/>
      <selection pane="bottomLeft" activeCell="A3" sqref="A3"/>
      <selection pane="bottomRight" activeCell="AD39" sqref="AD39"/>
    </sheetView>
  </sheetViews>
  <sheetFormatPr defaultRowHeight="12.75" x14ac:dyDescent="0.2"/>
  <cols>
    <col min="1" max="1" width="5" bestFit="1" customWidth="1"/>
    <col min="2" max="2" width="36.140625" customWidth="1"/>
    <col min="3" max="14" width="9.140625" style="2"/>
    <col min="15" max="18" width="8.7109375" style="2"/>
    <col min="19" max="23" width="9.140625" style="2"/>
  </cols>
  <sheetData>
    <row r="1" spans="1:93" x14ac:dyDescent="0.2">
      <c r="A1" s="11" t="s">
        <v>7</v>
      </c>
    </row>
    <row r="2" spans="1:93" x14ac:dyDescent="0.2">
      <c r="C2" s="2" t="s">
        <v>43</v>
      </c>
      <c r="D2" s="2" t="s">
        <v>44</v>
      </c>
      <c r="E2" s="2" t="s">
        <v>45</v>
      </c>
      <c r="F2" s="2" t="s">
        <v>46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9</v>
      </c>
      <c r="L2" s="2" t="s">
        <v>6</v>
      </c>
      <c r="M2" s="2" t="s">
        <v>14</v>
      </c>
      <c r="N2" s="2" t="s">
        <v>15</v>
      </c>
      <c r="O2" s="2" t="s">
        <v>51</v>
      </c>
      <c r="P2" s="2" t="s">
        <v>52</v>
      </c>
      <c r="Q2" s="2" t="s">
        <v>53</v>
      </c>
      <c r="R2" s="2" t="s">
        <v>54</v>
      </c>
      <c r="U2" s="2">
        <v>2015</v>
      </c>
      <c r="V2" s="2">
        <v>2016</v>
      </c>
      <c r="W2" s="2">
        <v>2017</v>
      </c>
      <c r="X2">
        <v>2018</v>
      </c>
      <c r="Y2">
        <v>2019</v>
      </c>
      <c r="Z2">
        <v>2020</v>
      </c>
      <c r="AA2">
        <f>+Z2+1</f>
        <v>2021</v>
      </c>
      <c r="AB2">
        <f t="shared" ref="AB2:CM2" si="0">+AA2+1</f>
        <v>2022</v>
      </c>
      <c r="AC2">
        <f t="shared" si="0"/>
        <v>2023</v>
      </c>
      <c r="AD2">
        <f t="shared" si="0"/>
        <v>2024</v>
      </c>
      <c r="AE2">
        <f t="shared" si="0"/>
        <v>2025</v>
      </c>
      <c r="AF2">
        <f t="shared" si="0"/>
        <v>2026</v>
      </c>
      <c r="AG2">
        <f t="shared" si="0"/>
        <v>2027</v>
      </c>
      <c r="AH2">
        <f t="shared" si="0"/>
        <v>2028</v>
      </c>
      <c r="AI2">
        <f t="shared" si="0"/>
        <v>2029</v>
      </c>
      <c r="AJ2">
        <f t="shared" si="0"/>
        <v>2030</v>
      </c>
      <c r="AK2">
        <f t="shared" si="0"/>
        <v>2031</v>
      </c>
      <c r="AL2">
        <f t="shared" si="0"/>
        <v>2032</v>
      </c>
      <c r="AM2">
        <f t="shared" si="0"/>
        <v>2033</v>
      </c>
      <c r="AN2">
        <f t="shared" si="0"/>
        <v>2034</v>
      </c>
      <c r="AO2">
        <f t="shared" si="0"/>
        <v>2035</v>
      </c>
      <c r="AP2">
        <f t="shared" si="0"/>
        <v>2036</v>
      </c>
      <c r="AQ2">
        <f t="shared" si="0"/>
        <v>2037</v>
      </c>
      <c r="AR2">
        <f t="shared" si="0"/>
        <v>2038</v>
      </c>
      <c r="AS2">
        <f t="shared" si="0"/>
        <v>2039</v>
      </c>
      <c r="AT2">
        <f t="shared" si="0"/>
        <v>2040</v>
      </c>
      <c r="AU2">
        <f t="shared" si="0"/>
        <v>2041</v>
      </c>
      <c r="AV2">
        <f t="shared" si="0"/>
        <v>2042</v>
      </c>
      <c r="AW2">
        <f t="shared" si="0"/>
        <v>2043</v>
      </c>
      <c r="AX2">
        <f t="shared" si="0"/>
        <v>2044</v>
      </c>
      <c r="AY2">
        <f t="shared" si="0"/>
        <v>2045</v>
      </c>
      <c r="AZ2">
        <f t="shared" si="0"/>
        <v>2046</v>
      </c>
      <c r="BA2">
        <f t="shared" si="0"/>
        <v>2047</v>
      </c>
      <c r="BB2">
        <f t="shared" si="0"/>
        <v>2048</v>
      </c>
      <c r="BC2">
        <f t="shared" si="0"/>
        <v>2049</v>
      </c>
      <c r="BD2">
        <f t="shared" si="0"/>
        <v>2050</v>
      </c>
      <c r="BE2">
        <f t="shared" si="0"/>
        <v>2051</v>
      </c>
      <c r="BF2">
        <f t="shared" si="0"/>
        <v>2052</v>
      </c>
      <c r="BG2">
        <f t="shared" si="0"/>
        <v>2053</v>
      </c>
      <c r="BH2">
        <f t="shared" si="0"/>
        <v>2054</v>
      </c>
      <c r="BI2">
        <f t="shared" si="0"/>
        <v>2055</v>
      </c>
      <c r="BJ2">
        <f t="shared" si="0"/>
        <v>2056</v>
      </c>
      <c r="BK2">
        <f t="shared" si="0"/>
        <v>2057</v>
      </c>
      <c r="BL2">
        <f t="shared" si="0"/>
        <v>2058</v>
      </c>
      <c r="BM2">
        <f t="shared" si="0"/>
        <v>2059</v>
      </c>
      <c r="BN2">
        <f t="shared" si="0"/>
        <v>2060</v>
      </c>
      <c r="BO2">
        <f t="shared" si="0"/>
        <v>2061</v>
      </c>
      <c r="BP2">
        <f t="shared" si="0"/>
        <v>2062</v>
      </c>
      <c r="BQ2">
        <f t="shared" si="0"/>
        <v>2063</v>
      </c>
      <c r="BR2">
        <f t="shared" si="0"/>
        <v>2064</v>
      </c>
      <c r="BS2">
        <f t="shared" si="0"/>
        <v>2065</v>
      </c>
      <c r="BT2">
        <f t="shared" si="0"/>
        <v>2066</v>
      </c>
      <c r="BU2">
        <f t="shared" si="0"/>
        <v>2067</v>
      </c>
      <c r="BV2">
        <f t="shared" si="0"/>
        <v>2068</v>
      </c>
      <c r="BW2">
        <f t="shared" si="0"/>
        <v>2069</v>
      </c>
      <c r="BX2">
        <f t="shared" si="0"/>
        <v>2070</v>
      </c>
      <c r="BY2">
        <f t="shared" si="0"/>
        <v>2071</v>
      </c>
      <c r="BZ2">
        <f t="shared" si="0"/>
        <v>2072</v>
      </c>
      <c r="CA2">
        <f t="shared" si="0"/>
        <v>2073</v>
      </c>
      <c r="CB2">
        <f t="shared" si="0"/>
        <v>2074</v>
      </c>
      <c r="CC2">
        <f t="shared" si="0"/>
        <v>2075</v>
      </c>
      <c r="CD2">
        <f t="shared" si="0"/>
        <v>2076</v>
      </c>
      <c r="CE2">
        <f t="shared" si="0"/>
        <v>2077</v>
      </c>
      <c r="CF2">
        <f t="shared" si="0"/>
        <v>2078</v>
      </c>
      <c r="CG2">
        <f t="shared" si="0"/>
        <v>2079</v>
      </c>
      <c r="CH2">
        <f t="shared" si="0"/>
        <v>2080</v>
      </c>
      <c r="CI2">
        <f t="shared" si="0"/>
        <v>2081</v>
      </c>
      <c r="CJ2">
        <f t="shared" si="0"/>
        <v>2082</v>
      </c>
      <c r="CK2">
        <f t="shared" si="0"/>
        <v>2083</v>
      </c>
      <c r="CL2">
        <f t="shared" si="0"/>
        <v>2084</v>
      </c>
      <c r="CM2">
        <f t="shared" si="0"/>
        <v>2085</v>
      </c>
      <c r="CN2">
        <f t="shared" ref="CN2:CO2" si="1">+CM2+1</f>
        <v>2086</v>
      </c>
      <c r="CO2">
        <f t="shared" si="1"/>
        <v>2087</v>
      </c>
    </row>
    <row r="3" spans="1:93" x14ac:dyDescent="0.2">
      <c r="B3" t="s">
        <v>69</v>
      </c>
      <c r="K3" s="2">
        <v>50465</v>
      </c>
      <c r="L3" s="2">
        <v>58372</v>
      </c>
      <c r="M3" s="2">
        <v>59873</v>
      </c>
      <c r="N3" s="2">
        <v>58898</v>
      </c>
      <c r="O3" s="2">
        <v>54101</v>
      </c>
    </row>
    <row r="5" spans="1:93" x14ac:dyDescent="0.2">
      <c r="B5" t="s">
        <v>48</v>
      </c>
      <c r="U5" s="2">
        <v>1</v>
      </c>
      <c r="V5" s="2">
        <v>3</v>
      </c>
      <c r="W5" s="2">
        <v>7</v>
      </c>
      <c r="X5">
        <v>15</v>
      </c>
      <c r="Y5">
        <v>24</v>
      </c>
      <c r="Z5">
        <v>36</v>
      </c>
      <c r="AA5">
        <v>44</v>
      </c>
      <c r="AB5">
        <v>51</v>
      </c>
    </row>
    <row r="6" spans="1:93" x14ac:dyDescent="0.2">
      <c r="B6" t="s">
        <v>66</v>
      </c>
      <c r="K6" s="2">
        <v>57</v>
      </c>
      <c r="L6" s="2">
        <v>57</v>
      </c>
      <c r="M6" s="2">
        <v>57</v>
      </c>
      <c r="N6" s="2">
        <v>57</v>
      </c>
      <c r="O6" s="2">
        <v>57</v>
      </c>
    </row>
    <row r="7" spans="1:93" x14ac:dyDescent="0.2">
      <c r="B7" t="s">
        <v>67</v>
      </c>
      <c r="K7" s="2">
        <v>24</v>
      </c>
      <c r="L7" s="2">
        <v>24</v>
      </c>
      <c r="M7" s="2">
        <v>24</v>
      </c>
      <c r="N7" s="2">
        <v>25</v>
      </c>
      <c r="O7" s="2">
        <v>25</v>
      </c>
    </row>
    <row r="8" spans="1:93" x14ac:dyDescent="0.2">
      <c r="B8" t="s">
        <v>68</v>
      </c>
      <c r="K8" s="2">
        <v>71.099999999999994</v>
      </c>
      <c r="L8" s="2">
        <v>70.7</v>
      </c>
      <c r="M8" s="2">
        <v>70</v>
      </c>
      <c r="N8" s="2">
        <v>71.099999999999994</v>
      </c>
      <c r="O8" s="2">
        <v>76.900000000000006</v>
      </c>
    </row>
    <row r="10" spans="1:93" s="3" customFormat="1" x14ac:dyDescent="0.2">
      <c r="B10" s="3" t="s">
        <v>16</v>
      </c>
      <c r="C10" s="6">
        <v>1232.9690000000001</v>
      </c>
      <c r="D10" s="6">
        <v>1475.7070000000001</v>
      </c>
      <c r="E10" s="6">
        <v>1517.89</v>
      </c>
      <c r="F10" s="6">
        <v>1474.9739999999999</v>
      </c>
      <c r="G10" s="6">
        <v>1422.7049999999999</v>
      </c>
      <c r="H10" s="6">
        <v>1637.654</v>
      </c>
      <c r="I10" s="6">
        <v>1658.6679999999999</v>
      </c>
      <c r="J10" s="6">
        <v>1596.74</v>
      </c>
      <c r="K10" s="6">
        <v>1511.2090000000001</v>
      </c>
      <c r="L10" s="6">
        <v>1712.9670000000001</v>
      </c>
      <c r="M10" s="6">
        <v>1712.421</v>
      </c>
      <c r="N10" s="6">
        <f>6613.68-M10-L10-K10</f>
        <v>1677.0829999999999</v>
      </c>
      <c r="O10" s="6">
        <v>1550.731</v>
      </c>
      <c r="P10" s="6"/>
      <c r="Q10" s="6"/>
      <c r="R10" s="6"/>
      <c r="S10" s="6"/>
      <c r="T10" s="6"/>
      <c r="U10" s="6">
        <v>1050.4449999999999</v>
      </c>
      <c r="V10" s="6">
        <v>1456.16</v>
      </c>
      <c r="W10" s="6">
        <v>1920.174</v>
      </c>
      <c r="X10" s="3">
        <v>2471.451</v>
      </c>
      <c r="Y10" s="3">
        <v>3081.0740000000001</v>
      </c>
      <c r="Z10" s="3">
        <v>3294.9780000000001</v>
      </c>
      <c r="AA10" s="3">
        <v>4793.1459999999997</v>
      </c>
      <c r="AB10" s="3">
        <v>5701.54</v>
      </c>
      <c r="AC10" s="3">
        <v>6315.3010000000004</v>
      </c>
      <c r="AD10" s="3">
        <f>SUM(K10:N10)</f>
        <v>6613.68</v>
      </c>
    </row>
    <row r="11" spans="1:93" s="3" customFormat="1" x14ac:dyDescent="0.2">
      <c r="B11" s="3" t="s">
        <v>17</v>
      </c>
      <c r="C11" s="6">
        <v>959.55700000000002</v>
      </c>
      <c r="D11" s="6">
        <v>1094.856</v>
      </c>
      <c r="E11" s="6">
        <v>1191.511</v>
      </c>
      <c r="F11" s="6">
        <v>1306.8489999999999</v>
      </c>
      <c r="G11" s="6">
        <v>1366.2239999999999</v>
      </c>
      <c r="H11" s="6">
        <v>1461.4970000000001</v>
      </c>
      <c r="I11" s="6">
        <v>1492.9</v>
      </c>
      <c r="J11" s="6">
        <v>1624.221</v>
      </c>
      <c r="K11" s="6">
        <v>1682.2940000000001</v>
      </c>
      <c r="L11" s="6">
        <v>1787.893</v>
      </c>
      <c r="M11" s="6">
        <v>1797.933</v>
      </c>
      <c r="N11" s="6">
        <f>7164.799-M11-L11-K11</f>
        <v>1896.6789999999999</v>
      </c>
      <c r="O11" s="6">
        <v>1890.973</v>
      </c>
      <c r="P11" s="6"/>
      <c r="Q11" s="6"/>
      <c r="R11" s="6"/>
      <c r="S11" s="6"/>
      <c r="T11" s="6"/>
      <c r="U11" s="6">
        <v>58.012300000000003</v>
      </c>
      <c r="V11" s="6">
        <v>129.351</v>
      </c>
      <c r="W11" s="6">
        <v>252.66399999999999</v>
      </c>
      <c r="X11" s="3">
        <v>591.70600000000002</v>
      </c>
      <c r="Y11" s="3">
        <v>1031.4559999999999</v>
      </c>
      <c r="Z11" s="3">
        <v>1539.403</v>
      </c>
      <c r="AA11" s="3">
        <v>2709.7310000000002</v>
      </c>
      <c r="AB11" s="3">
        <v>4552.7730000000001</v>
      </c>
      <c r="AC11" s="3">
        <v>5944.8419999999996</v>
      </c>
      <c r="AD11" s="3">
        <f>SUM(K11:N11)</f>
        <v>7164.799</v>
      </c>
    </row>
    <row r="12" spans="1:93" s="3" customFormat="1" x14ac:dyDescent="0.2">
      <c r="B12" s="3" t="s">
        <v>18</v>
      </c>
      <c r="C12" s="6">
        <v>37.326000000000001</v>
      </c>
      <c r="D12" s="6">
        <v>48.051000000000002</v>
      </c>
      <c r="E12" s="6">
        <v>43.387999999999998</v>
      </c>
      <c r="F12" s="6">
        <v>35.652999999999999</v>
      </c>
      <c r="G12" s="6">
        <v>37.451000000000001</v>
      </c>
      <c r="H12" s="6">
        <v>44.921999999999997</v>
      </c>
      <c r="I12" s="6">
        <v>42.341000000000001</v>
      </c>
      <c r="J12" s="6">
        <v>32.463999999999999</v>
      </c>
      <c r="K12" s="6">
        <v>32.500999999999998</v>
      </c>
      <c r="L12" s="6">
        <v>42.96</v>
      </c>
      <c r="M12" s="6">
        <v>36.838999999999999</v>
      </c>
      <c r="N12" s="6">
        <f>143.369-M12-L12-K12</f>
        <v>31.069000000000003</v>
      </c>
      <c r="O12" s="6">
        <v>28.69</v>
      </c>
      <c r="P12" s="6"/>
      <c r="Q12" s="6"/>
      <c r="R12" s="6"/>
      <c r="S12" s="6"/>
      <c r="T12" s="6"/>
      <c r="U12" s="6">
        <v>16.376999999999999</v>
      </c>
      <c r="V12" s="6">
        <v>44.307000000000002</v>
      </c>
      <c r="W12" s="6">
        <v>41.414999999999999</v>
      </c>
      <c r="X12" s="3">
        <v>68.503</v>
      </c>
      <c r="Y12" s="3">
        <v>84.504999999999995</v>
      </c>
      <c r="Z12" s="3">
        <v>91.653999999999996</v>
      </c>
      <c r="AA12" s="3">
        <v>145.679</v>
      </c>
      <c r="AB12" s="3">
        <v>164.41800000000001</v>
      </c>
      <c r="AC12" s="3">
        <v>157.178</v>
      </c>
      <c r="AD12" s="3">
        <f>SUM(K12:N12)</f>
        <v>143.369</v>
      </c>
    </row>
    <row r="13" spans="1:93" s="3" customFormat="1" x14ac:dyDescent="0.2">
      <c r="B13" s="3" t="s">
        <v>50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>
        <v>142.28299999999999</v>
      </c>
      <c r="V13" s="6">
        <v>78.903000000000006</v>
      </c>
      <c r="W13" s="6"/>
    </row>
    <row r="14" spans="1:93" s="3" customFormat="1" x14ac:dyDescent="0.2">
      <c r="B14" s="3" t="s">
        <v>19</v>
      </c>
      <c r="C14" s="6">
        <v>1730.7929999999999</v>
      </c>
      <c r="D14" s="6">
        <v>1785.885</v>
      </c>
      <c r="E14" s="6">
        <v>1762.752</v>
      </c>
      <c r="F14" s="6">
        <v>1833.4259999999999</v>
      </c>
      <c r="G14" s="6">
        <v>2163.7510000000002</v>
      </c>
      <c r="H14" s="6">
        <v>2390.884</v>
      </c>
      <c r="I14" s="6">
        <v>2423.5839999999998</v>
      </c>
      <c r="J14" s="6">
        <v>2520.0830000000001</v>
      </c>
      <c r="K14" s="6">
        <v>2731.1239999999998</v>
      </c>
      <c r="L14" s="6">
        <v>2611.7429999999999</v>
      </c>
      <c r="M14" s="6">
        <v>2428.6080000000002</v>
      </c>
      <c r="N14" s="6">
        <f>10199.205-M14-L14-K14</f>
        <v>2427.7299999999996</v>
      </c>
      <c r="O14" s="6">
        <v>2301.402</v>
      </c>
      <c r="P14" s="6"/>
      <c r="Q14" s="6"/>
      <c r="R14" s="6"/>
      <c r="S14" s="6"/>
      <c r="T14" s="6"/>
      <c r="U14" s="6"/>
      <c r="V14" s="6"/>
      <c r="W14" s="6"/>
      <c r="X14" s="3">
        <v>166.517</v>
      </c>
      <c r="Y14" s="3">
        <v>516.46500000000003</v>
      </c>
      <c r="Z14" s="3">
        <v>4571.5429999999997</v>
      </c>
      <c r="AA14" s="3">
        <v>10012.647000000001</v>
      </c>
      <c r="AB14" s="3">
        <v>7112.8559999999998</v>
      </c>
      <c r="AC14" s="3">
        <v>9498.3019999999997</v>
      </c>
      <c r="AD14" s="3">
        <f>SUM(K14:N14)</f>
        <v>10199.205</v>
      </c>
    </row>
    <row r="15" spans="1:93" s="7" customFormat="1" x14ac:dyDescent="0.2">
      <c r="B15" s="7" t="s">
        <v>8</v>
      </c>
      <c r="C15" s="8">
        <f t="shared" ref="C15" si="2">SUM(C10:C14)</f>
        <v>3960.6449999999995</v>
      </c>
      <c r="D15" s="8">
        <f t="shared" ref="D15" si="3">SUM(D10:D14)</f>
        <v>4404.4989999999998</v>
      </c>
      <c r="E15" s="8">
        <f t="shared" ref="E15" si="4">SUM(E10:E14)</f>
        <v>4515.5409999999993</v>
      </c>
      <c r="F15" s="8">
        <f t="shared" ref="F15" si="5">SUM(F10:F14)</f>
        <v>4650.902</v>
      </c>
      <c r="G15" s="8">
        <f t="shared" ref="G15:K15" si="6">SUM(G10:G14)</f>
        <v>4990.1310000000003</v>
      </c>
      <c r="H15" s="8">
        <f t="shared" si="6"/>
        <v>5534.9570000000003</v>
      </c>
      <c r="I15" s="8">
        <f t="shared" si="6"/>
        <v>5617.4930000000004</v>
      </c>
      <c r="J15" s="8">
        <f t="shared" si="6"/>
        <v>5773.5079999999998</v>
      </c>
      <c r="K15" s="8">
        <f t="shared" si="6"/>
        <v>5957.1280000000006</v>
      </c>
      <c r="L15" s="8">
        <f>SUM(L10:L14)</f>
        <v>6155.5630000000001</v>
      </c>
      <c r="M15" s="8">
        <f>SUM(M10:M14)</f>
        <v>5975.8010000000004</v>
      </c>
      <c r="N15" s="8">
        <f t="shared" ref="N15:R15" si="7">SUM(N10:N14)</f>
        <v>6032.5609999999997</v>
      </c>
      <c r="O15" s="8">
        <f t="shared" si="7"/>
        <v>5771.7960000000003</v>
      </c>
      <c r="P15" s="8">
        <f t="shared" si="7"/>
        <v>0</v>
      </c>
      <c r="Q15" s="8">
        <f t="shared" si="7"/>
        <v>0</v>
      </c>
      <c r="R15" s="8">
        <f t="shared" si="7"/>
        <v>0</v>
      </c>
      <c r="S15" s="8"/>
      <c r="T15" s="8"/>
      <c r="U15" s="7">
        <f t="shared" ref="U15:Y15" si="8">SUM(U10:U14)</f>
        <v>1267.1172999999999</v>
      </c>
      <c r="V15" s="7">
        <f t="shared" si="8"/>
        <v>1708.721</v>
      </c>
      <c r="W15" s="7">
        <f t="shared" si="8"/>
        <v>2214.2529999999997</v>
      </c>
      <c r="X15" s="7">
        <f t="shared" si="8"/>
        <v>3298.1770000000001</v>
      </c>
      <c r="Y15" s="7">
        <f t="shared" si="8"/>
        <v>4713.5</v>
      </c>
      <c r="Z15" s="7">
        <f t="shared" ref="Z15:AJ15" si="9">SUM(Z10:Z14)</f>
        <v>9497.5779999999995</v>
      </c>
      <c r="AA15" s="7">
        <f t="shared" si="9"/>
        <v>17661.203000000001</v>
      </c>
      <c r="AB15" s="7">
        <f t="shared" si="9"/>
        <v>17531.587</v>
      </c>
      <c r="AC15" s="7">
        <f t="shared" si="9"/>
        <v>21915.623</v>
      </c>
      <c r="AD15" s="7">
        <f t="shared" si="9"/>
        <v>24121.053</v>
      </c>
      <c r="AE15" s="7">
        <f t="shared" si="9"/>
        <v>0</v>
      </c>
      <c r="AF15" s="7">
        <f t="shared" si="9"/>
        <v>0</v>
      </c>
      <c r="AG15" s="7">
        <f t="shared" si="9"/>
        <v>0</v>
      </c>
      <c r="AH15" s="7">
        <f t="shared" si="9"/>
        <v>0</v>
      </c>
      <c r="AI15" s="7">
        <f t="shared" si="9"/>
        <v>0</v>
      </c>
      <c r="AJ15" s="7">
        <f t="shared" si="9"/>
        <v>0</v>
      </c>
    </row>
    <row r="16" spans="1:93" s="3" customFormat="1" x14ac:dyDescent="0.2">
      <c r="B16" s="3" t="s">
        <v>16</v>
      </c>
      <c r="C16" s="6">
        <v>716.23599999999999</v>
      </c>
      <c r="D16" s="6">
        <v>875.76199999999994</v>
      </c>
      <c r="E16" s="6">
        <v>901.99</v>
      </c>
      <c r="F16" s="6">
        <f>+AB16-E16-D16-C16</f>
        <v>870.03999999999962</v>
      </c>
      <c r="G16" s="6">
        <v>820.78700000000003</v>
      </c>
      <c r="H16" s="6">
        <v>950.52300000000002</v>
      </c>
      <c r="I16" s="6">
        <v>984.65800000000002</v>
      </c>
      <c r="J16" s="6">
        <f>+AC16-I16-H16-G16</f>
        <v>946.048</v>
      </c>
      <c r="K16" s="6">
        <v>873.16499999999996</v>
      </c>
      <c r="L16" s="6">
        <v>1000.0549999999999</v>
      </c>
      <c r="M16" s="6">
        <v>1011.476</v>
      </c>
      <c r="N16" s="6">
        <f>3881.013-M16-L16-K16</f>
        <v>996.31700000000001</v>
      </c>
      <c r="O16" s="6">
        <v>903.822</v>
      </c>
      <c r="P16" s="6"/>
      <c r="Q16" s="6"/>
      <c r="R16" s="6"/>
      <c r="S16" s="6"/>
      <c r="T16" s="6"/>
      <c r="U16" s="6">
        <v>672.66700000000003</v>
      </c>
      <c r="V16" s="6">
        <v>943.2</v>
      </c>
      <c r="W16" s="6">
        <v>1230.29</v>
      </c>
      <c r="X16" s="3">
        <v>1558.5619999999999</v>
      </c>
      <c r="Y16" s="3">
        <v>1937.971</v>
      </c>
      <c r="Z16" s="3">
        <v>1911.848</v>
      </c>
      <c r="AA16" s="3">
        <v>2719.502</v>
      </c>
      <c r="AB16" s="3">
        <v>3364.0279999999998</v>
      </c>
      <c r="AC16" s="3">
        <v>3702.0160000000001</v>
      </c>
      <c r="AD16" s="3">
        <f>SUM(K16:N16)</f>
        <v>3881.0129999999999</v>
      </c>
    </row>
    <row r="17" spans="2:31" s="3" customFormat="1" x14ac:dyDescent="0.2">
      <c r="B17" s="3" t="s">
        <v>50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>
        <v>165.43799999999999</v>
      </c>
      <c r="V17" s="6">
        <v>69.760999999999996</v>
      </c>
      <c r="W17" s="6"/>
    </row>
    <row r="18" spans="2:31" s="3" customFormat="1" x14ac:dyDescent="0.2">
      <c r="B18" s="3" t="s">
        <v>17</v>
      </c>
      <c r="C18" s="6">
        <v>182.857</v>
      </c>
      <c r="D18" s="6">
        <v>213.27099999999999</v>
      </c>
      <c r="E18" s="6">
        <v>225.90299999999999</v>
      </c>
      <c r="F18" s="6">
        <f>+AB18-E18-D18-C18</f>
        <v>239.71400000000003</v>
      </c>
      <c r="G18" s="6">
        <v>264.09199999999998</v>
      </c>
      <c r="H18" s="6">
        <v>279.22300000000001</v>
      </c>
      <c r="I18" s="6">
        <v>259.262</v>
      </c>
      <c r="J18" s="6">
        <f>+AC18-I18-H18-G18</f>
        <v>272.55200000000002</v>
      </c>
      <c r="K18" s="6">
        <v>269.66800000000001</v>
      </c>
      <c r="L18" s="6">
        <v>291.80099999999999</v>
      </c>
      <c r="M18" s="6">
        <v>271.286</v>
      </c>
      <c r="N18" s="6">
        <f>1135.813-M18-L18-K18</f>
        <v>303.05800000000011</v>
      </c>
      <c r="O18" s="6">
        <v>275.048</v>
      </c>
      <c r="P18" s="6"/>
      <c r="Q18" s="6"/>
      <c r="R18" s="6"/>
      <c r="S18" s="6"/>
      <c r="T18" s="6"/>
      <c r="U18" s="6">
        <v>22.47</v>
      </c>
      <c r="V18" s="6">
        <v>43.131999999999998</v>
      </c>
      <c r="W18" s="6">
        <v>75.72</v>
      </c>
      <c r="X18" s="3">
        <v>169.88399999999999</v>
      </c>
      <c r="Y18" s="3">
        <v>234.27</v>
      </c>
      <c r="Z18" s="3">
        <v>222.71199999999999</v>
      </c>
      <c r="AA18" s="3">
        <v>483.05599999999998</v>
      </c>
      <c r="AB18" s="3">
        <v>861.745</v>
      </c>
      <c r="AC18" s="3">
        <v>1075.1289999999999</v>
      </c>
      <c r="AD18" s="3">
        <f t="shared" ref="AD18:AD20" si="10">SUM(K18:N18)</f>
        <v>1135.8130000000001</v>
      </c>
    </row>
    <row r="19" spans="2:31" s="3" customFormat="1" x14ac:dyDescent="0.2">
      <c r="B19" s="3" t="s">
        <v>18</v>
      </c>
      <c r="C19" s="6">
        <v>63.664000000000001</v>
      </c>
      <c r="D19" s="6">
        <v>83.494</v>
      </c>
      <c r="E19" s="6">
        <v>76.001999999999995</v>
      </c>
      <c r="F19" s="6">
        <f>+AB19-E19-D19-C19</f>
        <v>63.834999999999994</v>
      </c>
      <c r="G19" s="6">
        <v>58.784999999999997</v>
      </c>
      <c r="H19" s="6">
        <v>74.084999999999994</v>
      </c>
      <c r="I19" s="6">
        <v>78.337999999999994</v>
      </c>
      <c r="J19" s="6">
        <f>+AC19-I19-H19-G19</f>
        <v>56.441999999999993</v>
      </c>
      <c r="K19" s="6">
        <v>50.784999999999997</v>
      </c>
      <c r="L19" s="6">
        <v>68.308999999999997</v>
      </c>
      <c r="M19" s="6">
        <v>62.091000000000001</v>
      </c>
      <c r="N19" s="6">
        <f>236.441-M19-L19-K19</f>
        <v>55.256</v>
      </c>
      <c r="O19" s="6">
        <v>52.533999999999999</v>
      </c>
      <c r="P19" s="6"/>
      <c r="Q19" s="6"/>
      <c r="R19" s="6"/>
      <c r="S19" s="6"/>
      <c r="T19" s="6"/>
      <c r="U19" s="6">
        <v>30.873999999999999</v>
      </c>
      <c r="V19" s="6">
        <v>68.561999999999998</v>
      </c>
      <c r="W19" s="6">
        <v>62.393000000000001</v>
      </c>
      <c r="X19" s="3">
        <v>94.114000000000004</v>
      </c>
      <c r="Y19" s="3">
        <v>136.38499999999999</v>
      </c>
      <c r="Z19" s="3">
        <v>143.90100000000001</v>
      </c>
      <c r="AA19" s="3">
        <v>221.185</v>
      </c>
      <c r="AB19" s="3">
        <v>286.995</v>
      </c>
      <c r="AC19" s="3">
        <v>267.64999999999998</v>
      </c>
      <c r="AD19" s="3">
        <f t="shared" si="10"/>
        <v>236.441</v>
      </c>
    </row>
    <row r="20" spans="2:31" s="3" customFormat="1" x14ac:dyDescent="0.2">
      <c r="B20" s="3" t="s">
        <v>19</v>
      </c>
      <c r="C20" s="6">
        <v>1687.4590000000001</v>
      </c>
      <c r="D20" s="6">
        <v>1744.425</v>
      </c>
      <c r="E20" s="6">
        <v>1726.0509999999999</v>
      </c>
      <c r="F20" s="6">
        <f>+AB20-E20-D20-C20</f>
        <v>1798.7980000000005</v>
      </c>
      <c r="G20" s="6">
        <v>2113.375</v>
      </c>
      <c r="H20" s="6">
        <v>2346.6329999999998</v>
      </c>
      <c r="I20" s="6">
        <v>2378.9059999999999</v>
      </c>
      <c r="J20" s="6">
        <f>+AC20-I20-H20-G20</f>
        <v>2454.1989999999996</v>
      </c>
      <c r="K20" s="6">
        <v>2651.01</v>
      </c>
      <c r="L20" s="6">
        <v>2544.3290000000002</v>
      </c>
      <c r="M20" s="6">
        <v>2364.0770000000002</v>
      </c>
      <c r="N20" s="6">
        <f>9910.386-M20-L20-K20</f>
        <v>2350.9699999999993</v>
      </c>
      <c r="O20" s="6">
        <v>2236.1149999999998</v>
      </c>
      <c r="P20" s="6"/>
      <c r="Q20" s="6"/>
      <c r="R20" s="6"/>
      <c r="S20" s="6"/>
      <c r="T20" s="6"/>
      <c r="U20" s="6">
        <v>0</v>
      </c>
      <c r="V20" s="6">
        <v>0</v>
      </c>
      <c r="W20" s="6">
        <v>0</v>
      </c>
      <c r="X20" s="3">
        <v>164.827</v>
      </c>
      <c r="Y20" s="3">
        <v>508.23899999999998</v>
      </c>
      <c r="Z20" s="3">
        <v>4474.5339999999997</v>
      </c>
      <c r="AA20" s="3">
        <v>9794.9920000000002</v>
      </c>
      <c r="AB20" s="3">
        <v>6956.7330000000002</v>
      </c>
      <c r="AC20" s="3">
        <v>9293.1129999999994</v>
      </c>
      <c r="AD20" s="3">
        <f t="shared" si="10"/>
        <v>9910.3859999999986</v>
      </c>
    </row>
    <row r="21" spans="2:31" s="3" customFormat="1" x14ac:dyDescent="0.2">
      <c r="B21" s="3" t="s">
        <v>20</v>
      </c>
      <c r="C21" s="6">
        <f t="shared" ref="C21:K21" si="11">SUM(C16:C20)</f>
        <v>2650.2159999999999</v>
      </c>
      <c r="D21" s="6">
        <f t="shared" si="11"/>
        <v>2916.9519999999998</v>
      </c>
      <c r="E21" s="6">
        <f t="shared" si="11"/>
        <v>2929.9459999999999</v>
      </c>
      <c r="F21" s="6">
        <f t="shared" si="11"/>
        <v>2972.3870000000002</v>
      </c>
      <c r="G21" s="6">
        <f t="shared" si="11"/>
        <v>3257.0389999999998</v>
      </c>
      <c r="H21" s="6">
        <f t="shared" si="11"/>
        <v>3650.4639999999999</v>
      </c>
      <c r="I21" s="6">
        <f t="shared" si="11"/>
        <v>3701.1639999999998</v>
      </c>
      <c r="J21" s="6">
        <f t="shared" si="11"/>
        <v>3729.2409999999995</v>
      </c>
      <c r="K21" s="6">
        <f t="shared" si="11"/>
        <v>3844.6280000000006</v>
      </c>
      <c r="L21" s="6">
        <f>SUM(L16:L20)</f>
        <v>3904.4940000000001</v>
      </c>
      <c r="M21" s="6">
        <f>SUM(M16:M20)</f>
        <v>3708.9300000000003</v>
      </c>
      <c r="N21" s="6">
        <f>SUM(N16:N20)</f>
        <v>3705.6009999999997</v>
      </c>
      <c r="O21" s="6">
        <f>SUM(O16:O20)</f>
        <v>3467.5189999999998</v>
      </c>
      <c r="P21" s="6">
        <f>SUM(P16:P20)</f>
        <v>0</v>
      </c>
      <c r="Q21" s="6"/>
      <c r="R21" s="6"/>
      <c r="S21" s="6"/>
      <c r="T21" s="6"/>
      <c r="U21" s="3">
        <f t="shared" ref="U21" si="12">SUM(U16:U20)</f>
        <v>891.44900000000007</v>
      </c>
      <c r="V21" s="3">
        <f t="shared" ref="V21" si="13">SUM(V16:V20)</f>
        <v>1124.655</v>
      </c>
      <c r="W21" s="3">
        <f t="shared" ref="W21:Y21" si="14">SUM(W16:W20)</f>
        <v>1368.403</v>
      </c>
      <c r="X21" s="3">
        <f t="shared" si="14"/>
        <v>1987.3869999999999</v>
      </c>
      <c r="Y21" s="3">
        <f t="shared" si="14"/>
        <v>2816.8650000000002</v>
      </c>
      <c r="Z21" s="3">
        <f>SUM(Z16:Z20)</f>
        <v>6752.994999999999</v>
      </c>
      <c r="AA21" s="3">
        <f>SUM(AA16:AA20)</f>
        <v>13218.735000000001</v>
      </c>
      <c r="AB21" s="3">
        <f>SUM(AB16:AB20)</f>
        <v>11469.501</v>
      </c>
      <c r="AC21" s="3">
        <f>SUM(AC16:AC20)</f>
        <v>14337.907999999999</v>
      </c>
      <c r="AD21" s="3">
        <f>SUM(AD16:AD20)</f>
        <v>15163.652999999998</v>
      </c>
    </row>
    <row r="22" spans="2:31" x14ac:dyDescent="0.2">
      <c r="B22" t="s">
        <v>21</v>
      </c>
      <c r="C22" s="6">
        <f t="shared" ref="C22:K22" si="15">+C15-C21</f>
        <v>1310.4289999999996</v>
      </c>
      <c r="D22" s="6">
        <f t="shared" si="15"/>
        <v>1487.547</v>
      </c>
      <c r="E22" s="6">
        <f t="shared" si="15"/>
        <v>1585.5949999999993</v>
      </c>
      <c r="F22" s="6">
        <f t="shared" si="15"/>
        <v>1678.5149999999999</v>
      </c>
      <c r="G22" s="6">
        <f t="shared" si="15"/>
        <v>1733.0920000000006</v>
      </c>
      <c r="H22" s="6">
        <f t="shared" si="15"/>
        <v>1884.4930000000004</v>
      </c>
      <c r="I22" s="6">
        <f t="shared" si="15"/>
        <v>1916.3290000000006</v>
      </c>
      <c r="J22" s="6">
        <f t="shared" si="15"/>
        <v>2044.2670000000003</v>
      </c>
      <c r="K22" s="6">
        <f t="shared" si="15"/>
        <v>2112.5</v>
      </c>
      <c r="L22" s="6">
        <f>+L15-L21</f>
        <v>2251.069</v>
      </c>
      <c r="M22" s="6">
        <f>+M15-M21</f>
        <v>2266.8710000000001</v>
      </c>
      <c r="N22" s="6">
        <f>+N15-N21</f>
        <v>2326.96</v>
      </c>
      <c r="O22" s="6">
        <f>+O15-O21</f>
        <v>2304.2770000000005</v>
      </c>
      <c r="P22" s="6">
        <f>+P15-P21</f>
        <v>0</v>
      </c>
      <c r="U22" s="3">
        <f t="shared" ref="U22" si="16">+U15-U21</f>
        <v>375.66829999999982</v>
      </c>
      <c r="V22" s="3">
        <f t="shared" ref="V22" si="17">+V15-V21</f>
        <v>584.06600000000003</v>
      </c>
      <c r="W22" s="3">
        <f t="shared" ref="W22:Y22" si="18">+W15-W21</f>
        <v>845.84999999999968</v>
      </c>
      <c r="X22" s="3">
        <f t="shared" si="18"/>
        <v>1310.7900000000002</v>
      </c>
      <c r="Y22" s="3">
        <f t="shared" si="18"/>
        <v>1896.6349999999998</v>
      </c>
      <c r="Z22" s="3">
        <f>+Z15-Z21</f>
        <v>2744.5830000000005</v>
      </c>
      <c r="AA22" s="3">
        <f>+AA15-AA21</f>
        <v>4442.4680000000008</v>
      </c>
      <c r="AB22" s="3">
        <f>+AB15-AB21</f>
        <v>6062.0859999999993</v>
      </c>
      <c r="AC22" s="3">
        <f>+AC15-AC21</f>
        <v>7577.7150000000001</v>
      </c>
      <c r="AD22" s="3">
        <f>+AD15-AD21</f>
        <v>8957.4000000000015</v>
      </c>
    </row>
    <row r="23" spans="2:31" x14ac:dyDescent="0.2">
      <c r="B23" s="3" t="s">
        <v>25</v>
      </c>
      <c r="C23" s="6">
        <v>458.22399999999999</v>
      </c>
      <c r="D23" s="6">
        <v>524.827</v>
      </c>
      <c r="E23" s="6">
        <v>548.03700000000003</v>
      </c>
      <c r="F23" s="6">
        <f t="shared" ref="F23:F26" si="19">+AB23-E23-D23-C23</f>
        <v>604.52400000000011</v>
      </c>
      <c r="G23" s="6">
        <v>626.93700000000001</v>
      </c>
      <c r="H23" s="6">
        <v>694.67200000000003</v>
      </c>
      <c r="I23" s="6">
        <v>713.78800000000001</v>
      </c>
      <c r="J23" s="6">
        <f>+AC23-I23-H23-G23</f>
        <v>685.42199999999991</v>
      </c>
      <c r="K23" s="6">
        <v>720.57399999999996</v>
      </c>
      <c r="L23" s="6">
        <v>713.16300000000001</v>
      </c>
      <c r="M23" s="6">
        <v>710.98299999999995</v>
      </c>
      <c r="N23" s="6">
        <f>2914.415-M23-L23-K23</f>
        <v>769.69499999999982</v>
      </c>
      <c r="O23" s="6">
        <v>760.99900000000002</v>
      </c>
      <c r="U23" s="6">
        <v>199.63800000000001</v>
      </c>
      <c r="V23" s="6">
        <v>268.53699999999998</v>
      </c>
      <c r="W23" s="6">
        <v>321.88799999999998</v>
      </c>
      <c r="X23" s="3">
        <v>497.47899999999998</v>
      </c>
      <c r="Y23" s="3">
        <v>670.60599999999999</v>
      </c>
      <c r="Z23" s="3">
        <v>881.82600000000002</v>
      </c>
      <c r="AA23" s="3">
        <v>1383.8409999999999</v>
      </c>
      <c r="AB23" s="3">
        <v>2135.6120000000001</v>
      </c>
      <c r="AC23" s="3">
        <v>2720.819</v>
      </c>
      <c r="AD23" s="3">
        <f t="shared" ref="AD23:AD26" si="20">SUM(K23:N23)</f>
        <v>2914.415</v>
      </c>
    </row>
    <row r="24" spans="2:31" x14ac:dyDescent="0.2">
      <c r="B24" s="3" t="s">
        <v>24</v>
      </c>
      <c r="C24" s="6">
        <v>501.56200000000001</v>
      </c>
      <c r="D24" s="6">
        <v>530.827</v>
      </c>
      <c r="E24" s="6">
        <v>485.83800000000002</v>
      </c>
      <c r="F24" s="6">
        <f t="shared" si="19"/>
        <v>539.72400000000005</v>
      </c>
      <c r="G24" s="6">
        <v>496.01100000000002</v>
      </c>
      <c r="H24" s="6">
        <v>537.60699999999997</v>
      </c>
      <c r="I24" s="6">
        <v>479.38099999999997</v>
      </c>
      <c r="J24" s="6">
        <f>+AC24-I24-H24-G24</f>
        <v>506.01000000000016</v>
      </c>
      <c r="K24" s="6">
        <v>443.88499999999999</v>
      </c>
      <c r="L24" s="6">
        <v>507.56200000000001</v>
      </c>
      <c r="M24" s="6">
        <v>511.755</v>
      </c>
      <c r="N24" s="6">
        <f>1984.265-M24-L24-K24</f>
        <v>521.06300000000022</v>
      </c>
      <c r="O24" s="6">
        <v>504.46</v>
      </c>
      <c r="U24" s="6">
        <v>145.61799999999999</v>
      </c>
      <c r="V24" s="6">
        <v>173.876</v>
      </c>
      <c r="W24" s="6">
        <v>253.17</v>
      </c>
      <c r="X24" s="3">
        <v>411.15100000000001</v>
      </c>
      <c r="Y24" s="3">
        <v>624.83199999999999</v>
      </c>
      <c r="Z24" s="3">
        <v>1109.67</v>
      </c>
      <c r="AA24" s="3">
        <v>1617.1890000000001</v>
      </c>
      <c r="AB24" s="3">
        <v>2057.951</v>
      </c>
      <c r="AC24" s="3">
        <v>2019.009</v>
      </c>
      <c r="AD24" s="3">
        <f t="shared" si="20"/>
        <v>1984.2650000000003</v>
      </c>
    </row>
    <row r="25" spans="2:31" x14ac:dyDescent="0.2">
      <c r="B25" s="3" t="s">
        <v>26</v>
      </c>
      <c r="C25" s="6">
        <v>444.149</v>
      </c>
      <c r="D25" s="6">
        <v>395.72</v>
      </c>
      <c r="E25" s="6">
        <v>395.43700000000001</v>
      </c>
      <c r="F25" s="6">
        <f t="shared" si="19"/>
        <v>451.54299999999978</v>
      </c>
      <c r="G25" s="6">
        <v>432.82499999999999</v>
      </c>
      <c r="H25" s="6">
        <v>549.29300000000001</v>
      </c>
      <c r="I25" s="6">
        <v>480.88499999999999</v>
      </c>
      <c r="J25" s="6">
        <f>+AC25-I25-H25-G25</f>
        <v>746.18700000000013</v>
      </c>
      <c r="K25" s="6">
        <v>471.26</v>
      </c>
      <c r="L25" s="6">
        <v>473.56799999999998</v>
      </c>
      <c r="M25" s="6">
        <v>475.85500000000002</v>
      </c>
      <c r="N25" s="6">
        <f>2149.099-M25-L25-K25</f>
        <v>728.41600000000017</v>
      </c>
      <c r="O25" s="6">
        <v>491.79700000000003</v>
      </c>
      <c r="U25" s="6">
        <v>143.46600000000001</v>
      </c>
      <c r="V25" s="6">
        <v>251.99299999999999</v>
      </c>
      <c r="W25" s="6">
        <v>250.553</v>
      </c>
      <c r="X25" s="3">
        <v>339.245</v>
      </c>
      <c r="Y25" s="3">
        <v>436.25</v>
      </c>
      <c r="Z25" s="3">
        <v>579.20299999999997</v>
      </c>
      <c r="AA25" s="3">
        <v>982.81700000000001</v>
      </c>
      <c r="AB25" s="3">
        <v>1686.8489999999999</v>
      </c>
      <c r="AC25" s="3">
        <v>2209.19</v>
      </c>
      <c r="AD25" s="3">
        <f t="shared" si="20"/>
        <v>2149.0990000000002</v>
      </c>
    </row>
    <row r="26" spans="2:31" x14ac:dyDescent="0.2">
      <c r="B26" s="3" t="s">
        <v>27</v>
      </c>
      <c r="C26" s="6">
        <v>91.15</v>
      </c>
      <c r="D26" s="6">
        <v>156.697</v>
      </c>
      <c r="E26" s="6">
        <v>147.58600000000001</v>
      </c>
      <c r="F26" s="6">
        <f t="shared" si="19"/>
        <v>155.24999999999997</v>
      </c>
      <c r="G26" s="6">
        <v>127.896</v>
      </c>
      <c r="H26" s="6">
        <v>179.77099999999999</v>
      </c>
      <c r="I26" s="6">
        <v>177.33799999999999</v>
      </c>
      <c r="J26" s="6">
        <f>+AC26-I26-H26-G26</f>
        <v>175.65800000000007</v>
      </c>
      <c r="K26" s="6">
        <v>165.72900000000001</v>
      </c>
      <c r="L26" s="6">
        <v>191.81200000000001</v>
      </c>
      <c r="M26" s="6">
        <v>192.06200000000001</v>
      </c>
      <c r="N26" s="6">
        <f>794.221-M26-L26-K26</f>
        <v>244.61799999999997</v>
      </c>
      <c r="O26" s="6">
        <v>169.68899999999999</v>
      </c>
      <c r="U26" s="6">
        <v>54.009</v>
      </c>
      <c r="V26" s="6">
        <v>51.234999999999999</v>
      </c>
      <c r="W26" s="6">
        <v>67.018000000000001</v>
      </c>
      <c r="X26" s="3">
        <v>88.076999999999998</v>
      </c>
      <c r="Y26" s="3">
        <v>126.959</v>
      </c>
      <c r="Z26" s="3">
        <v>177.67</v>
      </c>
      <c r="AA26" s="3">
        <v>187.99100000000001</v>
      </c>
      <c r="AB26" s="3">
        <v>550.68299999999999</v>
      </c>
      <c r="AC26" s="3">
        <v>660.66300000000001</v>
      </c>
      <c r="AD26" s="3">
        <f t="shared" si="20"/>
        <v>794.221</v>
      </c>
    </row>
    <row r="27" spans="2:31" x14ac:dyDescent="0.2">
      <c r="B27" t="s">
        <v>23</v>
      </c>
      <c r="C27" s="6">
        <f t="shared" ref="C27:G27" si="21">SUM(C23:C26)</f>
        <v>1495.085</v>
      </c>
      <c r="D27" s="6">
        <f t="shared" si="21"/>
        <v>1608.0709999999999</v>
      </c>
      <c r="E27" s="6">
        <f t="shared" si="21"/>
        <v>1576.8979999999999</v>
      </c>
      <c r="F27" s="6">
        <f t="shared" si="21"/>
        <v>1751.0409999999997</v>
      </c>
      <c r="G27" s="6">
        <f t="shared" si="21"/>
        <v>1683.6690000000001</v>
      </c>
      <c r="H27" s="6">
        <f t="shared" ref="H27:K27" si="22">SUM(H23:H26)</f>
        <v>1961.3430000000001</v>
      </c>
      <c r="I27" s="6">
        <f t="shared" si="22"/>
        <v>1851.3919999999998</v>
      </c>
      <c r="J27" s="6">
        <f t="shared" si="22"/>
        <v>2113.277</v>
      </c>
      <c r="K27" s="6">
        <f t="shared" si="22"/>
        <v>1801.4479999999999</v>
      </c>
      <c r="L27" s="6">
        <f>SUM(L23:L26)</f>
        <v>1886.105</v>
      </c>
      <c r="M27" s="6">
        <f>SUM(M23:M26)</f>
        <v>1890.6549999999997</v>
      </c>
      <c r="N27" s="6">
        <f>SUM(N23:N26)</f>
        <v>2263.7920000000004</v>
      </c>
      <c r="O27" s="6">
        <f>SUM(O23:O26)</f>
        <v>1926.9450000000002</v>
      </c>
      <c r="U27" s="3">
        <f t="shared" ref="U27" si="23">SUM(U23:U26)</f>
        <v>542.73099999999999</v>
      </c>
      <c r="V27" s="3">
        <f t="shared" ref="V27" si="24">SUM(V23:V26)</f>
        <v>745.64099999999996</v>
      </c>
      <c r="W27" s="3">
        <f t="shared" ref="W27:Y27" si="25">SUM(W23:W26)</f>
        <v>892.62900000000002</v>
      </c>
      <c r="X27" s="3">
        <f t="shared" si="25"/>
        <v>1335.952</v>
      </c>
      <c r="Y27" s="3">
        <f t="shared" si="25"/>
        <v>1858.6470000000002</v>
      </c>
      <c r="Z27" s="3">
        <f>SUM(Z23:Z26)</f>
        <v>2748.3690000000001</v>
      </c>
      <c r="AA27" s="3">
        <f>SUM(AA23:AA26)</f>
        <v>4171.8379999999997</v>
      </c>
      <c r="AB27" s="3">
        <f t="shared" ref="AB27:AD27" si="26">SUM(AB23:AB26)</f>
        <v>6431.0950000000003</v>
      </c>
      <c r="AC27" s="3">
        <f t="shared" si="26"/>
        <v>7609.6810000000005</v>
      </c>
      <c r="AD27" s="3">
        <f t="shared" si="26"/>
        <v>7842</v>
      </c>
    </row>
    <row r="28" spans="2:31" x14ac:dyDescent="0.2">
      <c r="B28" t="s">
        <v>22</v>
      </c>
      <c r="C28" s="6">
        <f t="shared" ref="C28:G28" si="27">+C22-C27</f>
        <v>-184.6560000000004</v>
      </c>
      <c r="D28" s="6">
        <f t="shared" si="27"/>
        <v>-120.52399999999989</v>
      </c>
      <c r="E28" s="6">
        <f t="shared" si="27"/>
        <v>8.6969999999994343</v>
      </c>
      <c r="F28" s="6">
        <f t="shared" si="27"/>
        <v>-72.52599999999984</v>
      </c>
      <c r="G28" s="6">
        <f t="shared" si="27"/>
        <v>49.423000000000457</v>
      </c>
      <c r="H28" s="6">
        <f t="shared" ref="H28:K28" si="28">+H22-H27</f>
        <v>-76.849999999999682</v>
      </c>
      <c r="I28" s="6">
        <f t="shared" si="28"/>
        <v>64.937000000000808</v>
      </c>
      <c r="J28" s="6">
        <f t="shared" si="28"/>
        <v>-69.009999999999764</v>
      </c>
      <c r="K28" s="6">
        <f t="shared" si="28"/>
        <v>311.05200000000013</v>
      </c>
      <c r="L28" s="6">
        <f>+L22-L27</f>
        <v>364.96399999999994</v>
      </c>
      <c r="M28" s="6">
        <f>+M22-M27</f>
        <v>376.21600000000035</v>
      </c>
      <c r="N28" s="6">
        <f>+N22-N27</f>
        <v>63.167999999999665</v>
      </c>
      <c r="O28" s="6">
        <f>+O22-O27</f>
        <v>377.33200000000033</v>
      </c>
      <c r="P28" s="6">
        <f>+P22-P27</f>
        <v>0</v>
      </c>
      <c r="U28" s="3">
        <f t="shared" ref="U28" si="29">+U22-U27</f>
        <v>-167.06270000000018</v>
      </c>
      <c r="V28" s="3">
        <f t="shared" ref="V28" si="30">+V22-V27</f>
        <v>-161.57499999999993</v>
      </c>
      <c r="W28" s="3">
        <f t="shared" ref="W28:Y28" si="31">+W22-W27</f>
        <v>-46.779000000000337</v>
      </c>
      <c r="X28" s="3">
        <f t="shared" si="31"/>
        <v>-25.161999999999807</v>
      </c>
      <c r="Y28" s="3">
        <f t="shared" si="31"/>
        <v>37.987999999999602</v>
      </c>
      <c r="Z28" s="3">
        <f>+Z22-Z27</f>
        <v>-3.7859999999996035</v>
      </c>
      <c r="AA28" s="3">
        <f>+AA22-AA27</f>
        <v>270.63000000000102</v>
      </c>
      <c r="AB28" s="3">
        <f t="shared" ref="AB28:AD28" si="32">+AB22-AB27</f>
        <v>-369.00900000000092</v>
      </c>
      <c r="AC28" s="3">
        <f t="shared" si="32"/>
        <v>-31.966000000000349</v>
      </c>
      <c r="AD28" s="3">
        <f t="shared" si="32"/>
        <v>1115.4000000000015</v>
      </c>
    </row>
    <row r="29" spans="2:31" x14ac:dyDescent="0.2">
      <c r="B29" s="3" t="s">
        <v>30</v>
      </c>
      <c r="C29" s="6">
        <f>15.748-33.472</f>
        <v>-17.724000000000004</v>
      </c>
      <c r="D29" s="6">
        <f>-12.966+18.766</f>
        <v>5.7999999999999989</v>
      </c>
      <c r="E29" s="6">
        <f>-6.042+18.798</f>
        <v>12.755999999999998</v>
      </c>
      <c r="F29" s="6">
        <f t="shared" ref="F29" si="33">+AB29-E29-D29-C29</f>
        <v>58.383000000000003</v>
      </c>
      <c r="G29" s="6">
        <f>3.161-18.371</f>
        <v>-15.209999999999999</v>
      </c>
      <c r="H29" s="6">
        <f>3.944+14.635</f>
        <v>18.579000000000001</v>
      </c>
      <c r="I29" s="6">
        <f>21.415+4.262</f>
        <v>25.677</v>
      </c>
      <c r="J29" s="6">
        <f>+AC29-I29-H29-G29</f>
        <v>220.65</v>
      </c>
      <c r="K29" s="6">
        <f>18.745+237.824</f>
        <v>256.56900000000002</v>
      </c>
      <c r="L29" s="6">
        <f>1.871-59.532</f>
        <v>-57.660999999999994</v>
      </c>
      <c r="M29" s="6">
        <f>-13.811+14.949</f>
        <v>1.1379999999999999</v>
      </c>
      <c r="N29" s="6">
        <f>-9.302+53.211-M29-L29-K29</f>
        <v>-156.13700000000003</v>
      </c>
      <c r="U29" s="6">
        <v>1.613</v>
      </c>
      <c r="V29" s="6">
        <v>-0.78</v>
      </c>
      <c r="W29" s="6">
        <f>-10.053+1.595</f>
        <v>-8.4580000000000002</v>
      </c>
      <c r="X29" s="3">
        <f>-17.982+18.469</f>
        <v>0.48700000000000188</v>
      </c>
      <c r="Y29" s="3">
        <f>-21.516+0.273</f>
        <v>-21.242999999999999</v>
      </c>
      <c r="Z29" s="3">
        <f>-56.943+291.725</f>
        <v>234.78200000000004</v>
      </c>
      <c r="AA29" s="3">
        <f>-33.124+29.474</f>
        <v>-3.6500000000000021</v>
      </c>
      <c r="AB29" s="3">
        <f>-36.228+95.443</f>
        <v>59.214999999999996</v>
      </c>
      <c r="AC29" s="3">
        <f>47.221+202.475</f>
        <v>249.696</v>
      </c>
      <c r="AD29" s="3">
        <f t="shared" ref="AD29:AD31" si="34">SUM(K29:N29)</f>
        <v>43.908999999999992</v>
      </c>
    </row>
    <row r="30" spans="2:31" x14ac:dyDescent="0.2">
      <c r="B30" s="3" t="s">
        <v>31</v>
      </c>
      <c r="C30" s="6">
        <f t="shared" ref="C30:K30" si="35">+C28+C29</f>
        <v>-202.38000000000039</v>
      </c>
      <c r="D30" s="6">
        <f t="shared" si="35"/>
        <v>-114.72399999999989</v>
      </c>
      <c r="E30" s="6">
        <f t="shared" si="35"/>
        <v>21.452999999999435</v>
      </c>
      <c r="F30" s="6">
        <f t="shared" si="35"/>
        <v>-14.142999999999837</v>
      </c>
      <c r="G30" s="6">
        <f t="shared" si="35"/>
        <v>34.213000000000456</v>
      </c>
      <c r="H30" s="6">
        <f t="shared" si="35"/>
        <v>-58.270999999999681</v>
      </c>
      <c r="I30" s="6">
        <f t="shared" si="35"/>
        <v>90.6140000000008</v>
      </c>
      <c r="J30" s="6">
        <f t="shared" si="35"/>
        <v>151.64000000000024</v>
      </c>
      <c r="K30" s="6">
        <f t="shared" si="35"/>
        <v>567.62100000000009</v>
      </c>
      <c r="L30" s="6">
        <f>+L28+L29</f>
        <v>307.30299999999994</v>
      </c>
      <c r="M30" s="6">
        <f>+M28+M29</f>
        <v>377.35400000000033</v>
      </c>
      <c r="N30" s="6">
        <f>+N28+N29</f>
        <v>-92.969000000000364</v>
      </c>
      <c r="O30" s="6">
        <f>+O28+O29</f>
        <v>377.33200000000033</v>
      </c>
      <c r="U30" s="3">
        <f t="shared" ref="U30" si="36">+U28+U29</f>
        <v>-165.44970000000018</v>
      </c>
      <c r="V30" s="3">
        <f t="shared" ref="V30" si="37">+V28+V29</f>
        <v>-162.35499999999993</v>
      </c>
      <c r="W30" s="3">
        <f t="shared" ref="W30:Y30" si="38">+W28+W29</f>
        <v>-55.237000000000336</v>
      </c>
      <c r="X30" s="3">
        <f t="shared" si="38"/>
        <v>-24.674999999999805</v>
      </c>
      <c r="Y30" s="3">
        <f t="shared" si="38"/>
        <v>16.744999999999603</v>
      </c>
      <c r="Z30" s="3">
        <f>+Z28+Z29</f>
        <v>230.99600000000044</v>
      </c>
      <c r="AA30" s="3">
        <f>+AA28+AA29</f>
        <v>266.98000000000104</v>
      </c>
      <c r="AB30" s="3">
        <f>+AB28+AB29</f>
        <v>-309.79400000000095</v>
      </c>
      <c r="AC30" s="3">
        <f>+AC28+AC29</f>
        <v>217.72999999999965</v>
      </c>
      <c r="AD30" s="3">
        <f>+AD28+AD29</f>
        <v>1159.3090000000016</v>
      </c>
    </row>
    <row r="31" spans="2:31" x14ac:dyDescent="0.2">
      <c r="B31" s="3" t="s">
        <v>32</v>
      </c>
      <c r="C31" s="6">
        <v>-1.702</v>
      </c>
      <c r="D31" s="6">
        <v>1.304</v>
      </c>
      <c r="E31" s="6">
        <v>-17.289000000000001</v>
      </c>
      <c r="F31" s="6">
        <f t="shared" ref="F31" si="39">+AB31-E31-D31-C31</f>
        <v>5.3750000000000018</v>
      </c>
      <c r="G31" s="6">
        <v>-2.056</v>
      </c>
      <c r="H31" s="6">
        <v>-8.15</v>
      </c>
      <c r="I31" s="6">
        <v>49.529000000000003</v>
      </c>
      <c r="J31" s="6">
        <f>+AC31-I31-H31-G31</f>
        <v>-47.342000000000006</v>
      </c>
      <c r="K31" s="6">
        <v>35.491999999999997</v>
      </c>
      <c r="L31" s="6">
        <f>59.029-5.396</f>
        <v>53.633000000000003</v>
      </c>
      <c r="M31" s="6">
        <f>43.011-2.618</f>
        <v>40.393000000000001</v>
      </c>
      <c r="N31" s="2">
        <v>0</v>
      </c>
      <c r="O31" s="6">
        <f>38.328-1.15</f>
        <v>37.178000000000004</v>
      </c>
      <c r="U31" s="6">
        <v>3.746</v>
      </c>
      <c r="V31" s="6">
        <v>1.917</v>
      </c>
      <c r="W31" s="3">
        <v>0.14899999999999999</v>
      </c>
      <c r="X31" s="3">
        <v>2.3260000000000001</v>
      </c>
      <c r="Y31" s="3">
        <v>2.7669999999999999</v>
      </c>
      <c r="Z31" s="3">
        <v>2.8620000000000001</v>
      </c>
      <c r="AA31" s="3">
        <v>-1.3640000000000001</v>
      </c>
      <c r="AB31" s="3">
        <v>-12.311999999999999</v>
      </c>
      <c r="AC31" s="3">
        <v>-8.0190000000000001</v>
      </c>
      <c r="AD31" s="3">
        <f t="shared" si="34"/>
        <v>129.518</v>
      </c>
    </row>
    <row r="32" spans="2:31" x14ac:dyDescent="0.2">
      <c r="B32" t="s">
        <v>28</v>
      </c>
      <c r="C32" s="6">
        <f t="shared" ref="C32:K32" si="40">+C30-C31</f>
        <v>-200.6780000000004</v>
      </c>
      <c r="D32" s="6">
        <f t="shared" si="40"/>
        <v>-116.02799999999989</v>
      </c>
      <c r="E32" s="6">
        <f t="shared" si="40"/>
        <v>38.741999999999436</v>
      </c>
      <c r="F32" s="6">
        <f t="shared" si="40"/>
        <v>-19.517999999999837</v>
      </c>
      <c r="G32" s="6">
        <f t="shared" si="40"/>
        <v>36.269000000000453</v>
      </c>
      <c r="H32" s="6">
        <f t="shared" si="40"/>
        <v>-50.120999999999682</v>
      </c>
      <c r="I32" s="6">
        <f t="shared" si="40"/>
        <v>41.085000000000797</v>
      </c>
      <c r="J32" s="6">
        <f t="shared" si="40"/>
        <v>198.98200000000026</v>
      </c>
      <c r="K32" s="6">
        <f t="shared" si="40"/>
        <v>532.12900000000013</v>
      </c>
      <c r="L32" s="6">
        <f>+L30-L31</f>
        <v>253.66999999999993</v>
      </c>
      <c r="M32" s="6">
        <f>+M30-M31</f>
        <v>336.96100000000035</v>
      </c>
      <c r="N32" s="6">
        <f>+N30-N31</f>
        <v>-92.969000000000364</v>
      </c>
      <c r="O32" s="6">
        <f>+O30-O31</f>
        <v>340.15400000000034</v>
      </c>
      <c r="U32" s="3">
        <f t="shared" ref="U32" si="41">+U30-U31</f>
        <v>-169.19570000000019</v>
      </c>
      <c r="V32" s="3">
        <f t="shared" ref="V32" si="42">+V30-V31</f>
        <v>-164.27199999999993</v>
      </c>
      <c r="W32" s="3">
        <f t="shared" ref="W32:Y32" si="43">+W30-W31</f>
        <v>-55.386000000000337</v>
      </c>
      <c r="X32" s="3">
        <f t="shared" si="43"/>
        <v>-27.000999999999806</v>
      </c>
      <c r="Y32" s="3">
        <f t="shared" si="43"/>
        <v>13.977999999999604</v>
      </c>
      <c r="Z32" s="3">
        <f>+Z30-Z31</f>
        <v>228.13400000000044</v>
      </c>
      <c r="AA32" s="3">
        <f>+AA30-AA31</f>
        <v>268.34400000000102</v>
      </c>
      <c r="AB32" s="3">
        <f>+AB30-AB31</f>
        <v>-297.48200000000094</v>
      </c>
      <c r="AC32" s="3">
        <f>+AC30-AC31</f>
        <v>225.74899999999965</v>
      </c>
      <c r="AD32" s="3">
        <f>+AD30-AD31</f>
        <v>1029.7910000000015</v>
      </c>
    </row>
    <row r="33" spans="2:30" x14ac:dyDescent="0.2">
      <c r="B33" t="s">
        <v>29</v>
      </c>
      <c r="C33" s="9">
        <f t="shared" ref="C33:N33" si="44">+C32/C34</f>
        <v>-0.3706409818353088</v>
      </c>
      <c r="D33" s="9">
        <f t="shared" si="44"/>
        <v>-0.19958372753074721</v>
      </c>
      <c r="E33" s="9">
        <f t="shared" si="44"/>
        <v>6.5368365639003417E-2</v>
      </c>
      <c r="F33" s="9">
        <f t="shared" si="44"/>
        <v>-3.371281408206913E-2</v>
      </c>
      <c r="G33" s="9">
        <f t="shared" si="44"/>
        <v>5.8162638575064998E-2</v>
      </c>
      <c r="H33" s="9">
        <f t="shared" si="44"/>
        <v>-8.2613583169053956E-2</v>
      </c>
      <c r="I33" s="9">
        <f t="shared" si="44"/>
        <v>6.7211865016785874E-2</v>
      </c>
      <c r="J33" s="9">
        <f t="shared" si="44"/>
        <v>0.32406225163837288</v>
      </c>
      <c r="K33" s="9">
        <f t="shared" si="44"/>
        <v>0.83489550646416488</v>
      </c>
      <c r="L33" s="9">
        <f t="shared" si="44"/>
        <v>0.39997098803098591</v>
      </c>
      <c r="M33" s="9">
        <f t="shared" si="44"/>
        <v>0.53252576016183129</v>
      </c>
      <c r="N33" s="9">
        <f t="shared" si="44"/>
        <v>-0.14608809063624564</v>
      </c>
      <c r="U33" s="1">
        <f t="shared" ref="U33:AD33" si="45">+U32/U34</f>
        <v>-0.99236178723504198</v>
      </c>
      <c r="V33" s="1">
        <f t="shared" si="45"/>
        <v>-0.48095328717190478</v>
      </c>
      <c r="W33" s="1">
        <f t="shared" si="45"/>
        <v>-0.1460046817664187</v>
      </c>
      <c r="X33" s="1">
        <f t="shared" si="45"/>
        <v>-6.6549018931261861E-2</v>
      </c>
      <c r="Y33" s="1">
        <f t="shared" si="45"/>
        <v>2.9990816948308009E-2</v>
      </c>
      <c r="Z33" s="1">
        <f t="shared" si="45"/>
        <v>0.47314312261104652</v>
      </c>
      <c r="AA33" s="1">
        <f t="shared" si="45"/>
        <v>0.53478523413694279</v>
      </c>
      <c r="AB33" s="1">
        <f t="shared" si="45"/>
        <v>-0.51383109738509081</v>
      </c>
      <c r="AC33" s="1">
        <f t="shared" si="45"/>
        <v>0.36765501022761271</v>
      </c>
      <c r="AD33" s="1">
        <f t="shared" si="45"/>
        <v>1.6181759612816065</v>
      </c>
    </row>
    <row r="34" spans="2:30" x14ac:dyDescent="0.2">
      <c r="B34" t="s">
        <v>1</v>
      </c>
      <c r="C34" s="6">
        <v>541.43499999999995</v>
      </c>
      <c r="D34" s="6">
        <v>581.35</v>
      </c>
      <c r="E34" s="6">
        <v>592.67200000000003</v>
      </c>
      <c r="F34" s="6">
        <f>+AB34</f>
        <v>578.94899999999996</v>
      </c>
      <c r="G34" s="6">
        <v>623.57899999999995</v>
      </c>
      <c r="H34" s="6">
        <v>606.69200000000001</v>
      </c>
      <c r="I34" s="6">
        <v>611.27599999999995</v>
      </c>
      <c r="J34" s="6">
        <f>+AC34</f>
        <v>614.024</v>
      </c>
      <c r="K34" s="6">
        <v>637.36</v>
      </c>
      <c r="L34" s="6">
        <v>634.221</v>
      </c>
      <c r="M34" s="6">
        <v>632.76</v>
      </c>
      <c r="N34" s="6">
        <v>636.39</v>
      </c>
      <c r="O34" s="6">
        <v>635.34199999999998</v>
      </c>
      <c r="U34" s="6">
        <v>170.49799999999999</v>
      </c>
      <c r="V34" s="6">
        <v>341.55500000000001</v>
      </c>
      <c r="W34" s="3">
        <v>379.34399999999999</v>
      </c>
      <c r="X34" s="3">
        <v>405.73099999999999</v>
      </c>
      <c r="Y34" s="3">
        <v>466.07600000000002</v>
      </c>
      <c r="Z34" s="3">
        <v>482.16699999999997</v>
      </c>
      <c r="AA34" s="3">
        <v>501.779</v>
      </c>
      <c r="AB34" s="3">
        <v>578.94899999999996</v>
      </c>
      <c r="AC34" s="3">
        <v>614.024</v>
      </c>
      <c r="AD34" s="3">
        <f>N34</f>
        <v>636.39</v>
      </c>
    </row>
    <row r="36" spans="2:30" x14ac:dyDescent="0.2">
      <c r="B36" t="s">
        <v>33</v>
      </c>
      <c r="G36" s="10">
        <f t="shared" ref="G36:H36" si="46">+G15/C15-1</f>
        <v>0.25992887522108155</v>
      </c>
      <c r="H36" s="10">
        <f t="shared" si="46"/>
        <v>0.25665983804287396</v>
      </c>
      <c r="I36" s="10">
        <f>+I15/E15-1</f>
        <v>0.24403543229925306</v>
      </c>
      <c r="J36" s="10">
        <f>+J15/F15-1</f>
        <v>0.24137382383030204</v>
      </c>
      <c r="K36" s="10">
        <f>+K15/G15-1</f>
        <v>0.1937818866879446</v>
      </c>
      <c r="L36" s="10">
        <f>+L15/H15-1</f>
        <v>0.11212480964170091</v>
      </c>
      <c r="M36" s="10">
        <f>+M15/I15-1</f>
        <v>6.3784325142906217E-2</v>
      </c>
      <c r="N36" s="10">
        <f>+N15/J15-1</f>
        <v>4.4869254532945879E-2</v>
      </c>
      <c r="O36" s="10">
        <f>+O15/K15-1</f>
        <v>-3.1110964881063574E-2</v>
      </c>
      <c r="P36" s="10">
        <f>+P15/L15-1</f>
        <v>-1</v>
      </c>
      <c r="Q36" s="10">
        <f>+Q15/M15-1</f>
        <v>-1</v>
      </c>
      <c r="R36" s="10">
        <f>+R15/N15-1</f>
        <v>-1</v>
      </c>
      <c r="V36" s="12">
        <f t="shared" ref="V36:W36" si="47">+V15/U15-1</f>
        <v>0.34851051279940704</v>
      </c>
      <c r="W36" s="12">
        <f t="shared" si="47"/>
        <v>0.29585403351395567</v>
      </c>
      <c r="X36" s="12">
        <f t="shared" ref="X36:AD36" si="48">+X15/W15-1</f>
        <v>0.4895212967985143</v>
      </c>
      <c r="Y36" s="12">
        <f t="shared" si="48"/>
        <v>0.42912281542197395</v>
      </c>
      <c r="Z36" s="12">
        <f t="shared" si="48"/>
        <v>1.0149735865068421</v>
      </c>
      <c r="AA36" s="12">
        <f t="shared" si="48"/>
        <v>0.85954808689120554</v>
      </c>
      <c r="AB36" s="12">
        <f t="shared" si="48"/>
        <v>-7.3390244141354755E-3</v>
      </c>
      <c r="AC36" s="12">
        <f t="shared" si="48"/>
        <v>0.25006498270806854</v>
      </c>
      <c r="AD36" s="12">
        <f t="shared" si="48"/>
        <v>0.10063277690075245</v>
      </c>
    </row>
    <row r="37" spans="2:30" s="4" customFormat="1" x14ac:dyDescent="0.2">
      <c r="B37" s="4" t="s">
        <v>39</v>
      </c>
      <c r="C37" s="5"/>
      <c r="D37" s="5"/>
      <c r="E37" s="5"/>
      <c r="F37" s="5"/>
      <c r="G37" s="13">
        <f t="shared" ref="G37:H37" si="49">SUM(G10:G12)/SUM(C10:C12)-1</f>
        <v>0.26751909992232692</v>
      </c>
      <c r="H37" s="13">
        <f t="shared" si="49"/>
        <v>0.20066302249968859</v>
      </c>
      <c r="I37" s="13">
        <f>SUM(I10:I12)/SUM(E10:E12)-1</f>
        <v>0.16024475540987715</v>
      </c>
      <c r="J37" s="13">
        <f>SUM(J10:J12)/SUM(F10:F12)-1</f>
        <v>0.15473033310665318</v>
      </c>
      <c r="K37" s="13">
        <f>SUM(K10:K12)/SUM(G10:G12)-1</f>
        <v>0.14139075425102088</v>
      </c>
      <c r="L37" s="13">
        <f>SUM(L10:L12)/SUM(H10:H12)-1</f>
        <v>0.12714304025383649</v>
      </c>
      <c r="M37" s="13">
        <f>SUM(M10:M12)/SUM(I10:I12)-1</f>
        <v>0.11061179263404197</v>
      </c>
      <c r="N37" s="13">
        <f>SUM(N10:N12)/SUM(J10:J12)-1</f>
        <v>0.10801109599883185</v>
      </c>
      <c r="O37" s="13">
        <f>SUM(O10:O12)/SUM(K10:K12)-1</f>
        <v>7.5756260686595356E-2</v>
      </c>
      <c r="P37" s="13">
        <f>SUM(P10:P12)/SUM(L10:L12)-1</f>
        <v>-1</v>
      </c>
      <c r="Q37" s="13">
        <f>SUM(Q10:Q12)/SUM(M10:M12)-1</f>
        <v>-1</v>
      </c>
      <c r="R37" s="13">
        <f>SUM(R10:R12)/SUM(N10:N12)-1</f>
        <v>-1</v>
      </c>
      <c r="S37" s="5"/>
      <c r="T37" s="5"/>
      <c r="U37" s="5"/>
      <c r="V37" s="13">
        <f t="shared" ref="V37:W37" si="50">SUM(V10:V12)/SUM(U10:U12)-1</f>
        <v>0.44894052395094985</v>
      </c>
      <c r="W37" s="13">
        <f t="shared" si="50"/>
        <v>0.35858911853961595</v>
      </c>
      <c r="X37" s="13">
        <f t="shared" ref="X37:Z37" si="51">SUM(X10:X12)/SUM(W10:W12)-1</f>
        <v>0.41431895993818268</v>
      </c>
      <c r="Y37" s="13">
        <f t="shared" si="51"/>
        <v>0.34019497646615515</v>
      </c>
      <c r="Z37" s="13">
        <f t="shared" si="51"/>
        <v>0.17369404829838198</v>
      </c>
      <c r="AA37" s="13">
        <f>SUM(AA10:AA12)/SUM(Z10:Z12)-1</f>
        <v>0.55267999516852817</v>
      </c>
      <c r="AB37" s="13">
        <f>SUM(AB10:AB12)/SUM(AA10:AA12)-1</f>
        <v>0.36218274403691342</v>
      </c>
      <c r="AC37" s="13">
        <f>SUM(AC10:AC12)/SUM(AB10:AB12)-1</f>
        <v>0.19182662456684985</v>
      </c>
      <c r="AD37" s="13">
        <f>SUM(AD10:AD12)/SUM(AC10:AC12)-1</f>
        <v>0.12116357465511274</v>
      </c>
    </row>
    <row r="38" spans="2:30" x14ac:dyDescent="0.2">
      <c r="B38" t="s">
        <v>34</v>
      </c>
      <c r="C38" s="10">
        <f t="shared" ref="C38:E38" si="52">C22/C15</f>
        <v>0.33086252365460672</v>
      </c>
      <c r="D38" s="10">
        <f t="shared" si="52"/>
        <v>0.33773353110081306</v>
      </c>
      <c r="E38" s="10">
        <f t="shared" si="52"/>
        <v>0.35114175687918669</v>
      </c>
      <c r="F38" s="10">
        <f t="shared" ref="F38:G38" si="53">F22/F15</f>
        <v>0.36090096071686739</v>
      </c>
      <c r="G38" s="10">
        <f t="shared" si="53"/>
        <v>0.34730390845450759</v>
      </c>
      <c r="H38" s="10">
        <f>H22/H15</f>
        <v>0.34047111838447891</v>
      </c>
      <c r="I38" s="10">
        <f>I22/I15</f>
        <v>0.34113598361404285</v>
      </c>
      <c r="J38" s="10">
        <f t="shared" ref="J38:K38" si="54">J22/J15</f>
        <v>0.35407710528850056</v>
      </c>
      <c r="K38" s="10">
        <f t="shared" si="54"/>
        <v>0.35461719137141251</v>
      </c>
      <c r="L38" s="10">
        <f t="shared" ref="L38:R38" si="55">L22/L15</f>
        <v>0.36569668769534158</v>
      </c>
      <c r="M38" s="10">
        <f t="shared" si="55"/>
        <v>0.37934178196362295</v>
      </c>
      <c r="N38" s="10">
        <f t="shared" si="55"/>
        <v>0.38573335603237169</v>
      </c>
      <c r="O38" s="10">
        <f t="shared" si="55"/>
        <v>0.39923049948404282</v>
      </c>
      <c r="P38" s="10" t="e">
        <f t="shared" si="55"/>
        <v>#DIV/0!</v>
      </c>
      <c r="Q38" s="10" t="e">
        <f t="shared" si="55"/>
        <v>#DIV/0!</v>
      </c>
      <c r="R38" s="10" t="e">
        <f t="shared" si="55"/>
        <v>#DIV/0!</v>
      </c>
      <c r="V38" s="10">
        <f>V22/V15</f>
        <v>0.34181472575101496</v>
      </c>
      <c r="W38" s="10">
        <f t="shared" ref="W38" si="56">W22/W15</f>
        <v>0.38200241797120738</v>
      </c>
      <c r="X38" s="10">
        <f t="shared" ref="X38:Y38" si="57">X22/X15</f>
        <v>0.39742864012452944</v>
      </c>
      <c r="Y38" s="10">
        <f t="shared" si="57"/>
        <v>0.40238357908136202</v>
      </c>
      <c r="Z38" s="10">
        <f t="shared" ref="Z38:AA38" si="58">Z22/Z15</f>
        <v>0.28897714764753718</v>
      </c>
      <c r="AA38" s="10">
        <f t="shared" si="58"/>
        <v>0.25153824459183216</v>
      </c>
      <c r="AB38" s="10">
        <f t="shared" ref="AB38:AD38" si="59">AB22/AB15</f>
        <v>0.34578078983950511</v>
      </c>
      <c r="AC38" s="10">
        <f t="shared" si="59"/>
        <v>0.3457677201328021</v>
      </c>
      <c r="AD38" s="10">
        <f t="shared" si="59"/>
        <v>0.37135194719733011</v>
      </c>
    </row>
    <row r="39" spans="2:30" x14ac:dyDescent="0.2">
      <c r="B39" t="s">
        <v>35</v>
      </c>
      <c r="C39" s="10">
        <f t="shared" ref="C39:E39" si="60">(C14-C20)/C14</f>
        <v>2.5037078379679046E-2</v>
      </c>
      <c r="D39" s="10">
        <f t="shared" si="60"/>
        <v>2.3215380609613742E-2</v>
      </c>
      <c r="E39" s="10">
        <f t="shared" si="60"/>
        <v>2.0820285553498179E-2</v>
      </c>
      <c r="F39" s="10">
        <f t="shared" ref="F39:G39" si="61">(F14-F20)/F14</f>
        <v>1.8887045345707693E-2</v>
      </c>
      <c r="G39" s="10">
        <f t="shared" si="61"/>
        <v>2.3281791666416422E-2</v>
      </c>
      <c r="H39" s="10">
        <f>(H14-H20)/H14</f>
        <v>1.850821704440709E-2</v>
      </c>
      <c r="I39" s="10">
        <f>(I14-I20)/I14</f>
        <v>1.843468185959302E-2</v>
      </c>
      <c r="J39" s="10">
        <f t="shared" ref="J39:K39" si="62">(J14-J20)/J14</f>
        <v>2.6143583366103604E-2</v>
      </c>
      <c r="K39" s="10">
        <f t="shared" si="62"/>
        <v>2.9333710223336466E-2</v>
      </c>
      <c r="L39" s="10">
        <f t="shared" ref="L39:R39" si="63">(L14-L20)/L14</f>
        <v>2.581188118432777E-2</v>
      </c>
      <c r="M39" s="10">
        <f t="shared" si="63"/>
        <v>2.6571188104461463E-2</v>
      </c>
      <c r="N39" s="10">
        <f t="shared" si="63"/>
        <v>3.1618013535277906E-2</v>
      </c>
      <c r="O39" s="10">
        <f t="shared" si="63"/>
        <v>2.8368359808499454E-2</v>
      </c>
      <c r="P39" s="10" t="e">
        <f t="shared" si="63"/>
        <v>#DIV/0!</v>
      </c>
      <c r="Q39" s="10" t="e">
        <f t="shared" si="63"/>
        <v>#DIV/0!</v>
      </c>
      <c r="R39" s="10" t="e">
        <f t="shared" si="63"/>
        <v>#DIV/0!</v>
      </c>
      <c r="V39" s="10"/>
      <c r="W39" s="10"/>
      <c r="X39" s="10">
        <f t="shared" ref="X39:Y39" si="64">(X14-X20)/X14</f>
        <v>1.0149113904286036E-2</v>
      </c>
      <c r="Y39" s="10">
        <f t="shared" si="64"/>
        <v>1.5927507188289731E-2</v>
      </c>
      <c r="Z39" s="10">
        <f t="shared" ref="Z39:AA39" si="65">(Z14-Z20)/Z14</f>
        <v>2.1220187582179587E-2</v>
      </c>
      <c r="AA39" s="10">
        <f t="shared" si="65"/>
        <v>2.1738007941356628E-2</v>
      </c>
      <c r="AB39" s="10">
        <f t="shared" ref="AB39:AD39" si="66">(AB14-AB20)/AB14</f>
        <v>2.194941103826643E-2</v>
      </c>
      <c r="AC39" s="10">
        <f t="shared" si="66"/>
        <v>2.1602703304232727E-2</v>
      </c>
      <c r="AD39" s="10">
        <f t="shared" si="66"/>
        <v>2.8317795357579469E-2</v>
      </c>
    </row>
    <row r="40" spans="2:30" x14ac:dyDescent="0.2">
      <c r="B40" t="s">
        <v>36</v>
      </c>
      <c r="C40" s="10">
        <f t="shared" ref="C40:D40" si="67">(C21-C20)/(C15-C14)</f>
        <v>0.43175825122026029</v>
      </c>
      <c r="D40" s="10">
        <f t="shared" si="67"/>
        <v>0.44776626108315315</v>
      </c>
      <c r="E40" s="10">
        <f t="shared" ref="E40:R40" si="68">(E21-E20)/(E15-E14)</f>
        <v>0.43733646131250897</v>
      </c>
      <c r="F40" s="10">
        <f t="shared" si="68"/>
        <v>0.41653912934839538</v>
      </c>
      <c r="G40" s="10">
        <f t="shared" si="68"/>
        <v>0.40463914972508996</v>
      </c>
      <c r="H40" s="10">
        <f t="shared" si="68"/>
        <v>0.41469488780953878</v>
      </c>
      <c r="I40" s="10">
        <f t="shared" si="68"/>
        <v>0.4139936360115456</v>
      </c>
      <c r="J40" s="10">
        <f t="shared" si="68"/>
        <v>0.39190760506235739</v>
      </c>
      <c r="K40" s="10">
        <f t="shared" si="68"/>
        <v>0.36999892126606171</v>
      </c>
      <c r="L40" s="10">
        <f t="shared" si="68"/>
        <v>0.38381322979158083</v>
      </c>
      <c r="M40" s="10">
        <f t="shared" si="68"/>
        <v>0.37913161195345163</v>
      </c>
      <c r="N40" s="10">
        <f t="shared" si="68"/>
        <v>0.37578211017381957</v>
      </c>
      <c r="O40" s="10">
        <f t="shared" si="68"/>
        <v>0.35483118055183355</v>
      </c>
      <c r="P40" s="10" t="e">
        <f t="shared" si="68"/>
        <v>#DIV/0!</v>
      </c>
      <c r="Q40" s="10" t="e">
        <f t="shared" si="68"/>
        <v>#DIV/0!</v>
      </c>
      <c r="R40" s="10" t="e">
        <f t="shared" si="68"/>
        <v>#DIV/0!</v>
      </c>
      <c r="V40" s="10"/>
      <c r="W40" s="10"/>
      <c r="X40" s="10"/>
      <c r="Y40" s="10"/>
      <c r="Z40" s="10"/>
      <c r="AA40" s="10"/>
      <c r="AB40" s="10"/>
      <c r="AC40" s="10"/>
    </row>
    <row r="42" spans="2:30" s="4" customFormat="1" x14ac:dyDescent="0.2">
      <c r="B42" s="4" t="s">
        <v>40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8">
        <v>21.123000000000001</v>
      </c>
      <c r="V42" s="8">
        <v>23.131</v>
      </c>
      <c r="W42" s="7">
        <v>127.711</v>
      </c>
      <c r="X42" s="7">
        <v>295.08</v>
      </c>
      <c r="Y42" s="7">
        <v>465.69900000000001</v>
      </c>
      <c r="Z42" s="7">
        <v>381.60300000000001</v>
      </c>
      <c r="AA42" s="7">
        <v>847.83</v>
      </c>
      <c r="AB42" s="7">
        <v>175.90299999999999</v>
      </c>
      <c r="AC42" s="7">
        <v>100.961</v>
      </c>
      <c r="AD42" s="7">
        <v>1707.35</v>
      </c>
    </row>
    <row r="43" spans="2:30" x14ac:dyDescent="0.2">
      <c r="B43" t="s">
        <v>41</v>
      </c>
      <c r="AA43" s="3">
        <v>-163.97</v>
      </c>
      <c r="AB43" s="3">
        <v>539.45299999999997</v>
      </c>
      <c r="AC43" s="3">
        <v>-4.9690000000000003</v>
      </c>
      <c r="AD43" s="3">
        <v>153.947</v>
      </c>
    </row>
    <row r="44" spans="2:30" x14ac:dyDescent="0.2">
      <c r="B44" t="s">
        <v>42</v>
      </c>
      <c r="AA44" s="3">
        <v>-134.32</v>
      </c>
      <c r="AB44" s="3">
        <v>-170.815</v>
      </c>
      <c r="AC44" s="3">
        <v>-151.15100000000001</v>
      </c>
      <c r="AD44" s="3"/>
    </row>
    <row r="46" spans="2:30" x14ac:dyDescent="0.2">
      <c r="B46" t="s">
        <v>47</v>
      </c>
      <c r="F46" s="6">
        <v>280.90100000000001</v>
      </c>
      <c r="G46" s="6">
        <v>368.36700000000002</v>
      </c>
      <c r="H46" s="6">
        <v>384.40199999999999</v>
      </c>
      <c r="I46" s="6">
        <v>477.488</v>
      </c>
      <c r="J46" s="6">
        <v>562.16300000000001</v>
      </c>
      <c r="K46" s="6">
        <v>705.07399999999996</v>
      </c>
      <c r="L46" s="6">
        <v>759.476</v>
      </c>
    </row>
    <row r="51" spans="2:13" x14ac:dyDescent="0.2">
      <c r="B51" t="s">
        <v>3</v>
      </c>
      <c r="M51" s="6">
        <f>8299.804+504.986</f>
        <v>8804.7900000000009</v>
      </c>
    </row>
    <row r="52" spans="2:13" x14ac:dyDescent="0.2">
      <c r="B52" t="s">
        <v>55</v>
      </c>
      <c r="M52" s="6">
        <v>1508.491</v>
      </c>
    </row>
    <row r="53" spans="2:13" x14ac:dyDescent="0.2">
      <c r="B53" t="s">
        <v>56</v>
      </c>
      <c r="M53" s="6">
        <v>3933.7849999999999</v>
      </c>
    </row>
    <row r="54" spans="2:13" x14ac:dyDescent="0.2">
      <c r="B54" t="s">
        <v>57</v>
      </c>
      <c r="M54" s="6">
        <v>2090.884</v>
      </c>
    </row>
    <row r="55" spans="2:13" x14ac:dyDescent="0.2">
      <c r="B55" t="s">
        <v>58</v>
      </c>
      <c r="M55" s="6">
        <v>1008.312</v>
      </c>
    </row>
    <row r="56" spans="2:13" x14ac:dyDescent="0.2">
      <c r="B56" t="s">
        <v>59</v>
      </c>
      <c r="M56" s="6">
        <v>1412.9480000000001</v>
      </c>
    </row>
    <row r="57" spans="2:13" x14ac:dyDescent="0.2">
      <c r="B57" t="s">
        <v>60</v>
      </c>
      <c r="M57" s="6">
        <v>2015.702</v>
      </c>
    </row>
    <row r="58" spans="2:13" x14ac:dyDescent="0.2">
      <c r="B58" t="s">
        <v>61</v>
      </c>
      <c r="M58" s="6">
        <f>12048.108+1607.936</f>
        <v>13656.044</v>
      </c>
    </row>
    <row r="59" spans="2:13" x14ac:dyDescent="0.2">
      <c r="B59" t="s">
        <v>62</v>
      </c>
      <c r="M59" s="6">
        <v>1924.479</v>
      </c>
    </row>
    <row r="60" spans="2:13" x14ac:dyDescent="0.2">
      <c r="B60" t="s">
        <v>63</v>
      </c>
      <c r="M60" s="6">
        <f>SUM(M51:M59)</f>
        <v>36355.435000000005</v>
      </c>
    </row>
    <row r="62" spans="2:13" x14ac:dyDescent="0.2">
      <c r="M62" s="6">
        <v>6156.3059999999996</v>
      </c>
    </row>
    <row r="63" spans="2:13" x14ac:dyDescent="0.2">
      <c r="M63" s="6">
        <v>1333.845</v>
      </c>
    </row>
    <row r="64" spans="2:13" x14ac:dyDescent="0.2">
      <c r="M64" s="6">
        <f>998.727+5103.462</f>
        <v>6102.1890000000003</v>
      </c>
    </row>
    <row r="65" spans="2:13" x14ac:dyDescent="0.2">
      <c r="M65" s="6">
        <f>138.136+827.629</f>
        <v>965.76499999999999</v>
      </c>
    </row>
    <row r="66" spans="2:13" x14ac:dyDescent="0.2">
      <c r="M66" s="6">
        <v>1412.9480000000001</v>
      </c>
    </row>
    <row r="67" spans="2:13" x14ac:dyDescent="0.2">
      <c r="M67" s="6">
        <v>475.08699999999999</v>
      </c>
    </row>
    <row r="68" spans="2:13" x14ac:dyDescent="0.2">
      <c r="B68" t="s">
        <v>65</v>
      </c>
      <c r="M68" s="6">
        <v>19909.294999999998</v>
      </c>
    </row>
    <row r="69" spans="2:13" x14ac:dyDescent="0.2">
      <c r="B69" t="s">
        <v>64</v>
      </c>
      <c r="M69" s="6">
        <f>SUM(M62:M68)</f>
        <v>36355.434999999998</v>
      </c>
    </row>
  </sheetData>
  <hyperlinks>
    <hyperlink ref="A1" location="Main!A1" display="Main" xr:uid="{B99C79AD-9DA6-42BA-BD8E-7CD784C7C102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2024-09-05T15:26:28Z</dcterms:created>
  <dcterms:modified xsi:type="dcterms:W3CDTF">2025-05-02T19:00:25Z</dcterms:modified>
</cp:coreProperties>
</file>