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0F53023-614C-4E86-BF03-E0317476895B}" xr6:coauthVersionLast="47" xr6:coauthVersionMax="47" xr10:uidLastSave="{00000000-0000-0000-0000-000000000000}"/>
  <bookViews>
    <workbookView xWindow="-25560" yWindow="915" windowWidth="25080" windowHeight="18540" activeTab="1" xr2:uid="{0DB73A73-2E5B-4C79-A48B-500A9B90B23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" i="2" l="1"/>
  <c r="U20" i="2"/>
  <c r="U3" i="2"/>
  <c r="N3" i="2"/>
  <c r="N20" i="2" s="1"/>
  <c r="T25" i="2"/>
  <c r="S25" i="2"/>
  <c r="R25" i="2"/>
  <c r="R15" i="2"/>
  <c r="R11" i="2"/>
  <c r="R12" i="2" s="1"/>
  <c r="R14" i="2" s="1"/>
  <c r="S11" i="2"/>
  <c r="R18" i="2"/>
  <c r="R9" i="2"/>
  <c r="R10" i="2" s="1"/>
  <c r="R5" i="2"/>
  <c r="S18" i="2"/>
  <c r="S14" i="2"/>
  <c r="S15" i="2" s="1"/>
  <c r="S12" i="2"/>
  <c r="S9" i="2"/>
  <c r="S10" i="2" s="1"/>
  <c r="S5" i="2"/>
  <c r="S20" i="2"/>
  <c r="T20" i="2"/>
  <c r="T18" i="2"/>
  <c r="T15" i="2"/>
  <c r="T16" i="2"/>
  <c r="T14" i="2"/>
  <c r="T13" i="2"/>
  <c r="T12" i="2"/>
  <c r="T11" i="2"/>
  <c r="T9" i="2"/>
  <c r="T10" i="2" s="1"/>
  <c r="T8" i="2"/>
  <c r="T7" i="2"/>
  <c r="T6" i="2"/>
  <c r="T5" i="2"/>
  <c r="T4" i="2"/>
  <c r="T3" i="2"/>
  <c r="AA2" i="2"/>
  <c r="Z2" i="2"/>
  <c r="Y2" i="2"/>
  <c r="X2" i="2"/>
  <c r="W2" i="2"/>
  <c r="V2" i="2"/>
  <c r="U2" i="2"/>
  <c r="T2" i="2"/>
  <c r="S2" i="2"/>
  <c r="R2" i="2"/>
  <c r="L20" i="2"/>
  <c r="K20" i="2"/>
  <c r="M20" i="2"/>
  <c r="J18" i="2"/>
  <c r="J15" i="2"/>
  <c r="J13" i="2"/>
  <c r="J11" i="2"/>
  <c r="J8" i="2"/>
  <c r="J7" i="2"/>
  <c r="J6" i="2"/>
  <c r="J4" i="2"/>
  <c r="J5" i="2" s="1"/>
  <c r="J3" i="2"/>
  <c r="G11" i="2"/>
  <c r="G9" i="2"/>
  <c r="G5" i="2"/>
  <c r="G18" i="2" s="1"/>
  <c r="K18" i="2"/>
  <c r="K11" i="2"/>
  <c r="K9" i="2"/>
  <c r="K5" i="2"/>
  <c r="H11" i="2"/>
  <c r="H9" i="2"/>
  <c r="H5" i="2"/>
  <c r="H18" i="2" s="1"/>
  <c r="L18" i="2"/>
  <c r="L11" i="2"/>
  <c r="L9" i="2"/>
  <c r="L5" i="2"/>
  <c r="I15" i="2"/>
  <c r="M15" i="2"/>
  <c r="I11" i="2"/>
  <c r="M11" i="2"/>
  <c r="I9" i="2"/>
  <c r="M9" i="2"/>
  <c r="M5" i="2"/>
  <c r="M10" i="2" s="1"/>
  <c r="I5" i="2"/>
  <c r="I18" i="2" s="1"/>
  <c r="O7" i="1"/>
  <c r="O4" i="1"/>
  <c r="O3" i="1"/>
  <c r="N18" i="2" l="1"/>
  <c r="J9" i="2"/>
  <c r="J10" i="2" s="1"/>
  <c r="J12" i="2" s="1"/>
  <c r="J14" i="2" s="1"/>
  <c r="G10" i="2"/>
  <c r="G12" i="2" s="1"/>
  <c r="G14" i="2" s="1"/>
  <c r="G15" i="2" s="1"/>
  <c r="K10" i="2"/>
  <c r="K12" i="2" s="1"/>
  <c r="K14" i="2" s="1"/>
  <c r="K15" i="2" s="1"/>
  <c r="H10" i="2"/>
  <c r="H12" i="2" s="1"/>
  <c r="H14" i="2" s="1"/>
  <c r="H15" i="2" s="1"/>
  <c r="L10" i="2"/>
  <c r="L12" i="2" s="1"/>
  <c r="L14" i="2" s="1"/>
  <c r="L15" i="2" s="1"/>
  <c r="M12" i="2"/>
  <c r="M14" i="2" s="1"/>
  <c r="M18" i="2"/>
  <c r="I10" i="2"/>
  <c r="I12" i="2" s="1"/>
  <c r="I14" i="2" s="1"/>
</calcChain>
</file>

<file path=xl/sharedStrings.xml><?xml version="1.0" encoding="utf-8"?>
<sst xmlns="http://schemas.openxmlformats.org/spreadsheetml/2006/main" count="41" uniqueCount="37">
  <si>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</si>
  <si>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</si>
  <si>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</si>
  <si>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</si>
  <si>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</si>
  <si>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</si>
  <si>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</si>
  <si>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</si>
  <si>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</si>
  <si>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</si>
  <si>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</si>
  <si>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</si>
  <si>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</si>
  <si>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</si>
  <si>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</si>
  <si>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</si>
  <si>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</si>
  <si>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</si>
  <si>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</si>
  <si>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</si>
  <si>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Operating Income</t>
  </si>
  <si>
    <t>Operating Expenses</t>
  </si>
  <si>
    <t>R&amp;D</t>
  </si>
  <si>
    <t>S&amp;M</t>
  </si>
  <si>
    <t>G&amp;A</t>
  </si>
  <si>
    <t>Gross Profit</t>
  </si>
  <si>
    <t>COGS</t>
  </si>
  <si>
    <t>Gross Margin</t>
  </si>
  <si>
    <t>Interest Expense</t>
  </si>
  <si>
    <t>Pretax Income</t>
  </si>
  <si>
    <t>Taxes</t>
  </si>
  <si>
    <t>Net Income</t>
  </si>
  <si>
    <t>EPS</t>
  </si>
  <si>
    <t>Revenue y/y</t>
  </si>
  <si>
    <t>CFFO</t>
  </si>
  <si>
    <t>CX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</si>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</sst>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9" fontId="0" fillId="0" borderId="0" xfId="0" applyNumberForma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5143C6E-03C8-44E6-9476-A2C6FABFE51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21771</xdr:colOff>
      <xdr:row>0</xdr:row>
      <xdr:rowOff>0</xdr:rowOff>
    </xdr:from>
    <xdr:to>
      <xdr:col>13</xdr:col>
      <xdr:colOff>21771</xdr:colOff>
      <xdr:row>41</xdr:row>
      <xdr:rowOff>97971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AF2E302-4A2E-0951-84E1-0E2EE0D50A9F}"/>
            </a:ext>
          </a:extLst>
        </xdr:cNvPr>
        <xdr:cNvCxnSpPr/>
      </xdr:nvCxnSpPr>
      <xdr:spPr>
        <a:xfrm>
          <a:off x="8267700" y="0"/>
          <a:ext cx="0" cy="6629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BF50-5CE8-4AE6-BD50-BD2C7FD5D952}">
  <dimension ref="N2:P7"/>
  <sheetViews>
    <sheetView zoomScale="145" zoomScaleNormal="145" workbookViewId="0">
      <selection activeCell="O7" sqref="O7"/>
    </sheetView>
  </sheetViews>
  <sheetFormatPr defaultRowHeight="12.75" x14ac:dyDescent="0.2"/>
  <sheetData>
    <row r="2" spans="14:16" x14ac:dyDescent="0.2">
      <c r="N2" t="s">
        <v>0</v>
      </c>
      <c r="O2" s="1">
        <v>18</v>
      </c>
    </row>
    <row r="3" spans="14:16" x14ac:dyDescent="0.2">
      <c r="N3" t="s">
        <v>1</v>
      </c>
      <c r="O3" s="2">
        <f>24.889923+212.558038</f>
        <v>237.44796100000002</v>
      </c>
      <c r="P3" s="3" t="s">
        <v>6</v>
      </c>
    </row>
    <row r="4" spans="14:16" x14ac:dyDescent="0.2">
      <c r="N4" t="s">
        <v>2</v>
      </c>
      <c r="O4" s="2">
        <f>+O2*O3</f>
        <v>4274.063298</v>
      </c>
    </row>
    <row r="5" spans="14:16" x14ac:dyDescent="0.2">
      <c r="N5" t="s">
        <v>3</v>
      </c>
      <c r="O5" s="2">
        <v>418.53800000000001</v>
      </c>
      <c r="P5" s="3" t="s">
        <v>6</v>
      </c>
    </row>
    <row r="6" spans="14:16" x14ac:dyDescent="0.2">
      <c r="N6" t="s">
        <v>4</v>
      </c>
      <c r="O6" s="2">
        <v>196.089</v>
      </c>
      <c r="P6" s="3" t="s">
        <v>6</v>
      </c>
    </row>
    <row r="7" spans="14:16" x14ac:dyDescent="0.2">
      <c r="N7" t="s">
        <v>5</v>
      </c>
      <c r="O7" s="2">
        <f>+O4-O5+O6</f>
        <v>4051.614298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B020-6E7A-48AC-B718-8A48DEB2DF34}">
  <dimension ref="A1:AA25"/>
  <sheetViews>
    <sheetView tabSelected="1" zoomScale="175" zoomScaleNormal="175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V9" sqref="V9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</cols>
  <sheetData>
    <row r="1" spans="1:27" x14ac:dyDescent="0.2">
      <c r="A1" t="s">
        <v>7</v>
      </c>
    </row>
    <row r="2" spans="1:27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6</v>
      </c>
      <c r="N2" s="3" t="s">
        <v>19</v>
      </c>
      <c r="Q2">
        <v>2020</v>
      </c>
      <c r="R2">
        <f>+Q2+1</f>
        <v>2021</v>
      </c>
      <c r="S2">
        <f>+R2+1</f>
        <v>2022</v>
      </c>
      <c r="T2">
        <f>+S2+1</f>
        <v>2023</v>
      </c>
      <c r="U2">
        <f>+T2+1</f>
        <v>2024</v>
      </c>
      <c r="V2">
        <f>+U2+1</f>
        <v>2025</v>
      </c>
      <c r="W2">
        <f>+V2+1</f>
        <v>2026</v>
      </c>
      <c r="X2">
        <f>+W2+1</f>
        <v>2027</v>
      </c>
      <c r="Y2">
        <f>+X2+1</f>
        <v>2028</v>
      </c>
      <c r="Z2">
        <f>+Y2+1</f>
        <v>2029</v>
      </c>
      <c r="AA2">
        <f>+Z2+1</f>
        <v>2030</v>
      </c>
    </row>
    <row r="3" spans="1:27" s="8" customFormat="1" x14ac:dyDescent="0.2">
      <c r="B3" s="8" t="s">
        <v>8</v>
      </c>
      <c r="C3" s="9"/>
      <c r="D3" s="9"/>
      <c r="E3" s="9"/>
      <c r="F3" s="9"/>
      <c r="G3" s="9">
        <v>157.602</v>
      </c>
      <c r="H3" s="9">
        <v>171.81700000000001</v>
      </c>
      <c r="I3" s="9">
        <v>188.98400000000001</v>
      </c>
      <c r="J3" s="9">
        <f>728.723-I3-H3-G3</f>
        <v>210.31999999999991</v>
      </c>
      <c r="K3" s="9">
        <v>194.947</v>
      </c>
      <c r="L3" s="9">
        <v>227.839</v>
      </c>
      <c r="M3" s="9">
        <v>268.29500000000002</v>
      </c>
      <c r="N3" s="9">
        <f>+J3*1.4</f>
        <v>294.44799999999987</v>
      </c>
      <c r="R3" s="8">
        <v>458.83800000000002</v>
      </c>
      <c r="S3" s="8">
        <v>590.96100000000001</v>
      </c>
      <c r="T3" s="8">
        <f>SUM(H3:K3)</f>
        <v>766.06799999999998</v>
      </c>
      <c r="U3" s="8">
        <f>SUM(K3:N3)</f>
        <v>985.52899999999988</v>
      </c>
    </row>
    <row r="4" spans="1:27" s="4" customFormat="1" x14ac:dyDescent="0.2">
      <c r="B4" s="4" t="s">
        <v>26</v>
      </c>
      <c r="C4" s="5"/>
      <c r="D4" s="5"/>
      <c r="E4" s="5"/>
      <c r="F4" s="5"/>
      <c r="G4" s="5">
        <v>54.35</v>
      </c>
      <c r="H4" s="5">
        <v>62.036999999999999</v>
      </c>
      <c r="I4" s="5">
        <v>73.48</v>
      </c>
      <c r="J4" s="5">
        <f>274.482-I4-H4-G4</f>
        <v>84.615000000000009</v>
      </c>
      <c r="K4" s="5">
        <v>76.873000000000005</v>
      </c>
      <c r="L4" s="5">
        <v>91.081999999999994</v>
      </c>
      <c r="M4" s="5">
        <v>105.652</v>
      </c>
      <c r="N4" s="5"/>
      <c r="R4" s="4">
        <v>174.72</v>
      </c>
      <c r="S4" s="4">
        <v>215.46600000000001</v>
      </c>
      <c r="T4" s="4">
        <f>SUM(G4:J4)</f>
        <v>274.48200000000003</v>
      </c>
    </row>
    <row r="5" spans="1:27" s="4" customFormat="1" x14ac:dyDescent="0.2">
      <c r="B5" s="4" t="s">
        <v>25</v>
      </c>
      <c r="C5" s="5"/>
      <c r="D5" s="5"/>
      <c r="E5" s="5"/>
      <c r="F5" s="5"/>
      <c r="G5" s="5">
        <f>+G3-G4</f>
        <v>103.25200000000001</v>
      </c>
      <c r="H5" s="5">
        <f>+H3-H4</f>
        <v>109.78</v>
      </c>
      <c r="I5" s="5">
        <f>+I3-I4</f>
        <v>115.504</v>
      </c>
      <c r="J5" s="5">
        <f>+J3-J4</f>
        <v>125.7049999999999</v>
      </c>
      <c r="K5" s="5">
        <f>+K3-K4</f>
        <v>118.074</v>
      </c>
      <c r="L5" s="5">
        <f>+L3-L4</f>
        <v>136.75700000000001</v>
      </c>
      <c r="M5" s="5">
        <f>+M3-M4</f>
        <v>162.64300000000003</v>
      </c>
      <c r="N5" s="5"/>
      <c r="R5" s="4">
        <f>+R3-R4</f>
        <v>284.11800000000005</v>
      </c>
      <c r="S5" s="4">
        <f>+S3-S4</f>
        <v>375.495</v>
      </c>
      <c r="T5" s="4">
        <f>+T3-T4</f>
        <v>491.58599999999996</v>
      </c>
    </row>
    <row r="6" spans="1:27" s="4" customFormat="1" x14ac:dyDescent="0.2">
      <c r="B6" s="4" t="s">
        <v>24</v>
      </c>
      <c r="C6" s="5"/>
      <c r="D6" s="5"/>
      <c r="E6" s="5"/>
      <c r="F6" s="5"/>
      <c r="G6" s="5">
        <v>52.600999999999999</v>
      </c>
      <c r="H6" s="5">
        <v>50.715000000000003</v>
      </c>
      <c r="I6" s="5">
        <v>50.706000000000003</v>
      </c>
      <c r="J6" s="5">
        <f>205.419-I6-H6</f>
        <v>103.99800000000002</v>
      </c>
      <c r="K6" s="5">
        <v>48.805999999999997</v>
      </c>
      <c r="L6" s="5">
        <v>51.158999999999999</v>
      </c>
      <c r="M6" s="5">
        <v>50.494</v>
      </c>
      <c r="N6" s="5"/>
      <c r="R6" s="4">
        <v>189.60599999999999</v>
      </c>
      <c r="S6" s="4">
        <v>213.61500000000001</v>
      </c>
      <c r="T6" s="4">
        <f t="shared" ref="T6:T8" si="0">SUM(G6:J6)</f>
        <v>258.02</v>
      </c>
    </row>
    <row r="7" spans="1:27" s="4" customFormat="1" x14ac:dyDescent="0.2">
      <c r="B7" s="4" t="s">
        <v>23</v>
      </c>
      <c r="C7" s="5"/>
      <c r="D7" s="5"/>
      <c r="E7" s="5"/>
      <c r="F7" s="5"/>
      <c r="G7" s="5">
        <v>72.549000000000007</v>
      </c>
      <c r="H7" s="5">
        <v>72.495999999999995</v>
      </c>
      <c r="I7" s="5">
        <v>70.668999999999997</v>
      </c>
      <c r="J7" s="5">
        <f>288.441-I7-H7-G7</f>
        <v>72.727000000000004</v>
      </c>
      <c r="K7" s="5">
        <v>71.415000000000006</v>
      </c>
      <c r="L7" s="5">
        <v>75.603999999999999</v>
      </c>
      <c r="M7" s="5">
        <v>84.548000000000002</v>
      </c>
      <c r="N7" s="5"/>
      <c r="R7" s="4">
        <v>229.34299999999999</v>
      </c>
      <c r="S7" s="4">
        <v>299.238</v>
      </c>
      <c r="T7" s="4">
        <f t="shared" si="0"/>
        <v>288.44100000000003</v>
      </c>
    </row>
    <row r="8" spans="1:27" s="4" customFormat="1" x14ac:dyDescent="0.2">
      <c r="B8" s="4" t="s">
        <v>22</v>
      </c>
      <c r="C8" s="5"/>
      <c r="D8" s="5"/>
      <c r="E8" s="5"/>
      <c r="F8" s="5"/>
      <c r="G8" s="5">
        <v>18.518999999999998</v>
      </c>
      <c r="H8" s="5">
        <v>17.343</v>
      </c>
      <c r="I8" s="5">
        <v>18.062000000000001</v>
      </c>
      <c r="J8" s="5">
        <f>73.869-I8-H8-G8</f>
        <v>19.945</v>
      </c>
      <c r="K8" s="5">
        <v>19.986000000000001</v>
      </c>
      <c r="L8" s="5">
        <v>23.614000000000001</v>
      </c>
      <c r="M8" s="5">
        <v>22.806999999999999</v>
      </c>
      <c r="N8" s="5"/>
      <c r="R8" s="4">
        <v>64.474000000000004</v>
      </c>
      <c r="S8" s="4">
        <v>69.453999999999994</v>
      </c>
      <c r="T8" s="4">
        <f t="shared" si="0"/>
        <v>73.869</v>
      </c>
    </row>
    <row r="9" spans="1:27" s="4" customFormat="1" x14ac:dyDescent="0.2">
      <c r="B9" s="4" t="s">
        <v>21</v>
      </c>
      <c r="C9" s="5"/>
      <c r="D9" s="5"/>
      <c r="E9" s="5"/>
      <c r="F9" s="5"/>
      <c r="G9" s="5">
        <f t="shared" ref="G9:L9" si="1">SUM(G6:G8)</f>
        <v>143.66900000000001</v>
      </c>
      <c r="H9" s="5">
        <f t="shared" si="1"/>
        <v>140.554</v>
      </c>
      <c r="I9" s="5">
        <f t="shared" si="1"/>
        <v>139.43700000000001</v>
      </c>
      <c r="J9" s="5">
        <f t="shared" si="1"/>
        <v>196.67000000000002</v>
      </c>
      <c r="K9" s="5">
        <f>SUM(K6:K8)</f>
        <v>140.20699999999999</v>
      </c>
      <c r="L9" s="5">
        <f>SUM(L6:L8)</f>
        <v>150.37700000000001</v>
      </c>
      <c r="M9" s="5">
        <f>SUM(M6:M8)</f>
        <v>157.84899999999999</v>
      </c>
      <c r="N9" s="5"/>
      <c r="R9" s="5">
        <f>SUM(R6:R8)</f>
        <v>483.42299999999994</v>
      </c>
      <c r="S9" s="5">
        <f>SUM(S6:S8)</f>
        <v>582.30700000000002</v>
      </c>
      <c r="T9" s="5">
        <f>SUM(T6:T8)</f>
        <v>620.33000000000004</v>
      </c>
    </row>
    <row r="10" spans="1:27" s="4" customFormat="1" x14ac:dyDescent="0.2">
      <c r="B10" s="4" t="s">
        <v>20</v>
      </c>
      <c r="C10" s="5"/>
      <c r="D10" s="5"/>
      <c r="E10" s="5"/>
      <c r="F10" s="5"/>
      <c r="G10" s="5">
        <f t="shared" ref="G10:L10" si="2">G5-G9</f>
        <v>-40.417000000000002</v>
      </c>
      <c r="H10" s="5">
        <f t="shared" si="2"/>
        <v>-30.774000000000001</v>
      </c>
      <c r="I10" s="5">
        <f t="shared" si="2"/>
        <v>-23.933000000000007</v>
      </c>
      <c r="J10" s="5">
        <f t="shared" si="2"/>
        <v>-70.965000000000117</v>
      </c>
      <c r="K10" s="5">
        <f>K5-K9</f>
        <v>-22.132999999999996</v>
      </c>
      <c r="L10" s="5">
        <f>L5-L9</f>
        <v>-13.620000000000005</v>
      </c>
      <c r="M10" s="5">
        <f>M5-M9</f>
        <v>4.7940000000000396</v>
      </c>
      <c r="N10" s="5"/>
      <c r="R10" s="5">
        <f>R5-R9</f>
        <v>-199.30499999999989</v>
      </c>
      <c r="S10" s="5">
        <f>S5-S9</f>
        <v>-206.81200000000001</v>
      </c>
      <c r="T10" s="5">
        <f>T5-T9</f>
        <v>-128.74400000000009</v>
      </c>
    </row>
    <row r="11" spans="1:27" s="4" customFormat="1" x14ac:dyDescent="0.2">
      <c r="B11" s="4" t="s">
        <v>28</v>
      </c>
      <c r="C11" s="5"/>
      <c r="D11" s="5"/>
      <c r="E11" s="5"/>
      <c r="F11" s="5"/>
      <c r="G11" s="5">
        <f>-2.448-1.864</f>
        <v>-4.3120000000000003</v>
      </c>
      <c r="H11" s="5">
        <f>-2.797-2.838</f>
        <v>-5.6349999999999998</v>
      </c>
      <c r="I11" s="5">
        <f>-2.894-2.436</f>
        <v>-5.33</v>
      </c>
      <c r="J11" s="5">
        <f>-10.939-7.82-I11-H11-G11</f>
        <v>-3.4820000000000002</v>
      </c>
      <c r="K11" s="5">
        <f>-2.625-0.671</f>
        <v>-3.2960000000000003</v>
      </c>
      <c r="L11" s="5">
        <f>-2.56+1.564</f>
        <v>-0.996</v>
      </c>
      <c r="M11" s="5">
        <f>-1.945-2.851</f>
        <v>-4.7960000000000003</v>
      </c>
      <c r="N11" s="5"/>
      <c r="R11" s="4">
        <f>-7.033+0.279</f>
        <v>-6.7540000000000004</v>
      </c>
      <c r="S11" s="4">
        <f>-7.303-13.983</f>
        <v>-21.286000000000001</v>
      </c>
      <c r="T11" s="4">
        <f t="shared" ref="T11:T13" si="3">SUM(G11:J11)</f>
        <v>-18.759</v>
      </c>
    </row>
    <row r="12" spans="1:27" s="4" customFormat="1" x14ac:dyDescent="0.2">
      <c r="B12" s="4" t="s">
        <v>29</v>
      </c>
      <c r="C12" s="5"/>
      <c r="D12" s="5"/>
      <c r="E12" s="5"/>
      <c r="F12" s="5"/>
      <c r="G12" s="5">
        <f t="shared" ref="G12:L12" si="4">+G10+G11</f>
        <v>-44.728999999999999</v>
      </c>
      <c r="H12" s="5">
        <f t="shared" si="4"/>
        <v>-36.408999999999999</v>
      </c>
      <c r="I12" s="5">
        <f t="shared" si="4"/>
        <v>-29.263000000000005</v>
      </c>
      <c r="J12" s="5">
        <f t="shared" si="4"/>
        <v>-74.447000000000116</v>
      </c>
      <c r="K12" s="5">
        <f>+K10+K11</f>
        <v>-25.428999999999995</v>
      </c>
      <c r="L12" s="5">
        <f>+L10+L11</f>
        <v>-14.616000000000005</v>
      </c>
      <c r="M12" s="5">
        <f>+M10+M11</f>
        <v>-1.9999999999606999E-3</v>
      </c>
      <c r="N12" s="5"/>
      <c r="R12" s="5">
        <f>+R10+R11</f>
        <v>-206.05899999999988</v>
      </c>
      <c r="S12" s="5">
        <f>+S10+S11</f>
        <v>-228.09800000000001</v>
      </c>
      <c r="T12" s="5">
        <f>+T10+T11</f>
        <v>-147.5030000000001</v>
      </c>
    </row>
    <row r="13" spans="1:27" s="4" customFormat="1" x14ac:dyDescent="0.2">
      <c r="B13" s="4" t="s">
        <v>30</v>
      </c>
      <c r="C13" s="5"/>
      <c r="D13" s="5"/>
      <c r="E13" s="5"/>
      <c r="F13" s="5"/>
      <c r="G13" s="5">
        <v>0.19800000000000001</v>
      </c>
      <c r="H13" s="5">
        <v>0.309</v>
      </c>
      <c r="I13" s="5">
        <v>0.59</v>
      </c>
      <c r="J13" s="5">
        <f>1.037-I13-H13-G13</f>
        <v>-6.0000000000000053E-2</v>
      </c>
      <c r="K13" s="5">
        <v>0.39600000000000002</v>
      </c>
      <c r="L13" s="5">
        <v>0.48599999999999999</v>
      </c>
      <c r="M13" s="5">
        <v>0.2</v>
      </c>
      <c r="N13" s="5"/>
      <c r="R13" s="4">
        <v>0</v>
      </c>
      <c r="S13" s="4">
        <v>0</v>
      </c>
      <c r="T13" s="4">
        <f t="shared" si="3"/>
        <v>1.0369999999999999</v>
      </c>
    </row>
    <row r="14" spans="1:27" x14ac:dyDescent="0.2">
      <c r="B14" s="4" t="s">
        <v>31</v>
      </c>
      <c r="G14" s="5">
        <f t="shared" ref="G14:L14" si="5">+G12-G13</f>
        <v>-44.927</v>
      </c>
      <c r="H14" s="5">
        <f t="shared" si="5"/>
        <v>-36.717999999999996</v>
      </c>
      <c r="I14" s="5">
        <f t="shared" si="5"/>
        <v>-29.853000000000005</v>
      </c>
      <c r="J14" s="5">
        <f t="shared" si="5"/>
        <v>-74.387000000000114</v>
      </c>
      <c r="K14" s="5">
        <f>+K12-K13</f>
        <v>-25.824999999999996</v>
      </c>
      <c r="L14" s="5">
        <f>+L12-L13</f>
        <v>-15.102000000000006</v>
      </c>
      <c r="M14" s="5">
        <f>+M12-M13</f>
        <v>-0.20199999999996071</v>
      </c>
      <c r="R14" s="5">
        <f>+R12-R13</f>
        <v>-206.05899999999988</v>
      </c>
      <c r="S14" s="5">
        <f>+S12-S13</f>
        <v>-228.09800000000001</v>
      </c>
      <c r="T14" s="5">
        <f>+T12-T13</f>
        <v>-148.54000000000011</v>
      </c>
    </row>
    <row r="15" spans="1:27" x14ac:dyDescent="0.2">
      <c r="B15" s="4" t="s">
        <v>32</v>
      </c>
      <c r="G15" s="7">
        <f>+G14/G16</f>
        <v>-0.29942183002207856</v>
      </c>
      <c r="H15" s="7">
        <f>+H14/H16</f>
        <v>-0.23750706560557319</v>
      </c>
      <c r="I15" s="7">
        <f>+I14/I16</f>
        <v>-0.18887634669300221</v>
      </c>
      <c r="J15" s="7">
        <f>+J14/J16</f>
        <v>-0.47063761770851753</v>
      </c>
      <c r="K15" s="7">
        <f>+K14/K16</f>
        <v>-0.15081669973080691</v>
      </c>
      <c r="L15" s="7">
        <f>+L14/L16</f>
        <v>-8.4904592076837523E-2</v>
      </c>
      <c r="M15" s="7">
        <f>+M14/M16</f>
        <v>-1.0750105708927228E-3</v>
      </c>
      <c r="R15" s="7">
        <f>+R14/R16</f>
        <v>-2.3703417299122242</v>
      </c>
      <c r="S15" s="7">
        <f>+S14/S16</f>
        <v>-1.6411667812411626</v>
      </c>
      <c r="T15" s="7">
        <f>+T14/T16</f>
        <v>-0.95715712760097305</v>
      </c>
    </row>
    <row r="16" spans="1:27" s="4" customFormat="1" x14ac:dyDescent="0.2">
      <c r="B16" s="4" t="s">
        <v>1</v>
      </c>
      <c r="C16" s="5"/>
      <c r="D16" s="5"/>
      <c r="E16" s="5"/>
      <c r="F16" s="5"/>
      <c r="G16" s="5">
        <v>150.04584</v>
      </c>
      <c r="H16" s="5">
        <v>154.59750600000001</v>
      </c>
      <c r="I16" s="5">
        <v>158.055789</v>
      </c>
      <c r="J16" s="5">
        <v>158.055789</v>
      </c>
      <c r="K16" s="5">
        <v>171.234353</v>
      </c>
      <c r="L16" s="5">
        <v>177.870238</v>
      </c>
      <c r="M16" s="5">
        <v>187.90512899999999</v>
      </c>
      <c r="N16" s="5"/>
      <c r="R16" s="4">
        <v>86.932191000000003</v>
      </c>
      <c r="S16" s="4">
        <v>138.985265</v>
      </c>
      <c r="T16" s="4">
        <f>AVERAGE(G16:J16)</f>
        <v>155.18873100000002</v>
      </c>
    </row>
    <row r="17" spans="2:21" x14ac:dyDescent="0.2">
      <c r="M17" s="5"/>
    </row>
    <row r="18" spans="2:21" x14ac:dyDescent="0.2">
      <c r="B18" s="4" t="s">
        <v>27</v>
      </c>
      <c r="G18" s="6">
        <f>+G5/G3</f>
        <v>0.65514397025418458</v>
      </c>
      <c r="H18" s="6">
        <f>+H5/H3</f>
        <v>0.63893561172642988</v>
      </c>
      <c r="I18" s="6">
        <f>+I5/I3</f>
        <v>0.61118401557803836</v>
      </c>
      <c r="J18" s="6">
        <f>+J5/J3</f>
        <v>0.59768448079117509</v>
      </c>
      <c r="K18" s="6">
        <f>+K5/K3</f>
        <v>0.60567231093579277</v>
      </c>
      <c r="L18" s="6">
        <f>+L5/L3</f>
        <v>0.60023525384152843</v>
      </c>
      <c r="M18" s="6">
        <f>+M5/M3</f>
        <v>0.60620958273542191</v>
      </c>
      <c r="N18" s="6">
        <f>+N5/N3</f>
        <v>0</v>
      </c>
      <c r="R18" s="6">
        <f>+R5/R3</f>
        <v>0.61921200946739385</v>
      </c>
      <c r="S18" s="6">
        <f>+S5/S3</f>
        <v>0.63539725971764638</v>
      </c>
      <c r="T18" s="6">
        <f>+T5/T3</f>
        <v>0.64170021460235904</v>
      </c>
      <c r="U18" s="6">
        <f>+U5/U3</f>
        <v>0</v>
      </c>
    </row>
    <row r="20" spans="2:21" x14ac:dyDescent="0.2">
      <c r="B20" s="4" t="s">
        <v>33</v>
      </c>
      <c r="K20" s="6">
        <f t="shared" ref="K20:L20" si="6">+K3/G3-1</f>
        <v>0.23695765282166459</v>
      </c>
      <c r="L20" s="6">
        <f t="shared" si="6"/>
        <v>0.3260562109686469</v>
      </c>
      <c r="M20" s="6">
        <f>+M3/I3-1</f>
        <v>0.41967044829191891</v>
      </c>
      <c r="N20" s="6">
        <f>+N3/J3-1</f>
        <v>0.39999999999999991</v>
      </c>
      <c r="S20" s="10">
        <f>+S3/R3-1</f>
        <v>0.28795130307428751</v>
      </c>
      <c r="T20" s="10">
        <f>+T3/S3-1</f>
        <v>0.29630889348028044</v>
      </c>
      <c r="U20" s="10">
        <f>+U3/T3-1</f>
        <v>0.28647717957152619</v>
      </c>
    </row>
    <row r="23" spans="2:21" s="2" customFormat="1" x14ac:dyDescent="0.2">
      <c r="B23" s="2" t="s">
        <v>34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R23" s="2">
        <v>44.292000000000002</v>
      </c>
      <c r="S23" s="2">
        <v>78.486000000000004</v>
      </c>
      <c r="T23" s="2">
        <v>90.522999999999996</v>
      </c>
    </row>
    <row r="24" spans="2:21" s="2" customFormat="1" x14ac:dyDescent="0.2">
      <c r="B24" s="2" t="s">
        <v>35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R24" s="2">
        <v>-9.4819999999999993</v>
      </c>
      <c r="S24" s="2">
        <v>-22.231999999999999</v>
      </c>
      <c r="T24" s="2">
        <v>-20.483000000000001</v>
      </c>
    </row>
    <row r="25" spans="2:21" s="2" customFormat="1" x14ac:dyDescent="0.2">
      <c r="B25" s="2" t="s">
        <v>36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R25" s="2">
        <f>+R23+R24</f>
        <v>34.81</v>
      </c>
      <c r="S25" s="2">
        <f>+S23+S24</f>
        <v>56.254000000000005</v>
      </c>
      <c r="T25" s="2">
        <f>+T23+T24</f>
        <v>70.039999999999992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2025-01-02T20:29:48Z</dcterms:created>
  <dcterms:modified xsi:type="dcterms:W3CDTF">2025-01-03T16:43:07Z</dcterms:modified>
</cp:coreProperties>
</file>