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52EB995-E08B-46DE-BC9C-BC1C7098F23C}" xr6:coauthVersionLast="47" xr6:coauthVersionMax="47" xr10:uidLastSave="{00000000-0000-0000-0000-000000000000}"/>
  <bookViews>
    <workbookView xWindow="41830" yWindow="9950" windowWidth="34230" windowHeight="15680" activeTab="1" xr2:uid="{79CAE26F-8736-4C5E-9FC6-A2D7A01B0567}"/>
  </bookViews>
  <sheets>
    <sheet name="Main" sheetId="1" r:id="rId1"/>
    <sheet name="Model" sheetId="2" r:id="rId2"/>
    <sheet name="Elevidys" sheetId="3" r:id="rId3"/>
    <sheet name="SRP-9005" sheetId="4" r:id="rId4"/>
    <sheet name="SRP-9004" sheetId="5" r:id="rId5"/>
    <sheet name="SRP-900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2" l="1"/>
  <c r="Y48" i="2"/>
  <c r="Y52" i="2"/>
  <c r="X52" i="2"/>
  <c r="W52" i="2"/>
  <c r="Y31" i="2"/>
  <c r="X31" i="2"/>
  <c r="Y41" i="2"/>
  <c r="X41" i="2"/>
  <c r="Y34" i="2"/>
  <c r="Y32" i="2"/>
  <c r="Z7" i="2" l="1"/>
  <c r="Z12" i="2"/>
  <c r="W74" i="2"/>
  <c r="X74" i="2"/>
  <c r="X72" i="2"/>
  <c r="X73" i="2"/>
  <c r="X71" i="2"/>
  <c r="X68" i="2"/>
  <c r="X67" i="2"/>
  <c r="X65" i="2"/>
  <c r="X61" i="2"/>
  <c r="X60" i="2"/>
  <c r="X59" i="2"/>
  <c r="X58" i="2"/>
  <c r="X57" i="2"/>
  <c r="X56" i="2"/>
  <c r="X55" i="2"/>
  <c r="AQ25" i="2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W66" i="2"/>
  <c r="W69" i="2" s="1"/>
  <c r="W62" i="2"/>
  <c r="X62" i="2" s="1"/>
  <c r="AN7" i="2"/>
  <c r="AM7" i="2"/>
  <c r="AL7" i="2"/>
  <c r="AK7" i="2"/>
  <c r="AJ7" i="2"/>
  <c r="AI7" i="2"/>
  <c r="AH7" i="2"/>
  <c r="Z25" i="2"/>
  <c r="Z18" i="2"/>
  <c r="Y18" i="2"/>
  <c r="X18" i="2"/>
  <c r="W45" i="2"/>
  <c r="W32" i="2"/>
  <c r="W31" i="2" s="1"/>
  <c r="W16" i="2"/>
  <c r="W18" i="2" s="1"/>
  <c r="AP25" i="2"/>
  <c r="AO25" i="2"/>
  <c r="AO22" i="2"/>
  <c r="AO20" i="2"/>
  <c r="AO17" i="2"/>
  <c r="AO16" i="2"/>
  <c r="AO14" i="2"/>
  <c r="AP22" i="2"/>
  <c r="AP20" i="2"/>
  <c r="AP17" i="2"/>
  <c r="AQ17" i="2" s="1"/>
  <c r="AP16" i="2"/>
  <c r="AP14" i="2"/>
  <c r="AP7" i="2"/>
  <c r="AO6" i="2"/>
  <c r="AP6" i="2"/>
  <c r="AP3" i="2" s="1"/>
  <c r="W3" i="2"/>
  <c r="W4" i="2" s="1"/>
  <c r="U18" i="2"/>
  <c r="V18" i="2"/>
  <c r="V11" i="2"/>
  <c r="V13" i="2" s="1"/>
  <c r="V15" i="2" s="1"/>
  <c r="V28" i="2" s="1"/>
  <c r="U11" i="2"/>
  <c r="U13" i="2" s="1"/>
  <c r="U15" i="2" s="1"/>
  <c r="U28" i="2" s="1"/>
  <c r="Q18" i="2"/>
  <c r="Q7" i="2"/>
  <c r="Q11" i="2" s="1"/>
  <c r="Q13" i="2" s="1"/>
  <c r="Q15" i="2" s="1"/>
  <c r="R7" i="2"/>
  <c r="N18" i="2"/>
  <c r="N13" i="2"/>
  <c r="N15" i="2" s="1"/>
  <c r="R18" i="2"/>
  <c r="R13" i="2"/>
  <c r="R15" i="2" s="1"/>
  <c r="R28" i="2" s="1"/>
  <c r="O18" i="2"/>
  <c r="O13" i="2"/>
  <c r="O15" i="2" s="1"/>
  <c r="S18" i="2"/>
  <c r="S13" i="2"/>
  <c r="S15" i="2" s="1"/>
  <c r="S28" i="2" s="1"/>
  <c r="P11" i="2"/>
  <c r="P13" i="2" s="1"/>
  <c r="P15" i="2" s="1"/>
  <c r="T11" i="2"/>
  <c r="T13" i="2" s="1"/>
  <c r="T15" i="2" s="1"/>
  <c r="T28" i="2" s="1"/>
  <c r="P18" i="2"/>
  <c r="T18" i="2"/>
  <c r="I11" i="2"/>
  <c r="I13" i="2" s="1"/>
  <c r="I15" i="2" s="1"/>
  <c r="M11" i="2"/>
  <c r="M13" i="2" s="1"/>
  <c r="M15" i="2" s="1"/>
  <c r="I18" i="2"/>
  <c r="M18" i="2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L4" i="1"/>
  <c r="W63" i="2" l="1"/>
  <c r="V27" i="2"/>
  <c r="X66" i="2"/>
  <c r="X69" i="2" s="1"/>
  <c r="X63" i="2"/>
  <c r="X75" i="2" s="1"/>
  <c r="AR17" i="2"/>
  <c r="AQ18" i="2"/>
  <c r="W75" i="2"/>
  <c r="AP18" i="2"/>
  <c r="AP11" i="2"/>
  <c r="AP13" i="2" s="1"/>
  <c r="AP15" i="2" s="1"/>
  <c r="AO18" i="2"/>
  <c r="W41" i="2"/>
  <c r="S19" i="2"/>
  <c r="S21" i="2" s="1"/>
  <c r="S23" i="2" s="1"/>
  <c r="S24" i="2" s="1"/>
  <c r="AO7" i="2"/>
  <c r="AO11" i="2" s="1"/>
  <c r="AO13" i="2" s="1"/>
  <c r="AO15" i="2" s="1"/>
  <c r="U19" i="2"/>
  <c r="U21" i="2" s="1"/>
  <c r="U23" i="2" s="1"/>
  <c r="U24" i="2" s="1"/>
  <c r="W11" i="2"/>
  <c r="W13" i="2" s="1"/>
  <c r="R19" i="2"/>
  <c r="R21" i="2" s="1"/>
  <c r="R23" i="2" s="1"/>
  <c r="R24" i="2" s="1"/>
  <c r="T19" i="2"/>
  <c r="T21" i="2" s="1"/>
  <c r="T23" i="2" s="1"/>
  <c r="T24" i="2" s="1"/>
  <c r="V19" i="2"/>
  <c r="V21" i="2" s="1"/>
  <c r="V23" i="2" s="1"/>
  <c r="V24" i="2" s="1"/>
  <c r="Q19" i="2"/>
  <c r="Q21" i="2" s="1"/>
  <c r="Q23" i="2" s="1"/>
  <c r="Q24" i="2" s="1"/>
  <c r="N19" i="2"/>
  <c r="N21" i="2" s="1"/>
  <c r="N23" i="2" s="1"/>
  <c r="N24" i="2" s="1"/>
  <c r="O19" i="2"/>
  <c r="O21" i="2" s="1"/>
  <c r="O23" i="2" s="1"/>
  <c r="O24" i="2" s="1"/>
  <c r="P19" i="2"/>
  <c r="P21" i="2" s="1"/>
  <c r="P23" i="2" s="1"/>
  <c r="P24" i="2" s="1"/>
  <c r="M19" i="2"/>
  <c r="M21" i="2" s="1"/>
  <c r="M23" i="2" s="1"/>
  <c r="M24" i="2" s="1"/>
  <c r="L7" i="1"/>
  <c r="I19" i="2"/>
  <c r="I21" i="2" s="1"/>
  <c r="I23" i="2" s="1"/>
  <c r="I24" i="2" s="1"/>
  <c r="W15" i="2" l="1"/>
  <c r="W27" i="2"/>
  <c r="AP28" i="2"/>
  <c r="AP19" i="2"/>
  <c r="AP21" i="2" s="1"/>
  <c r="AP23" i="2" s="1"/>
  <c r="W19" i="2"/>
  <c r="W21" i="2" s="1"/>
  <c r="W23" i="2" s="1"/>
  <c r="W28" i="2"/>
  <c r="AO19" i="2"/>
  <c r="AO21" i="2" s="1"/>
  <c r="AO23" i="2" s="1"/>
  <c r="AO28" i="2"/>
  <c r="AP29" i="2"/>
  <c r="AS17" i="2"/>
  <c r="AR18" i="2"/>
  <c r="X3" i="2"/>
  <c r="X4" i="2" s="1"/>
  <c r="Y11" i="2"/>
  <c r="Y13" i="2" s="1"/>
  <c r="Y27" i="2" s="1"/>
  <c r="X11" i="2"/>
  <c r="X13" i="2" s="1"/>
  <c r="X27" i="2" s="1"/>
  <c r="AS18" i="2" l="1"/>
  <c r="AT17" i="2"/>
  <c r="W24" i="2"/>
  <c r="W54" i="2"/>
  <c r="Y15" i="2"/>
  <c r="X15" i="2"/>
  <c r="AQ6" i="2"/>
  <c r="Y3" i="2"/>
  <c r="Y4" i="2" s="1"/>
  <c r="Z11" i="2"/>
  <c r="Z13" i="2" s="1"/>
  <c r="Z27" i="2" s="1"/>
  <c r="AQ7" i="2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U17" i="2" l="1"/>
  <c r="AT18" i="2"/>
  <c r="Z14" i="2"/>
  <c r="Y19" i="2"/>
  <c r="Y21" i="2" s="1"/>
  <c r="Y23" i="2" s="1"/>
  <c r="Y24" i="2" s="1"/>
  <c r="Y28" i="2"/>
  <c r="X28" i="2"/>
  <c r="X19" i="2"/>
  <c r="X21" i="2" s="1"/>
  <c r="X23" i="2" s="1"/>
  <c r="Z3" i="2"/>
  <c r="Z4" i="2" s="1"/>
  <c r="AQ3" i="2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X24" i="2" l="1"/>
  <c r="X54" i="2"/>
  <c r="Z15" i="2"/>
  <c r="AQ14" i="2"/>
  <c r="AU18" i="2"/>
  <c r="AV17" i="2"/>
  <c r="Z28" i="2"/>
  <c r="Z19" i="2"/>
  <c r="Z21" i="2" s="1"/>
  <c r="Z23" i="2" s="1"/>
  <c r="Z24" i="2" s="1"/>
  <c r="AQ11" i="2"/>
  <c r="AQ13" i="2" s="1"/>
  <c r="AQ29" i="2" s="1"/>
  <c r="AR11" i="2"/>
  <c r="AR13" i="2" s="1"/>
  <c r="AV18" i="2" l="1"/>
  <c r="AW17" i="2"/>
  <c r="AQ15" i="2"/>
  <c r="AQ19" i="2" s="1"/>
  <c r="AQ21" i="2" s="1"/>
  <c r="AQ22" i="2" s="1"/>
  <c r="AQ23" i="2" s="1"/>
  <c r="AQ24" i="2" s="1"/>
  <c r="AR15" i="2"/>
  <c r="AR19" i="2" s="1"/>
  <c r="AR21" i="2" s="1"/>
  <c r="AS11" i="2"/>
  <c r="AS13" i="2" s="1"/>
  <c r="AW18" i="2" l="1"/>
  <c r="AX17" i="2"/>
  <c r="AS15" i="2"/>
  <c r="AS19" i="2" s="1"/>
  <c r="AS21" i="2" s="1"/>
  <c r="AS14" i="2"/>
  <c r="AR22" i="2"/>
  <c r="AR23" i="2" s="1"/>
  <c r="AR14" i="2"/>
  <c r="AT11" i="2"/>
  <c r="AT13" i="2" s="1"/>
  <c r="AT15" i="2" s="1"/>
  <c r="AX18" i="2" l="1"/>
  <c r="AY17" i="2"/>
  <c r="AT14" i="2"/>
  <c r="AT19" i="2"/>
  <c r="AT21" i="2" s="1"/>
  <c r="AS22" i="2"/>
  <c r="AS23" i="2" s="1"/>
  <c r="AR24" i="2"/>
  <c r="AU11" i="2"/>
  <c r="AU13" i="2" s="1"/>
  <c r="AY18" i="2" l="1"/>
  <c r="AZ17" i="2"/>
  <c r="AU15" i="2"/>
  <c r="AU19" i="2" s="1"/>
  <c r="AU21" i="2" s="1"/>
  <c r="AU14" i="2"/>
  <c r="AT22" i="2"/>
  <c r="AT23" i="2" s="1"/>
  <c r="AS24" i="2"/>
  <c r="AV11" i="2"/>
  <c r="AV13" i="2" s="1"/>
  <c r="AZ18" i="2" l="1"/>
  <c r="BA17" i="2"/>
  <c r="BA18" i="2" s="1"/>
  <c r="AV15" i="2"/>
  <c r="AV19" i="2" s="1"/>
  <c r="AV21" i="2" s="1"/>
  <c r="AU22" i="2"/>
  <c r="AU23" i="2" s="1"/>
  <c r="AT24" i="2"/>
  <c r="AW11" i="2"/>
  <c r="AW13" i="2" s="1"/>
  <c r="AV14" i="2" l="1"/>
  <c r="AU24" i="2"/>
  <c r="AW15" i="2"/>
  <c r="AW19" i="2" s="1"/>
  <c r="AW21" i="2" s="1"/>
  <c r="AV22" i="2"/>
  <c r="AV23" i="2" s="1"/>
  <c r="AX11" i="2"/>
  <c r="AX13" i="2" s="1"/>
  <c r="AW14" i="2" l="1"/>
  <c r="AV24" i="2"/>
  <c r="AX15" i="2"/>
  <c r="AX19" i="2" s="1"/>
  <c r="AX21" i="2" s="1"/>
  <c r="AW22" i="2"/>
  <c r="AW23" i="2" s="1"/>
  <c r="AY11" i="2"/>
  <c r="AY13" i="2" s="1"/>
  <c r="AW24" i="2" l="1"/>
  <c r="AX22" i="2"/>
  <c r="AX23" i="2" s="1"/>
  <c r="AY15" i="2"/>
  <c r="AY19" i="2" s="1"/>
  <c r="AY21" i="2" s="1"/>
  <c r="AY14" i="2"/>
  <c r="AX14" i="2"/>
  <c r="BA11" i="2"/>
  <c r="BA13" i="2" s="1"/>
  <c r="BA15" i="2" s="1"/>
  <c r="AZ11" i="2"/>
  <c r="AZ13" i="2" s="1"/>
  <c r="AX24" i="2" l="1"/>
  <c r="BA14" i="2"/>
  <c r="BA19" i="2"/>
  <c r="BA21" i="2" s="1"/>
  <c r="BA22" i="2" s="1"/>
  <c r="BA23" i="2" s="1"/>
  <c r="BA24" i="2" s="1"/>
  <c r="AY22" i="2"/>
  <c r="AY23" i="2" s="1"/>
  <c r="AZ15" i="2"/>
  <c r="AZ19" i="2" s="1"/>
  <c r="AZ21" i="2" s="1"/>
  <c r="AZ22" i="2" s="1"/>
  <c r="AZ23" i="2" s="1"/>
  <c r="AZ24" i="2" s="1"/>
  <c r="AZ14" i="2" l="1"/>
  <c r="AY24" i="2"/>
  <c r="BD28" i="2"/>
  <c r="BD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tc={E6AB6E99-1C3B-4950-9986-65466B8F87A6}</author>
    <author>tc={6230A4A9-C9AF-4BE7-99BF-B573BD017A22}</author>
    <author>tc={CBA3C9AE-8CDE-4C14-99CA-A98DB0CE1BE6}</author>
    <author>tc={5AFD68C2-EA74-46FE-BF40-AB537FB76AE8}</author>
    <author>tc={7C3EC1BA-FB3C-4FE0-8E5F-1192557AF098}</author>
    <author>tc={79BDC40B-94ED-4D00-94B2-1CB4305DAAA9}</author>
    <author>tc={4BF41E21-6626-4EBB-BC28-DD3A3AEE92C2}</author>
  </authors>
  <commentList>
    <comment ref="V6" authorId="0" shapeId="0" xr:uid="{E6AB6E99-1C3B-4950-9986-65466B8F87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patients on therapy</t>
      </text>
    </comment>
    <comment ref="W13" authorId="1" shapeId="0" xr:uid="{6230A4A9-C9AF-4BE7-99BF-B573BD017A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5/6/25 consensus 687m </t>
      </text>
    </comment>
    <comment ref="X13" authorId="2" shapeId="0" xr:uid="{CBA3C9AE-8CDE-4C14-99CA-A98DB0CE1BE6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741m</t>
      </text>
    </comment>
    <comment ref="Y13" authorId="3" shapeId="0" xr:uid="{5AFD68C2-EA74-46FE-BF40-AB537FB76AE8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788m
11/3/25 consensus: 336m</t>
      </text>
    </comment>
    <comment ref="Z13" authorId="4" shapeId="0" xr:uid="{7C3EC1BA-FB3C-4FE0-8E5F-1192557AF098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828m
11/3/25 consensus: 351m</t>
      </text>
    </comment>
    <comment ref="AQ13" authorId="5" shapeId="0" xr:uid="{79BDC40B-94ED-4D00-94B2-1CB4305DAAA9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product guidance: 2.9-3.1B
Consensus 3.0B</t>
      </text>
    </comment>
    <comment ref="AR13" authorId="6" shapeId="0" xr:uid="{4BF41E21-6626-4EBB-BC28-DD3A3AEE92C2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3.76B</t>
      </text>
    </comment>
  </commentList>
</comments>
</file>

<file path=xl/sharedStrings.xml><?xml version="1.0" encoding="utf-8"?>
<sst xmlns="http://schemas.openxmlformats.org/spreadsheetml/2006/main" count="310" uniqueCount="254">
  <si>
    <t>Price</t>
  </si>
  <si>
    <t>Shares</t>
  </si>
  <si>
    <t>MC</t>
  </si>
  <si>
    <t>Cash</t>
  </si>
  <si>
    <t>Debt</t>
  </si>
  <si>
    <t>EV</t>
  </si>
  <si>
    <t>Q322</t>
  </si>
  <si>
    <t>Main</t>
  </si>
  <si>
    <t>Products</t>
  </si>
  <si>
    <t>Collaboration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</si>
  <si>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</si>
  <si>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</si>
  <si>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</si>
  <si>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</si>
  <si>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</si>
  <si>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</si>
  <si>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</si>
  <si>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</si>
  <si>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</si>
  <si>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</si>
  <si>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</si>
  <si>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</si>
  <si>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Operating Expenses</t>
  </si>
  <si>
    <t>Operating Income</t>
  </si>
  <si>
    <t>COGS</t>
  </si>
  <si>
    <t>Gross Profit</t>
  </si>
  <si>
    <t>R&amp;D</t>
  </si>
  <si>
    <t>SG&amp;A</t>
  </si>
  <si>
    <t>Interest Income</t>
  </si>
  <si>
    <t>Pretax Income</t>
  </si>
  <si>
    <t>Taxes</t>
  </si>
  <si>
    <t>Net Income</t>
  </si>
  <si>
    <t>EPS</t>
  </si>
  <si>
    <t>Brand</t>
  </si>
  <si>
    <t>Exondys 51 (eteplirsen)</t>
  </si>
  <si>
    <t>Vyondys 53 (golodirsen)</t>
  </si>
  <si>
    <t>Amondys 45 (casimersen)</t>
  </si>
  <si>
    <t>SRP-5051</t>
  </si>
  <si>
    <t>SRP-9003</t>
  </si>
  <si>
    <t>Indication</t>
  </si>
  <si>
    <t>DMD</t>
  </si>
  <si>
    <t>Exondys</t>
  </si>
  <si>
    <t>Amondys</t>
  </si>
  <si>
    <t>Vyondys</t>
  </si>
  <si>
    <t>Q224</t>
  </si>
  <si>
    <t>AD</t>
  </si>
  <si>
    <t>PIC</t>
  </si>
  <si>
    <t>Q123</t>
  </si>
  <si>
    <t>Q223</t>
  </si>
  <si>
    <t>Q323</t>
  </si>
  <si>
    <t>Q423</t>
  </si>
  <si>
    <t>Q124</t>
  </si>
  <si>
    <t>Q324</t>
  </si>
  <si>
    <t>Q424</t>
  </si>
  <si>
    <t>Elevidys</t>
  </si>
  <si>
    <t>PMOs</t>
  </si>
  <si>
    <t>Elevidys (delandistrogene moxeparvovec)</t>
  </si>
  <si>
    <t>Approval</t>
  </si>
  <si>
    <t>MOA</t>
  </si>
  <si>
    <t>AAV</t>
  </si>
  <si>
    <t>Q125</t>
  </si>
  <si>
    <t>Q225</t>
  </si>
  <si>
    <t>Q325</t>
  </si>
  <si>
    <t>Q425</t>
  </si>
  <si>
    <t>Generic</t>
  </si>
  <si>
    <t>Clinical Trials</t>
  </si>
  <si>
    <t>Mechanism</t>
  </si>
  <si>
    <t>SRP-9005</t>
  </si>
  <si>
    <t>delandistrogene moxeparvovec</t>
  </si>
  <si>
    <t>Regulatory</t>
  </si>
  <si>
    <t>Elevidys, fka SRP-9001</t>
  </si>
  <si>
    <t>AAVrh74 micro-dystrophin, MHCK7 promoter. 138kDa payload (427 kDa wildtype)</t>
  </si>
  <si>
    <t>n=124 (4-8yo, ambulatory)</t>
  </si>
  <si>
    <t>Part 1 placebo controlled n=63 drug vs. n=61 placebo</t>
  </si>
  <si>
    <t>$3.2m</t>
  </si>
  <si>
    <t>PE: NSAA at week 52</t>
  </si>
  <si>
    <t>2.57 points (95 percent CI: 1.80, 3.34) for the ELEVIDYS group</t>
  </si>
  <si>
    <t xml:space="preserve">1.92 points (95 percent CI: 1.14, 2.70) for the placebo group. </t>
  </si>
  <si>
    <t>LSM change in the NSAA total score</t>
  </si>
  <si>
    <t xml:space="preserve">difference was 0.65 points (95 percent CI: -0.45, 1.74), (p=0.2441). </t>
  </si>
  <si>
    <t>sBLA 125781 filed 12/21/22, approved 6/22/23</t>
  </si>
  <si>
    <t>First BLA 125781 filed 9/28/22</t>
  </si>
  <si>
    <t>ambulatory Duchenne Muscular Dystrophy</t>
  </si>
  <si>
    <t>used Process A product</t>
  </si>
  <si>
    <t>Part II open-label</t>
  </si>
  <si>
    <t>Week 12 muscle biopsy tissue samples</t>
  </si>
  <si>
    <t>micro-dystrophin expression</t>
  </si>
  <si>
    <t>western blot</t>
  </si>
  <si>
    <t>IF staining assay (IF fiber intensity, %u-D+ fiber)</t>
  </si>
  <si>
    <t>values were adjusted by muscle content</t>
  </si>
  <si>
    <t>expressed as a % of control level</t>
  </si>
  <si>
    <t>"High inter-subject variability was observed in expression"</t>
  </si>
  <si>
    <t>Patients</t>
  </si>
  <si>
    <t>Net Adds</t>
  </si>
  <si>
    <t>PE: expression at week 12, change in NSAA at week 48</t>
  </si>
  <si>
    <t>PE: expression at week 12</t>
  </si>
  <si>
    <t>n=8 1.33E14</t>
  </si>
  <si>
    <t>n=6 6.29E13</t>
  </si>
  <si>
    <t>n=5 8.94E13</t>
  </si>
  <si>
    <t>n=21 placebo</t>
  </si>
  <si>
    <t>Part I RCT n=40</t>
  </si>
  <si>
    <t>p=0.37</t>
  </si>
  <si>
    <t>SRP-9003 (bidridistrogene xeboparvovec)</t>
  </si>
  <si>
    <t>SRP-9004 (patidistrogene bexoparvovec)</t>
  </si>
  <si>
    <t>LGMD2D/R3</t>
  </si>
  <si>
    <t>LGMD2E/R4</t>
  </si>
  <si>
    <t>SRP-6004</t>
  </si>
  <si>
    <t>LGMD2B/R2</t>
  </si>
  <si>
    <t>Phase</t>
  </si>
  <si>
    <t>SRP-1001</t>
  </si>
  <si>
    <t>Economics</t>
  </si>
  <si>
    <t>ARWR</t>
  </si>
  <si>
    <t>SRP-1003</t>
  </si>
  <si>
    <t>SRP-1004</t>
  </si>
  <si>
    <t>SRP-1002</t>
  </si>
  <si>
    <t>IPF</t>
  </si>
  <si>
    <t>MMP7</t>
  </si>
  <si>
    <t>Roche</t>
  </si>
  <si>
    <t>LGMD2C/R5</t>
  </si>
  <si>
    <t>Limb Girdle Muscular Dystrophy 2C/R5 (gamma-sarcoglycan)</t>
  </si>
  <si>
    <t>SRP-9004</t>
  </si>
  <si>
    <t>LGMD 2D/R3 (alpha-sarcoglynopathy)</t>
  </si>
  <si>
    <t>LGMD 2E/R4</t>
  </si>
  <si>
    <t>bidridistrogene xeboparvovec</t>
  </si>
  <si>
    <t>biomarker expression of beta-sarcoglycan protein</t>
  </si>
  <si>
    <t>1.85x10E13, 7.41x10E13 doses</t>
  </si>
  <si>
    <t>Immunoblot %</t>
  </si>
  <si>
    <t>Intensity</t>
  </si>
  <si>
    <t>Baseline mean</t>
  </si>
  <si>
    <t>Baseline median</t>
  </si>
  <si>
    <t>Day 60 Mean</t>
  </si>
  <si>
    <t>Day 60 Median</t>
  </si>
  <si>
    <t>Year 2 Mean</t>
  </si>
  <si>
    <t>Year 2 Median</t>
  </si>
  <si>
    <t>% fibers</t>
  </si>
  <si>
    <t>VC</t>
  </si>
  <si>
    <t>7.41 dose</t>
  </si>
  <si>
    <t>1.85 dose</t>
  </si>
  <si>
    <t>III</t>
  </si>
  <si>
    <t>AR</t>
  </si>
  <si>
    <t>Inventory</t>
  </si>
  <si>
    <t>Manufacturing</t>
  </si>
  <si>
    <t>OCA</t>
  </si>
  <si>
    <t>PP&amp;E</t>
  </si>
  <si>
    <t>ROU</t>
  </si>
  <si>
    <t>Non-Current Inventory</t>
  </si>
  <si>
    <t>ONCA</t>
  </si>
  <si>
    <t>Assets</t>
  </si>
  <si>
    <t>L+SE</t>
  </si>
  <si>
    <t>SE</t>
  </si>
  <si>
    <t>AP</t>
  </si>
  <si>
    <t>Accrued Expenses</t>
  </si>
  <si>
    <t>DR</t>
  </si>
  <si>
    <t>OCL</t>
  </si>
  <si>
    <t>Lease</t>
  </si>
  <si>
    <t>CoCo</t>
  </si>
  <si>
    <t>ONCL</t>
  </si>
  <si>
    <t>Net Cash</t>
  </si>
  <si>
    <t>CSO: Louise Rodino-Klapac</t>
  </si>
  <si>
    <t xml:space="preserve">  93.87% mean expression of normal by western</t>
  </si>
  <si>
    <t xml:space="preserve">  79.9% dystrophin positive fibers by IF</t>
  </si>
  <si>
    <t>Cohort 6 n=6 12-week biopsy data</t>
  </si>
  <si>
    <t xml:space="preserve">  elevated liver enzymes n=2, resolved with steroids</t>
  </si>
  <si>
    <t>Phase Ib "Study 103" "ENDEAVOR" open-label n=55 DMD - NCT04626674</t>
  </si>
  <si>
    <t>7 cohorts, used Process B product</t>
  </si>
  <si>
    <t>Cohort 4 n=7 3 year old patients</t>
  </si>
  <si>
    <t xml:space="preserve">  99.64% mean protein levels by Western</t>
  </si>
  <si>
    <t>Japan approval 5/13/25</t>
  </si>
  <si>
    <t>SRP-9010</t>
  </si>
  <si>
    <t>Preclinical</t>
  </si>
  <si>
    <t>I</t>
  </si>
  <si>
    <t>SRP-6006</t>
  </si>
  <si>
    <t>LGMD2A/R1</t>
  </si>
  <si>
    <t>Gross Margin</t>
  </si>
  <si>
    <t>Comparisons</t>
  </si>
  <si>
    <t>Vyjuvek, Zevaskyn, Zolgensma, Roctavian, Luxturna, Hemgenix, Upstaza</t>
  </si>
  <si>
    <t>10 approved therapies by 2030</t>
  </si>
  <si>
    <t>Revenue of $30B</t>
  </si>
  <si>
    <t>Operating Income of $16B</t>
  </si>
  <si>
    <t>Commercial</t>
  </si>
  <si>
    <t>&gt;600 patients dosed 1/2025, 100 non-ambulatory (JPM)</t>
  </si>
  <si>
    <t>Used Process A product - ages 4-7</t>
  </si>
  <si>
    <t>Study 101 open-label n=4 DMD - NCT03375164</t>
  </si>
  <si>
    <t>Study 102 n=41 ambulatory DMD 4-7yo RCT - NCT03769116</t>
  </si>
  <si>
    <t>Phase II "EMBARK" n=126 ambulatory RCT ages 4-7yo (9001-103?)</t>
  </si>
  <si>
    <t>Phase III "ENVISION" "9001-303" n=148 amb/non-amb</t>
  </si>
  <si>
    <t>ENVOL n=21 under 4yo</t>
  </si>
  <si>
    <t>Phase I 9001-104 n=6 with imlifidase for rAAVrh74 antibodies</t>
  </si>
  <si>
    <t>Phase I 9001-105 n=16 with plasmapheresis for rAAVrh74 antibodies</t>
  </si>
  <si>
    <t>Phase IV "EXPEDITION" LTFU</t>
  </si>
  <si>
    <t>Phase III "ENDURE" real world study?</t>
  </si>
  <si>
    <t>$500m peak sales royalty for ex-US - 1/2025</t>
  </si>
  <si>
    <t>antibody-positive treatments increase opportunity</t>
  </si>
  <si>
    <t>COGS can move to 10% (90% GM)</t>
  </si>
  <si>
    <t>redosing opportunity</t>
  </si>
  <si>
    <t>AAVrh74  beta-sarcoglycan MHCK7</t>
  </si>
  <si>
    <t>AAVrh74 alpha-sarcoglycan tMCK</t>
  </si>
  <si>
    <t>AAVrh74 gamma-sarcoglycan MHCK7</t>
  </si>
  <si>
    <t>AAVrh74 dual vector dysferlin MHCK7</t>
  </si>
  <si>
    <t>rh74Myo dual vector dysferlin MHCK7</t>
  </si>
  <si>
    <t>AAVrh74 CAPN3 tMCK</t>
  </si>
  <si>
    <t>three sarcoglycanopathies are 25% of Elevidys together</t>
  </si>
  <si>
    <t>Phase III (9001-301?) - THIS IS ENVISION!?!?</t>
  </si>
  <si>
    <t>1H25 biomarker data</t>
  </si>
  <si>
    <t>Phase III "EMERGENE" n=17 LGMD2E/R4, single-arm open-label</t>
  </si>
  <si>
    <t>ages 4+</t>
  </si>
  <si>
    <t>Phase I "DISCOVERY, 102" n=? LGMD 2D/R3, open-label single-arm</t>
  </si>
  <si>
    <t>Q125 starting enrollment</t>
  </si>
  <si>
    <t>Phase I "COMPASS, SRP-9005-01" LGMD2C/R5</t>
  </si>
  <si>
    <t>FSHD1 (13,000 US patients)</t>
  </si>
  <si>
    <t>DUX4 avb6</t>
  </si>
  <si>
    <t>DM1 avb6</t>
  </si>
  <si>
    <t>I/II</t>
  </si>
  <si>
    <t>Myotonic Dystrophy (30,000 US patients)</t>
  </si>
  <si>
    <t>SCA2 (2,000 patients)</t>
  </si>
  <si>
    <t>ATXN2 avb6</t>
  </si>
  <si>
    <t>2-year topline data vs. EC</t>
  </si>
  <si>
    <t>3-year pooled functional analysis vs. EC</t>
  </si>
  <si>
    <t>enrollment complete?</t>
  </si>
  <si>
    <t>IND 1H25</t>
  </si>
  <si>
    <t>I/II - 2H25 results</t>
  </si>
  <si>
    <t>HTT</t>
  </si>
  <si>
    <t>IND 2H25</t>
  </si>
  <si>
    <t>ARO-HTT</t>
  </si>
  <si>
    <t>Huntington's</t>
  </si>
  <si>
    <t>VOYAGENE</t>
  </si>
  <si>
    <t>BLA 2H25 - now at risk?</t>
  </si>
  <si>
    <t>Model NI</t>
  </si>
  <si>
    <t>Reported NI</t>
  </si>
  <si>
    <t>CFFO</t>
  </si>
  <si>
    <t>WC</t>
  </si>
  <si>
    <t>Strategic Investments</t>
  </si>
  <si>
    <t>D&amp;A</t>
  </si>
  <si>
    <t>Accretion</t>
  </si>
  <si>
    <t>Other</t>
  </si>
  <si>
    <t>SBC</t>
  </si>
  <si>
    <t>CFFI</t>
  </si>
  <si>
    <t>Strategic Investment</t>
  </si>
  <si>
    <t>CapEx</t>
  </si>
  <si>
    <t>Investments</t>
  </si>
  <si>
    <t>Intangible Purchase</t>
  </si>
  <si>
    <t>CIC</t>
  </si>
  <si>
    <t>CFFF</t>
  </si>
  <si>
    <t>ESOP</t>
  </si>
  <si>
    <t>Revolver</t>
  </si>
  <si>
    <t>ATXN1</t>
  </si>
  <si>
    <t>ATXN3</t>
  </si>
  <si>
    <t>Ataxia</t>
  </si>
  <si>
    <t>ARO-ATXN1</t>
  </si>
  <si>
    <t>ARO-ATXN3</t>
  </si>
  <si>
    <t>NPV</t>
  </si>
  <si>
    <t>Discount</t>
  </si>
  <si>
    <t>Revenue y/y</t>
  </si>
  <si>
    <t>Buyback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</si>
</sst>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left"/>
    </xf>
    <xf numFmtId="14" fontId="0" fillId="0" borderId="0" xfId="0" applyNumberFormat="1"/>
    <xf numFmtId="0" fontId="3" fillId="0" borderId="0" xfId="0" applyFont="1"/>
    <xf numFmtId="0" fontId="2" fillId="0" borderId="1" xfId="1" applyBorder="1"/>
    <xf numFmtId="0" fontId="1" fillId="0" borderId="0" xfId="0" applyFont="1"/>
    <xf numFmtId="9" fontId="0" fillId="0" borderId="0" xfId="0" applyNumberFormat="1"/>
    <xf numFmtId="0" fontId="2" fillId="2" borderId="1" xfId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92A8224-6741-4526-98A9-054D33B5C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69082</xdr:colOff>
      <xdr:row>0</xdr:row>
      <xdr:rowOff>81781</xdr:rowOff>
    </xdr:from>
    <xdr:to>
      <xdr:col>24</xdr:col>
      <xdr:colOff>69082</xdr:colOff>
      <xdr:row>82</xdr:row>
      <xdr:rowOff>112346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AA2842-3DB5-5772-0865-577E12737ED3}"/>
            </a:ext>
          </a:extLst>
        </xdr:cNvPr>
        <xdr:cNvCxnSpPr/>
      </xdr:nvCxnSpPr>
      <xdr:spPr>
        <a:xfrm>
          <a:off x="15563082" y="81781"/>
          <a:ext cx="0" cy="130920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26737</xdr:colOff>
      <xdr:row>0</xdr:row>
      <xdr:rowOff>50132</xdr:rowOff>
    </xdr:from>
    <xdr:to>
      <xdr:col>42</xdr:col>
      <xdr:colOff>26737</xdr:colOff>
      <xdr:row>63</xdr:row>
      <xdr:rowOff>122115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B75E8EF-720E-99E7-2C35-560149EF1321}"/>
            </a:ext>
          </a:extLst>
        </xdr:cNvPr>
        <xdr:cNvCxnSpPr/>
      </xdr:nvCxnSpPr>
      <xdr:spPr>
        <a:xfrm>
          <a:off x="26559968" y="50132"/>
          <a:ext cx="0" cy="100707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217757</xdr:colOff>
      <xdr:row>8</xdr:row>
      <xdr:rowOff>0</xdr:rowOff>
    </xdr:from>
    <xdr:to>
      <xdr:col>38</xdr:col>
      <xdr:colOff>320011</xdr:colOff>
      <xdr:row>34</xdr:row>
      <xdr:rowOff>22086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7F3FA-D966-9326-9903-3958C72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6279" y="1159565"/>
          <a:ext cx="7998341" cy="4323522"/>
        </a:xfrm>
        <a:prstGeom prst="rect">
          <a:avLst/>
        </a:prstGeom>
      </xdr:spPr>
    </xdr:pic>
    <xdr:clientData/>
  </xdr:twoCellAnchor>
  <xdr:twoCellAnchor editAs="oneCell">
    <xdr:from>
      <xdr:col>38</xdr:col>
      <xdr:colOff>306106</xdr:colOff>
      <xdr:row>6</xdr:row>
      <xdr:rowOff>97491</xdr:rowOff>
    </xdr:from>
    <xdr:to>
      <xdr:col>64</xdr:col>
      <xdr:colOff>209856</xdr:colOff>
      <xdr:row>84</xdr:row>
      <xdr:rowOff>101018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DE5F6-BC6A-40A8-D3B1-ADCBE971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09753" y="1083609"/>
          <a:ext cx="15831044" cy="12856186"/>
        </a:xfrm>
        <a:prstGeom prst="rect">
          <a:avLst/>
        </a:prstGeom>
      </xdr:spPr>
    </xdr:pic>
    <xdr:clientData/>
  </xdr:twoCellAnchor>
  <xdr:twoCellAnchor editAs="oneCell">
    <xdr:from>
      <xdr:col>11</xdr:col>
      <xdr:colOff>184132</xdr:colOff>
      <xdr:row>4</xdr:row>
      <xdr:rowOff>92351</xdr:rowOff>
    </xdr:from>
    <xdr:to>
      <xdr:col>25</xdr:col>
      <xdr:colOff>305012</xdr:colOff>
      <xdr:row>28</xdr:row>
      <xdr:rowOff>147787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84F7BC-AD7F-AA20-2F96-91983990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9175" y="754960"/>
          <a:ext cx="8624359" cy="401452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373130</xdr:colOff>
      <xdr:row>33</xdr:row>
      <xdr:rowOff>45011</xdr:rowOff>
    </xdr:from>
    <xdr:to>
      <xdr:col>26</xdr:col>
      <xdr:colOff>309474</xdr:colOff>
      <xdr:row>69</xdr:row>
      <xdr:rowOff>122067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D10B2C-D18A-5C98-F7D2-2BCE738D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8173" y="4020663"/>
          <a:ext cx="9047214" cy="6040534"/>
        </a:xfrm>
        <a:prstGeom prst="rect">
          <a:avLst/>
        </a:prstGeom>
      </xdr:spPr>
    </xdr:pic>
    <xdr:clientData/>
  </xdr:twoCellAnchor>
  <xdr:twoCellAnchor editAs="oneCell">
    <xdr:from>
      <xdr:col>13</xdr:col>
      <xdr:colOff>164353</xdr:colOff>
      <xdr:row>75</xdr:row>
      <xdr:rowOff>73981</xdr:rowOff>
    </xdr:from>
    <xdr:to>
      <xdr:col>32</xdr:col>
      <xdr:colOff>152526</xdr:colOff>
      <xdr:row>116</xdr:row>
      <xdr:rowOff>45054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6D561-E529-7BD8-734F-3C7105A5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3294" y="10921275"/>
          <a:ext cx="11627350" cy="67316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0ED4F94C-7603-49B0-A19F-451A0F5F06C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5-03-21T16:35:25.37" personId="{0ED4F94C-7603-49B0-A19F-451A0F5F06CB}" id="{E6AB6E99-1C3B-4950-9986-65466B8F87A6}">
    <text>600 patients on therapy</text>
  </threadedComment>
  <threadedComment ref="W13" dT="2025-05-06T15:45:31.88" personId="{0ED4F94C-7603-49B0-A19F-451A0F5F06CB}" id="{6230A4A9-C9AF-4BE7-99BF-B573BD017A22}">
    <text xml:space="preserve">5/6/25 consensus 687m </text>
  </threadedComment>
  <threadedComment ref="X13" dT="2025-05-06T15:45:40.54" personId="{0ED4F94C-7603-49B0-A19F-451A0F5F06CB}" id="{CBA3C9AE-8CDE-4C14-99CA-A98DB0CE1BE6}">
    <text>5/6/25 consensus 741m</text>
  </threadedComment>
  <threadedComment ref="Y13" dT="2025-05-06T15:45:47.37" personId="{0ED4F94C-7603-49B0-A19F-451A0F5F06CB}" id="{5AFD68C2-EA74-46FE-BF40-AB537FB76AE8}">
    <text>5/6/25 consensus 788m
11/3/25 consensus: 336m</text>
  </threadedComment>
  <threadedComment ref="Z13" dT="2025-05-06T15:45:57.63" personId="{0ED4F94C-7603-49B0-A19F-451A0F5F06CB}" id="{7C3EC1BA-FB3C-4FE0-8E5F-1192557AF098}">
    <text>5/6/25 consensus 828m
11/3/25 consensus: 351m</text>
  </threadedComment>
  <threadedComment ref="AQ13" dT="2025-05-06T15:53:17.18" personId="{0ED4F94C-7603-49B0-A19F-451A0F5F06CB}" id="{79BDC40B-94ED-4D00-94B2-1CB4305DAAA9}">
    <text>Q424 product guidance: 2.9-3.1B
Consensus 3.0B</text>
  </threadedComment>
  <threadedComment ref="AR13" dT="2025-05-06T15:46:11.33" personId="{0ED4F94C-7603-49B0-A19F-451A0F5F06CB}" id="{4BF41E21-6626-4EBB-BC28-DD3A3AEE92C2}">
    <text>5/6/25 consensus 3.76B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BD77-B28E-481D-8F32-5A036EE3467C}">
  <dimension ref="B2:M27"/>
  <sheetViews>
    <sheetView zoomScale="130" zoomScaleNormal="130" workbookViewId="0">
      <selection activeCell="G16" sqref="G16"/>
    </sheetView>
  </sheetViews>
  <sheetFormatPr defaultRowHeight="12.5" x14ac:dyDescent="0.25"/>
  <cols>
    <col min="1" max="1" width="2.54296875" customWidth="1"/>
    <col min="2" max="2" width="37.1796875" customWidth="1"/>
    <col min="4" max="4" width="10.453125" customWidth="1"/>
  </cols>
  <sheetData>
    <row r="2" spans="2:13" x14ac:dyDescent="0.25">
      <c r="B2" s="14" t="s">
        <v>33</v>
      </c>
      <c r="C2" s="15" t="s">
        <v>39</v>
      </c>
      <c r="D2" s="15" t="s">
        <v>57</v>
      </c>
      <c r="E2" s="15" t="s">
        <v>58</v>
      </c>
      <c r="F2" s="15" t="s">
        <v>110</v>
      </c>
      <c r="G2" s="15"/>
      <c r="H2" s="15"/>
      <c r="I2" s="16"/>
      <c r="K2" t="s">
        <v>0</v>
      </c>
      <c r="L2" s="1">
        <v>13</v>
      </c>
    </row>
    <row r="3" spans="2:13" x14ac:dyDescent="0.25">
      <c r="B3" s="9" t="s">
        <v>34</v>
      </c>
      <c r="C3" t="s">
        <v>40</v>
      </c>
      <c r="I3" s="10"/>
      <c r="K3" t="s">
        <v>1</v>
      </c>
      <c r="L3" s="2">
        <v>97</v>
      </c>
      <c r="M3" s="3" t="s">
        <v>60</v>
      </c>
    </row>
    <row r="4" spans="2:13" x14ac:dyDescent="0.25">
      <c r="B4" s="20" t="s">
        <v>56</v>
      </c>
      <c r="C4" t="s">
        <v>40</v>
      </c>
      <c r="D4" s="18">
        <v>45463</v>
      </c>
      <c r="E4" t="s">
        <v>59</v>
      </c>
      <c r="F4" t="s">
        <v>117</v>
      </c>
      <c r="I4" s="10"/>
      <c r="K4" t="s">
        <v>2</v>
      </c>
      <c r="L4" s="2">
        <f>+L2*L3</f>
        <v>1261</v>
      </c>
    </row>
    <row r="5" spans="2:13" x14ac:dyDescent="0.25">
      <c r="B5" s="9" t="s">
        <v>35</v>
      </c>
      <c r="C5" t="s">
        <v>40</v>
      </c>
      <c r="I5" s="10"/>
      <c r="K5" t="s">
        <v>3</v>
      </c>
      <c r="L5" s="2">
        <v>786</v>
      </c>
      <c r="M5" s="3" t="s">
        <v>60</v>
      </c>
    </row>
    <row r="6" spans="2:13" x14ac:dyDescent="0.25">
      <c r="B6" s="9" t="s">
        <v>36</v>
      </c>
      <c r="C6" t="s">
        <v>40</v>
      </c>
      <c r="I6" s="10"/>
      <c r="K6" t="s">
        <v>4</v>
      </c>
      <c r="L6" s="2">
        <v>1138</v>
      </c>
      <c r="M6" s="3" t="s">
        <v>60</v>
      </c>
    </row>
    <row r="7" spans="2:13" x14ac:dyDescent="0.25">
      <c r="B7" s="14"/>
      <c r="C7" s="15"/>
      <c r="D7" s="24" t="s">
        <v>108</v>
      </c>
      <c r="E7" s="15"/>
      <c r="F7" s="15"/>
      <c r="G7" s="15"/>
      <c r="H7" s="15"/>
      <c r="I7" s="16"/>
      <c r="K7" t="s">
        <v>5</v>
      </c>
      <c r="L7" s="2">
        <f>+L4-L5+L6</f>
        <v>1613</v>
      </c>
    </row>
    <row r="8" spans="2:13" x14ac:dyDescent="0.25">
      <c r="B8" s="25" t="s">
        <v>37</v>
      </c>
      <c r="C8" s="26" t="s">
        <v>40</v>
      </c>
      <c r="D8" s="27"/>
      <c r="E8" s="26"/>
      <c r="F8" s="26"/>
      <c r="G8" s="26"/>
      <c r="H8" s="26"/>
      <c r="I8" s="28"/>
    </row>
    <row r="9" spans="2:13" x14ac:dyDescent="0.25">
      <c r="B9" s="20" t="s">
        <v>103</v>
      </c>
      <c r="C9" t="s">
        <v>104</v>
      </c>
      <c r="D9" s="29" t="s">
        <v>170</v>
      </c>
      <c r="E9" t="s">
        <v>196</v>
      </c>
      <c r="I9" s="10"/>
      <c r="K9" t="s">
        <v>45</v>
      </c>
      <c r="L9" s="2">
        <v>5801.1610000000001</v>
      </c>
      <c r="M9" s="3" t="s">
        <v>60</v>
      </c>
    </row>
    <row r="10" spans="2:13" x14ac:dyDescent="0.25">
      <c r="B10" s="23" t="s">
        <v>102</v>
      </c>
      <c r="C10" t="s">
        <v>105</v>
      </c>
      <c r="D10" s="29" t="s">
        <v>138</v>
      </c>
      <c r="E10" t="s">
        <v>195</v>
      </c>
      <c r="I10" s="10"/>
      <c r="K10" t="s">
        <v>46</v>
      </c>
      <c r="L10" s="2">
        <v>4658.482</v>
      </c>
      <c r="M10" s="3" t="s">
        <v>60</v>
      </c>
    </row>
    <row r="11" spans="2:13" x14ac:dyDescent="0.25">
      <c r="B11" s="9" t="s">
        <v>109</v>
      </c>
      <c r="C11" t="s">
        <v>209</v>
      </c>
      <c r="D11" s="29" t="s">
        <v>220</v>
      </c>
      <c r="E11" t="s">
        <v>210</v>
      </c>
      <c r="F11" t="s">
        <v>111</v>
      </c>
      <c r="I11" s="10"/>
    </row>
    <row r="12" spans="2:13" x14ac:dyDescent="0.25">
      <c r="B12" s="9" t="s">
        <v>112</v>
      </c>
      <c r="C12" t="s">
        <v>213</v>
      </c>
      <c r="D12" s="29" t="s">
        <v>220</v>
      </c>
      <c r="E12" t="s">
        <v>211</v>
      </c>
      <c r="F12" t="s">
        <v>111</v>
      </c>
      <c r="I12" s="10"/>
    </row>
    <row r="13" spans="2:13" x14ac:dyDescent="0.25">
      <c r="B13" s="9" t="s">
        <v>114</v>
      </c>
      <c r="C13" t="s">
        <v>115</v>
      </c>
      <c r="D13" s="29" t="s">
        <v>212</v>
      </c>
      <c r="E13" t="s">
        <v>116</v>
      </c>
      <c r="F13" t="s">
        <v>111</v>
      </c>
      <c r="I13" s="10"/>
      <c r="K13" t="s">
        <v>158</v>
      </c>
    </row>
    <row r="14" spans="2:13" x14ac:dyDescent="0.25">
      <c r="B14" s="9" t="s">
        <v>106</v>
      </c>
      <c r="C14" t="s">
        <v>107</v>
      </c>
      <c r="D14" s="29" t="s">
        <v>170</v>
      </c>
      <c r="E14" t="s">
        <v>198</v>
      </c>
      <c r="I14" s="10"/>
    </row>
    <row r="15" spans="2:13" x14ac:dyDescent="0.25">
      <c r="B15" s="9" t="s">
        <v>113</v>
      </c>
      <c r="C15" t="s">
        <v>214</v>
      </c>
      <c r="D15" s="29" t="s">
        <v>170</v>
      </c>
      <c r="E15" t="s">
        <v>215</v>
      </c>
      <c r="F15" t="s">
        <v>111</v>
      </c>
      <c r="I15" s="10"/>
    </row>
    <row r="16" spans="2:13" x14ac:dyDescent="0.25">
      <c r="B16" s="20" t="s">
        <v>67</v>
      </c>
      <c r="C16" t="s">
        <v>118</v>
      </c>
      <c r="D16" s="29" t="s">
        <v>219</v>
      </c>
      <c r="E16" t="s">
        <v>197</v>
      </c>
      <c r="I16" s="10"/>
    </row>
    <row r="17" spans="2:9" x14ac:dyDescent="0.25">
      <c r="B17" s="9" t="s">
        <v>168</v>
      </c>
      <c r="C17" t="s">
        <v>172</v>
      </c>
      <c r="D17" s="29" t="s">
        <v>222</v>
      </c>
      <c r="E17" t="s">
        <v>200</v>
      </c>
      <c r="I17" s="10"/>
    </row>
    <row r="18" spans="2:9" x14ac:dyDescent="0.25">
      <c r="B18" s="9" t="s">
        <v>171</v>
      </c>
      <c r="C18" t="s">
        <v>107</v>
      </c>
      <c r="D18" s="29" t="s">
        <v>169</v>
      </c>
      <c r="E18" t="s">
        <v>199</v>
      </c>
      <c r="I18" s="10"/>
    </row>
    <row r="19" spans="2:9" x14ac:dyDescent="0.25">
      <c r="B19" s="9" t="s">
        <v>223</v>
      </c>
      <c r="C19" t="s">
        <v>224</v>
      </c>
      <c r="D19" s="29" t="s">
        <v>222</v>
      </c>
      <c r="E19" t="s">
        <v>221</v>
      </c>
      <c r="F19" t="s">
        <v>111</v>
      </c>
      <c r="I19" s="10"/>
    </row>
    <row r="20" spans="2:9" x14ac:dyDescent="0.25">
      <c r="B20" s="9" t="s">
        <v>248</v>
      </c>
      <c r="C20" t="s">
        <v>247</v>
      </c>
      <c r="D20" s="29" t="s">
        <v>169</v>
      </c>
      <c r="E20" t="s">
        <v>245</v>
      </c>
      <c r="F20" t="s">
        <v>111</v>
      </c>
      <c r="I20" s="10"/>
    </row>
    <row r="21" spans="2:9" x14ac:dyDescent="0.25">
      <c r="B21" s="9" t="s">
        <v>249</v>
      </c>
      <c r="C21" t="s">
        <v>247</v>
      </c>
      <c r="D21" s="29" t="s">
        <v>169</v>
      </c>
      <c r="E21" t="s">
        <v>246</v>
      </c>
      <c r="F21" t="s">
        <v>111</v>
      </c>
      <c r="I21" s="10"/>
    </row>
    <row r="22" spans="2:9" x14ac:dyDescent="0.25">
      <c r="B22" s="11"/>
      <c r="C22" s="12"/>
      <c r="D22" s="12"/>
      <c r="E22" s="12"/>
      <c r="F22" s="12"/>
      <c r="G22" s="12"/>
      <c r="H22" s="12"/>
      <c r="I22" s="13"/>
    </row>
    <row r="25" spans="2:9" x14ac:dyDescent="0.25">
      <c r="B25" t="s">
        <v>176</v>
      </c>
    </row>
    <row r="26" spans="2:9" x14ac:dyDescent="0.25">
      <c r="B26" t="s">
        <v>177</v>
      </c>
    </row>
    <row r="27" spans="2:9" x14ac:dyDescent="0.25">
      <c r="B27" t="s">
        <v>178</v>
      </c>
    </row>
  </sheetData>
  <hyperlinks>
    <hyperlink ref="B4" location="Elevidys!A1" display="Elevidys (delandistrogene moxeparvovec)" xr:uid="{7EECD0E4-1EBC-4353-9DC8-28F1192EE3BD}"/>
    <hyperlink ref="B10" location="'SRP-9003'!A1" display="SRP-9003 (bidridistrogene xeboparvovec)" xr:uid="{FEA4D2FC-F3B3-41CF-B4D4-2E94AF745420}"/>
    <hyperlink ref="B9" location="'SRP-9004'!A1" display="SRP-9004 (patidistrogene bexoparvovec)" xr:uid="{04DB3923-E2F7-48C1-9948-3426B5ACE7B0}"/>
    <hyperlink ref="B16" location="'SRP-9005'!A1" display="SRP-9005" xr:uid="{9B407272-A571-4527-BDCC-1D5CF387657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2201-9B97-4447-A1A2-DF8707285205}">
  <dimension ref="A1:BD75"/>
  <sheetViews>
    <sheetView tabSelected="1" zoomScale="130" zoomScaleNormal="13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Z7" sqref="Z7"/>
    </sheetView>
  </sheetViews>
  <sheetFormatPr defaultRowHeight="12.5" x14ac:dyDescent="0.25"/>
  <cols>
    <col min="1" max="1" width="5" bestFit="1" customWidth="1"/>
    <col min="2" max="2" width="18.1796875" bestFit="1" customWidth="1"/>
    <col min="3" max="17" width="9.1796875" style="3"/>
    <col min="42" max="42" width="9.453125" customWidth="1"/>
    <col min="43" max="43" width="8.81640625" customWidth="1"/>
    <col min="56" max="56" width="12" bestFit="1" customWidth="1"/>
  </cols>
  <sheetData>
    <row r="1" spans="1:53" x14ac:dyDescent="0.25">
      <c r="A1" s="4" t="s">
        <v>7</v>
      </c>
    </row>
    <row r="2" spans="1:53" x14ac:dyDescent="0.25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6</v>
      </c>
      <c r="N2" s="3" t="s">
        <v>21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44</v>
      </c>
      <c r="U2" s="3" t="s">
        <v>52</v>
      </c>
      <c r="V2" s="3" t="s">
        <v>53</v>
      </c>
      <c r="W2" s="3" t="s">
        <v>60</v>
      </c>
      <c r="X2" s="3" t="s">
        <v>61</v>
      </c>
      <c r="Y2" s="3" t="s">
        <v>62</v>
      </c>
      <c r="Z2" s="3" t="s">
        <v>63</v>
      </c>
      <c r="AB2">
        <v>2010</v>
      </c>
      <c r="AC2">
        <f>+AB2+1</f>
        <v>2011</v>
      </c>
      <c r="AD2">
        <f t="shared" ref="AD2:AS2" si="0">+AC2+1</f>
        <v>2012</v>
      </c>
      <c r="AE2">
        <f t="shared" si="0"/>
        <v>2013</v>
      </c>
      <c r="AF2">
        <f t="shared" si="0"/>
        <v>2014</v>
      </c>
      <c r="AG2">
        <f t="shared" si="0"/>
        <v>2015</v>
      </c>
      <c r="AH2">
        <f t="shared" si="0"/>
        <v>2016</v>
      </c>
      <c r="AI2">
        <f t="shared" si="0"/>
        <v>2017</v>
      </c>
      <c r="AJ2">
        <f t="shared" si="0"/>
        <v>2018</v>
      </c>
      <c r="AK2">
        <f t="shared" si="0"/>
        <v>2019</v>
      </c>
      <c r="AL2">
        <f t="shared" si="0"/>
        <v>2020</v>
      </c>
      <c r="AM2">
        <f t="shared" si="0"/>
        <v>2021</v>
      </c>
      <c r="AN2">
        <f t="shared" si="0"/>
        <v>2022</v>
      </c>
      <c r="AO2">
        <f t="shared" si="0"/>
        <v>2023</v>
      </c>
      <c r="AP2">
        <f t="shared" si="0"/>
        <v>2024</v>
      </c>
      <c r="AQ2">
        <f t="shared" si="0"/>
        <v>2025</v>
      </c>
      <c r="AR2">
        <f t="shared" si="0"/>
        <v>2026</v>
      </c>
      <c r="AS2">
        <f t="shared" si="0"/>
        <v>2027</v>
      </c>
      <c r="AT2">
        <f t="shared" ref="AT2" si="1">+AS2+1</f>
        <v>2028</v>
      </c>
      <c r="AU2">
        <f t="shared" ref="AU2" si="2">+AT2+1</f>
        <v>2029</v>
      </c>
      <c r="AV2">
        <f t="shared" ref="AV2" si="3">+AU2+1</f>
        <v>2030</v>
      </c>
      <c r="AW2">
        <f t="shared" ref="AW2" si="4">+AV2+1</f>
        <v>2031</v>
      </c>
      <c r="AX2">
        <f t="shared" ref="AX2" si="5">+AW2+1</f>
        <v>2032</v>
      </c>
      <c r="AY2">
        <f t="shared" ref="AY2" si="6">+AX2+1</f>
        <v>2033</v>
      </c>
      <c r="AZ2">
        <f t="shared" ref="AZ2" si="7">+AY2+1</f>
        <v>2034</v>
      </c>
      <c r="BA2">
        <f t="shared" ref="BA2" si="8">+AZ2+1</f>
        <v>2035</v>
      </c>
    </row>
    <row r="3" spans="1:53" x14ac:dyDescent="0.25">
      <c r="B3" t="s">
        <v>93</v>
      </c>
      <c r="R3" s="3"/>
      <c r="S3" s="3"/>
      <c r="T3" s="3"/>
      <c r="U3" s="3"/>
      <c r="V3" s="3"/>
      <c r="W3" s="5">
        <f>+W6/3.2</f>
        <v>117.1875</v>
      </c>
      <c r="X3" s="5">
        <f t="shared" ref="X3:Z3" si="9">+X6/3.2</f>
        <v>88.078437499999993</v>
      </c>
      <c r="Y3" s="5">
        <f t="shared" si="9"/>
        <v>41.09375</v>
      </c>
      <c r="Z3" s="5">
        <f t="shared" si="9"/>
        <v>31.25</v>
      </c>
      <c r="AP3" s="2">
        <f>+AP6/3.2</f>
        <v>256.51781249999999</v>
      </c>
      <c r="AQ3" s="2">
        <f>+AQ6/3.2</f>
        <v>277.60968750000001</v>
      </c>
      <c r="AR3">
        <v>800</v>
      </c>
      <c r="AS3">
        <v>800</v>
      </c>
      <c r="AT3">
        <v>800</v>
      </c>
      <c r="AU3">
        <v>800</v>
      </c>
      <c r="AV3">
        <v>800</v>
      </c>
      <c r="AW3">
        <v>800</v>
      </c>
      <c r="AX3">
        <v>800</v>
      </c>
      <c r="AY3">
        <v>800</v>
      </c>
      <c r="AZ3">
        <v>800</v>
      </c>
      <c r="BA3">
        <v>800</v>
      </c>
    </row>
    <row r="4" spans="1:53" x14ac:dyDescent="0.25">
      <c r="B4" t="s">
        <v>92</v>
      </c>
      <c r="R4" s="3"/>
      <c r="S4" s="3"/>
      <c r="T4" s="3"/>
      <c r="U4" s="3"/>
      <c r="V4" s="3">
        <v>600</v>
      </c>
      <c r="W4" s="2">
        <f>+V4+W3</f>
        <v>717.1875</v>
      </c>
      <c r="X4" s="2">
        <f t="shared" ref="X4:Z4" si="10">+W4+X3</f>
        <v>805.26593749999995</v>
      </c>
      <c r="Y4" s="2">
        <f t="shared" si="10"/>
        <v>846.35968749999995</v>
      </c>
      <c r="Z4" s="2">
        <f t="shared" si="10"/>
        <v>877.60968749999995</v>
      </c>
      <c r="AP4" s="2">
        <v>600</v>
      </c>
      <c r="AQ4" s="2">
        <f>+AP4+AQ3</f>
        <v>877.60968750000006</v>
      </c>
      <c r="AR4" s="2">
        <f>+AQ4+AR3</f>
        <v>1677.6096875000001</v>
      </c>
      <c r="AS4" s="2">
        <f t="shared" ref="AS4:AX4" si="11">+AR4+AS3</f>
        <v>2477.6096875000003</v>
      </c>
      <c r="AT4" s="2">
        <f t="shared" si="11"/>
        <v>3277.6096875000003</v>
      </c>
      <c r="AU4" s="2">
        <f t="shared" si="11"/>
        <v>4077.6096875000003</v>
      </c>
      <c r="AV4" s="2">
        <f t="shared" si="11"/>
        <v>4877.6096875000003</v>
      </c>
      <c r="AW4" s="2">
        <f t="shared" si="11"/>
        <v>5677.6096875000003</v>
      </c>
      <c r="AX4" s="2">
        <f t="shared" si="11"/>
        <v>6477.6096875000003</v>
      </c>
      <c r="AY4" s="2">
        <f t="shared" ref="AY4" si="12">+AX4+AY3</f>
        <v>7277.6096875000003</v>
      </c>
      <c r="AZ4" s="2">
        <f t="shared" ref="AZ4" si="13">+AY4+AZ3</f>
        <v>8077.6096875000003</v>
      </c>
      <c r="BA4" s="2">
        <f t="shared" ref="BA4" si="14">+AZ4+BA3</f>
        <v>8877.6096875000003</v>
      </c>
    </row>
    <row r="5" spans="1:53" x14ac:dyDescent="0.25">
      <c r="R5" s="3"/>
      <c r="S5" s="3"/>
      <c r="T5" s="3"/>
      <c r="U5" s="3"/>
      <c r="V5" s="3"/>
      <c r="W5" s="3"/>
      <c r="X5" s="3"/>
      <c r="Y5" s="3"/>
      <c r="Z5" s="3"/>
    </row>
    <row r="6" spans="1:53" s="2" customFormat="1" x14ac:dyDescent="0.25">
      <c r="B6" s="2" t="s">
        <v>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0</v>
      </c>
      <c r="P6" s="5">
        <v>0</v>
      </c>
      <c r="Q6" s="5">
        <v>69.099999999999994</v>
      </c>
      <c r="R6" s="5">
        <v>131.19999999999999</v>
      </c>
      <c r="S6" s="5">
        <v>133.93600000000001</v>
      </c>
      <c r="T6" s="5">
        <v>121.721</v>
      </c>
      <c r="U6" s="5">
        <v>181</v>
      </c>
      <c r="V6" s="5">
        <v>384.2</v>
      </c>
      <c r="W6" s="2">
        <v>375</v>
      </c>
      <c r="X6" s="2">
        <v>281.851</v>
      </c>
      <c r="Y6" s="2">
        <v>131.5</v>
      </c>
      <c r="Z6" s="2">
        <v>100</v>
      </c>
      <c r="AO6" s="2">
        <f>SUM(O6:R6)</f>
        <v>200.29999999999998</v>
      </c>
      <c r="AP6" s="2">
        <f>SUM(S6:V6)</f>
        <v>820.85699999999997</v>
      </c>
      <c r="AQ6" s="2">
        <f>SUM(W6:Z6)</f>
        <v>888.351</v>
      </c>
      <c r="AR6" s="2">
        <v>50</v>
      </c>
      <c r="AS6" s="2">
        <v>100</v>
      </c>
      <c r="AT6" s="2">
        <v>150</v>
      </c>
      <c r="AU6" s="2">
        <v>200</v>
      </c>
      <c r="AV6" s="2">
        <v>250</v>
      </c>
      <c r="AW6" s="2">
        <v>300</v>
      </c>
      <c r="AX6" s="2">
        <v>300</v>
      </c>
      <c r="AY6" s="2">
        <v>300</v>
      </c>
      <c r="AZ6" s="2">
        <v>300</v>
      </c>
      <c r="BA6" s="2">
        <v>300</v>
      </c>
    </row>
    <row r="7" spans="1:53" s="2" customFormat="1" x14ac:dyDescent="0.25">
      <c r="B7" s="2" t="s">
        <v>55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231.495</v>
      </c>
      <c r="P7" s="5">
        <v>238.988</v>
      </c>
      <c r="Q7" s="5">
        <f>309.322-Q6</f>
        <v>240.22200000000001</v>
      </c>
      <c r="R7" s="5">
        <f>+R11-R6</f>
        <v>233.87100000000004</v>
      </c>
      <c r="S7" s="5">
        <v>225.548</v>
      </c>
      <c r="T7" s="5">
        <v>238.827</v>
      </c>
      <c r="U7" s="5">
        <v>248.8</v>
      </c>
      <c r="V7" s="5">
        <v>254</v>
      </c>
      <c r="W7" s="2">
        <v>237</v>
      </c>
      <c r="X7" s="2">
        <v>231.27199999999999</v>
      </c>
      <c r="Y7" s="2">
        <v>238.5</v>
      </c>
      <c r="Z7" s="2">
        <f>+V7*0.8</f>
        <v>203.20000000000002</v>
      </c>
      <c r="AH7" s="2">
        <f t="shared" ref="AH7:AN7" si="15">+AH13</f>
        <v>5.4</v>
      </c>
      <c r="AI7" s="2">
        <f t="shared" si="15"/>
        <v>155</v>
      </c>
      <c r="AJ7" s="2">
        <f t="shared" si="15"/>
        <v>301</v>
      </c>
      <c r="AK7" s="2">
        <f t="shared" si="15"/>
        <v>381</v>
      </c>
      <c r="AL7" s="2">
        <f t="shared" si="15"/>
        <v>456</v>
      </c>
      <c r="AM7" s="2">
        <f t="shared" si="15"/>
        <v>612</v>
      </c>
      <c r="AN7" s="2">
        <f t="shared" si="15"/>
        <v>844</v>
      </c>
      <c r="AO7" s="2">
        <f t="shared" ref="AO7" si="16">SUM(O7:R7)</f>
        <v>944.57600000000002</v>
      </c>
      <c r="AP7" s="2">
        <f t="shared" ref="AP7" si="17">SUM(S7:V7)</f>
        <v>967.17499999999995</v>
      </c>
      <c r="AQ7" s="2">
        <f t="shared" ref="AQ7" si="18">SUM(W7:Z7)</f>
        <v>909.97199999999998</v>
      </c>
      <c r="AR7" s="2">
        <f>+AQ7*0.99</f>
        <v>900.87227999999993</v>
      </c>
      <c r="AS7" s="2">
        <f t="shared" ref="AS7:BA7" si="19">+AR7*0.99</f>
        <v>891.86355719999995</v>
      </c>
      <c r="AT7" s="2">
        <f t="shared" si="19"/>
        <v>882.94492162799997</v>
      </c>
      <c r="AU7" s="2">
        <f t="shared" si="19"/>
        <v>874.11547241172002</v>
      </c>
      <c r="AV7" s="2">
        <f t="shared" si="19"/>
        <v>865.3743176876028</v>
      </c>
      <c r="AW7" s="2">
        <f t="shared" si="19"/>
        <v>856.72057451072681</v>
      </c>
      <c r="AX7" s="2">
        <f t="shared" si="19"/>
        <v>848.15336876561958</v>
      </c>
      <c r="AY7" s="2">
        <f t="shared" si="19"/>
        <v>839.67183507796335</v>
      </c>
      <c r="AZ7" s="2">
        <f t="shared" si="19"/>
        <v>831.27511672718367</v>
      </c>
      <c r="BA7" s="2">
        <f t="shared" si="19"/>
        <v>822.96236555991186</v>
      </c>
    </row>
    <row r="8" spans="1:53" s="2" customFormat="1" x14ac:dyDescent="0.25">
      <c r="B8" s="17" t="s">
        <v>41</v>
      </c>
      <c r="C8" s="5"/>
      <c r="D8" s="5"/>
      <c r="E8" s="5"/>
      <c r="F8" s="5"/>
      <c r="G8" s="5"/>
      <c r="H8" s="5"/>
      <c r="I8" s="5">
        <v>115.598</v>
      </c>
      <c r="J8" s="5"/>
      <c r="K8" s="5"/>
      <c r="L8" s="5"/>
      <c r="M8" s="5">
        <v>122.262</v>
      </c>
      <c r="N8" s="5"/>
      <c r="O8" s="5"/>
      <c r="P8" s="5"/>
      <c r="Q8" s="5"/>
    </row>
    <row r="9" spans="1:53" s="2" customFormat="1" x14ac:dyDescent="0.25">
      <c r="B9" s="2" t="s">
        <v>42</v>
      </c>
      <c r="C9" s="5"/>
      <c r="D9" s="5"/>
      <c r="E9" s="5"/>
      <c r="F9" s="5"/>
      <c r="G9" s="5"/>
      <c r="H9" s="5"/>
      <c r="I9" s="5">
        <v>26.655000000000001</v>
      </c>
      <c r="J9" s="5"/>
      <c r="K9" s="5"/>
      <c r="L9" s="5"/>
      <c r="M9" s="5">
        <v>54.893000000000001</v>
      </c>
      <c r="N9" s="5"/>
      <c r="O9" s="5"/>
      <c r="P9" s="5"/>
      <c r="Q9" s="5"/>
    </row>
    <row r="10" spans="1:53" s="2" customFormat="1" x14ac:dyDescent="0.25">
      <c r="B10" s="2" t="s">
        <v>43</v>
      </c>
      <c r="C10" s="5"/>
      <c r="D10" s="5"/>
      <c r="E10" s="5"/>
      <c r="F10" s="5"/>
      <c r="G10" s="5"/>
      <c r="H10" s="5"/>
      <c r="I10" s="5">
        <v>24.658000000000001</v>
      </c>
      <c r="J10" s="5"/>
      <c r="K10" s="5"/>
      <c r="L10" s="5"/>
      <c r="M10" s="5">
        <v>30.619</v>
      </c>
      <c r="N10" s="5"/>
      <c r="O10" s="5"/>
      <c r="P10" s="5"/>
      <c r="Q10" s="5"/>
    </row>
    <row r="11" spans="1:53" s="2" customFormat="1" x14ac:dyDescent="0.25">
      <c r="B11" s="2" t="s">
        <v>8</v>
      </c>
      <c r="C11" s="5"/>
      <c r="D11" s="5"/>
      <c r="E11" s="5"/>
      <c r="F11" s="5"/>
      <c r="G11" s="5"/>
      <c r="H11" s="5"/>
      <c r="I11" s="5">
        <f>+I10+I9+I8</f>
        <v>166.911</v>
      </c>
      <c r="J11" s="5"/>
      <c r="K11" s="5"/>
      <c r="L11" s="5"/>
      <c r="M11" s="5">
        <f>+M10+M9+M8</f>
        <v>207.774</v>
      </c>
      <c r="N11" s="2">
        <v>235.93299999999999</v>
      </c>
      <c r="O11" s="2">
        <v>231.495</v>
      </c>
      <c r="P11" s="2">
        <f>SUM(P6:P7)</f>
        <v>238.988</v>
      </c>
      <c r="Q11" s="5">
        <f>+Q7+Q6</f>
        <v>309.322</v>
      </c>
      <c r="R11" s="2">
        <v>365.07100000000003</v>
      </c>
      <c r="S11" s="2">
        <v>359.48399999999998</v>
      </c>
      <c r="T11" s="2">
        <f>SUM(T6:T7)</f>
        <v>360.548</v>
      </c>
      <c r="U11" s="2">
        <f>SUM(U6:U7)</f>
        <v>429.8</v>
      </c>
      <c r="V11" s="2">
        <f>SUM(V6:V7)</f>
        <v>638.20000000000005</v>
      </c>
      <c r="W11" s="2">
        <f>+W7+W6</f>
        <v>612</v>
      </c>
      <c r="X11" s="2">
        <f>+X7+X6</f>
        <v>513.12300000000005</v>
      </c>
      <c r="Y11" s="2">
        <f>+Y7+Y6</f>
        <v>370</v>
      </c>
      <c r="Z11" s="2">
        <f>+Z7+Z6</f>
        <v>303.20000000000005</v>
      </c>
      <c r="AO11" s="2">
        <f t="shared" ref="AO11:AP11" si="20">+AO7+AO6</f>
        <v>1144.876</v>
      </c>
      <c r="AP11" s="2">
        <f t="shared" si="20"/>
        <v>1788.0319999999999</v>
      </c>
      <c r="AQ11" s="2">
        <f>+AQ7+AQ6</f>
        <v>1798.3229999999999</v>
      </c>
      <c r="AR11" s="2">
        <f t="shared" ref="AR11:BA11" si="21">+AR7+AR6</f>
        <v>950.87227999999993</v>
      </c>
      <c r="AS11" s="2">
        <f t="shared" si="21"/>
        <v>991.86355719999995</v>
      </c>
      <c r="AT11" s="2">
        <f t="shared" si="21"/>
        <v>1032.944921628</v>
      </c>
      <c r="AU11" s="2">
        <f t="shared" si="21"/>
        <v>1074.11547241172</v>
      </c>
      <c r="AV11" s="2">
        <f t="shared" si="21"/>
        <v>1115.3743176876028</v>
      </c>
      <c r="AW11" s="2">
        <f t="shared" si="21"/>
        <v>1156.7205745107267</v>
      </c>
      <c r="AX11" s="2">
        <f t="shared" si="21"/>
        <v>1148.1533687656197</v>
      </c>
      <c r="AY11" s="2">
        <f t="shared" si="21"/>
        <v>1139.6718350779634</v>
      </c>
      <c r="AZ11" s="2">
        <f t="shared" si="21"/>
        <v>1131.2751167271836</v>
      </c>
      <c r="BA11" s="2">
        <f t="shared" si="21"/>
        <v>1122.9623655599119</v>
      </c>
    </row>
    <row r="12" spans="1:53" s="2" customFormat="1" x14ac:dyDescent="0.25">
      <c r="B12" s="2" t="s">
        <v>9</v>
      </c>
      <c r="C12" s="5"/>
      <c r="D12" s="5"/>
      <c r="E12" s="5"/>
      <c r="F12" s="5"/>
      <c r="G12" s="5"/>
      <c r="H12" s="5"/>
      <c r="I12" s="5">
        <v>22.495000000000001</v>
      </c>
      <c r="J12" s="5"/>
      <c r="K12" s="5"/>
      <c r="L12" s="5"/>
      <c r="M12" s="5">
        <v>22.495000000000001</v>
      </c>
      <c r="N12" s="2">
        <v>22.494</v>
      </c>
      <c r="O12" s="2">
        <v>22.004999999999999</v>
      </c>
      <c r="P12" s="2">
        <v>22.25</v>
      </c>
      <c r="Q12" s="5">
        <v>22.495000000000001</v>
      </c>
      <c r="R12" s="2">
        <v>31.71</v>
      </c>
      <c r="S12" s="2">
        <v>53.98</v>
      </c>
      <c r="T12" s="2">
        <v>2.383</v>
      </c>
      <c r="U12" s="2">
        <v>37.401000000000003</v>
      </c>
      <c r="V12" s="2">
        <v>20.254999999999999</v>
      </c>
      <c r="W12" s="2">
        <v>133.333</v>
      </c>
      <c r="X12" s="2">
        <v>97.968000000000004</v>
      </c>
      <c r="Y12" s="2">
        <v>29.312999999999999</v>
      </c>
      <c r="Z12" s="2">
        <f>+Y12</f>
        <v>29.312999999999999</v>
      </c>
    </row>
    <row r="13" spans="1:53" s="6" customFormat="1" ht="13" x14ac:dyDescent="0.3">
      <c r="B13" s="6" t="s">
        <v>10</v>
      </c>
      <c r="C13" s="7"/>
      <c r="D13" s="7"/>
      <c r="E13" s="7"/>
      <c r="F13" s="7"/>
      <c r="G13" s="7"/>
      <c r="H13" s="7"/>
      <c r="I13" s="7">
        <f>+I11+I12</f>
        <v>189.40600000000001</v>
      </c>
      <c r="J13" s="7"/>
      <c r="K13" s="7"/>
      <c r="L13" s="7"/>
      <c r="M13" s="7">
        <f t="shared" ref="M13:Z13" si="22">+M11+M12</f>
        <v>230.26900000000001</v>
      </c>
      <c r="N13" s="6">
        <f t="shared" si="22"/>
        <v>258.42700000000002</v>
      </c>
      <c r="O13" s="6">
        <f t="shared" si="22"/>
        <v>253.5</v>
      </c>
      <c r="P13" s="6">
        <f t="shared" si="22"/>
        <v>261.238</v>
      </c>
      <c r="Q13" s="7">
        <f t="shared" si="22"/>
        <v>331.81700000000001</v>
      </c>
      <c r="R13" s="6">
        <f t="shared" si="22"/>
        <v>396.78100000000001</v>
      </c>
      <c r="S13" s="6">
        <f t="shared" si="22"/>
        <v>413.464</v>
      </c>
      <c r="T13" s="6">
        <f t="shared" si="22"/>
        <v>362.93099999999998</v>
      </c>
      <c r="U13" s="6">
        <f t="shared" si="22"/>
        <v>467.20100000000002</v>
      </c>
      <c r="V13" s="6">
        <f t="shared" si="22"/>
        <v>658.45500000000004</v>
      </c>
      <c r="W13" s="6">
        <f>+W11+W12</f>
        <v>745.33299999999997</v>
      </c>
      <c r="X13" s="6">
        <f t="shared" si="22"/>
        <v>611.09100000000001</v>
      </c>
      <c r="Y13" s="6">
        <f t="shared" si="22"/>
        <v>399.31299999999999</v>
      </c>
      <c r="Z13" s="6">
        <f t="shared" si="22"/>
        <v>332.51300000000003</v>
      </c>
      <c r="AH13" s="6">
        <v>5.4</v>
      </c>
      <c r="AI13" s="6">
        <v>155</v>
      </c>
      <c r="AJ13" s="6">
        <v>301</v>
      </c>
      <c r="AK13" s="6">
        <v>381</v>
      </c>
      <c r="AL13" s="6">
        <v>456</v>
      </c>
      <c r="AM13" s="6">
        <v>612</v>
      </c>
      <c r="AN13" s="6">
        <v>844</v>
      </c>
      <c r="AO13" s="6">
        <f t="shared" ref="AO13:AQ13" si="23">+AO11+AO12</f>
        <v>1144.876</v>
      </c>
      <c r="AP13" s="6">
        <f t="shared" si="23"/>
        <v>1788.0319999999999</v>
      </c>
      <c r="AQ13" s="6">
        <f t="shared" si="23"/>
        <v>1798.3229999999999</v>
      </c>
      <c r="AR13" s="6">
        <f t="shared" ref="AR13:BA13" si="24">+AR11+AR12</f>
        <v>950.87227999999993</v>
      </c>
      <c r="AS13" s="6">
        <f t="shared" si="24"/>
        <v>991.86355719999995</v>
      </c>
      <c r="AT13" s="6">
        <f t="shared" si="24"/>
        <v>1032.944921628</v>
      </c>
      <c r="AU13" s="6">
        <f t="shared" si="24"/>
        <v>1074.11547241172</v>
      </c>
      <c r="AV13" s="6">
        <f t="shared" si="24"/>
        <v>1115.3743176876028</v>
      </c>
      <c r="AW13" s="6">
        <f t="shared" si="24"/>
        <v>1156.7205745107267</v>
      </c>
      <c r="AX13" s="6">
        <f t="shared" si="24"/>
        <v>1148.1533687656197</v>
      </c>
      <c r="AY13" s="6">
        <f t="shared" si="24"/>
        <v>1139.6718350779634</v>
      </c>
      <c r="AZ13" s="6">
        <f t="shared" si="24"/>
        <v>1131.2751167271836</v>
      </c>
      <c r="BA13" s="6">
        <f t="shared" si="24"/>
        <v>1122.9623655599119</v>
      </c>
    </row>
    <row r="14" spans="1:53" s="2" customFormat="1" x14ac:dyDescent="0.25">
      <c r="B14" s="2" t="s">
        <v>24</v>
      </c>
      <c r="C14" s="5"/>
      <c r="D14" s="5"/>
      <c r="E14" s="5"/>
      <c r="F14" s="5"/>
      <c r="G14" s="5"/>
      <c r="H14" s="5"/>
      <c r="I14" s="5">
        <v>23.443999999999999</v>
      </c>
      <c r="J14" s="5"/>
      <c r="K14" s="5"/>
      <c r="L14" s="5"/>
      <c r="M14" s="5">
        <v>39.951999999999998</v>
      </c>
      <c r="N14" s="2">
        <v>30.798999999999999</v>
      </c>
      <c r="O14" s="2">
        <v>35.017000000000003</v>
      </c>
      <c r="P14" s="2">
        <v>34.124000000000002</v>
      </c>
      <c r="Q14" s="5">
        <v>37.026000000000003</v>
      </c>
      <c r="R14" s="2">
        <v>44.176000000000002</v>
      </c>
      <c r="S14" s="2">
        <v>50.558999999999997</v>
      </c>
      <c r="T14" s="2">
        <v>44.545000000000002</v>
      </c>
      <c r="U14" s="2">
        <v>91.691000000000003</v>
      </c>
      <c r="V14" s="2">
        <v>132.304</v>
      </c>
      <c r="W14" s="2">
        <v>137.56399999999999</v>
      </c>
      <c r="X14" s="2">
        <v>152.55799999999999</v>
      </c>
      <c r="Y14" s="2">
        <v>150.77500000000001</v>
      </c>
      <c r="Z14" s="2">
        <f>+Z13*0.18</f>
        <v>59.852340000000005</v>
      </c>
      <c r="AO14" s="2">
        <f t="shared" ref="AO14:AO17" si="25">SUM(O14:R14)</f>
        <v>150.34300000000002</v>
      </c>
      <c r="AP14" s="2">
        <f t="shared" ref="AP14:AP17" si="26">SUM(S14:V14)</f>
        <v>319.09900000000005</v>
      </c>
      <c r="AQ14" s="2">
        <f t="shared" ref="AQ14" si="27">SUM(W14:Z14)</f>
        <v>500.74933999999996</v>
      </c>
      <c r="AR14" s="2">
        <f>+AR13-AR15</f>
        <v>142.63084200000003</v>
      </c>
      <c r="AS14" s="2">
        <f t="shared" ref="AS14:BA14" si="28">+AS13-AS15</f>
        <v>148.77953358000002</v>
      </c>
      <c r="AT14" s="2">
        <f t="shared" si="28"/>
        <v>154.9417382442</v>
      </c>
      <c r="AU14" s="2">
        <f t="shared" si="28"/>
        <v>161.117320861758</v>
      </c>
      <c r="AV14" s="2">
        <f t="shared" si="28"/>
        <v>167.30614765314044</v>
      </c>
      <c r="AW14" s="2">
        <f t="shared" si="28"/>
        <v>173.50808617660903</v>
      </c>
      <c r="AX14" s="2">
        <f t="shared" si="28"/>
        <v>172.22300531484302</v>
      </c>
      <c r="AY14" s="2">
        <f t="shared" si="28"/>
        <v>170.9507752616945</v>
      </c>
      <c r="AZ14" s="2">
        <f t="shared" si="28"/>
        <v>169.69126750907753</v>
      </c>
      <c r="BA14" s="2">
        <f t="shared" si="28"/>
        <v>168.44435483398684</v>
      </c>
    </row>
    <row r="15" spans="1:53" s="2" customFormat="1" x14ac:dyDescent="0.25">
      <c r="B15" s="2" t="s">
        <v>25</v>
      </c>
      <c r="C15" s="5"/>
      <c r="D15" s="5"/>
      <c r="E15" s="5"/>
      <c r="F15" s="5"/>
      <c r="G15" s="5"/>
      <c r="H15" s="5"/>
      <c r="I15" s="5">
        <f>+I13-I14</f>
        <v>165.96200000000002</v>
      </c>
      <c r="J15" s="5"/>
      <c r="K15" s="5"/>
      <c r="L15" s="5"/>
      <c r="M15" s="5">
        <f t="shared" ref="M15:T15" si="29">+M13-M14</f>
        <v>190.31700000000001</v>
      </c>
      <c r="N15" s="2">
        <f t="shared" si="29"/>
        <v>227.62800000000001</v>
      </c>
      <c r="O15" s="2">
        <f t="shared" si="29"/>
        <v>218.483</v>
      </c>
      <c r="P15" s="2">
        <f t="shared" si="29"/>
        <v>227.114</v>
      </c>
      <c r="Q15" s="5">
        <f t="shared" si="29"/>
        <v>294.791</v>
      </c>
      <c r="R15" s="2">
        <f t="shared" si="29"/>
        <v>352.60500000000002</v>
      </c>
      <c r="S15" s="2">
        <f t="shared" si="29"/>
        <v>362.90499999999997</v>
      </c>
      <c r="T15" s="2">
        <f t="shared" si="29"/>
        <v>318.38599999999997</v>
      </c>
      <c r="U15" s="2">
        <f t="shared" ref="U15:Z15" si="30">+U13-U14</f>
        <v>375.51</v>
      </c>
      <c r="V15" s="2">
        <f t="shared" si="30"/>
        <v>526.15100000000007</v>
      </c>
      <c r="W15" s="2">
        <f t="shared" si="30"/>
        <v>607.76900000000001</v>
      </c>
      <c r="X15" s="2">
        <f t="shared" si="30"/>
        <v>458.53300000000002</v>
      </c>
      <c r="Y15" s="2">
        <f t="shared" si="30"/>
        <v>248.53799999999998</v>
      </c>
      <c r="Z15" s="2">
        <f t="shared" si="30"/>
        <v>272.66066000000001</v>
      </c>
      <c r="AO15" s="2">
        <f>+AO13-AO14</f>
        <v>994.5329999999999</v>
      </c>
      <c r="AP15" s="2">
        <f>+AP13-AP14</f>
        <v>1468.933</v>
      </c>
      <c r="AQ15" s="2">
        <f>+AQ13-AQ14</f>
        <v>1297.57366</v>
      </c>
      <c r="AR15" s="2">
        <f>+AR13*0.85</f>
        <v>808.2414379999999</v>
      </c>
      <c r="AS15" s="2">
        <f t="shared" ref="AS15:BA15" si="31">+AS13*0.85</f>
        <v>843.08402361999993</v>
      </c>
      <c r="AT15" s="2">
        <f t="shared" si="31"/>
        <v>878.00318338379998</v>
      </c>
      <c r="AU15" s="2">
        <f t="shared" si="31"/>
        <v>912.99815154996202</v>
      </c>
      <c r="AV15" s="2">
        <f t="shared" si="31"/>
        <v>948.06817003446236</v>
      </c>
      <c r="AW15" s="2">
        <f t="shared" si="31"/>
        <v>983.21248833411767</v>
      </c>
      <c r="AX15" s="2">
        <f t="shared" si="31"/>
        <v>975.93036345077667</v>
      </c>
      <c r="AY15" s="2">
        <f t="shared" si="31"/>
        <v>968.72105981626885</v>
      </c>
      <c r="AZ15" s="2">
        <f t="shared" si="31"/>
        <v>961.58384921810602</v>
      </c>
      <c r="BA15" s="2">
        <f t="shared" si="31"/>
        <v>954.51801072592502</v>
      </c>
    </row>
    <row r="16" spans="1:53" s="2" customFormat="1" x14ac:dyDescent="0.25">
      <c r="B16" s="2" t="s">
        <v>26</v>
      </c>
      <c r="C16" s="5"/>
      <c r="D16" s="5"/>
      <c r="E16" s="5"/>
      <c r="F16" s="5"/>
      <c r="G16" s="5"/>
      <c r="H16" s="5"/>
      <c r="I16" s="5">
        <v>139.11500000000001</v>
      </c>
      <c r="J16" s="5"/>
      <c r="K16" s="5"/>
      <c r="L16" s="5"/>
      <c r="M16" s="5">
        <v>216.70699999999999</v>
      </c>
      <c r="N16" s="2">
        <v>213.804</v>
      </c>
      <c r="O16" s="2">
        <v>245.679</v>
      </c>
      <c r="P16" s="2">
        <v>241.89</v>
      </c>
      <c r="Q16" s="5">
        <v>194.30099999999999</v>
      </c>
      <c r="R16" s="2">
        <v>195.517</v>
      </c>
      <c r="S16" s="2">
        <v>178.077</v>
      </c>
      <c r="T16" s="2">
        <v>179.69</v>
      </c>
      <c r="U16" s="2">
        <v>222.483</v>
      </c>
      <c r="V16" s="2">
        <v>199.953</v>
      </c>
      <c r="W16" s="2">
        <f>749.154-500</f>
        <v>249.154</v>
      </c>
      <c r="X16" s="2">
        <v>204.392</v>
      </c>
      <c r="Y16" s="2">
        <v>218.89</v>
      </c>
      <c r="AO16" s="2">
        <f t="shared" si="25"/>
        <v>877.38699999999994</v>
      </c>
      <c r="AP16" s="2">
        <f t="shared" si="26"/>
        <v>780.20299999999997</v>
      </c>
    </row>
    <row r="17" spans="2:56" s="2" customFormat="1" x14ac:dyDescent="0.25">
      <c r="B17" s="2" t="s">
        <v>27</v>
      </c>
      <c r="C17" s="5"/>
      <c r="D17" s="5"/>
      <c r="E17" s="5"/>
      <c r="F17" s="5"/>
      <c r="G17" s="5"/>
      <c r="H17" s="5"/>
      <c r="I17" s="5">
        <v>61.127000000000002</v>
      </c>
      <c r="J17" s="5"/>
      <c r="K17" s="5"/>
      <c r="L17" s="5"/>
      <c r="M17" s="5">
        <v>104.78700000000001</v>
      </c>
      <c r="N17" s="2">
        <v>120.47799999999999</v>
      </c>
      <c r="O17" s="2">
        <v>110.714</v>
      </c>
      <c r="P17" s="2">
        <v>118.56399999999999</v>
      </c>
      <c r="Q17" s="5">
        <v>120.893</v>
      </c>
      <c r="R17" s="2">
        <v>131.69999999999999</v>
      </c>
      <c r="S17" s="2">
        <v>127.003</v>
      </c>
      <c r="T17" s="2">
        <v>138.79599999999999</v>
      </c>
      <c r="U17" s="2">
        <v>128.80000000000001</v>
      </c>
      <c r="V17" s="2">
        <v>163.87299999999999</v>
      </c>
      <c r="W17" s="2">
        <v>133.62899999999999</v>
      </c>
      <c r="X17" s="2">
        <v>137.89699999999999</v>
      </c>
      <c r="Y17" s="2">
        <v>91.893000000000001</v>
      </c>
      <c r="AO17" s="2">
        <f t="shared" si="25"/>
        <v>481.87099999999998</v>
      </c>
      <c r="AP17" s="2">
        <f t="shared" si="26"/>
        <v>558.47199999999998</v>
      </c>
      <c r="AQ17" s="2">
        <f>+AP17</f>
        <v>558.47199999999998</v>
      </c>
      <c r="AR17" s="2">
        <f>+AQ17*0.9</f>
        <v>502.62479999999999</v>
      </c>
      <c r="AS17" s="2">
        <f t="shared" ref="AS17:BA17" si="32">+AR17*0.9</f>
        <v>452.36232000000001</v>
      </c>
      <c r="AT17" s="2">
        <f t="shared" si="32"/>
        <v>407.12608800000004</v>
      </c>
      <c r="AU17" s="2">
        <f t="shared" si="32"/>
        <v>366.41347920000004</v>
      </c>
      <c r="AV17" s="2">
        <f t="shared" si="32"/>
        <v>329.77213128000005</v>
      </c>
      <c r="AW17" s="2">
        <f t="shared" si="32"/>
        <v>296.79491815200004</v>
      </c>
      <c r="AX17" s="2">
        <f t="shared" si="32"/>
        <v>267.11542633680006</v>
      </c>
      <c r="AY17" s="2">
        <f t="shared" si="32"/>
        <v>240.40388370312004</v>
      </c>
      <c r="AZ17" s="2">
        <f t="shared" si="32"/>
        <v>216.36349533280804</v>
      </c>
      <c r="BA17" s="2">
        <f t="shared" si="32"/>
        <v>194.72714579952725</v>
      </c>
    </row>
    <row r="18" spans="2:56" s="2" customFormat="1" x14ac:dyDescent="0.25">
      <c r="B18" s="2" t="s">
        <v>22</v>
      </c>
      <c r="C18" s="5"/>
      <c r="D18" s="5"/>
      <c r="E18" s="5"/>
      <c r="F18" s="5"/>
      <c r="G18" s="5"/>
      <c r="H18" s="5"/>
      <c r="I18" s="5">
        <f>+I16+I17</f>
        <v>200.24200000000002</v>
      </c>
      <c r="J18" s="5"/>
      <c r="K18" s="5"/>
      <c r="L18" s="5"/>
      <c r="M18" s="5">
        <f>+M16+M17</f>
        <v>321.49400000000003</v>
      </c>
      <c r="N18" s="2">
        <f>+N16+N17</f>
        <v>334.28199999999998</v>
      </c>
      <c r="O18" s="2">
        <f>+O16+O17</f>
        <v>356.39300000000003</v>
      </c>
      <c r="P18" s="2">
        <f>+P16+P17</f>
        <v>360.45399999999995</v>
      </c>
      <c r="Q18" s="2">
        <f t="shared" ref="Q18" si="33">+Q16+Q17</f>
        <v>315.19399999999996</v>
      </c>
      <c r="R18" s="2">
        <f>+R16+R17</f>
        <v>327.21699999999998</v>
      </c>
      <c r="S18" s="2">
        <f>+S16+S17</f>
        <v>305.08</v>
      </c>
      <c r="T18" s="2">
        <f>+T16+T17</f>
        <v>318.48599999999999</v>
      </c>
      <c r="U18" s="2">
        <f t="shared" ref="U18" si="34">+U16+U17</f>
        <v>351.28300000000002</v>
      </c>
      <c r="V18" s="2">
        <f>+V17+V16</f>
        <v>363.82600000000002</v>
      </c>
      <c r="W18" s="2">
        <f>+W17+W16</f>
        <v>382.78300000000002</v>
      </c>
      <c r="X18" s="2">
        <f>+X17+X16</f>
        <v>342.28899999999999</v>
      </c>
      <c r="Y18" s="2">
        <f>+Y17+Y16</f>
        <v>310.78300000000002</v>
      </c>
      <c r="Z18" s="2">
        <f>+Z17+Z16</f>
        <v>0</v>
      </c>
      <c r="AO18" s="2">
        <f>+AO16+AO17</f>
        <v>1359.2579999999998</v>
      </c>
      <c r="AP18" s="2">
        <f>+AP16+AP17</f>
        <v>1338.675</v>
      </c>
      <c r="AQ18" s="2">
        <f>+AQ16+AQ17</f>
        <v>558.47199999999998</v>
      </c>
      <c r="AR18" s="2">
        <f t="shared" ref="AR18" si="35">+AR16+AR17</f>
        <v>502.62479999999999</v>
      </c>
      <c r="AS18" s="2">
        <f t="shared" ref="AS18" si="36">+AS16+AS17</f>
        <v>452.36232000000001</v>
      </c>
      <c r="AT18" s="2">
        <f t="shared" ref="AT18" si="37">+AT16+AT17</f>
        <v>407.12608800000004</v>
      </c>
      <c r="AU18" s="2">
        <f t="shared" ref="AU18" si="38">+AU16+AU17</f>
        <v>366.41347920000004</v>
      </c>
      <c r="AV18" s="2">
        <f t="shared" ref="AV18" si="39">+AV16+AV17</f>
        <v>329.77213128000005</v>
      </c>
      <c r="AW18" s="2">
        <f t="shared" ref="AW18" si="40">+AW16+AW17</f>
        <v>296.79491815200004</v>
      </c>
      <c r="AX18" s="2">
        <f t="shared" ref="AX18" si="41">+AX16+AX17</f>
        <v>267.11542633680006</v>
      </c>
      <c r="AY18" s="2">
        <f t="shared" ref="AY18" si="42">+AY16+AY17</f>
        <v>240.40388370312004</v>
      </c>
      <c r="AZ18" s="2">
        <f t="shared" ref="AZ18" si="43">+AZ16+AZ17</f>
        <v>216.36349533280804</v>
      </c>
      <c r="BA18" s="2">
        <f t="shared" ref="BA18" si="44">+BA16+BA17</f>
        <v>194.72714579952725</v>
      </c>
    </row>
    <row r="19" spans="2:56" s="2" customFormat="1" x14ac:dyDescent="0.25">
      <c r="B19" s="2" t="s">
        <v>23</v>
      </c>
      <c r="C19" s="5"/>
      <c r="D19" s="5"/>
      <c r="E19" s="5"/>
      <c r="F19" s="5"/>
      <c r="G19" s="5"/>
      <c r="H19" s="5"/>
      <c r="I19" s="5">
        <f>+I15-I18</f>
        <v>-34.28</v>
      </c>
      <c r="J19" s="5"/>
      <c r="K19" s="5"/>
      <c r="L19" s="5"/>
      <c r="M19" s="5">
        <f>+M15-M18</f>
        <v>-131.17700000000002</v>
      </c>
      <c r="N19" s="2">
        <f>+N15-N18</f>
        <v>-106.65399999999997</v>
      </c>
      <c r="O19" s="2">
        <f>+O15-O18</f>
        <v>-137.91000000000003</v>
      </c>
      <c r="P19" s="2">
        <f>+P15-P18</f>
        <v>-133.33999999999995</v>
      </c>
      <c r="Q19" s="2">
        <f t="shared" ref="Q19" si="45">+Q15-Q18</f>
        <v>-20.402999999999963</v>
      </c>
      <c r="R19" s="2">
        <f>+R15-R18</f>
        <v>25.388000000000034</v>
      </c>
      <c r="S19" s="2">
        <f>+S15-S18</f>
        <v>57.824999999999989</v>
      </c>
      <c r="T19" s="2">
        <f>+T15-T18</f>
        <v>-0.10000000000002274</v>
      </c>
      <c r="U19" s="2">
        <f t="shared" ref="U19" si="46">+U15-U18</f>
        <v>24.226999999999975</v>
      </c>
      <c r="V19" s="2">
        <f>+V15-V18</f>
        <v>162.32500000000005</v>
      </c>
      <c r="W19" s="2">
        <f>+W15-W18</f>
        <v>224.98599999999999</v>
      </c>
      <c r="X19" s="2">
        <f>+X15-X18</f>
        <v>116.24400000000003</v>
      </c>
      <c r="Y19" s="2">
        <f>+Y15-Y18</f>
        <v>-62.245000000000033</v>
      </c>
      <c r="Z19" s="2">
        <f>+Z15-Z18</f>
        <v>272.66066000000001</v>
      </c>
      <c r="AO19" s="2">
        <f>+AO15-AO18</f>
        <v>-364.72499999999991</v>
      </c>
      <c r="AP19" s="2">
        <f>+AP15-AP18</f>
        <v>130.25800000000004</v>
      </c>
      <c r="AQ19" s="2">
        <f>+AQ15-AQ18</f>
        <v>739.10166000000004</v>
      </c>
      <c r="AR19" s="2">
        <f t="shared" ref="AR19" si="47">+AR15-AR18</f>
        <v>305.61663799999991</v>
      </c>
      <c r="AS19" s="2">
        <f t="shared" ref="AS19" si="48">+AS15-AS18</f>
        <v>390.72170361999991</v>
      </c>
      <c r="AT19" s="2">
        <f t="shared" ref="AT19" si="49">+AT15-AT18</f>
        <v>470.87709538379994</v>
      </c>
      <c r="AU19" s="2">
        <f t="shared" ref="AU19" si="50">+AU15-AU18</f>
        <v>546.58467234996192</v>
      </c>
      <c r="AV19" s="2">
        <f t="shared" ref="AV19" si="51">+AV15-AV18</f>
        <v>618.2960387544623</v>
      </c>
      <c r="AW19" s="2">
        <f t="shared" ref="AW19" si="52">+AW15-AW18</f>
        <v>686.41757018211763</v>
      </c>
      <c r="AX19" s="2">
        <f t="shared" ref="AX19" si="53">+AX15-AX18</f>
        <v>708.81493711397661</v>
      </c>
      <c r="AY19" s="2">
        <f t="shared" ref="AY19" si="54">+AY15-AY18</f>
        <v>728.31717611314878</v>
      </c>
      <c r="AZ19" s="2">
        <f t="shared" ref="AZ19" si="55">+AZ15-AZ18</f>
        <v>745.22035388529798</v>
      </c>
      <c r="BA19" s="2">
        <f t="shared" ref="BA19" si="56">+BA15-BA18</f>
        <v>759.79086492639772</v>
      </c>
    </row>
    <row r="20" spans="2:56" s="2" customFormat="1" x14ac:dyDescent="0.25">
      <c r="B20" s="2" t="s">
        <v>28</v>
      </c>
      <c r="C20" s="5"/>
      <c r="D20" s="5"/>
      <c r="E20" s="5"/>
      <c r="F20" s="5"/>
      <c r="G20" s="5"/>
      <c r="H20" s="5"/>
      <c r="I20" s="5">
        <v>-20.649000000000001</v>
      </c>
      <c r="J20" s="5"/>
      <c r="K20" s="5"/>
      <c r="L20" s="5"/>
      <c r="M20" s="5">
        <v>-6.3220000000000001</v>
      </c>
      <c r="N20" s="2">
        <v>5.5270000000000001</v>
      </c>
      <c r="O20" s="2">
        <v>12.707000000000001</v>
      </c>
      <c r="P20" s="2">
        <v>16.934000000000001</v>
      </c>
      <c r="Q20" s="5">
        <v>-12.332000000000001</v>
      </c>
      <c r="R20" s="2">
        <v>15.746</v>
      </c>
      <c r="S20" s="2">
        <v>6.5430000000000001</v>
      </c>
      <c r="T20" s="2">
        <v>14.278</v>
      </c>
      <c r="U20" s="2">
        <v>11.81</v>
      </c>
      <c r="V20" s="2">
        <v>10.061999999999999</v>
      </c>
      <c r="W20" s="2">
        <v>0</v>
      </c>
      <c r="X20" s="2">
        <v>38.061</v>
      </c>
      <c r="Y20" s="2">
        <v>0</v>
      </c>
      <c r="AO20" s="2">
        <f t="shared" ref="AO20" si="57">SUM(O20:R20)</f>
        <v>33.055</v>
      </c>
      <c r="AP20" s="2">
        <f t="shared" ref="AP20" si="58">SUM(S20:V20)</f>
        <v>42.692999999999998</v>
      </c>
    </row>
    <row r="21" spans="2:56" s="2" customFormat="1" x14ac:dyDescent="0.25">
      <c r="B21" s="2" t="s">
        <v>29</v>
      </c>
      <c r="C21" s="5"/>
      <c r="D21" s="5"/>
      <c r="E21" s="5"/>
      <c r="F21" s="5"/>
      <c r="G21" s="5"/>
      <c r="H21" s="5"/>
      <c r="I21" s="5">
        <f>+I19+I20</f>
        <v>-54.929000000000002</v>
      </c>
      <c r="J21" s="5"/>
      <c r="K21" s="5"/>
      <c r="L21" s="5"/>
      <c r="M21" s="5">
        <f t="shared" ref="M21:U21" si="59">+M19+M20</f>
        <v>-137.49900000000002</v>
      </c>
      <c r="N21" s="2">
        <f t="shared" si="59"/>
        <v>-101.12699999999997</v>
      </c>
      <c r="O21" s="2">
        <f t="shared" si="59"/>
        <v>-125.20300000000003</v>
      </c>
      <c r="P21" s="2">
        <f t="shared" si="59"/>
        <v>-116.40599999999995</v>
      </c>
      <c r="Q21" s="2">
        <f t="shared" si="59"/>
        <v>-32.734999999999964</v>
      </c>
      <c r="R21" s="2">
        <f t="shared" si="59"/>
        <v>41.134000000000036</v>
      </c>
      <c r="S21" s="2">
        <f t="shared" si="59"/>
        <v>64.367999999999995</v>
      </c>
      <c r="T21" s="2">
        <f t="shared" si="59"/>
        <v>14.177999999999978</v>
      </c>
      <c r="U21" s="2">
        <f t="shared" si="59"/>
        <v>36.036999999999978</v>
      </c>
      <c r="V21" s="2">
        <f>+V19+V20</f>
        <v>172.38700000000006</v>
      </c>
      <c r="W21" s="2">
        <f>+W19+W20</f>
        <v>224.98599999999999</v>
      </c>
      <c r="X21" s="2">
        <f>+X19+X20</f>
        <v>154.30500000000004</v>
      </c>
      <c r="Y21" s="2">
        <f>+Y19+Y20</f>
        <v>-62.245000000000033</v>
      </c>
      <c r="Z21" s="2">
        <f>+Z19+Z20</f>
        <v>272.66066000000001</v>
      </c>
      <c r="AO21" s="2">
        <f>+AO19+AO20</f>
        <v>-331.6699999999999</v>
      </c>
      <c r="AP21" s="2">
        <f>+AP19+AP20</f>
        <v>172.95100000000002</v>
      </c>
      <c r="AQ21" s="2">
        <f>+AQ19+AQ20</f>
        <v>739.10166000000004</v>
      </c>
      <c r="AR21" s="2">
        <f t="shared" ref="AR21:BA21" si="60">+AR19+AR20</f>
        <v>305.61663799999991</v>
      </c>
      <c r="AS21" s="2">
        <f t="shared" si="60"/>
        <v>390.72170361999991</v>
      </c>
      <c r="AT21" s="2">
        <f t="shared" si="60"/>
        <v>470.87709538379994</v>
      </c>
      <c r="AU21" s="2">
        <f t="shared" si="60"/>
        <v>546.58467234996192</v>
      </c>
      <c r="AV21" s="2">
        <f t="shared" si="60"/>
        <v>618.2960387544623</v>
      </c>
      <c r="AW21" s="2">
        <f t="shared" si="60"/>
        <v>686.41757018211763</v>
      </c>
      <c r="AX21" s="2">
        <f t="shared" si="60"/>
        <v>708.81493711397661</v>
      </c>
      <c r="AY21" s="2">
        <f t="shared" si="60"/>
        <v>728.31717611314878</v>
      </c>
      <c r="AZ21" s="2">
        <f t="shared" si="60"/>
        <v>745.22035388529798</v>
      </c>
      <c r="BA21" s="2">
        <f t="shared" si="60"/>
        <v>759.79086492639772</v>
      </c>
    </row>
    <row r="22" spans="2:56" s="2" customFormat="1" x14ac:dyDescent="0.25">
      <c r="B22" s="2" t="s">
        <v>30</v>
      </c>
      <c r="C22" s="5"/>
      <c r="D22" s="5"/>
      <c r="E22" s="5"/>
      <c r="F22" s="5"/>
      <c r="G22" s="5"/>
      <c r="H22" s="5"/>
      <c r="I22" s="5">
        <v>0</v>
      </c>
      <c r="J22" s="5"/>
      <c r="K22" s="5"/>
      <c r="L22" s="5"/>
      <c r="M22" s="5">
        <v>0</v>
      </c>
      <c r="N22" s="2">
        <v>7.9379999999999997</v>
      </c>
      <c r="O22" s="2">
        <v>4.0449999999999999</v>
      </c>
      <c r="P22" s="2">
        <v>9.3550000000000004</v>
      </c>
      <c r="Q22" s="5">
        <v>7.7629999999999999</v>
      </c>
      <c r="R22" s="2">
        <v>-5.2839999999999998</v>
      </c>
      <c r="S22" s="2">
        <v>5.3289999999999997</v>
      </c>
      <c r="T22" s="2">
        <v>7.117</v>
      </c>
      <c r="U22" s="2">
        <v>0.39500000000000002</v>
      </c>
      <c r="V22" s="2">
        <v>12.694000000000001</v>
      </c>
      <c r="W22" s="2">
        <v>0</v>
      </c>
      <c r="X22" s="2">
        <v>0</v>
      </c>
      <c r="Y22" s="2">
        <v>0</v>
      </c>
      <c r="Z22" s="2">
        <v>0</v>
      </c>
      <c r="AO22" s="2">
        <f t="shared" ref="AO22" si="61">SUM(O22:R22)</f>
        <v>15.879000000000001</v>
      </c>
      <c r="AP22" s="2">
        <f t="shared" ref="AP22" si="62">SUM(S22:V22)</f>
        <v>25.535</v>
      </c>
      <c r="AQ22" s="2">
        <f>+AQ21*0.2</f>
        <v>147.82033200000001</v>
      </c>
      <c r="AR22" s="2">
        <f t="shared" ref="AR22:BA22" si="63">+AR21*0.2</f>
        <v>61.123327599999982</v>
      </c>
      <c r="AS22" s="2">
        <f t="shared" si="63"/>
        <v>78.144340723999989</v>
      </c>
      <c r="AT22" s="2">
        <f t="shared" si="63"/>
        <v>94.175419076759994</v>
      </c>
      <c r="AU22" s="2">
        <f t="shared" si="63"/>
        <v>109.31693446999239</v>
      </c>
      <c r="AV22" s="2">
        <f t="shared" si="63"/>
        <v>123.65920775089246</v>
      </c>
      <c r="AW22" s="2">
        <f t="shared" si="63"/>
        <v>137.28351403642353</v>
      </c>
      <c r="AX22" s="2">
        <f t="shared" si="63"/>
        <v>141.76298742279533</v>
      </c>
      <c r="AY22" s="2">
        <f t="shared" si="63"/>
        <v>145.66343522262977</v>
      </c>
      <c r="AZ22" s="2">
        <f t="shared" si="63"/>
        <v>149.0440707770596</v>
      </c>
      <c r="BA22" s="2">
        <f t="shared" si="63"/>
        <v>151.95817298527956</v>
      </c>
    </row>
    <row r="23" spans="2:56" s="2" customFormat="1" x14ac:dyDescent="0.25">
      <c r="B23" s="2" t="s">
        <v>31</v>
      </c>
      <c r="C23" s="5"/>
      <c r="D23" s="5"/>
      <c r="E23" s="5"/>
      <c r="F23" s="5"/>
      <c r="G23" s="5"/>
      <c r="H23" s="5"/>
      <c r="I23" s="5">
        <f>+I21-I22</f>
        <v>-54.929000000000002</v>
      </c>
      <c r="J23" s="5"/>
      <c r="K23" s="5"/>
      <c r="L23" s="5"/>
      <c r="M23" s="5">
        <f t="shared" ref="M23:U23" si="64">+M21-M22</f>
        <v>-137.49900000000002</v>
      </c>
      <c r="N23" s="2">
        <f t="shared" si="64"/>
        <v>-109.06499999999997</v>
      </c>
      <c r="O23" s="2">
        <f t="shared" si="64"/>
        <v>-129.24800000000002</v>
      </c>
      <c r="P23" s="2">
        <f t="shared" si="64"/>
        <v>-125.76099999999995</v>
      </c>
      <c r="Q23" s="2">
        <f t="shared" si="64"/>
        <v>-40.497999999999962</v>
      </c>
      <c r="R23" s="2">
        <f t="shared" si="64"/>
        <v>46.418000000000035</v>
      </c>
      <c r="S23" s="2">
        <f t="shared" si="64"/>
        <v>59.038999999999994</v>
      </c>
      <c r="T23" s="2">
        <f t="shared" si="64"/>
        <v>7.0609999999999777</v>
      </c>
      <c r="U23" s="2">
        <f t="shared" si="64"/>
        <v>35.641999999999975</v>
      </c>
      <c r="V23" s="2">
        <f>+V21-V22</f>
        <v>159.69300000000007</v>
      </c>
      <c r="W23" s="2">
        <f>+W21-W22</f>
        <v>224.98599999999999</v>
      </c>
      <c r="X23" s="2">
        <f>+X21-X22</f>
        <v>154.30500000000004</v>
      </c>
      <c r="Y23" s="2">
        <f>+Y21-Y22</f>
        <v>-62.245000000000033</v>
      </c>
      <c r="Z23" s="2">
        <f>+Z21-Z22</f>
        <v>272.66066000000001</v>
      </c>
      <c r="AO23" s="2">
        <f>+AO21-AO22</f>
        <v>-347.54899999999992</v>
      </c>
      <c r="AP23" s="2">
        <f>+AP21-AP22</f>
        <v>147.41600000000003</v>
      </c>
      <c r="AQ23" s="2">
        <f>+AQ21-AQ22</f>
        <v>591.28132800000003</v>
      </c>
      <c r="AR23" s="2">
        <f t="shared" ref="AR23:BA23" si="65">+AR21-AR22</f>
        <v>244.49331039999993</v>
      </c>
      <c r="AS23" s="2">
        <f t="shared" si="65"/>
        <v>312.57736289599995</v>
      </c>
      <c r="AT23" s="2">
        <f t="shared" si="65"/>
        <v>376.70167630703997</v>
      </c>
      <c r="AU23" s="2">
        <f t="shared" si="65"/>
        <v>437.26773787996956</v>
      </c>
      <c r="AV23" s="2">
        <f t="shared" si="65"/>
        <v>494.63683100356985</v>
      </c>
      <c r="AW23" s="2">
        <f t="shared" si="65"/>
        <v>549.1340561456941</v>
      </c>
      <c r="AX23" s="2">
        <f t="shared" si="65"/>
        <v>567.05194969118133</v>
      </c>
      <c r="AY23" s="2">
        <f t="shared" si="65"/>
        <v>582.65374089051897</v>
      </c>
      <c r="AZ23" s="2">
        <f t="shared" si="65"/>
        <v>596.17628310823841</v>
      </c>
      <c r="BA23" s="2">
        <f t="shared" si="65"/>
        <v>607.83269194111813</v>
      </c>
    </row>
    <row r="24" spans="2:56" x14ac:dyDescent="0.25">
      <c r="B24" s="2" t="s">
        <v>32</v>
      </c>
      <c r="I24" s="8">
        <f>+I23/I25</f>
        <v>-0.68764396594892341</v>
      </c>
      <c r="M24" s="8">
        <f t="shared" ref="M24:Z24" si="66">+M23/M25</f>
        <v>-1.5691217419089791</v>
      </c>
      <c r="N24" s="1">
        <f t="shared" si="66"/>
        <v>-1.2416607846262435</v>
      </c>
      <c r="O24" s="1">
        <f t="shared" si="66"/>
        <v>-1.4656294649944437</v>
      </c>
      <c r="P24" s="1">
        <f t="shared" si="66"/>
        <v>-1.4171371263085535</v>
      </c>
      <c r="Q24" s="1">
        <f t="shared" si="66"/>
        <v>-0.45560193049758646</v>
      </c>
      <c r="R24" s="1">
        <f t="shared" si="66"/>
        <v>0.43958937060817888</v>
      </c>
      <c r="S24" s="1">
        <f t="shared" si="66"/>
        <v>0.59566761506951582</v>
      </c>
      <c r="T24" s="1">
        <f t="shared" si="66"/>
        <v>7.1219640119422029E-2</v>
      </c>
      <c r="U24" s="1">
        <f t="shared" si="66"/>
        <v>0.35483035998725687</v>
      </c>
      <c r="V24" s="1">
        <f t="shared" si="66"/>
        <v>1.4721776646938443</v>
      </c>
      <c r="W24" s="1">
        <f t="shared" si="66"/>
        <v>2.3108194161993385</v>
      </c>
      <c r="X24" s="1">
        <f t="shared" si="66"/>
        <v>1.4472018232463917</v>
      </c>
      <c r="Y24" s="1">
        <f t="shared" si="66"/>
        <v>-0.62097828147290957</v>
      </c>
      <c r="Z24" s="1">
        <f t="shared" si="66"/>
        <v>2.7201598212236999</v>
      </c>
      <c r="AQ24" s="1">
        <f>+AQ23/AQ25</f>
        <v>5.4509037004259087</v>
      </c>
      <c r="AR24" s="1">
        <f t="shared" ref="AR24:BA24" si="67">+AR23/AR25</f>
        <v>2.2539346792779829</v>
      </c>
      <c r="AS24" s="1">
        <f t="shared" si="67"/>
        <v>2.881587872633073</v>
      </c>
      <c r="AT24" s="1">
        <f t="shared" si="67"/>
        <v>3.4727370273709828</v>
      </c>
      <c r="AU24" s="1">
        <f t="shared" si="67"/>
        <v>4.0310833737113922</v>
      </c>
      <c r="AV24" s="1">
        <f t="shared" si="67"/>
        <v>4.5599575105884345</v>
      </c>
      <c r="AW24" s="1">
        <f t="shared" si="67"/>
        <v>5.0623564738618851</v>
      </c>
      <c r="AX24" s="1">
        <f t="shared" si="67"/>
        <v>5.2275379325108444</v>
      </c>
      <c r="AY24" s="1">
        <f t="shared" si="67"/>
        <v>5.3713677092254271</v>
      </c>
      <c r="AZ24" s="1">
        <f t="shared" si="67"/>
        <v>5.4960293075597688</v>
      </c>
      <c r="BA24" s="1">
        <f t="shared" si="67"/>
        <v>5.6034873973589807</v>
      </c>
    </row>
    <row r="25" spans="2:56" s="2" customFormat="1" x14ac:dyDescent="0.25">
      <c r="B25" s="2" t="s">
        <v>1</v>
      </c>
      <c r="C25" s="5"/>
      <c r="D25" s="5"/>
      <c r="E25" s="5"/>
      <c r="F25" s="5"/>
      <c r="G25" s="5"/>
      <c r="H25" s="5"/>
      <c r="I25" s="5">
        <v>79.88</v>
      </c>
      <c r="J25" s="5"/>
      <c r="K25" s="5"/>
      <c r="L25" s="5"/>
      <c r="M25" s="5">
        <v>87.628</v>
      </c>
      <c r="N25" s="2">
        <v>87.837999999999994</v>
      </c>
      <c r="O25" s="2">
        <v>88.186000000000007</v>
      </c>
      <c r="P25" s="2">
        <v>88.742999999999995</v>
      </c>
      <c r="Q25" s="5">
        <v>88.888999999999996</v>
      </c>
      <c r="R25" s="2">
        <v>105.59399999999999</v>
      </c>
      <c r="S25" s="2">
        <v>99.114000000000004</v>
      </c>
      <c r="T25" s="2">
        <v>99.144000000000005</v>
      </c>
      <c r="U25" s="2">
        <v>100.44799999999999</v>
      </c>
      <c r="V25" s="2">
        <v>108.474</v>
      </c>
      <c r="W25" s="2">
        <v>97.361999999999995</v>
      </c>
      <c r="X25" s="2">
        <v>106.623</v>
      </c>
      <c r="Y25" s="2">
        <v>100.23699999999999</v>
      </c>
      <c r="Z25" s="2">
        <f>+Y25</f>
        <v>100.23699999999999</v>
      </c>
      <c r="AO25" s="2">
        <f>R25</f>
        <v>105.59399999999999</v>
      </c>
      <c r="AP25" s="2">
        <f>+V25</f>
        <v>108.474</v>
      </c>
      <c r="AQ25" s="2">
        <f>+AP25</f>
        <v>108.474</v>
      </c>
      <c r="AR25" s="2">
        <f t="shared" ref="AR25:BA25" si="68">+AQ25</f>
        <v>108.474</v>
      </c>
      <c r="AS25" s="2">
        <f t="shared" si="68"/>
        <v>108.474</v>
      </c>
      <c r="AT25" s="2">
        <f t="shared" si="68"/>
        <v>108.474</v>
      </c>
      <c r="AU25" s="2">
        <f t="shared" si="68"/>
        <v>108.474</v>
      </c>
      <c r="AV25" s="2">
        <f t="shared" si="68"/>
        <v>108.474</v>
      </c>
      <c r="AW25" s="2">
        <f t="shared" si="68"/>
        <v>108.474</v>
      </c>
      <c r="AX25" s="2">
        <f t="shared" si="68"/>
        <v>108.474</v>
      </c>
      <c r="AY25" s="2">
        <f t="shared" si="68"/>
        <v>108.474</v>
      </c>
      <c r="AZ25" s="2">
        <f t="shared" si="68"/>
        <v>108.474</v>
      </c>
      <c r="BA25" s="2">
        <f t="shared" si="68"/>
        <v>108.474</v>
      </c>
    </row>
    <row r="26" spans="2:56" x14ac:dyDescent="0.25">
      <c r="BC26" t="s">
        <v>251</v>
      </c>
      <c r="BD26" s="22">
        <v>0.09</v>
      </c>
    </row>
    <row r="27" spans="2:56" x14ac:dyDescent="0.25">
      <c r="B27" s="2" t="s">
        <v>252</v>
      </c>
      <c r="V27" s="22">
        <f t="shared" ref="V27:W27" si="69">+V13/R13-1</f>
        <v>0.65949226399449579</v>
      </c>
      <c r="W27" s="22">
        <f t="shared" si="69"/>
        <v>0.80265512837877062</v>
      </c>
      <c r="X27" s="22">
        <f>+X13/T13-1</f>
        <v>0.68376633574977075</v>
      </c>
      <c r="Y27" s="22">
        <f>+Y13/U13-1</f>
        <v>-0.14530790815944317</v>
      </c>
      <c r="Z27" s="22">
        <f>+Z13/V13-1</f>
        <v>-0.4950102892376852</v>
      </c>
      <c r="BD27" s="22"/>
    </row>
    <row r="28" spans="2:56" x14ac:dyDescent="0.25">
      <c r="B28" s="2" t="s">
        <v>173</v>
      </c>
      <c r="R28" s="22">
        <f t="shared" ref="R28:V28" si="70">+R15/R13</f>
        <v>0.88866402373097508</v>
      </c>
      <c r="S28" s="22">
        <f t="shared" si="70"/>
        <v>0.87771849544337588</v>
      </c>
      <c r="T28" s="22">
        <f t="shared" si="70"/>
        <v>0.87726317123640574</v>
      </c>
      <c r="U28" s="22">
        <f t="shared" si="70"/>
        <v>0.80374399883561887</v>
      </c>
      <c r="V28" s="22">
        <f t="shared" si="70"/>
        <v>0.79906903281165764</v>
      </c>
      <c r="W28" s="22">
        <f>+W15/W13</f>
        <v>0.81543283337783246</v>
      </c>
      <c r="X28" s="22">
        <f>+X15/X13</f>
        <v>0.75035142065584337</v>
      </c>
      <c r="Y28" s="22">
        <f>+Y15/Y13</f>
        <v>0.62241399603819558</v>
      </c>
      <c r="Z28" s="22">
        <f>+Z15/Z13</f>
        <v>0.82</v>
      </c>
      <c r="AO28" s="22">
        <f t="shared" ref="AO28" si="71">+AO15/AO13</f>
        <v>0.86868184851459884</v>
      </c>
      <c r="AP28" s="22">
        <f>+AP15/AP13</f>
        <v>0.821536191746009</v>
      </c>
      <c r="BC28" t="s">
        <v>250</v>
      </c>
      <c r="BD28" s="2">
        <f>NPV(BD26,AR23:BA23)+Main!L5-Main!L6</f>
        <v>2518.8232204119381</v>
      </c>
    </row>
    <row r="29" spans="2:56" x14ac:dyDescent="0.25">
      <c r="AP29" s="22">
        <f>+AP13/AO13-1</f>
        <v>0.56176913482333446</v>
      </c>
      <c r="AQ29" s="22">
        <f>+AQ13/AP13-1</f>
        <v>5.755489834633698E-3</v>
      </c>
      <c r="BD29" s="1">
        <f>+BD28/Main!L3</f>
        <v>25.967249694968434</v>
      </c>
    </row>
    <row r="31" spans="2:56" x14ac:dyDescent="0.25">
      <c r="B31" s="2" t="s">
        <v>157</v>
      </c>
      <c r="W31" s="2">
        <f>+W32-W50</f>
        <v>-352.03200000000004</v>
      </c>
      <c r="X31" s="2">
        <f>+X32-X50</f>
        <v>0</v>
      </c>
      <c r="Y31" s="2">
        <f>+Y32-Y50</f>
        <v>-183.15300000000002</v>
      </c>
    </row>
    <row r="32" spans="2:56" x14ac:dyDescent="0.25">
      <c r="B32" s="2" t="s">
        <v>3</v>
      </c>
      <c r="W32" s="2">
        <f>240.867+281.895+154.37+109.125</f>
        <v>786.25699999999995</v>
      </c>
      <c r="Y32" s="2">
        <f>613.077+237.916+1</f>
        <v>851.99299999999994</v>
      </c>
    </row>
    <row r="33" spans="2:25" x14ac:dyDescent="0.25">
      <c r="B33" s="2" t="s">
        <v>139</v>
      </c>
      <c r="W33" s="2">
        <v>659.37099999999998</v>
      </c>
      <c r="Y33" s="2">
        <v>395.73899999999998</v>
      </c>
    </row>
    <row r="34" spans="2:25" x14ac:dyDescent="0.25">
      <c r="B34" s="2" t="s">
        <v>140</v>
      </c>
      <c r="W34" s="2">
        <v>941.43200000000002</v>
      </c>
      <c r="Y34" s="2">
        <f>1077.166</f>
        <v>1077.1659999999999</v>
      </c>
    </row>
    <row r="35" spans="2:25" x14ac:dyDescent="0.25">
      <c r="B35" s="2" t="s">
        <v>141</v>
      </c>
      <c r="W35" s="2">
        <v>203.49</v>
      </c>
      <c r="Y35" s="2">
        <v>206.06200000000001</v>
      </c>
    </row>
    <row r="36" spans="2:25" x14ac:dyDescent="0.25">
      <c r="B36" s="2" t="s">
        <v>142</v>
      </c>
      <c r="W36" s="2">
        <v>105.47799999999999</v>
      </c>
      <c r="Y36" s="2">
        <v>192.34899999999999</v>
      </c>
    </row>
    <row r="37" spans="2:25" x14ac:dyDescent="0.25">
      <c r="B37" s="2" t="s">
        <v>143</v>
      </c>
      <c r="W37" s="2">
        <v>360.58699999999999</v>
      </c>
      <c r="Y37" s="2">
        <v>358.93599999999998</v>
      </c>
    </row>
    <row r="38" spans="2:25" x14ac:dyDescent="0.25">
      <c r="B38" s="2" t="s">
        <v>144</v>
      </c>
      <c r="W38" s="2">
        <v>147.06299999999999</v>
      </c>
      <c r="Y38" s="2">
        <v>139.167</v>
      </c>
    </row>
    <row r="39" spans="2:25" x14ac:dyDescent="0.25">
      <c r="B39" s="2" t="s">
        <v>145</v>
      </c>
      <c r="W39" s="2">
        <v>181.15799999999999</v>
      </c>
      <c r="Y39" s="2">
        <v>198.601</v>
      </c>
    </row>
    <row r="40" spans="2:25" x14ac:dyDescent="0.25">
      <c r="B40" s="2" t="s">
        <v>146</v>
      </c>
      <c r="W40" s="2">
        <v>80.551000000000002</v>
      </c>
      <c r="Y40" s="2">
        <v>73.384</v>
      </c>
    </row>
    <row r="41" spans="2:25" x14ac:dyDescent="0.25">
      <c r="B41" s="2" t="s">
        <v>147</v>
      </c>
      <c r="W41" s="2">
        <f>SUM(W32:W40)</f>
        <v>3465.3870000000002</v>
      </c>
      <c r="X41" s="2">
        <f>SUM(X32:X40)</f>
        <v>0</v>
      </c>
      <c r="Y41" s="2">
        <f>SUM(Y32:Y40)</f>
        <v>3493.3970000000004</v>
      </c>
    </row>
    <row r="43" spans="2:25" x14ac:dyDescent="0.25">
      <c r="B43" s="2" t="s">
        <v>150</v>
      </c>
      <c r="W43" s="2">
        <v>156.10499999999999</v>
      </c>
      <c r="Y43" s="2">
        <v>94.015000000000001</v>
      </c>
    </row>
    <row r="44" spans="2:25" x14ac:dyDescent="0.25">
      <c r="B44" s="2" t="s">
        <v>151</v>
      </c>
      <c r="W44" s="2">
        <v>391.65</v>
      </c>
      <c r="Y44" s="2">
        <v>295.79300000000001</v>
      </c>
    </row>
    <row r="45" spans="2:25" x14ac:dyDescent="0.25">
      <c r="B45" s="2" t="s">
        <v>152</v>
      </c>
      <c r="W45" s="2">
        <f>44.859+325</f>
        <v>369.85899999999998</v>
      </c>
      <c r="Y45" s="2">
        <v>485.44900000000001</v>
      </c>
    </row>
    <row r="46" spans="2:25" x14ac:dyDescent="0.25">
      <c r="B46" s="2" t="s">
        <v>153</v>
      </c>
      <c r="W46" s="2">
        <v>12.974</v>
      </c>
      <c r="Y46" s="2">
        <v>10.167999999999999</v>
      </c>
    </row>
    <row r="47" spans="2:25" x14ac:dyDescent="0.25">
      <c r="B47" s="2" t="s">
        <v>154</v>
      </c>
      <c r="W47" s="2">
        <v>205.46</v>
      </c>
      <c r="Y47" s="2">
        <v>215.042</v>
      </c>
    </row>
    <row r="48" spans="2:25" x14ac:dyDescent="0.25">
      <c r="B48" s="2" t="s">
        <v>155</v>
      </c>
      <c r="W48" s="2">
        <v>47.4</v>
      </c>
      <c r="Y48" s="2">
        <f>36+0.3</f>
        <v>36.299999999999997</v>
      </c>
    </row>
    <row r="49" spans="2:25" x14ac:dyDescent="0.25">
      <c r="B49" s="2" t="s">
        <v>156</v>
      </c>
      <c r="W49" s="2">
        <v>0.92700000000000005</v>
      </c>
      <c r="Y49" s="2">
        <v>1.4039999999999999</v>
      </c>
    </row>
    <row r="50" spans="2:25" x14ac:dyDescent="0.25">
      <c r="B50" t="s">
        <v>4</v>
      </c>
      <c r="W50" s="2">
        <v>1138.289</v>
      </c>
      <c r="Y50" s="2">
        <v>1035.146</v>
      </c>
    </row>
    <row r="51" spans="2:25" x14ac:dyDescent="0.25">
      <c r="B51" t="s">
        <v>149</v>
      </c>
      <c r="W51" s="2">
        <v>1142.723</v>
      </c>
      <c r="Y51">
        <v>1320.12</v>
      </c>
    </row>
    <row r="52" spans="2:25" x14ac:dyDescent="0.25">
      <c r="B52" t="s">
        <v>148</v>
      </c>
      <c r="W52" s="2">
        <f>SUM(W43:W51)</f>
        <v>3465.3869999999997</v>
      </c>
      <c r="X52" s="2">
        <f>SUM(X43:X51)</f>
        <v>0</v>
      </c>
      <c r="Y52" s="2">
        <f>SUM(Y43:Y51)</f>
        <v>3493.4369999999999</v>
      </c>
    </row>
    <row r="54" spans="2:25" x14ac:dyDescent="0.25">
      <c r="B54" t="s">
        <v>227</v>
      </c>
      <c r="W54" s="2">
        <f>+W23</f>
        <v>224.98599999999999</v>
      </c>
      <c r="X54" s="2">
        <f>+X23</f>
        <v>154.30500000000004</v>
      </c>
      <c r="Y54" s="2">
        <f>+Y23</f>
        <v>-62.245000000000033</v>
      </c>
    </row>
    <row r="55" spans="2:25" x14ac:dyDescent="0.25">
      <c r="B55" t="s">
        <v>228</v>
      </c>
      <c r="W55" s="2">
        <v>-447.50799999999998</v>
      </c>
      <c r="X55" s="2">
        <f>-250.616-W55</f>
        <v>196.89199999999997</v>
      </c>
    </row>
    <row r="56" spans="2:25" x14ac:dyDescent="0.25">
      <c r="B56" t="s">
        <v>231</v>
      </c>
      <c r="W56" s="2">
        <v>90.727999999999994</v>
      </c>
      <c r="X56" s="2">
        <f>54.007-W56</f>
        <v>-36.720999999999997</v>
      </c>
    </row>
    <row r="57" spans="2:25" x14ac:dyDescent="0.25">
      <c r="B57" t="s">
        <v>235</v>
      </c>
      <c r="W57" s="2">
        <v>41.427999999999997</v>
      </c>
      <c r="X57" s="2">
        <f>78.453-W57</f>
        <v>37.025000000000006</v>
      </c>
    </row>
    <row r="58" spans="2:25" x14ac:dyDescent="0.25">
      <c r="B58" t="s">
        <v>232</v>
      </c>
      <c r="W58" s="2">
        <v>9.9779999999999998</v>
      </c>
      <c r="X58" s="2">
        <f>20.818-W58</f>
        <v>10.840000000000002</v>
      </c>
    </row>
    <row r="59" spans="2:25" x14ac:dyDescent="0.25">
      <c r="B59" t="s">
        <v>144</v>
      </c>
      <c r="W59" s="2">
        <v>3.9340000000000002</v>
      </c>
      <c r="X59" s="2">
        <f>7.956-W59</f>
        <v>4.0220000000000002</v>
      </c>
    </row>
    <row r="60" spans="2:25" x14ac:dyDescent="0.25">
      <c r="B60" t="s">
        <v>233</v>
      </c>
      <c r="W60" s="2">
        <v>-1.9119999999999999</v>
      </c>
      <c r="X60" s="2">
        <f>-3.778-W60</f>
        <v>-1.8660000000000001</v>
      </c>
    </row>
    <row r="61" spans="2:25" x14ac:dyDescent="0.25">
      <c r="B61" t="s">
        <v>234</v>
      </c>
      <c r="W61" s="2">
        <v>1.6919999999999999</v>
      </c>
      <c r="X61" s="2">
        <f>3.303-W61</f>
        <v>1.611</v>
      </c>
    </row>
    <row r="62" spans="2:25" x14ac:dyDescent="0.25">
      <c r="B62" t="s">
        <v>230</v>
      </c>
      <c r="W62" s="2">
        <f>-57.383+71.136-177.359-15.067-85.397-17.707</f>
        <v>-281.77700000000004</v>
      </c>
      <c r="X62" s="2">
        <f>74.693+68.869-236.548-37.258-59.825-42.174-W62</f>
        <v>49.53400000000002</v>
      </c>
    </row>
    <row r="63" spans="2:25" x14ac:dyDescent="0.25">
      <c r="B63" t="s">
        <v>229</v>
      </c>
      <c r="W63" s="2">
        <f>SUM(W55:W62)</f>
        <v>-583.4369999999999</v>
      </c>
      <c r="X63" s="2">
        <f>SUM(X55:X62)</f>
        <v>261.33699999999999</v>
      </c>
    </row>
    <row r="65" spans="2:24" s="2" customFormat="1" x14ac:dyDescent="0.25">
      <c r="B65" s="2" t="s">
        <v>238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W65" s="2">
        <v>-43.651000000000003</v>
      </c>
      <c r="X65" s="2">
        <f>-75.447-W65</f>
        <v>-31.795999999999999</v>
      </c>
    </row>
    <row r="66" spans="2:24" s="2" customFormat="1" x14ac:dyDescent="0.25">
      <c r="B66" s="2" t="s">
        <v>239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W66" s="2">
        <f>-44.658+40.758</f>
        <v>-3.8999999999999986</v>
      </c>
      <c r="X66" s="2">
        <f>-44.658+109.384-W66</f>
        <v>68.626000000000005</v>
      </c>
    </row>
    <row r="67" spans="2:24" s="2" customFormat="1" x14ac:dyDescent="0.25">
      <c r="B67" s="2" t="s">
        <v>240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W67" s="2">
        <v>-2.238</v>
      </c>
      <c r="X67" s="2">
        <f>-2.426-W67</f>
        <v>-0.18800000000000017</v>
      </c>
    </row>
    <row r="68" spans="2:24" s="2" customFormat="1" x14ac:dyDescent="0.25">
      <c r="B68" s="2" t="s">
        <v>237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W68" s="2">
        <v>-241.38800000000001</v>
      </c>
      <c r="X68" s="2">
        <f>-245.819-W68</f>
        <v>-4.4309999999999832</v>
      </c>
    </row>
    <row r="69" spans="2:24" s="2" customFormat="1" x14ac:dyDescent="0.25">
      <c r="B69" s="2" t="s">
        <v>236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W69" s="2">
        <f>SUM(W65:W68)</f>
        <v>-291.17700000000002</v>
      </c>
      <c r="X69" s="2">
        <f>SUM(X65:X68)</f>
        <v>32.21100000000002</v>
      </c>
    </row>
    <row r="71" spans="2:24" s="2" customFormat="1" x14ac:dyDescent="0.25">
      <c r="B71" s="2" t="s">
        <v>243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W71" s="2">
        <v>15.680999999999999</v>
      </c>
      <c r="X71" s="2">
        <f>17.181-W71</f>
        <v>1.5000000000000018</v>
      </c>
    </row>
    <row r="72" spans="2:24" s="2" customFormat="1" x14ac:dyDescent="0.25">
      <c r="B72" s="2" t="s">
        <v>253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W72" s="2">
        <v>0</v>
      </c>
      <c r="X72" s="2">
        <f>-25.013-W72</f>
        <v>-25.013000000000002</v>
      </c>
    </row>
    <row r="73" spans="2:24" s="2" customFormat="1" x14ac:dyDescent="0.25">
      <c r="B73" s="2" t="s">
        <v>244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W73" s="2">
        <v>-3.21</v>
      </c>
      <c r="X73" s="2">
        <f>-3.514-W73</f>
        <v>-0.30399999999999983</v>
      </c>
    </row>
    <row r="74" spans="2:24" s="2" customFormat="1" x14ac:dyDescent="0.25">
      <c r="B74" s="2" t="s">
        <v>242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W74" s="2">
        <f>SUM(W71:W73)</f>
        <v>12.471</v>
      </c>
      <c r="X74" s="2">
        <f>SUM(X71:X73)</f>
        <v>-23.816999999999997</v>
      </c>
    </row>
    <row r="75" spans="2:24" s="2" customFormat="1" x14ac:dyDescent="0.25">
      <c r="B75" s="2" t="s">
        <v>241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W75" s="2">
        <f>+W74+W69+W63</f>
        <v>-862.14299999999992</v>
      </c>
      <c r="X75" s="2">
        <f>+X74+X69+X63</f>
        <v>269.73099999999999</v>
      </c>
    </row>
  </sheetData>
  <hyperlinks>
    <hyperlink ref="A1" location="Main!A1" display="Main" xr:uid="{618990CD-8051-4997-8A20-CDF52FC6BCF8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639E-CBDB-4748-8633-80F51352A0B3}">
  <dimension ref="A1:G84"/>
  <sheetViews>
    <sheetView zoomScale="115" zoomScaleNormal="115" workbookViewId="0">
      <selection activeCell="C10" sqref="C10"/>
    </sheetView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70</v>
      </c>
    </row>
    <row r="3" spans="1:3" x14ac:dyDescent="0.25">
      <c r="B3" t="s">
        <v>64</v>
      </c>
      <c r="C3" t="s">
        <v>68</v>
      </c>
    </row>
    <row r="4" spans="1:3" x14ac:dyDescent="0.25">
      <c r="B4" t="s">
        <v>39</v>
      </c>
      <c r="C4" t="s">
        <v>82</v>
      </c>
    </row>
    <row r="5" spans="1:3" x14ac:dyDescent="0.25">
      <c r="B5" t="s">
        <v>66</v>
      </c>
      <c r="C5" t="s">
        <v>71</v>
      </c>
    </row>
    <row r="6" spans="1:3" x14ac:dyDescent="0.25">
      <c r="B6" t="s">
        <v>69</v>
      </c>
      <c r="C6" t="s">
        <v>81</v>
      </c>
    </row>
    <row r="7" spans="1:3" x14ac:dyDescent="0.25">
      <c r="C7" t="s">
        <v>80</v>
      </c>
    </row>
    <row r="8" spans="1:3" x14ac:dyDescent="0.25">
      <c r="C8" t="s">
        <v>167</v>
      </c>
    </row>
    <row r="9" spans="1:3" x14ac:dyDescent="0.25">
      <c r="B9" t="s">
        <v>0</v>
      </c>
      <c r="C9" t="s">
        <v>74</v>
      </c>
    </row>
    <row r="10" spans="1:3" x14ac:dyDescent="0.25">
      <c r="B10" t="s">
        <v>179</v>
      </c>
      <c r="C10" t="s">
        <v>180</v>
      </c>
    </row>
    <row r="11" spans="1:3" x14ac:dyDescent="0.25">
      <c r="C11" t="s">
        <v>191</v>
      </c>
    </row>
    <row r="12" spans="1:3" x14ac:dyDescent="0.25">
      <c r="C12" t="s">
        <v>192</v>
      </c>
    </row>
    <row r="13" spans="1:3" x14ac:dyDescent="0.25">
      <c r="C13" t="s">
        <v>194</v>
      </c>
    </row>
    <row r="14" spans="1:3" x14ac:dyDescent="0.25">
      <c r="B14" t="s">
        <v>174</v>
      </c>
      <c r="C14" t="s">
        <v>175</v>
      </c>
    </row>
    <row r="15" spans="1:3" x14ac:dyDescent="0.25">
      <c r="B15" t="s">
        <v>141</v>
      </c>
      <c r="C15" t="s">
        <v>193</v>
      </c>
    </row>
    <row r="16" spans="1:3" x14ac:dyDescent="0.25">
      <c r="B16" t="s">
        <v>65</v>
      </c>
    </row>
    <row r="17" spans="3:7" ht="13" x14ac:dyDescent="0.3">
      <c r="C17" s="19" t="s">
        <v>184</v>
      </c>
    </row>
    <row r="18" spans="3:7" x14ac:dyDescent="0.25">
      <c r="C18" t="s">
        <v>216</v>
      </c>
    </row>
    <row r="19" spans="3:7" x14ac:dyDescent="0.25">
      <c r="C19" t="s">
        <v>217</v>
      </c>
    </row>
    <row r="21" spans="3:7" ht="13" x14ac:dyDescent="0.3">
      <c r="C21" s="19" t="s">
        <v>182</v>
      </c>
    </row>
    <row r="22" spans="3:7" x14ac:dyDescent="0.25">
      <c r="C22" t="s">
        <v>181</v>
      </c>
    </row>
    <row r="24" spans="3:7" ht="13" x14ac:dyDescent="0.3">
      <c r="C24" s="19" t="s">
        <v>183</v>
      </c>
    </row>
    <row r="25" spans="3:7" x14ac:dyDescent="0.25">
      <c r="C25" t="s">
        <v>83</v>
      </c>
    </row>
    <row r="26" spans="3:7" ht="13" x14ac:dyDescent="0.3">
      <c r="C26" s="21" t="s">
        <v>100</v>
      </c>
      <c r="D26" s="21"/>
    </row>
    <row r="27" spans="3:7" ht="13" x14ac:dyDescent="0.3">
      <c r="C27" s="21"/>
      <c r="D27" s="21" t="s">
        <v>96</v>
      </c>
      <c r="G27" t="s">
        <v>101</v>
      </c>
    </row>
    <row r="28" spans="3:7" ht="13" x14ac:dyDescent="0.3">
      <c r="C28" s="21"/>
      <c r="D28" s="21" t="s">
        <v>97</v>
      </c>
    </row>
    <row r="29" spans="3:7" ht="13" x14ac:dyDescent="0.3">
      <c r="C29" s="21"/>
      <c r="D29" s="21" t="s">
        <v>98</v>
      </c>
    </row>
    <row r="30" spans="3:7" ht="13" x14ac:dyDescent="0.3">
      <c r="C30" s="21"/>
      <c r="D30" s="21" t="s">
        <v>99</v>
      </c>
    </row>
    <row r="31" spans="3:7" x14ac:dyDescent="0.25">
      <c r="C31" t="s">
        <v>84</v>
      </c>
    </row>
    <row r="32" spans="3:7" x14ac:dyDescent="0.25">
      <c r="C32" t="s">
        <v>94</v>
      </c>
    </row>
    <row r="35" spans="3:3" ht="13" x14ac:dyDescent="0.3">
      <c r="C35" s="19" t="s">
        <v>163</v>
      </c>
    </row>
    <row r="36" spans="3:3" x14ac:dyDescent="0.25">
      <c r="C36" t="s">
        <v>164</v>
      </c>
    </row>
    <row r="37" spans="3:3" x14ac:dyDescent="0.25">
      <c r="C37" t="s">
        <v>95</v>
      </c>
    </row>
    <row r="39" spans="3:3" x14ac:dyDescent="0.25">
      <c r="C39" t="s">
        <v>85</v>
      </c>
    </row>
    <row r="40" spans="3:3" x14ac:dyDescent="0.25">
      <c r="C40" t="s">
        <v>86</v>
      </c>
    </row>
    <row r="41" spans="3:3" x14ac:dyDescent="0.25">
      <c r="C41" t="s">
        <v>87</v>
      </c>
    </row>
    <row r="42" spans="3:3" x14ac:dyDescent="0.25">
      <c r="C42" t="s">
        <v>88</v>
      </c>
    </row>
    <row r="44" spans="3:3" x14ac:dyDescent="0.25">
      <c r="C44" t="s">
        <v>89</v>
      </c>
    </row>
    <row r="45" spans="3:3" x14ac:dyDescent="0.25">
      <c r="C45" t="s">
        <v>90</v>
      </c>
    </row>
    <row r="46" spans="3:3" x14ac:dyDescent="0.25">
      <c r="C46" t="s">
        <v>91</v>
      </c>
    </row>
    <row r="49" spans="3:4" x14ac:dyDescent="0.25">
      <c r="C49" t="s">
        <v>165</v>
      </c>
    </row>
    <row r="50" spans="3:4" x14ac:dyDescent="0.25">
      <c r="C50" t="s">
        <v>166</v>
      </c>
    </row>
    <row r="52" spans="3:4" x14ac:dyDescent="0.25">
      <c r="C52" t="s">
        <v>161</v>
      </c>
    </row>
    <row r="53" spans="3:4" x14ac:dyDescent="0.25">
      <c r="C53" t="s">
        <v>159</v>
      </c>
    </row>
    <row r="54" spans="3:4" x14ac:dyDescent="0.25">
      <c r="C54" t="s">
        <v>160</v>
      </c>
    </row>
    <row r="55" spans="3:4" x14ac:dyDescent="0.25">
      <c r="C55" t="s">
        <v>162</v>
      </c>
    </row>
    <row r="60" spans="3:4" ht="13" x14ac:dyDescent="0.3">
      <c r="C60" s="19" t="s">
        <v>202</v>
      </c>
    </row>
    <row r="61" spans="3:4" x14ac:dyDescent="0.25">
      <c r="C61" t="s">
        <v>72</v>
      </c>
    </row>
    <row r="62" spans="3:4" x14ac:dyDescent="0.25">
      <c r="C62" t="s">
        <v>73</v>
      </c>
    </row>
    <row r="63" spans="3:4" x14ac:dyDescent="0.25">
      <c r="C63" t="s">
        <v>75</v>
      </c>
    </row>
    <row r="64" spans="3:4" x14ac:dyDescent="0.25">
      <c r="D64" t="s">
        <v>78</v>
      </c>
    </row>
    <row r="65" spans="3:5" x14ac:dyDescent="0.25">
      <c r="E65" t="s">
        <v>76</v>
      </c>
    </row>
    <row r="66" spans="3:5" x14ac:dyDescent="0.25">
      <c r="E66" t="s">
        <v>77</v>
      </c>
    </row>
    <row r="67" spans="3:5" x14ac:dyDescent="0.25">
      <c r="E67" t="s">
        <v>79</v>
      </c>
    </row>
    <row r="72" spans="3:5" ht="13" x14ac:dyDescent="0.3">
      <c r="C72" s="19" t="s">
        <v>185</v>
      </c>
    </row>
    <row r="73" spans="3:5" x14ac:dyDescent="0.25">
      <c r="C73" t="s">
        <v>218</v>
      </c>
    </row>
    <row r="75" spans="3:5" ht="13" x14ac:dyDescent="0.3">
      <c r="C75" s="19" t="s">
        <v>186</v>
      </c>
    </row>
    <row r="78" spans="3:5" ht="13" x14ac:dyDescent="0.3">
      <c r="C78" s="19" t="s">
        <v>187</v>
      </c>
    </row>
    <row r="80" spans="3:5" ht="13" x14ac:dyDescent="0.3">
      <c r="C80" s="19" t="s">
        <v>188</v>
      </c>
    </row>
    <row r="82" spans="3:3" ht="13" x14ac:dyDescent="0.3">
      <c r="C82" s="19" t="s">
        <v>189</v>
      </c>
    </row>
    <row r="84" spans="3:3" ht="13" x14ac:dyDescent="0.3">
      <c r="C84" s="19" t="s">
        <v>190</v>
      </c>
    </row>
  </sheetData>
  <hyperlinks>
    <hyperlink ref="A1" location="Main!A1" display="Main" xr:uid="{1C56457E-1F94-450D-8D8D-8A3035D380A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355-A4E8-4692-9F08-C551F5D7422B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72656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67</v>
      </c>
    </row>
    <row r="3" spans="1:3" x14ac:dyDescent="0.25">
      <c r="B3" t="s">
        <v>64</v>
      </c>
    </row>
    <row r="4" spans="1:3" x14ac:dyDescent="0.25">
      <c r="B4" t="s">
        <v>39</v>
      </c>
      <c r="C4" t="s">
        <v>119</v>
      </c>
    </row>
    <row r="5" spans="1:3" x14ac:dyDescent="0.25">
      <c r="B5" t="s">
        <v>65</v>
      </c>
    </row>
    <row r="6" spans="1:3" ht="13" x14ac:dyDescent="0.3">
      <c r="C6" s="19" t="s">
        <v>208</v>
      </c>
    </row>
    <row r="7" spans="1:3" x14ac:dyDescent="0.25">
      <c r="C7" t="s">
        <v>207</v>
      </c>
    </row>
  </sheetData>
  <hyperlinks>
    <hyperlink ref="A1" location="Main!A1" display="Main" xr:uid="{143AB122-F26B-4524-90EE-60B00ABC4E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264D-F588-4609-B3DE-9BB79C9FF3F0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4531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120</v>
      </c>
    </row>
    <row r="3" spans="1:3" x14ac:dyDescent="0.25">
      <c r="B3" t="s">
        <v>64</v>
      </c>
    </row>
    <row r="4" spans="1:3" x14ac:dyDescent="0.25">
      <c r="B4" t="s">
        <v>39</v>
      </c>
      <c r="C4" t="s">
        <v>121</v>
      </c>
    </row>
    <row r="5" spans="1:3" x14ac:dyDescent="0.25">
      <c r="B5" t="s">
        <v>65</v>
      </c>
    </row>
    <row r="6" spans="1:3" ht="13" x14ac:dyDescent="0.3">
      <c r="C6" s="19" t="s">
        <v>206</v>
      </c>
    </row>
    <row r="7" spans="1:3" x14ac:dyDescent="0.25">
      <c r="C7" t="s">
        <v>205</v>
      </c>
    </row>
  </sheetData>
  <hyperlinks>
    <hyperlink ref="A1" location="Main!A1" display="Main" xr:uid="{A60B4CF3-D6CD-41A7-976E-1FBB60B0AB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78EA-7047-443C-B9A7-C709D7933817}">
  <dimension ref="A1:G29"/>
  <sheetViews>
    <sheetView zoomScaleNormal="100" workbookViewId="0"/>
  </sheetViews>
  <sheetFormatPr defaultRowHeight="12.5" x14ac:dyDescent="0.25"/>
  <cols>
    <col min="1" max="1" width="4.54296875" style="4" bestFit="1" customWidth="1"/>
    <col min="2" max="2" width="11.54296875" bestFit="1" customWidth="1"/>
    <col min="3" max="3" width="16.26953125" customWidth="1"/>
  </cols>
  <sheetData>
    <row r="1" spans="1:7" x14ac:dyDescent="0.25">
      <c r="A1" s="4" t="s">
        <v>7</v>
      </c>
    </row>
    <row r="2" spans="1:7" x14ac:dyDescent="0.25">
      <c r="B2" t="s">
        <v>33</v>
      </c>
      <c r="C2" t="s">
        <v>38</v>
      </c>
    </row>
    <row r="3" spans="1:7" x14ac:dyDescent="0.25">
      <c r="B3" t="s">
        <v>64</v>
      </c>
      <c r="C3" t="s">
        <v>123</v>
      </c>
    </row>
    <row r="4" spans="1:7" x14ac:dyDescent="0.25">
      <c r="B4" t="s">
        <v>39</v>
      </c>
      <c r="C4" t="s">
        <v>122</v>
      </c>
    </row>
    <row r="5" spans="1:7" x14ac:dyDescent="0.25">
      <c r="B5" t="s">
        <v>179</v>
      </c>
      <c r="C5" t="s">
        <v>201</v>
      </c>
    </row>
    <row r="6" spans="1:7" x14ac:dyDescent="0.25">
      <c r="B6" t="s">
        <v>69</v>
      </c>
      <c r="C6" t="s">
        <v>226</v>
      </c>
    </row>
    <row r="7" spans="1:7" x14ac:dyDescent="0.25">
      <c r="B7" t="s">
        <v>65</v>
      </c>
    </row>
    <row r="8" spans="1:7" ht="13" x14ac:dyDescent="0.3">
      <c r="C8" s="19" t="s">
        <v>204</v>
      </c>
    </row>
    <row r="9" spans="1:7" x14ac:dyDescent="0.25">
      <c r="C9" t="s">
        <v>203</v>
      </c>
    </row>
    <row r="10" spans="1:7" x14ac:dyDescent="0.25">
      <c r="C10" t="s">
        <v>124</v>
      </c>
    </row>
    <row r="11" spans="1:7" x14ac:dyDescent="0.25">
      <c r="C11" t="s">
        <v>125</v>
      </c>
    </row>
    <row r="13" spans="1:7" x14ac:dyDescent="0.25">
      <c r="C13" t="s">
        <v>137</v>
      </c>
      <c r="D13" t="s">
        <v>126</v>
      </c>
      <c r="E13" t="s">
        <v>134</v>
      </c>
      <c r="F13" t="s">
        <v>127</v>
      </c>
      <c r="G13" s="1" t="s">
        <v>135</v>
      </c>
    </row>
    <row r="14" spans="1:7" x14ac:dyDescent="0.25">
      <c r="C14" t="s">
        <v>128</v>
      </c>
      <c r="D14" s="22">
        <v>0</v>
      </c>
      <c r="E14" s="22">
        <v>8.8999999999999996E-2</v>
      </c>
      <c r="F14" s="22">
        <v>7.3999999999999996E-2</v>
      </c>
      <c r="G14" s="1">
        <v>0</v>
      </c>
    </row>
    <row r="15" spans="1:7" x14ac:dyDescent="0.25">
      <c r="C15" t="s">
        <v>129</v>
      </c>
      <c r="D15" s="22">
        <v>0</v>
      </c>
      <c r="E15" s="22">
        <v>8.5000000000000006E-2</v>
      </c>
      <c r="F15" s="22">
        <v>4.7E-2</v>
      </c>
      <c r="G15" s="1">
        <v>0</v>
      </c>
    </row>
    <row r="16" spans="1:7" x14ac:dyDescent="0.25">
      <c r="C16" t="s">
        <v>130</v>
      </c>
      <c r="D16" s="22">
        <v>0.36199999999999999</v>
      </c>
      <c r="E16" s="22">
        <v>0.51</v>
      </c>
      <c r="F16" s="22">
        <v>0.47399999999999998</v>
      </c>
      <c r="G16" s="1">
        <v>0.6</v>
      </c>
    </row>
    <row r="17" spans="3:7" x14ac:dyDescent="0.25">
      <c r="C17" t="s">
        <v>131</v>
      </c>
      <c r="D17" s="22">
        <v>0.34699999999999998</v>
      </c>
      <c r="E17" s="22">
        <v>0.48899999999999999</v>
      </c>
      <c r="F17" s="22">
        <v>0.47399999999999998</v>
      </c>
      <c r="G17" s="1">
        <v>0.4</v>
      </c>
    </row>
    <row r="18" spans="3:7" x14ac:dyDescent="0.25">
      <c r="C18" t="s">
        <v>132</v>
      </c>
      <c r="D18" s="22">
        <v>0.54</v>
      </c>
      <c r="E18" s="22">
        <v>0.46800000000000003</v>
      </c>
      <c r="F18" s="22">
        <v>0.35099999999999998</v>
      </c>
      <c r="G18" s="1">
        <v>0.1</v>
      </c>
    </row>
    <row r="19" spans="3:7" x14ac:dyDescent="0.25">
      <c r="C19" t="s">
        <v>133</v>
      </c>
      <c r="D19" s="22">
        <v>0.56200000000000006</v>
      </c>
      <c r="E19" s="22">
        <v>0.58599999999999997</v>
      </c>
      <c r="F19" s="22">
        <v>0.45900000000000002</v>
      </c>
      <c r="G19" s="1">
        <v>0.1</v>
      </c>
    </row>
    <row r="20" spans="3:7" x14ac:dyDescent="0.25">
      <c r="C20" t="s">
        <v>136</v>
      </c>
      <c r="D20" s="22"/>
      <c r="E20" s="22"/>
      <c r="F20" s="22"/>
    </row>
    <row r="21" spans="3:7" x14ac:dyDescent="0.25">
      <c r="C21" t="s">
        <v>128</v>
      </c>
      <c r="D21" s="22">
        <v>0.33100000000000002</v>
      </c>
      <c r="E21" s="22">
        <v>5.8999999999999997E-2</v>
      </c>
      <c r="F21" s="22">
        <v>4.5999999999999999E-2</v>
      </c>
      <c r="G21" s="1">
        <v>0</v>
      </c>
    </row>
    <row r="22" spans="3:7" x14ac:dyDescent="0.25">
      <c r="C22" t="s">
        <v>129</v>
      </c>
      <c r="D22" s="22">
        <v>0.35</v>
      </c>
      <c r="E22" s="22">
        <v>0.05</v>
      </c>
      <c r="F22" s="22">
        <v>2.5000000000000001E-2</v>
      </c>
      <c r="G22" s="1">
        <v>0</v>
      </c>
    </row>
    <row r="23" spans="3:7" x14ac:dyDescent="0.25">
      <c r="C23" t="s">
        <v>130</v>
      </c>
      <c r="D23" s="22">
        <v>0.621</v>
      </c>
      <c r="E23" s="22">
        <v>0.72299999999999998</v>
      </c>
      <c r="F23" s="22">
        <v>0.73099999999999998</v>
      </c>
      <c r="G23" s="1">
        <v>0.6</v>
      </c>
    </row>
    <row r="24" spans="3:7" x14ac:dyDescent="0.25">
      <c r="C24" t="s">
        <v>131</v>
      </c>
      <c r="D24" s="22">
        <v>0.63100000000000001</v>
      </c>
      <c r="E24" s="22">
        <v>0.748</v>
      </c>
      <c r="F24" s="22">
        <v>0.67100000000000004</v>
      </c>
      <c r="G24" s="1">
        <v>0.4</v>
      </c>
    </row>
    <row r="25" spans="3:7" x14ac:dyDescent="0.25">
      <c r="C25" t="s">
        <v>132</v>
      </c>
      <c r="D25" s="22">
        <v>0.60299999999999998</v>
      </c>
      <c r="E25" s="22">
        <v>0.63100000000000001</v>
      </c>
      <c r="F25" s="22">
        <v>0.435</v>
      </c>
      <c r="G25" s="1">
        <v>0.1</v>
      </c>
    </row>
    <row r="26" spans="3:7" x14ac:dyDescent="0.25">
      <c r="C26" t="s">
        <v>133</v>
      </c>
      <c r="D26" s="22">
        <v>0.60299999999999998</v>
      </c>
      <c r="E26" s="22">
        <v>0.63100000000000001</v>
      </c>
      <c r="F26" s="22">
        <v>0.435</v>
      </c>
      <c r="G26" s="1">
        <v>0.1</v>
      </c>
    </row>
    <row r="29" spans="3:7" ht="13" x14ac:dyDescent="0.3">
      <c r="C29" s="19" t="s">
        <v>225</v>
      </c>
    </row>
  </sheetData>
  <hyperlinks>
    <hyperlink ref="A1:A1048576" location="Main!A1" display="Main" xr:uid="{66362D9A-DD44-4F57-9878-9BFF27D129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Elevidys</vt:lpstr>
      <vt:lpstr>SRP-9005</vt:lpstr>
      <vt:lpstr>SRP-9004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2023-02-04T19:19:41Z</dcterms:created>
  <dcterms:modified xsi:type="dcterms:W3CDTF">2025-11-03T22:11:15Z</dcterms:modified>
</cp:coreProperties>
</file>