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852" documentId="8_{F910275D-011D-4B9B-94BD-9ED687CDE8E9}" xr6:coauthVersionLast="47" xr6:coauthVersionMax="47" xr10:uidLastSave="{3DDD4B1B-284C-4369-A42C-E4C7F96DFF85}"/>
  <bookViews>
    <workbookView xWindow="2835" yWindow="1605" windowWidth="22560" windowHeight="13920" firstSheet="1" activeTab="2" xr2:uid="{E69C05BD-5864-2041-BCC3-203BAAF63D0E}"/>
  </bookViews>
  <sheets>
    <sheet name="Foundation" sheetId="6" r:id="rId1"/>
    <sheet name="UG Map L4-L6" sheetId="1" r:id="rId2"/>
    <sheet name="PG Delivery &amp; Map (15 Credits)" sheetId="5" r:id="rId3"/>
    <sheet name="UG Delivery" sheetId="13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-Sep-23" sheetId="16" r:id="rId12"/>
    <sheet name="COM616 - Oct 2023" sheetId="14" r:id="rId13"/>
    <sheet name="COM726-May-24" sheetId="18" r:id="rId14"/>
  </sheets>
  <definedNames>
    <definedName name="_xlnm._FilterDatabase" localSheetId="10" hidden="1">'COM726 - May 23'!$C$1:$C$63</definedName>
    <definedName name="_xlnm._FilterDatabase" localSheetId="2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" l="1"/>
  <c r="H18" i="7"/>
  <c r="D4" i="15"/>
  <c r="G27" i="7"/>
  <c r="G26" i="7"/>
  <c r="G22" i="7"/>
  <c r="G7" i="7"/>
  <c r="G4" i="7"/>
  <c r="M10" i="18"/>
  <c r="M9" i="18"/>
  <c r="M8" i="18"/>
  <c r="M7" i="18"/>
  <c r="M6" i="18"/>
  <c r="M5" i="18"/>
  <c r="M4" i="18"/>
  <c r="M3" i="18"/>
  <c r="M18" i="18"/>
  <c r="M19" i="18"/>
  <c r="M20" i="18"/>
  <c r="M21" i="18"/>
  <c r="M22" i="18"/>
  <c r="M23" i="18"/>
  <c r="M24" i="18"/>
  <c r="M25" i="18"/>
  <c r="M17" i="18"/>
  <c r="M14" i="18"/>
  <c r="L14" i="18"/>
  <c r="M30" i="18"/>
  <c r="M26" i="18"/>
  <c r="N30" i="18" s="1"/>
  <c r="L26" i="18"/>
  <c r="L28" i="18" s="1"/>
  <c r="N25" i="18"/>
  <c r="N24" i="18"/>
  <c r="N23" i="18"/>
  <c r="N22" i="18"/>
  <c r="N21" i="18"/>
  <c r="N20" i="18"/>
  <c r="N19" i="18"/>
  <c r="N18" i="18"/>
  <c r="N17" i="18"/>
  <c r="N10" i="18"/>
  <c r="N9" i="18"/>
  <c r="N8" i="18"/>
  <c r="N7" i="18"/>
  <c r="N6" i="18"/>
  <c r="N5" i="18"/>
  <c r="N4" i="18"/>
  <c r="N3" i="18"/>
  <c r="E18" i="15"/>
  <c r="E7" i="15"/>
  <c r="N21" i="14"/>
  <c r="E25" i="15"/>
  <c r="E26" i="15"/>
  <c r="E27" i="15"/>
  <c r="E28" i="15"/>
  <c r="E29" i="15"/>
  <c r="E30" i="15"/>
  <c r="E31" i="15"/>
  <c r="M10" i="16"/>
  <c r="E21" i="15" s="1"/>
  <c r="M9" i="16"/>
  <c r="E19" i="15" s="1"/>
  <c r="M8" i="16"/>
  <c r="E2" i="15" s="1"/>
  <c r="M7" i="16"/>
  <c r="E17" i="15" s="1"/>
  <c r="M6" i="16"/>
  <c r="E10" i="15" s="1"/>
  <c r="M5" i="16"/>
  <c r="E8" i="15" s="1"/>
  <c r="M4" i="16"/>
  <c r="E20" i="15" s="1"/>
  <c r="M3" i="16"/>
  <c r="E6" i="15" s="1"/>
  <c r="N25" i="16"/>
  <c r="N24" i="16"/>
  <c r="N23" i="16"/>
  <c r="N22" i="16"/>
  <c r="N21" i="16"/>
  <c r="N20" i="16"/>
  <c r="N19" i="16"/>
  <c r="N18" i="16"/>
  <c r="N17" i="16"/>
  <c r="N10" i="16"/>
  <c r="N9" i="16"/>
  <c r="N8" i="16"/>
  <c r="N7" i="16"/>
  <c r="N6" i="16"/>
  <c r="N5" i="16"/>
  <c r="N4" i="16"/>
  <c r="N3" i="16"/>
  <c r="L3" i="9"/>
  <c r="M26" i="16"/>
  <c r="N30" i="16" s="1"/>
  <c r="L26" i="16"/>
  <c r="L28" i="16" s="1"/>
  <c r="J12" i="7"/>
  <c r="F28" i="15"/>
  <c r="F29" i="15"/>
  <c r="F30" i="15"/>
  <c r="F31" i="15"/>
  <c r="F7" i="15"/>
  <c r="F27" i="15"/>
  <c r="F26" i="15"/>
  <c r="F25" i="15"/>
  <c r="F24" i="15"/>
  <c r="F23" i="15"/>
  <c r="F21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G26" i="15"/>
  <c r="H7" i="15"/>
  <c r="G25" i="15"/>
  <c r="G24" i="15"/>
  <c r="H24" i="15"/>
  <c r="G23" i="15"/>
  <c r="H23" i="15"/>
  <c r="J27" i="7"/>
  <c r="I27" i="7"/>
  <c r="F27" i="7"/>
  <c r="C27" i="7"/>
  <c r="J24" i="7"/>
  <c r="J26" i="7"/>
  <c r="I26" i="7"/>
  <c r="C26" i="7"/>
  <c r="N20" i="14"/>
  <c r="Q27" i="7"/>
  <c r="J10" i="7"/>
  <c r="E10" i="7"/>
  <c r="G21" i="15"/>
  <c r="H21" i="15"/>
  <c r="N21" i="15"/>
  <c r="Q10" i="7"/>
  <c r="N19" i="14"/>
  <c r="N10" i="14"/>
  <c r="N9" i="14"/>
  <c r="C10" i="7"/>
  <c r="F10" i="7"/>
  <c r="G10" i="7"/>
  <c r="I10" i="7"/>
  <c r="J7" i="7"/>
  <c r="L27" i="7"/>
  <c r="J6" i="7"/>
  <c r="I6" i="7"/>
  <c r="G6" i="7"/>
  <c r="F6" i="7"/>
  <c r="E6" i="7"/>
  <c r="C6" i="7"/>
  <c r="J22" i="7"/>
  <c r="I22" i="7"/>
  <c r="F22" i="7"/>
  <c r="E22" i="7"/>
  <c r="C22" i="7"/>
  <c r="L22" i="7"/>
  <c r="K22" i="7"/>
  <c r="C11" i="15"/>
  <c r="C5" i="15"/>
  <c r="C32" i="15" s="1"/>
  <c r="F3" i="17"/>
  <c r="H24" i="8"/>
  <c r="I24" i="8" s="1"/>
  <c r="G24" i="8"/>
  <c r="H8" i="8"/>
  <c r="I8" i="8" s="1"/>
  <c r="G8" i="8"/>
  <c r="B8" i="8"/>
  <c r="G5" i="7"/>
  <c r="C8" i="7"/>
  <c r="L24" i="14"/>
  <c r="J28" i="7"/>
  <c r="J25" i="7"/>
  <c r="J20" i="7"/>
  <c r="J19" i="7"/>
  <c r="J18" i="7"/>
  <c r="J17" i="7"/>
  <c r="J16" i="7"/>
  <c r="J15" i="7"/>
  <c r="J13" i="7"/>
  <c r="J8" i="7"/>
  <c r="J5" i="7"/>
  <c r="J4" i="7"/>
  <c r="J3" i="7"/>
  <c r="K10" i="9"/>
  <c r="J10" i="9"/>
  <c r="K32" i="15"/>
  <c r="L32" i="15"/>
  <c r="M32" i="15"/>
  <c r="J3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2" i="15"/>
  <c r="N23" i="15"/>
  <c r="N2" i="15"/>
  <c r="I28" i="7"/>
  <c r="G28" i="7"/>
  <c r="F28" i="7"/>
  <c r="E28" i="7"/>
  <c r="C28" i="7"/>
  <c r="L17" i="7"/>
  <c r="V18" i="1"/>
  <c r="V17" i="1"/>
  <c r="K17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2" i="15"/>
  <c r="L34" i="10"/>
  <c r="G34" i="10"/>
  <c r="K18" i="9"/>
  <c r="K8" i="9"/>
  <c r="K7" i="9"/>
  <c r="K4" i="9"/>
  <c r="K16" i="9"/>
  <c r="L9" i="9"/>
  <c r="K3" i="9"/>
  <c r="F12" i="15"/>
  <c r="G12" i="15"/>
  <c r="D11" i="15"/>
  <c r="B12" i="15"/>
  <c r="H12" i="15" s="1"/>
  <c r="Q17" i="7"/>
  <c r="B11" i="15"/>
  <c r="D10" i="15"/>
  <c r="K25" i="10"/>
  <c r="D15" i="15"/>
  <c r="J30" i="10"/>
  <c r="G22" i="15"/>
  <c r="G20" i="15"/>
  <c r="G19" i="15"/>
  <c r="G18" i="15"/>
  <c r="G17" i="15"/>
  <c r="G16" i="15"/>
  <c r="G15" i="15"/>
  <c r="G14" i="15"/>
  <c r="G13" i="15"/>
  <c r="G11" i="15"/>
  <c r="G10" i="15"/>
  <c r="G9" i="15"/>
  <c r="G8" i="15"/>
  <c r="G6" i="15"/>
  <c r="G5" i="15"/>
  <c r="G4" i="15"/>
  <c r="G3" i="15"/>
  <c r="G2" i="15"/>
  <c r="G32" i="15" s="1"/>
  <c r="B3" i="15"/>
  <c r="B4" i="15"/>
  <c r="B5" i="15"/>
  <c r="B6" i="15"/>
  <c r="B8" i="15"/>
  <c r="B9" i="15"/>
  <c r="B10" i="15"/>
  <c r="B13" i="15"/>
  <c r="B14" i="15"/>
  <c r="B15" i="15"/>
  <c r="B16" i="15"/>
  <c r="B17" i="15"/>
  <c r="B18" i="15"/>
  <c r="B20" i="15"/>
  <c r="F22" i="15"/>
  <c r="F20" i="15"/>
  <c r="F19" i="15"/>
  <c r="F18" i="15"/>
  <c r="F17" i="15"/>
  <c r="F16" i="15"/>
  <c r="F15" i="15"/>
  <c r="F14" i="15"/>
  <c r="F13" i="15"/>
  <c r="F11" i="15"/>
  <c r="F10" i="15"/>
  <c r="F9" i="15"/>
  <c r="F8" i="15"/>
  <c r="F6" i="15"/>
  <c r="F5" i="15"/>
  <c r="F4" i="15"/>
  <c r="F3" i="15"/>
  <c r="F2" i="15"/>
  <c r="F32" i="15" s="1"/>
  <c r="H2" i="14"/>
  <c r="H19" i="15"/>
  <c r="Q22" i="7"/>
  <c r="H2" i="15"/>
  <c r="Q6" i="7"/>
  <c r="E5" i="15"/>
  <c r="A16" i="10"/>
  <c r="E3" i="9"/>
  <c r="D20" i="15"/>
  <c r="D18" i="15"/>
  <c r="D17" i="15"/>
  <c r="D16" i="15"/>
  <c r="D14" i="15"/>
  <c r="D13" i="15"/>
  <c r="D9" i="15"/>
  <c r="D8" i="15"/>
  <c r="D6" i="15"/>
  <c r="D5" i="15"/>
  <c r="D3" i="15"/>
  <c r="F11" i="7"/>
  <c r="M30" i="16"/>
  <c r="K19" i="9"/>
  <c r="K17" i="9"/>
  <c r="K6" i="9"/>
  <c r="K5" i="9"/>
  <c r="Z29" i="7"/>
  <c r="Y29" i="7"/>
  <c r="X29" i="7"/>
  <c r="W29" i="7"/>
  <c r="V29" i="7"/>
  <c r="U29" i="7"/>
  <c r="T29" i="7"/>
  <c r="S29" i="7"/>
  <c r="Z31" i="7"/>
  <c r="Z33" i="7" s="1"/>
  <c r="I21" i="7"/>
  <c r="L28" i="7"/>
  <c r="E25" i="7"/>
  <c r="E24" i="7"/>
  <c r="E23" i="7"/>
  <c r="E21" i="7"/>
  <c r="E19" i="7"/>
  <c r="E18" i="7"/>
  <c r="E16" i="7"/>
  <c r="E15" i="7"/>
  <c r="E14" i="7"/>
  <c r="E13" i="7"/>
  <c r="E11" i="7"/>
  <c r="K28" i="7"/>
  <c r="I25" i="7"/>
  <c r="I24" i="7"/>
  <c r="I20" i="7"/>
  <c r="I19" i="7"/>
  <c r="I18" i="7"/>
  <c r="I16" i="7"/>
  <c r="I15" i="7"/>
  <c r="I13" i="7"/>
  <c r="I12" i="7"/>
  <c r="I8" i="7"/>
  <c r="I7" i="7"/>
  <c r="I5" i="7"/>
  <c r="I4" i="7"/>
  <c r="I3" i="7"/>
  <c r="I9" i="7"/>
  <c r="C3" i="7"/>
  <c r="L19" i="9"/>
  <c r="L8" i="9"/>
  <c r="J20" i="9"/>
  <c r="J9" i="7"/>
  <c r="J11" i="7"/>
  <c r="J21" i="7"/>
  <c r="J23" i="7"/>
  <c r="J14" i="7"/>
  <c r="I14" i="7"/>
  <c r="I11" i="7"/>
  <c r="G14" i="7"/>
  <c r="F14" i="7"/>
  <c r="L14" i="7"/>
  <c r="K14" i="7"/>
  <c r="K30" i="10"/>
  <c r="L6" i="9"/>
  <c r="K20" i="9"/>
  <c r="J26" i="10"/>
  <c r="J31" i="10"/>
  <c r="K31" i="10"/>
  <c r="J29" i="10"/>
  <c r="K29" i="10"/>
  <c r="J28" i="10"/>
  <c r="K28" i="10"/>
  <c r="J27" i="10"/>
  <c r="K27" i="10"/>
  <c r="K26" i="10"/>
  <c r="E20" i="7"/>
  <c r="E12" i="7"/>
  <c r="E9" i="7"/>
  <c r="E8" i="7"/>
  <c r="E5" i="7"/>
  <c r="E4" i="7"/>
  <c r="E3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5" i="7"/>
  <c r="G3" i="7"/>
  <c r="G8" i="7"/>
  <c r="G9" i="7"/>
  <c r="G11" i="7"/>
  <c r="G12" i="7"/>
  <c r="G13" i="7"/>
  <c r="G15" i="7"/>
  <c r="G16" i="7"/>
  <c r="G18" i="7"/>
  <c r="G19" i="7"/>
  <c r="G20" i="7"/>
  <c r="G21" i="7"/>
  <c r="G23" i="7"/>
  <c r="G24" i="7"/>
  <c r="G25" i="7"/>
  <c r="C5" i="7"/>
  <c r="C9" i="7"/>
  <c r="C11" i="7"/>
  <c r="C12" i="7"/>
  <c r="C13" i="7"/>
  <c r="C18" i="7"/>
  <c r="C19" i="7"/>
  <c r="C20" i="7"/>
  <c r="C21" i="7"/>
  <c r="C23" i="7"/>
  <c r="C25" i="7"/>
  <c r="C24" i="7"/>
  <c r="C15" i="7"/>
  <c r="C16" i="7"/>
  <c r="C4" i="7"/>
  <c r="F25" i="7"/>
  <c r="L25" i="7"/>
  <c r="F24" i="7"/>
  <c r="L24" i="7"/>
  <c r="F23" i="7"/>
  <c r="L23" i="7"/>
  <c r="F21" i="7"/>
  <c r="L21" i="7"/>
  <c r="F20" i="7"/>
  <c r="L20" i="7"/>
  <c r="F19" i="7"/>
  <c r="L19" i="7"/>
  <c r="F18" i="7"/>
  <c r="L18" i="7"/>
  <c r="F16" i="7"/>
  <c r="L16" i="7"/>
  <c r="F15" i="7"/>
  <c r="L15" i="7"/>
  <c r="F13" i="7"/>
  <c r="L13" i="7"/>
  <c r="F12" i="7"/>
  <c r="L12" i="7"/>
  <c r="L6" i="7"/>
  <c r="L11" i="7"/>
  <c r="L10" i="7"/>
  <c r="F9" i="7"/>
  <c r="L9" i="7"/>
  <c r="F8" i="7"/>
  <c r="L8" i="7"/>
  <c r="F5" i="7"/>
  <c r="L5" i="7"/>
  <c r="F4" i="7"/>
  <c r="L4" i="7"/>
  <c r="F3" i="7"/>
  <c r="L3" i="7"/>
  <c r="D62" i="7"/>
  <c r="I23" i="7"/>
  <c r="K25" i="7"/>
  <c r="K3" i="7"/>
  <c r="K4" i="7"/>
  <c r="K5" i="7"/>
  <c r="K8" i="7"/>
  <c r="K9" i="7"/>
  <c r="K10" i="7"/>
  <c r="K11" i="7"/>
  <c r="K6" i="7"/>
  <c r="K12" i="7"/>
  <c r="K13" i="7"/>
  <c r="K24" i="7"/>
  <c r="K15" i="7"/>
  <c r="K16" i="7"/>
  <c r="K18" i="7"/>
  <c r="K19" i="7"/>
  <c r="K20" i="7"/>
  <c r="K21" i="7"/>
  <c r="K23" i="7"/>
  <c r="K32" i="7"/>
  <c r="O24" i="14"/>
  <c r="N24" i="14"/>
  <c r="J34" i="10"/>
  <c r="B32" i="15"/>
  <c r="H22" i="15"/>
  <c r="Q23" i="7" s="1"/>
  <c r="K23" i="9"/>
  <c r="L7" i="9"/>
  <c r="L4" i="9"/>
  <c r="L5" i="9"/>
  <c r="L16" i="9"/>
  <c r="L17" i="9"/>
  <c r="L18" i="9"/>
  <c r="D32" i="15"/>
  <c r="L20" i="9"/>
  <c r="L10" i="9"/>
  <c r="L23" i="9"/>
  <c r="H26" i="15" l="1"/>
  <c r="H25" i="15"/>
  <c r="H31" i="15"/>
  <c r="H30" i="15"/>
  <c r="H29" i="15"/>
  <c r="H28" i="15"/>
  <c r="H27" i="15"/>
  <c r="E32" i="15"/>
  <c r="H5" i="15"/>
  <c r="Q8" i="7" s="1"/>
  <c r="H3" i="15"/>
  <c r="H4" i="15"/>
  <c r="Q5" i="7" s="1"/>
  <c r="H6" i="15"/>
  <c r="Q9" i="7" s="1"/>
  <c r="H20" i="15"/>
  <c r="H18" i="15"/>
  <c r="H17" i="15"/>
  <c r="Q21" i="7" s="1"/>
  <c r="H16" i="15"/>
  <c r="Q19" i="7" s="1"/>
  <c r="H15" i="15"/>
  <c r="Q20" i="7" s="1"/>
  <c r="H14" i="15"/>
  <c r="H13" i="15"/>
  <c r="Q16" i="7" s="1"/>
  <c r="H10" i="15"/>
  <c r="Q14" i="7" s="1"/>
  <c r="H9" i="15"/>
  <c r="Q12" i="7" s="1"/>
  <c r="H8" i="15"/>
  <c r="H11" i="15"/>
  <c r="Q13" i="7" s="1"/>
  <c r="Q25" i="7"/>
  <c r="Q26" i="7"/>
  <c r="F26" i="7"/>
  <c r="L26" i="7" s="1"/>
  <c r="E26" i="7"/>
  <c r="E27" i="7"/>
  <c r="Q4" i="7"/>
  <c r="K27" i="7"/>
  <c r="K26" i="7"/>
  <c r="K30" i="7" s="1"/>
  <c r="F11" i="14"/>
  <c r="B15" i="8"/>
  <c r="Q11" i="7"/>
  <c r="Q7" i="7" l="1"/>
  <c r="H32" i="15"/>
  <c r="H16" i="8"/>
  <c r="I16" i="8" s="1"/>
  <c r="B16" i="8"/>
  <c r="G16" i="8" s="1"/>
</calcChain>
</file>

<file path=xl/sharedStrings.xml><?xml version="1.0" encoding="utf-8"?>
<sst xmlns="http://schemas.openxmlformats.org/spreadsheetml/2006/main" count="2159" uniqueCount="716">
  <si>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</si>
  <si>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</si>
  <si>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</si>
  <si>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</si>
  <si>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</si>
  <si>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</si>
  <si>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</si>
  <si>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</si>
  <si>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</si>
  <si>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</si>
  <si>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</si>
  <si>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</si>
  <si>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</si>
  <si>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</si>
  <si>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</si>
  <si>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</si>
  <si>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</si>
  <si>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</si>
  <si>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</si>
  <si>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</si>
  <si>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</si>
  <si>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</si>
  <si>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</si>
  <si>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</si>
  <si>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</si>
  <si>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</si>
  <si>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</si>
  <si>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</si>
  <si>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</si>
  <si>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</si>
  <si>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</si>
  <si>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</si>
  <si>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</si>
  <si>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</si>
  <si>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</si>
  <si>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</si>
  <si>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</si>
  <si>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</si>
  <si>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</si>
  <si>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</si>
  <si>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</si>
  <si>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</si>
  <si>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</si>
  <si>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</si>
  <si>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</si>
  <si>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</si>
  <si>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</si>
  <si>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</si>
  <si>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Mike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</si>
  <si>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</si>
  <si>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</si>
  <si>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</si>
  <si>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</si>
  <si>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</si>
  <si>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</si>
  <si>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</si>
  <si>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</si>
  <si>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</si>
  <si>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</si>
  <si>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</si>
  <si>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</si>
  <si>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</si>
  <si>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</si>
  <si>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</si>
  <si>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</si>
  <si>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</si>
  <si>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</si>
  <si>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Martin-Not Ruuning unti 2024</t>
  </si>
  <si>
    <t>Cyber Security Standards CTE403 HTQ</t>
  </si>
  <si>
    <t>VACANT but does not run until 2024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</si>
  <si>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</si>
  <si>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</si>
  <si>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</si>
  <si>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</si>
  <si>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</si>
  <si>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</si>
  <si>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</si>
  <si>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</si>
  <si>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</si>
  <si>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</si>
  <si>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</si>
  <si>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</si>
  <si>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</si>
  <si>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</si>
  <si>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</si>
  <si>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</si>
  <si>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</si>
  <si>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</si>
  <si>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</si>
  <si>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</si>
  <si>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</si>
  <si>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</si>
  <si>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</si>
  <si>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</si>
  <si>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</si>
  <si>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</si>
  <si>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</si>
  <si>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</si>
  <si>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</si>
  <si>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</si>
  <si>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</si>
  <si>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</si>
  <si>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</si>
  <si>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</si>
  <si>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</si>
  <si>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</si>
  <si>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</si>
  <si>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</si>
  <si>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</si>
  <si>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</si>
  <si>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</si>
  <si>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</si>
  <si>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</si>
  <si>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</si>
  <si>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COM624 Machine Learning (UG OPTION SE) WAS FEMI</t>
  </si>
  <si>
    <t>Bacha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</si>
  <si>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</si>
  <si>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</si>
  <si>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</si>
  <si>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</si>
  <si>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</si>
  <si>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</si>
  <si>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</si>
  <si>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Post Grad</t>
  </si>
  <si>
    <t>Digital Design</t>
  </si>
  <si>
    <t>Comp Eng</t>
  </si>
  <si>
    <t>Totor or TI</t>
  </si>
  <si>
    <t>Level 7 Masters Delivery (15 Credit)</t>
  </si>
  <si>
    <t>COM700 Professional Issues &amp; Practice</t>
  </si>
  <si>
    <t>COM709 Computer Fundamentals</t>
  </si>
  <si>
    <t>MSc Cyber</t>
  </si>
  <si>
    <t>MSc Computing Engineer</t>
  </si>
  <si>
    <t>MSc Digital Design</t>
  </si>
  <si>
    <t>COM710 Web Technologies</t>
  </si>
  <si>
    <t>COM711 Databases</t>
  </si>
  <si>
    <t>SEMESTER 1</t>
  </si>
  <si>
    <t>COM712 Networking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</si>
  <si>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</si>
  <si>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</si>
  <si>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</si>
  <si>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</si>
  <si>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</si>
  <si>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</si>
  <si>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</si>
  <si>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</si>
  <si>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SEMESTER 2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</si>
  <si>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</si>
  <si>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</si>
  <si>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</si>
  <si>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</si>
  <si>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</si>
  <si>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</si>
  <si>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Kashif</t>
  </si>
  <si>
    <t>SEMESTER 3</t>
  </si>
  <si>
    <t xml:space="preserve">COM726 - Dissertation 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</si>
  <si>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</si>
  <si>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</si>
  <si>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</si>
  <si>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</si>
  <si>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</si>
  <si>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</si>
  <si>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</si>
  <si>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</si>
  <si>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</si>
  <si>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</si>
  <si>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</si>
  <si>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</si>
  <si>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</si>
  <si>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</si>
  <si>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</si>
  <si>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</si>
  <si>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</si>
  <si>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</si>
  <si>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</si>
  <si>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</si>
  <si>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</si>
  <si>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COM307 Foundation Mathematics</t>
  </si>
  <si>
    <t>COM427 Principles &amp; Methods of Data Analysis</t>
  </si>
  <si>
    <t>CTE403 Cyber Security Standards</t>
  </si>
  <si>
    <t>CTEXXX Applied Computing Project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</si>
  <si>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</si>
  <si>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</si>
  <si>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</si>
  <si>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</si>
  <si>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</si>
  <si>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</si>
  <si>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</si>
  <si>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</si>
  <si>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</si>
  <si>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</si>
  <si>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</si>
  <si>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</si>
  <si>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</si>
  <si>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</si>
  <si>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</si>
  <si>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</si>
  <si>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</si>
  <si>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</si>
  <si>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</si>
  <si>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</si>
  <si>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</si>
  <si>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</si>
  <si>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</si>
  <si>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</si>
  <si>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</si>
  <si>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</si>
  <si>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</si>
  <si>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</si>
  <si>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</si>
  <si>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</si>
  <si>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</si>
  <si>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</si>
  <si>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</si>
  <si>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</si>
  <si>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</si>
  <si>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</si>
  <si>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</si>
  <si>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</si>
  <si>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</si>
  <si>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</si>
  <si>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</si>
  <si>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</si>
  <si>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</si>
  <si>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</si>
  <si>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</si>
  <si>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</si>
  <si>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</si>
  <si>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</si>
  <si>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</si>
  <si>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</si>
  <si>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</si>
  <si>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</si>
  <si>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</si>
  <si>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MSc Applied AI &amp; Data Sci Sep &amp; Jan starts</t>
  </si>
  <si>
    <t>Sem</t>
  </si>
  <si>
    <t>September Start</t>
  </si>
  <si>
    <t>COM724 - Applied AI in Business</t>
  </si>
  <si>
    <t>2+3</t>
  </si>
  <si>
    <t>Sept - Jan</t>
  </si>
  <si>
    <t>COM725 - Data Analytics and Visualisation</t>
  </si>
  <si>
    <t>Raza</t>
  </si>
  <si>
    <t>COM728 - Programming for Problem Solving</t>
  </si>
  <si>
    <t>3+1</t>
  </si>
  <si>
    <t>COM727 - Introduction to AI</t>
  </si>
  <si>
    <t>January Start</t>
  </si>
  <si>
    <t>1+2</t>
  </si>
  <si>
    <t>Jan- May</t>
  </si>
  <si>
    <t xml:space="preserve"> Jan- May</t>
  </si>
  <si>
    <t>May-Sept</t>
  </si>
  <si>
    <t>May - Sept</t>
  </si>
  <si>
    <t>DO NOT EDIT THIS SHEET</t>
  </si>
  <si>
    <t>Foundation</t>
  </si>
  <si>
    <t>MAIDS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</si>
  <si>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</si>
  <si>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</si>
  <si>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</si>
  <si>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</si>
  <si>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</si>
  <si>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</si>
  <si>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</si>
  <si>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</si>
  <si>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</si>
  <si>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</si>
  <si>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</si>
  <si>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</si>
  <si>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</si>
  <si>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</si>
  <si>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</si>
  <si>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</si>
  <si>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</si>
  <si>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</si>
  <si>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</si>
  <si>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Kenton (AL)</t>
  </si>
  <si>
    <t>Louise*</t>
  </si>
  <si>
    <t>Marc</t>
  </si>
  <si>
    <t>Mike (TI)</t>
  </si>
  <si>
    <t>Pengfei (AL)</t>
  </si>
  <si>
    <t>Tomasz*</t>
  </si>
  <si>
    <t>Craig (AL)</t>
  </si>
  <si>
    <t>Armen (AL)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</si>
  <si>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</si>
  <si>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</si>
  <si>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</si>
  <si>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</si>
  <si>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</si>
  <si>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</si>
  <si>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</si>
  <si>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</si>
  <si>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</si>
  <si>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</si>
  <si>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</si>
  <si>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</si>
  <si>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</si>
  <si>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</si>
  <si>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</si>
  <si>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</si>
  <si>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</si>
  <si>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</si>
  <si>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Hamidreza (External)</t>
  </si>
  <si>
    <t>Muntasir (External) QUIT</t>
  </si>
  <si>
    <t>Neville (0.5)</t>
  </si>
  <si>
    <t>Peyman (External)</t>
  </si>
  <si>
    <t>Matloob (External)</t>
  </si>
  <si>
    <t>Saeed (External)</t>
  </si>
  <si>
    <t>Mujeeb (External)</t>
  </si>
  <si>
    <t>Vahid (External)</t>
  </si>
  <si>
    <t>Zuhaib (External)</t>
  </si>
  <si>
    <t>Ade (External)</t>
  </si>
  <si>
    <t>Hany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</si>
  <si>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</si>
  <si>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</si>
  <si>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</si>
  <si>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</si>
  <si>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</si>
  <si>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</si>
  <si>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</si>
  <si>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</si>
  <si>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</si>
  <si>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</si>
  <si>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</si>
  <si>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</si>
  <si>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</si>
  <si>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</si>
  <si>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</si>
  <si>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</si>
  <si>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</si>
  <si>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</si>
  <si>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</si>
  <si>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</si>
  <si>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</si>
  <si>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</si>
  <si>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</si>
  <si>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</si>
  <si>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</si>
  <si>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</si>
  <si>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</si>
  <si>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</si>
  <si>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</si>
  <si>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</si>
  <si>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</si>
  <si>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</si>
  <si>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</si>
  <si>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</si>
  <si>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</si>
  <si>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</si>
  <si>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</si>
  <si>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</si>
  <si>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</si>
  <si>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</si>
  <si>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</si>
  <si>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</si>
  <si>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</si>
  <si>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</si>
  <si>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</si>
  <si>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</si>
  <si>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</si>
  <si>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</si>
  <si>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</si>
  <si>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</si>
  <si>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</si>
  <si>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</si>
  <si>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</si>
  <si>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</si>
  <si>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</si>
  <si>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</si>
  <si>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</si>
  <si>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</si>
  <si>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</si>
  <si>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</si>
  <si>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</si>
  <si>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</si>
  <si>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</si>
  <si>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</si>
  <si>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</si>
  <si>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</si>
  <si>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</si>
  <si>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</si>
  <si>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</si>
  <si>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</si>
  <si>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</si>
  <si>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</si>
  <si>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</si>
  <si>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</si>
  <si>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</si>
  <si>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</si>
  <si>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</si>
  <si>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</si>
  <si>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</si>
  <si>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</si>
  <si>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</si>
  <si>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</si>
  <si>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</si>
  <si>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</si>
  <si>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</si>
  <si>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</si>
  <si>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</si>
  <si>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</si>
  <si>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</si>
  <si>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</si>
  <si>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</si>
  <si>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</si>
  <si>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</si>
  <si>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</si>
  <si>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</si>
  <si>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</si>
  <si>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</si>
  <si>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</si>
  <si>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</si>
  <si>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</si>
  <si>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</si>
  <si>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</si>
  <si>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</si>
  <si>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</si>
  <si>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</si>
  <si>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</si>
  <si>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</si>
  <si>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</si>
  <si>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</si>
  <si>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</si>
  <si>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</si>
  <si>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</si>
  <si>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</si>
  <si>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</si>
  <si>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</si>
  <si>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</si>
  <si>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</si>
  <si>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</si>
  <si>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</si>
  <si>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</si>
  <si>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</si>
  <si>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</si>
  <si>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</si>
  <si>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</si>
  <si>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</si>
  <si>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</si>
  <si>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</si>
  <si>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</si>
  <si>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</si>
  <si>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</si>
  <si>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</si>
  <si>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</si>
  <si>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</si>
  <si>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</si>
  <si>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</si>
  <si>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</si>
  <si>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</si>
  <si>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</si>
  <si>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</si>
  <si>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</si>
  <si>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</si>
  <si>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</si>
  <si>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</si>
  <si>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</si>
  <si>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</si>
  <si>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</si>
  <si>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</si>
  <si>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</si>
  <si>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</si>
  <si>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</si>
  <si>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</si>
  <si>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</si>
  <si>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</si>
  <si>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</si>
  <si>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</si>
  <si>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</si>
  <si>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</si>
  <si>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</si>
  <si>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</si>
  <si>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</si>
  <si>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</si>
  <si>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COM726 - Jan Starters</t>
  </si>
  <si>
    <t>S. No.</t>
  </si>
  <si>
    <t>Email</t>
  </si>
  <si>
    <t>Course</t>
  </si>
  <si>
    <t>Sept 2023 to Jan 2024</t>
  </si>
  <si>
    <t>To Allocate</t>
  </si>
  <si>
    <t>Aman Kala</t>
  </si>
  <si>
    <t>6kalaa71@solent.ac.uk</t>
  </si>
  <si>
    <t>Drishty Sobnath</t>
  </si>
  <si>
    <t>Rudolf Enyimba</t>
  </si>
  <si>
    <t>6enyir26@solent.ac.uk</t>
  </si>
  <si>
    <t>Shakeel Ahmad</t>
  </si>
  <si>
    <t>Shameera Kahapalaarachchi</t>
  </si>
  <si>
    <t>6kahas29@solent.ac.uk</t>
  </si>
  <si>
    <t>Jarutas Andritsch</t>
  </si>
  <si>
    <t>W Muhandiramlage Wanigasekara</t>
  </si>
  <si>
    <t>6waniw73@solent.ac.uk</t>
  </si>
  <si>
    <t>Kashif Talpur</t>
  </si>
  <si>
    <t>Esther Kusi</t>
  </si>
  <si>
    <t>6kusie74@solent.ac.uk</t>
  </si>
  <si>
    <t>Pengfei Xue</t>
  </si>
  <si>
    <t>Idris Ganiyu</t>
  </si>
  <si>
    <t>6ganii18@solent.ac.uk</t>
  </si>
  <si>
    <t>Bacha Rehman</t>
  </si>
  <si>
    <t>Mohammad Arif Ammar</t>
  </si>
  <si>
    <t>6ammam17@solent.ac.uk</t>
  </si>
  <si>
    <t>Raza Hasan</t>
  </si>
  <si>
    <t>Nilesh Patel</t>
  </si>
  <si>
    <t>6paten69@solent.ac.uk</t>
  </si>
  <si>
    <t>Taiwo Ayodele</t>
  </si>
  <si>
    <t>Rajeshkumar Malani</t>
  </si>
  <si>
    <t>6malar62@solent.ac.uk</t>
  </si>
  <si>
    <t> </t>
  </si>
  <si>
    <t>Rajeshwari Sharma</t>
  </si>
  <si>
    <t>6sharr30@solent.ac.uk</t>
  </si>
  <si>
    <t>Hamid Sabihi Ahvaz</t>
  </si>
  <si>
    <t>6sabih79@solent.ac.uk</t>
  </si>
  <si>
    <t>Iman Askari</t>
  </si>
  <si>
    <t>6askai88@solent.ac.uk</t>
  </si>
  <si>
    <t>Khadidja Mekiri</t>
  </si>
  <si>
    <t>6mekik81@solent.ac.uk</t>
  </si>
  <si>
    <t>Taoheedat Fasanya</t>
  </si>
  <si>
    <t>6fasat65@solent.ac.uk</t>
  </si>
  <si>
    <t>Manpreet Kaur</t>
  </si>
  <si>
    <t>6kaurm40@solent.ac.uk</t>
  </si>
  <si>
    <t>Khushi Matloob</t>
  </si>
  <si>
    <t>Oladele Afolayan</t>
  </si>
  <si>
    <t>6afolo15@solent.ac.uk</t>
  </si>
  <si>
    <t>Saeed Sharif</t>
  </si>
  <si>
    <t>Paul Olobatoke</t>
  </si>
  <si>
    <t>6olobp77@solent.ac.uk</t>
  </si>
  <si>
    <t>Mujeeb Ur Rehman</t>
  </si>
  <si>
    <t>Rahul Jacob</t>
  </si>
  <si>
    <t>6jacor45@solent.ac.uk</t>
  </si>
  <si>
    <t>Vahid Rafe</t>
  </si>
  <si>
    <t>Sapini Thakur</t>
  </si>
  <si>
    <t>6thaks96@solent.ac.uk</t>
  </si>
  <si>
    <t>Hany Atlam</t>
  </si>
  <si>
    <t>Spandhana Bandi</t>
  </si>
  <si>
    <t>6bands24@solent.ac.uk</t>
  </si>
  <si>
    <t>Hamidreza Soltani</t>
  </si>
  <si>
    <t>Atik Arif Damaniya</t>
  </si>
  <si>
    <t>6damaa25@solent.ac.uk</t>
  </si>
  <si>
    <t>Peyman Heydarian</t>
  </si>
  <si>
    <t>Emmanuel Ugwumsinachi Francis</t>
  </si>
  <si>
    <t>6frane36@solent.ac.uk</t>
  </si>
  <si>
    <t>Zuhaib Khan</t>
  </si>
  <si>
    <t>Mitesh Panchal</t>
  </si>
  <si>
    <t>6pancm88@solent.ac.uk</t>
  </si>
  <si>
    <t>Ade Shonola</t>
  </si>
  <si>
    <t>Nwanneka Okoli</t>
  </si>
  <si>
    <t>6okoln60@solent.ac.uk</t>
  </si>
  <si>
    <t>Oluseyi Adeeko</t>
  </si>
  <si>
    <t>6adeeo02@solent.ac.uk</t>
  </si>
  <si>
    <t>Oluwaseun Aro</t>
  </si>
  <si>
    <t>6aroo44@solent.ac.uk</t>
  </si>
  <si>
    <t>Possible Total</t>
  </si>
  <si>
    <t>Ananda Unnikrishnan</t>
  </si>
  <si>
    <t>6unnia00@solent.ac.uk</t>
  </si>
  <si>
    <t>Henry Adeoye</t>
  </si>
  <si>
    <t>6adeoh78@solent.ac.uk</t>
  </si>
  <si>
    <t>Kanchana Vishwanadee Mathotaarachchi</t>
  </si>
  <si>
    <t>6mathk26@solent.ac.uk</t>
  </si>
  <si>
    <t>Kavinda Ashan Kulasinghe Wasalamuni Dewage</t>
  </si>
  <si>
    <t>6wasak00@solent.ac.uk</t>
  </si>
  <si>
    <t>Mathew Varghese .</t>
  </si>
  <si>
    <t>6m34@solent.ac.uk</t>
  </si>
  <si>
    <t>Nitiksha Harikrushna Limbani</t>
  </si>
  <si>
    <t>6limbn39@solent.ac.uk</t>
  </si>
  <si>
    <t>Anjali .</t>
  </si>
  <si>
    <t>6a81@solent.ac.uk</t>
  </si>
  <si>
    <t>Manjula Prasanna Wickramathunga</t>
  </si>
  <si>
    <t>6wickm21@solent.ac.uk</t>
  </si>
  <si>
    <t>Ezeh Ochulor</t>
  </si>
  <si>
    <t>6ochue44@solent.ac.uk</t>
  </si>
  <si>
    <t>Gaurika Walia</t>
  </si>
  <si>
    <t>6walig84@solent.ac.uk</t>
  </si>
  <si>
    <t>Manthan Patel</t>
  </si>
  <si>
    <t>6patem26@solent.ac.uk</t>
  </si>
  <si>
    <t>Nainika Pandeer</t>
  </si>
  <si>
    <t>6pandn11@solent.ac.uk</t>
  </si>
  <si>
    <t>Roshan Gurung</t>
  </si>
  <si>
    <t>6gurur71@solent.ac.uk</t>
  </si>
  <si>
    <t>Sadik Basha Shaik</t>
  </si>
  <si>
    <t>6shais11@solent.ac.uk</t>
  </si>
  <si>
    <t>Shubham Verma</t>
  </si>
  <si>
    <t>6verms89@solent.ac.uk</t>
  </si>
  <si>
    <t>Sushma Janga</t>
  </si>
  <si>
    <t>6jangs70@solent.ac.uk</t>
  </si>
  <si>
    <t>Abimbola Oluwakayode</t>
  </si>
  <si>
    <t>6oluwa56@solent.ac.uk</t>
  </si>
  <si>
    <t>Amarachi Agbaka</t>
  </si>
  <si>
    <t>6agbaa17@solent.ac.uk</t>
  </si>
  <si>
    <t>Caren Cheruto</t>
  </si>
  <si>
    <t>6cherc86@solent.ac.uk</t>
  </si>
  <si>
    <t>Gomo Tase</t>
  </si>
  <si>
    <t>6taseg16@solent.ac.uk</t>
  </si>
  <si>
    <t>Lakshana Balaraj</t>
  </si>
  <si>
    <t>5balal81@solent.ac.uk</t>
  </si>
  <si>
    <t>Minalbahen Patel</t>
  </si>
  <si>
    <t>6patem51@solent.ac.uk</t>
  </si>
  <si>
    <t>Oluwaseun Fajemiyo</t>
  </si>
  <si>
    <t>6fajeo74@solent.ac.uk</t>
  </si>
  <si>
    <t>Othniel Chinedu Obasi</t>
  </si>
  <si>
    <t>6obaso27@solent.ac.uk</t>
  </si>
  <si>
    <t>Amanpreet Kaur .</t>
  </si>
  <si>
    <t>6a62@solent.ac.uk</t>
  </si>
  <si>
    <t>Mehul .</t>
  </si>
  <si>
    <t>6m89@solent.ac.uk</t>
  </si>
  <si>
    <t>Mohammed Sohail .</t>
  </si>
  <si>
    <t>6m09@solent.ac.uk</t>
  </si>
  <si>
    <t>Naga Durga Sai Neeli</t>
  </si>
  <si>
    <t>6neeln48@solent.ac.uk</t>
  </si>
  <si>
    <t>Patience Agbaraji</t>
  </si>
  <si>
    <t>6agbap43@solent.ac.uk</t>
  </si>
  <si>
    <t>Piladuwa Maha Bogahawattage Darshani</t>
  </si>
  <si>
    <t>6darsp16@solent.ac.uk</t>
  </si>
  <si>
    <t>Poorna Shashank Bodapati</t>
  </si>
  <si>
    <t>6bodap21@solent.ac.uk</t>
  </si>
  <si>
    <t>Sandeep Kumar Reddy Pebbeti</t>
  </si>
  <si>
    <t>6pebbs76@solent.ac.uk</t>
  </si>
  <si>
    <t>Aesha Shah</t>
  </si>
  <si>
    <t>6shaha70@solent.ac.uk</t>
  </si>
  <si>
    <t>Dhaval Dineshbhai Sheladiya</t>
  </si>
  <si>
    <t>6sheld65@solent.ac.uk</t>
  </si>
  <si>
    <t>Harpal Singh .</t>
  </si>
  <si>
    <t>6h05@solent.ac.uk</t>
  </si>
  <si>
    <t>Henry Onyebuchi</t>
  </si>
  <si>
    <t>6onyeh51@solent.ac.uk</t>
  </si>
  <si>
    <t>Mujeebah Eniolagiwa</t>
  </si>
  <si>
    <t>6eniom21@solent.ac.uk</t>
  </si>
  <si>
    <t>Neelam Devi</t>
  </si>
  <si>
    <t>6devin19@solent.ac.uk</t>
  </si>
  <si>
    <t>Neha Devi</t>
  </si>
  <si>
    <t>6devin69@solent.ac.uk</t>
  </si>
  <si>
    <t>Shitalben Smitkumar Sharma</t>
  </si>
  <si>
    <t>6shars68@solent.ac.uk</t>
  </si>
  <si>
    <t>Bukola Adjikpe</t>
  </si>
  <si>
    <t>6adjib98@solent.ac.uk</t>
  </si>
  <si>
    <t>Chamali Wijayawickrama</t>
  </si>
  <si>
    <t>6wijac49@solent.ac.uk</t>
  </si>
  <si>
    <t>Darshankumar Sorthiya</t>
  </si>
  <si>
    <t>6sortd09@solent.ac.uk</t>
  </si>
  <si>
    <t>Etido Dem</t>
  </si>
  <si>
    <t>6deme79@solent.ac.uk</t>
  </si>
  <si>
    <t>Gbenga Aderibigbe</t>
  </si>
  <si>
    <t>6aderg11@solent.ac.uk</t>
  </si>
  <si>
    <t>Gurpreet Kaur .</t>
  </si>
  <si>
    <t>6g72@solent.ac.uk</t>
  </si>
  <si>
    <t>Kiran .</t>
  </si>
  <si>
    <t>6k73@solent.ac.uk</t>
  </si>
  <si>
    <t>Shabana Patel</t>
  </si>
  <si>
    <t>6pates61@solent.ac.uk</t>
  </si>
  <si>
    <t>Bijal Jiten Patel</t>
  </si>
  <si>
    <t>6pateb52@solent.ac.uk</t>
  </si>
  <si>
    <t>Kinjal Prafulbhai Bhoi</t>
  </si>
  <si>
    <t>6bhoik94@solent.ac.uk</t>
  </si>
  <si>
    <t>Munawer Ali Syed</t>
  </si>
  <si>
    <t>6syedm16@solent.ac.uk</t>
  </si>
  <si>
    <t>Muththa Arachchige Kalani Udayanthi</t>
  </si>
  <si>
    <t>6udaym10@solent.ac.uk</t>
  </si>
  <si>
    <t>Nirali Chandrakantbhai Vaja</t>
  </si>
  <si>
    <t>6vajan15@solent.ac.uk</t>
  </si>
  <si>
    <t>Nithin Sankar Madathil</t>
  </si>
  <si>
    <t>6madan68@solent.ac.uk</t>
  </si>
  <si>
    <t>Ofure Glory Ehimare</t>
  </si>
  <si>
    <t>5ehimo29@solent.ac.uk</t>
  </si>
  <si>
    <t>Sourabh Rameshchandra Dahate</t>
  </si>
  <si>
    <t>6dahas71@solent.ac.uk</t>
  </si>
  <si>
    <t>Ashish Kagra</t>
  </si>
  <si>
    <t>6kagra31@solent.ac.uk</t>
  </si>
  <si>
    <t>Gurkirat Singh .</t>
  </si>
  <si>
    <t>6g88@solent.ac.uk</t>
  </si>
  <si>
    <t>6kaurg39@solent.ac.uk</t>
  </si>
  <si>
    <t>Janak Pravinbhai Baldaniya</t>
  </si>
  <si>
    <t>6baldj79@solent.ac.uk</t>
  </si>
  <si>
    <t>Oghenekevwe Dadi</t>
  </si>
  <si>
    <t>6dadio83@solent.ac.uk</t>
  </si>
  <si>
    <t>Prathibha Binali Punchihewa</t>
  </si>
  <si>
    <t>6puncp32@solent.ac.uk</t>
  </si>
  <si>
    <t>Ranga Danduga</t>
  </si>
  <si>
    <t>6dandr25@solent.ac.uk</t>
  </si>
  <si>
    <t>Simileoluwa Ogunsusi</t>
  </si>
  <si>
    <t>6oguns51@solent.ac.uk</t>
  </si>
  <si>
    <t>Albert Michael</t>
  </si>
  <si>
    <t>6micha94@solent.ac.uk</t>
  </si>
  <si>
    <t>Job Sunny</t>
  </si>
  <si>
    <t>6sunnj27@solent.ac.uk</t>
  </si>
  <si>
    <t>Jugraj Singh .</t>
  </si>
  <si>
    <t>6singj79@solent.ac.uk</t>
  </si>
  <si>
    <t>Lathusan Sinniah Thurairajah</t>
  </si>
  <si>
    <t>6sinnl43@solent.ac.uk</t>
  </si>
  <si>
    <t>Mehdi Aghaye mohagheghi</t>
  </si>
  <si>
    <t>6agham81@solent.ac.uk</t>
  </si>
  <si>
    <t>Nishaben Patel</t>
  </si>
  <si>
    <t>6paten67@solent.ac.uk</t>
  </si>
  <si>
    <t>Priscilla Sanjika Noel</t>
  </si>
  <si>
    <t>5noelp53@solent.ac.uk</t>
  </si>
  <si>
    <t>Vishal Vinodbhai Nadiya</t>
  </si>
  <si>
    <t>6nadiv01@solent.ac.uk</t>
  </si>
  <si>
    <t>Abieyuwa Victorbennett</t>
  </si>
  <si>
    <t>6victa91@solent.ac.uk</t>
  </si>
  <si>
    <t>Brenda Ekemezie</t>
  </si>
  <si>
    <t>6ekemb43@solent.ac.uk</t>
  </si>
  <si>
    <t>Karima Roshan Shaik</t>
  </si>
  <si>
    <t>6shaik71@solent.ac.uk</t>
  </si>
  <si>
    <t>Prashant Pravinbhai Patel</t>
  </si>
  <si>
    <t>6patep05@solent.ac.uk</t>
  </si>
  <si>
    <t>Raman Preet Kaur .</t>
  </si>
  <si>
    <t>6r01a@solent.ac.uk</t>
  </si>
  <si>
    <t>Santosh Venkatesh</t>
  </si>
  <si>
    <t>6venks11@solent.ac.uk</t>
  </si>
  <si>
    <t>Sohail Mohammed</t>
  </si>
  <si>
    <t>6mohas85@solent.ac.uk</t>
  </si>
  <si>
    <t>Tripta Kumari</t>
  </si>
  <si>
    <t>6kumat29@solent.ac.uk</t>
  </si>
  <si>
    <t>Mansiben Jiteshkumar Gajera</t>
  </si>
  <si>
    <t>Rajwinder Kaur .</t>
  </si>
  <si>
    <t>Anmolpreet Kaur .</t>
  </si>
  <si>
    <t>BSc Comp Sys Network</t>
  </si>
  <si>
    <t>BSc Cyber</t>
  </si>
  <si>
    <t>BSc Digital Design &amp; Web</t>
  </si>
  <si>
    <t>BSc Soft Eng</t>
  </si>
  <si>
    <t>Oct 2023 - May 2024</t>
  </si>
  <si>
    <t>MAIDS COURSES COM726 - Sept Starters</t>
  </si>
  <si>
    <t>May 2024 to Sept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</si>
</sst>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A4ED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/>
    <xf numFmtId="0" fontId="20" fillId="0" borderId="18" xfId="0" applyFont="1" applyBorder="1"/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0" borderId="28" xfId="0" applyBorder="1"/>
    <xf numFmtId="0" fontId="1" fillId="4" borderId="81" xfId="0" applyFont="1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3" borderId="56" xfId="0" applyFont="1" applyFill="1" applyBorder="1" applyAlignment="1">
      <alignment horizontal="center" vertical="center"/>
    </xf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66" xfId="0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35" fillId="0" borderId="11" xfId="0" applyFont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22" xfId="0" applyFont="1" applyBorder="1"/>
    <xf numFmtId="0" fontId="1" fillId="0" borderId="66" xfId="0" applyFont="1" applyBorder="1" applyAlignment="1">
      <alignment horizontal="center" vertical="center"/>
    </xf>
    <xf numFmtId="0" fontId="1" fillId="4" borderId="54" xfId="0" applyFont="1" applyFill="1" applyBorder="1"/>
    <xf numFmtId="0" fontId="1" fillId="0" borderId="27" xfId="0" applyFont="1" applyBorder="1"/>
    <xf numFmtId="0" fontId="1" fillId="3" borderId="7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25" borderId="82" xfId="0" applyFont="1" applyFill="1" applyBorder="1" applyAlignment="1">
      <alignment horizontal="center" vertical="center"/>
    </xf>
    <xf numFmtId="164" fontId="0" fillId="8" borderId="76" xfId="0" applyNumberFormat="1" applyFill="1" applyBorder="1" applyAlignment="1">
      <alignment horizontal="center" vertical="center"/>
    </xf>
    <xf numFmtId="0" fontId="50" fillId="7" borderId="11" xfId="0" applyFont="1" applyFill="1" applyBorder="1" applyAlignment="1">
      <alignment wrapText="1"/>
    </xf>
    <xf numFmtId="164" fontId="1" fillId="3" borderId="58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164" fontId="3" fillId="9" borderId="27" xfId="0" applyNumberFormat="1" applyFont="1" applyFill="1" applyBorder="1" applyAlignment="1">
      <alignment horizontal="center" vertical="center"/>
    </xf>
    <xf numFmtId="164" fontId="3" fillId="10" borderId="27" xfId="0" applyNumberFormat="1" applyFont="1" applyFill="1" applyBorder="1" applyAlignment="1">
      <alignment horizontal="center" vertical="center"/>
    </xf>
    <xf numFmtId="164" fontId="3" fillId="9" borderId="30" xfId="0" applyNumberFormat="1" applyFont="1" applyFill="1" applyBorder="1"/>
    <xf numFmtId="164" fontId="9" fillId="11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164" fontId="0" fillId="11" borderId="26" xfId="0" applyNumberFormat="1" applyFill="1" applyBorder="1"/>
    <xf numFmtId="164" fontId="6" fillId="11" borderId="34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center" vertical="center"/>
    </xf>
    <xf numFmtId="164" fontId="9" fillId="11" borderId="33" xfId="0" applyNumberFormat="1" applyFont="1" applyFill="1" applyBorder="1" applyAlignment="1">
      <alignment horizontal="center" vertical="center"/>
    </xf>
    <xf numFmtId="164" fontId="3" fillId="11" borderId="26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9" fillId="10" borderId="99" xfId="0" applyNumberFormat="1" applyFont="1" applyFill="1" applyBorder="1" applyAlignment="1">
      <alignment horizontal="center" vertical="center"/>
    </xf>
    <xf numFmtId="164" fontId="9" fillId="10" borderId="16" xfId="0" applyNumberFormat="1" applyFont="1" applyFill="1" applyBorder="1" applyAlignment="1">
      <alignment horizontal="center" vertical="center"/>
    </xf>
    <xf numFmtId="164" fontId="0" fillId="10" borderId="16" xfId="0" applyNumberFormat="1" applyFill="1" applyBorder="1"/>
    <xf numFmtId="164" fontId="6" fillId="10" borderId="16" xfId="0" applyNumberFormat="1" applyFont="1" applyFill="1" applyBorder="1" applyAlignment="1">
      <alignment horizontal="center" vertical="center"/>
    </xf>
    <xf numFmtId="164" fontId="3" fillId="10" borderId="16" xfId="0" applyNumberFormat="1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  <xf numFmtId="164" fontId="6" fillId="12" borderId="26" xfId="0" applyNumberFormat="1" applyFont="1" applyFill="1" applyBorder="1" applyAlignment="1">
      <alignment horizontal="center" vertical="center"/>
    </xf>
    <xf numFmtId="164" fontId="6" fillId="12" borderId="31" xfId="0" applyNumberFormat="1" applyFont="1" applyFill="1" applyBorder="1" applyAlignment="1">
      <alignment horizontal="center" vertical="center"/>
    </xf>
    <xf numFmtId="164" fontId="3" fillId="11" borderId="30" xfId="0" applyNumberFormat="1" applyFont="1" applyFill="1" applyBorder="1"/>
    <xf numFmtId="164" fontId="6" fillId="12" borderId="30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9" fillId="2" borderId="76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51" fillId="0" borderId="29" xfId="0" applyFont="1" applyBorder="1"/>
    <xf numFmtId="164" fontId="0" fillId="0" borderId="34" xfId="0" applyNumberFormat="1" applyBorder="1" applyAlignment="1">
      <alignment horizontal="center"/>
    </xf>
    <xf numFmtId="0" fontId="20" fillId="0" borderId="0" xfId="0" applyFont="1"/>
    <xf numFmtId="0" fontId="20" fillId="38" borderId="19" xfId="0" applyFont="1" applyFill="1" applyBorder="1"/>
    <xf numFmtId="0" fontId="34" fillId="0" borderId="26" xfId="0" applyFont="1" applyBorder="1"/>
    <xf numFmtId="0" fontId="34" fillId="0" borderId="23" xfId="0" applyFont="1" applyBorder="1"/>
    <xf numFmtId="0" fontId="20" fillId="0" borderId="52" xfId="0" applyFont="1" applyBorder="1"/>
    <xf numFmtId="0" fontId="20" fillId="0" borderId="26" xfId="0" applyFont="1" applyBorder="1"/>
    <xf numFmtId="0" fontId="20" fillId="0" borderId="23" xfId="0" applyFont="1" applyBorder="1"/>
    <xf numFmtId="0" fontId="52" fillId="0" borderId="35" xfId="0" applyFont="1" applyBorder="1"/>
    <xf numFmtId="0" fontId="52" fillId="0" borderId="113" xfId="0" applyFont="1" applyBorder="1"/>
    <xf numFmtId="0" fontId="52" fillId="39" borderId="113" xfId="0" applyFont="1" applyFill="1" applyBorder="1"/>
    <xf numFmtId="0" fontId="52" fillId="40" borderId="56" xfId="0" applyFont="1" applyFill="1" applyBorder="1"/>
    <xf numFmtId="0" fontId="34" fillId="0" borderId="23" xfId="0" applyFont="1" applyBorder="1" applyAlignment="1">
      <alignment wrapText="1"/>
    </xf>
    <xf numFmtId="0" fontId="34" fillId="0" borderId="77" xfId="0" applyFont="1" applyBorder="1"/>
    <xf numFmtId="0" fontId="20" fillId="39" borderId="21" xfId="0" applyFont="1" applyFill="1" applyBorder="1"/>
    <xf numFmtId="0" fontId="52" fillId="40" borderId="96" xfId="0" applyFont="1" applyFill="1" applyBorder="1"/>
    <xf numFmtId="0" fontId="34" fillId="0" borderId="114" xfId="0" applyFont="1" applyBorder="1"/>
    <xf numFmtId="0" fontId="34" fillId="0" borderId="28" xfId="0" applyFont="1" applyBorder="1"/>
    <xf numFmtId="0" fontId="34" fillId="0" borderId="0" xfId="0" applyFont="1"/>
    <xf numFmtId="0" fontId="20" fillId="0" borderId="17" xfId="0" applyFont="1" applyBorder="1"/>
    <xf numFmtId="0" fontId="20" fillId="0" borderId="77" xfId="0" applyFont="1" applyBorder="1"/>
    <xf numFmtId="0" fontId="20" fillId="0" borderId="87" xfId="0" applyFont="1" applyBorder="1"/>
    <xf numFmtId="0" fontId="20" fillId="39" borderId="92" xfId="0" applyFont="1" applyFill="1" applyBorder="1"/>
    <xf numFmtId="0" fontId="52" fillId="0" borderId="50" xfId="0" applyFont="1" applyBorder="1"/>
    <xf numFmtId="0" fontId="52" fillId="39" borderId="56" xfId="0" applyFont="1" applyFill="1" applyBorder="1"/>
    <xf numFmtId="0" fontId="34" fillId="0" borderId="19" xfId="0" applyFont="1" applyBorder="1"/>
    <xf numFmtId="0" fontId="20" fillId="39" borderId="100" xfId="0" applyFont="1" applyFill="1" applyBorder="1" applyAlignment="1">
      <alignment wrapText="1"/>
    </xf>
    <xf numFmtId="0" fontId="52" fillId="40" borderId="75" xfId="0" applyFont="1" applyFill="1" applyBorder="1"/>
    <xf numFmtId="0" fontId="34" fillId="0" borderId="52" xfId="0" applyFont="1" applyBorder="1"/>
    <xf numFmtId="0" fontId="20" fillId="39" borderId="52" xfId="0" applyFont="1" applyFill="1" applyBorder="1" applyAlignment="1">
      <alignment wrapText="1"/>
    </xf>
    <xf numFmtId="0" fontId="20" fillId="39" borderId="52" xfId="0" applyFont="1" applyFill="1" applyBorder="1"/>
    <xf numFmtId="0" fontId="52" fillId="0" borderId="41" xfId="0" applyFont="1" applyBorder="1"/>
    <xf numFmtId="0" fontId="52" fillId="25" borderId="50" xfId="0" applyFont="1" applyFill="1" applyBorder="1"/>
    <xf numFmtId="0" fontId="34" fillId="0" borderId="93" xfId="0" applyFont="1" applyBorder="1"/>
    <xf numFmtId="0" fontId="20" fillId="39" borderId="93" xfId="0" applyFont="1" applyFill="1" applyBorder="1"/>
    <xf numFmtId="164" fontId="1" fillId="8" borderId="33" xfId="0" applyNumberFormat="1" applyFont="1" applyFill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/>
    </xf>
    <xf numFmtId="0" fontId="51" fillId="0" borderId="16" xfId="0" applyFont="1" applyBorder="1"/>
    <xf numFmtId="0" fontId="0" fillId="0" borderId="20" xfId="0" applyBorder="1"/>
    <xf numFmtId="0" fontId="0" fillId="0" borderId="53" xfId="0" applyBorder="1"/>
    <xf numFmtId="0" fontId="1" fillId="0" borderId="20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45" fillId="32" borderId="0" xfId="0" applyFont="1" applyFill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3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  <xf numFmtId="0" fontId="0" fillId="0" borderId="0" xfId="0" applyFill="1" applyBorder="1"/>
    <xf numFmtId="0" fontId="41" fillId="0" borderId="58" xfId="1" applyFill="1" applyBorder="1" applyAlignment="1">
      <alignment horizontal="center" vertical="center"/>
    </xf>
    <xf numFmtId="0" fontId="0" fillId="0" borderId="94" xfId="0" applyFill="1" applyBorder="1"/>
    <xf numFmtId="0" fontId="41" fillId="0" borderId="58" xfId="1" applyFill="1" applyBorder="1" applyAlignment="1">
      <alignment horizontal="center" vertical="center"/>
    </xf>
    <xf numFmtId="0" fontId="41" fillId="0" borderId="85" xfId="1" applyFill="1" applyBorder="1" applyAlignment="1">
      <alignment horizontal="center" vertical="center"/>
    </xf>
    <xf numFmtId="0" fontId="11" fillId="42" borderId="83" xfId="0" applyFont="1" applyFill="1" applyBorder="1" applyAlignment="1">
      <alignment horizontal="center" vertical="center"/>
    </xf>
    <xf numFmtId="0" fontId="1" fillId="25" borderId="83" xfId="0" applyFont="1" applyFill="1" applyBorder="1" applyAlignment="1">
      <alignment horizontal="center" vertical="center"/>
    </xf>
    <xf numFmtId="0" fontId="41" fillId="0" borderId="85" xfId="1" applyFill="1" applyBorder="1" applyAlignment="1">
      <alignment horizontal="center" vertical="center"/>
    </xf>
    <xf numFmtId="0" fontId="11" fillId="41" borderId="101" xfId="0" applyFont="1" applyFill="1" applyBorder="1" applyAlignment="1">
      <alignment horizontal="center" vertical="center"/>
    </xf>
    <xf numFmtId="0" fontId="1" fillId="43" borderId="83" xfId="0" applyFont="1" applyFill="1" applyBorder="1" applyAlignment="1">
      <alignment horizontal="center" vertical="center"/>
    </xf>
    <xf numFmtId="0" fontId="1" fillId="21" borderId="83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101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48" fillId="8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A4ED"/>
      <color rgb="FF70AD47"/>
      <color rgb="FFA6FC95"/>
      <color rgb="FF8AE9FF"/>
      <color rgb="FF63BE7B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" Type="http://schemas.openxmlformats.org/officeDocument/2006/relationships/hyperlink" Target="http://learn.solent.ac.uk/course/search.php?search=COM415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search.php?q=COM619&amp;areaids=core_course-course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COM727" TargetMode="External"/><Relationship Id="rId13" Type="http://schemas.openxmlformats.org/officeDocument/2006/relationships/hyperlink" Target="http://learn.solent.ac.uk/course/search.php?search=COM727" TargetMode="External"/><Relationship Id="rId3" Type="http://schemas.openxmlformats.org/officeDocument/2006/relationships/hyperlink" Target="http://learn.solent.ac.uk/course/search.php?search=COM726" TargetMode="External"/><Relationship Id="rId7" Type="http://schemas.openxmlformats.org/officeDocument/2006/relationships/hyperlink" Target="http://learn.solent.ac.uk/course/search.php?search=COM728" TargetMode="External"/><Relationship Id="rId12" Type="http://schemas.openxmlformats.org/officeDocument/2006/relationships/hyperlink" Target="http://learn.solent.ac.uk/course/search.php?search=COM728" TargetMode="External"/><Relationship Id="rId2" Type="http://schemas.openxmlformats.org/officeDocument/2006/relationships/hyperlink" Target="http://learn.solent.ac.uk/course/search.php?search=COM725" TargetMode="External"/><Relationship Id="rId16" Type="http://schemas.openxmlformats.org/officeDocument/2006/relationships/hyperlink" Target="http://learn.solent.ac.uk/course/search.php?search=COM726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11" Type="http://schemas.openxmlformats.org/officeDocument/2006/relationships/hyperlink" Target="http://learn.solent.ac.uk/course/search.php?search=COM726" TargetMode="External"/><Relationship Id="rId5" Type="http://schemas.openxmlformats.org/officeDocument/2006/relationships/hyperlink" Target="http://learn.solent.ac.uk/course/search.php?search=COM728" TargetMode="External"/><Relationship Id="rId15" Type="http://schemas.openxmlformats.org/officeDocument/2006/relationships/hyperlink" Target="http://learn.solent.ac.uk/course/search.php?search=COM725" TargetMode="External"/><Relationship Id="rId10" Type="http://schemas.openxmlformats.org/officeDocument/2006/relationships/hyperlink" Target="http://learn.solent.ac.uk/course/search.php?search=COM725" TargetMode="External"/><Relationship Id="rId4" Type="http://schemas.openxmlformats.org/officeDocument/2006/relationships/hyperlink" Target="http://learn.solent.ac.uk/course/search.php?search=COM727" TargetMode="External"/><Relationship Id="rId9" Type="http://schemas.openxmlformats.org/officeDocument/2006/relationships/hyperlink" Target="http://learn.solent.ac.uk/course/search.php?search=COM724" TargetMode="External"/><Relationship Id="rId14" Type="http://schemas.openxmlformats.org/officeDocument/2006/relationships/hyperlink" Target="http://learn.solent.ac.uk/course/search.php?search=COM72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71" t="s">
        <v>0</v>
      </c>
      <c r="B1" s="872"/>
      <c r="C1" s="879" t="s">
        <v>1</v>
      </c>
      <c r="D1" s="881" t="s">
        <v>2</v>
      </c>
      <c r="E1" s="883" t="s">
        <v>3</v>
      </c>
      <c r="F1" s="885" t="s">
        <v>4</v>
      </c>
      <c r="G1" s="875" t="s">
        <v>5</v>
      </c>
      <c r="H1" s="877" t="s">
        <v>6</v>
      </c>
    </row>
    <row r="2" spans="1:8" ht="29.1" customHeight="1">
      <c r="A2" s="873"/>
      <c r="B2" s="874"/>
      <c r="C2" s="880"/>
      <c r="D2" s="882"/>
      <c r="E2" s="884"/>
      <c r="F2" s="886"/>
      <c r="G2" s="876"/>
      <c r="H2" s="878"/>
    </row>
    <row r="3" spans="1:8" ht="15">
      <c r="A3" s="36">
        <v>1</v>
      </c>
      <c r="B3" s="500" t="s">
        <v>7</v>
      </c>
      <c r="C3" s="83">
        <v>2</v>
      </c>
      <c r="D3" s="49"/>
      <c r="E3" s="82"/>
      <c r="F3" s="20">
        <v>2</v>
      </c>
      <c r="G3" s="61" t="s">
        <v>8</v>
      </c>
      <c r="H3" s="50"/>
    </row>
    <row r="4" spans="1:8" ht="15">
      <c r="A4" s="35">
        <v>2</v>
      </c>
      <c r="B4" s="501" t="s">
        <v>9</v>
      </c>
      <c r="C4" s="83">
        <v>2</v>
      </c>
      <c r="D4" s="49"/>
      <c r="E4" s="82"/>
      <c r="F4" s="89">
        <v>1</v>
      </c>
      <c r="G4" s="48" t="s">
        <v>10</v>
      </c>
      <c r="H4" s="51"/>
    </row>
    <row r="5" spans="1:8" ht="15">
      <c r="A5" s="36">
        <v>3</v>
      </c>
      <c r="B5" s="500" t="s">
        <v>11</v>
      </c>
      <c r="C5" s="83">
        <v>2</v>
      </c>
      <c r="D5" s="49"/>
      <c r="E5" s="82"/>
      <c r="F5" s="20">
        <v>1</v>
      </c>
      <c r="G5" s="47" t="s">
        <v>12</v>
      </c>
      <c r="H5" s="50"/>
    </row>
    <row r="6" spans="1:8" ht="15">
      <c r="A6" s="35">
        <v>4</v>
      </c>
      <c r="B6" s="501" t="s">
        <v>13</v>
      </c>
      <c r="C6" s="83">
        <v>2</v>
      </c>
      <c r="D6" s="49"/>
      <c r="E6" s="82"/>
      <c r="F6" s="89">
        <v>2</v>
      </c>
      <c r="G6" s="48" t="s">
        <v>12</v>
      </c>
      <c r="H6" s="51"/>
    </row>
    <row r="7" spans="1:8" ht="15">
      <c r="A7" s="36">
        <v>5</v>
      </c>
      <c r="B7" s="500" t="s">
        <v>14</v>
      </c>
      <c r="C7" s="83">
        <v>2</v>
      </c>
      <c r="D7" s="49"/>
      <c r="E7" s="82"/>
      <c r="F7" s="20">
        <v>2</v>
      </c>
      <c r="G7" s="47" t="s">
        <v>15</v>
      </c>
      <c r="H7" s="50"/>
    </row>
    <row r="8" spans="1:8" ht="16.5">
      <c r="A8" s="52">
        <v>6</v>
      </c>
      <c r="B8" s="502" t="s">
        <v>16</v>
      </c>
      <c r="C8" s="87">
        <v>2</v>
      </c>
      <c r="D8" s="53"/>
      <c r="E8" s="88"/>
      <c r="F8" s="90">
        <v>1</v>
      </c>
      <c r="G8" s="615" t="s">
        <v>17</v>
      </c>
      <c r="H8" s="54"/>
    </row>
    <row r="10" spans="1:8" ht="15.75" customHeight="1">
      <c r="B10" s="573" t="s">
        <v>18</v>
      </c>
    </row>
    <row r="11" spans="1:8" ht="15.75" customHeight="1">
      <c r="B11" s="134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25" t="s">
        <v>383</v>
      </c>
      <c r="B1" s="1026"/>
      <c r="C1" s="1027" t="s">
        <v>384</v>
      </c>
      <c r="D1" s="1028"/>
      <c r="E1" s="131"/>
      <c r="F1" s="131"/>
      <c r="G1" s="131"/>
    </row>
    <row r="2" spans="1:8">
      <c r="B2" s="133" t="s">
        <v>328</v>
      </c>
      <c r="C2" s="706" t="s">
        <v>6</v>
      </c>
      <c r="D2" s="9"/>
      <c r="F2" s="1008" t="s">
        <v>364</v>
      </c>
      <c r="G2" s="1009"/>
      <c r="H2" s="1010"/>
    </row>
    <row r="3" spans="1:8">
      <c r="A3" s="18">
        <v>1</v>
      </c>
      <c r="B3" s="224" t="s">
        <v>385</v>
      </c>
      <c r="C3" s="127" t="s">
        <v>8</v>
      </c>
      <c r="D3" s="10"/>
      <c r="F3" s="1019">
        <f>SUM('Supervision Load'!B7)</f>
        <v>6</v>
      </c>
      <c r="G3" s="1020"/>
      <c r="H3" s="1021"/>
    </row>
    <row r="4" spans="1:8">
      <c r="A4" s="123">
        <v>2</v>
      </c>
      <c r="B4" s="224" t="s">
        <v>386</v>
      </c>
      <c r="C4" s="127" t="s">
        <v>8</v>
      </c>
      <c r="D4" s="10"/>
      <c r="F4" s="1019"/>
      <c r="G4" s="1020"/>
      <c r="H4" s="1021"/>
    </row>
    <row r="5" spans="1:8">
      <c r="A5" s="12">
        <v>3</v>
      </c>
      <c r="B5" s="224" t="s">
        <v>387</v>
      </c>
      <c r="C5" s="127" t="s">
        <v>52</v>
      </c>
      <c r="D5" s="123"/>
      <c r="F5" s="1022"/>
      <c r="G5" s="1023"/>
      <c r="H5" s="1024"/>
    </row>
    <row r="6" spans="1:8">
      <c r="A6" s="123">
        <v>4</v>
      </c>
      <c r="B6" s="224" t="s">
        <v>388</v>
      </c>
      <c r="C6" s="127" t="s">
        <v>52</v>
      </c>
      <c r="D6" s="123"/>
    </row>
    <row r="7" spans="1:8">
      <c r="A7" s="12">
        <v>5</v>
      </c>
      <c r="B7" s="224" t="s">
        <v>389</v>
      </c>
      <c r="C7" s="707" t="s">
        <v>390</v>
      </c>
      <c r="D7" s="708"/>
    </row>
    <row r="8" spans="1:8">
      <c r="A8" s="123">
        <v>6</v>
      </c>
      <c r="B8" s="224" t="s">
        <v>391</v>
      </c>
      <c r="C8" s="127" t="s">
        <v>392</v>
      </c>
      <c r="D8" s="123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K3" sqref="K3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2" t="s">
        <v>252</v>
      </c>
      <c r="B1" s="132"/>
      <c r="C1" s="9" t="s">
        <v>393</v>
      </c>
      <c r="D1" s="131"/>
      <c r="E1" s="131"/>
      <c r="F1" s="131"/>
    </row>
    <row r="2" spans="1:16">
      <c r="B2" s="125" t="s">
        <v>328</v>
      </c>
      <c r="C2" s="133" t="s">
        <v>6</v>
      </c>
      <c r="E2" s="1008" t="s">
        <v>364</v>
      </c>
      <c r="F2" s="1009"/>
      <c r="G2" s="1010"/>
      <c r="I2" s="456" t="s">
        <v>394</v>
      </c>
      <c r="J2" s="38" t="s">
        <v>377</v>
      </c>
      <c r="K2" s="459" t="s">
        <v>379</v>
      </c>
      <c r="L2" s="454" t="s">
        <v>380</v>
      </c>
    </row>
    <row r="3" spans="1:16">
      <c r="A3" s="18">
        <v>1</v>
      </c>
      <c r="B3" s="224" t="s">
        <v>395</v>
      </c>
      <c r="C3" s="122" t="s">
        <v>396</v>
      </c>
      <c r="E3" s="1019">
        <f>SUM('Supervision Load'!B3)</f>
        <v>61</v>
      </c>
      <c r="F3" s="1020"/>
      <c r="G3" s="1021"/>
      <c r="H3">
        <v>1</v>
      </c>
      <c r="I3" s="457" t="s">
        <v>89</v>
      </c>
      <c r="J3" s="303">
        <v>6</v>
      </c>
      <c r="K3" s="460">
        <f>COUNTIF(C3:C63, "Drishty")</f>
        <v>6</v>
      </c>
      <c r="L3" s="293">
        <f>SUM(J3-K3)</f>
        <v>0</v>
      </c>
      <c r="M3" t="s">
        <v>397</v>
      </c>
    </row>
    <row r="4" spans="1:16">
      <c r="A4" s="123">
        <v>2</v>
      </c>
      <c r="B4" s="224" t="s">
        <v>398</v>
      </c>
      <c r="C4" s="122" t="s">
        <v>89</v>
      </c>
      <c r="E4" s="1019"/>
      <c r="F4" s="1020"/>
      <c r="G4" s="1021"/>
      <c r="H4">
        <v>2</v>
      </c>
      <c r="I4" s="70" t="s">
        <v>78</v>
      </c>
      <c r="J4" s="75">
        <v>4</v>
      </c>
      <c r="K4" s="460">
        <f>COUNTIF(C3:C64, "Shakeel")</f>
        <v>4</v>
      </c>
      <c r="L4" s="294">
        <f t="shared" ref="L4:L5" si="0">SUM(J4-K4)</f>
        <v>0</v>
      </c>
      <c r="M4" t="s">
        <v>399</v>
      </c>
    </row>
    <row r="5" spans="1:16">
      <c r="A5" s="12">
        <v>3</v>
      </c>
      <c r="B5" s="224" t="s">
        <v>400</v>
      </c>
      <c r="C5" s="122" t="s">
        <v>152</v>
      </c>
      <c r="E5" s="1022"/>
      <c r="F5" s="1023"/>
      <c r="G5" s="1024"/>
      <c r="H5">
        <v>3</v>
      </c>
      <c r="I5" s="70" t="s">
        <v>54</v>
      </c>
      <c r="J5" s="75">
        <v>8</v>
      </c>
      <c r="K5" s="461">
        <f>COUNTIF(C3:C63, "Jarutas")</f>
        <v>8</v>
      </c>
      <c r="L5" s="294">
        <f t="shared" si="0"/>
        <v>0</v>
      </c>
    </row>
    <row r="6" spans="1:16">
      <c r="A6" s="123">
        <v>4</v>
      </c>
      <c r="B6" s="224" t="s">
        <v>401</v>
      </c>
      <c r="C6" s="122" t="s">
        <v>54</v>
      </c>
      <c r="H6">
        <v>4</v>
      </c>
      <c r="I6" s="458" t="s">
        <v>152</v>
      </c>
      <c r="J6" s="304">
        <v>4</v>
      </c>
      <c r="K6" s="460">
        <f>COUNTIF(C3:C63, "Kashif")</f>
        <v>4</v>
      </c>
      <c r="L6" s="294">
        <f>SUM(J6-K6)</f>
        <v>0</v>
      </c>
      <c r="M6" s="1029" t="s">
        <v>402</v>
      </c>
      <c r="N6" s="1030"/>
      <c r="O6" s="1030"/>
      <c r="P6" s="1030"/>
    </row>
    <row r="7" spans="1:16">
      <c r="A7" s="12">
        <v>5</v>
      </c>
      <c r="B7" s="224" t="s">
        <v>403</v>
      </c>
      <c r="C7" s="223" t="s">
        <v>78</v>
      </c>
      <c r="H7">
        <v>5</v>
      </c>
      <c r="I7" s="458" t="s">
        <v>90</v>
      </c>
      <c r="J7" s="304">
        <v>3</v>
      </c>
      <c r="K7" s="460">
        <f>COUNTIF(C3:C67, "Pengfei")</f>
        <v>3</v>
      </c>
      <c r="L7" s="294">
        <f>SUM(J7-K7)</f>
        <v>0</v>
      </c>
      <c r="M7" t="s">
        <v>404</v>
      </c>
    </row>
    <row r="8" spans="1:16">
      <c r="A8" s="123">
        <v>6</v>
      </c>
      <c r="B8" s="224" t="s">
        <v>405</v>
      </c>
      <c r="C8" s="122" t="s">
        <v>54</v>
      </c>
      <c r="H8">
        <v>6</v>
      </c>
      <c r="I8" s="458" t="s">
        <v>274</v>
      </c>
      <c r="J8" s="304">
        <v>0</v>
      </c>
      <c r="K8" s="460">
        <f>COUNTIF(C3:C68, "Marc")</f>
        <v>0</v>
      </c>
      <c r="L8" s="455">
        <f>SUM(J8-K8)</f>
        <v>0</v>
      </c>
    </row>
    <row r="9" spans="1:16">
      <c r="A9" s="12">
        <v>7</v>
      </c>
      <c r="B9" s="224" t="s">
        <v>406</v>
      </c>
      <c r="C9" s="122" t="s">
        <v>407</v>
      </c>
      <c r="H9">
        <v>7</v>
      </c>
      <c r="I9" s="451" t="s">
        <v>408</v>
      </c>
      <c r="J9" s="468">
        <v>2</v>
      </c>
      <c r="K9" s="469">
        <v>0</v>
      </c>
      <c r="L9" s="470">
        <f>SUM(J9-K9)</f>
        <v>2</v>
      </c>
    </row>
    <row r="10" spans="1:16">
      <c r="A10" s="123">
        <v>8</v>
      </c>
      <c r="B10" s="415" t="s">
        <v>409</v>
      </c>
      <c r="C10" s="471" t="s">
        <v>408</v>
      </c>
      <c r="D10" t="s">
        <v>410</v>
      </c>
      <c r="J10" s="449">
        <f>SUM(J3:J9)</f>
        <v>27</v>
      </c>
      <c r="K10" s="450">
        <f>SUM(K3:K9)</f>
        <v>25</v>
      </c>
      <c r="L10" s="222">
        <f>SUM(L3:L9)</f>
        <v>2</v>
      </c>
    </row>
    <row r="11" spans="1:16">
      <c r="A11" s="12">
        <v>9</v>
      </c>
      <c r="B11" s="224" t="s">
        <v>411</v>
      </c>
      <c r="C11" s="122" t="s">
        <v>407</v>
      </c>
    </row>
    <row r="12" spans="1:16">
      <c r="A12" s="123">
        <v>10</v>
      </c>
      <c r="B12" s="224" t="s">
        <v>412</v>
      </c>
      <c r="C12" s="223" t="s">
        <v>413</v>
      </c>
      <c r="J12" s="5"/>
      <c r="K12" s="11"/>
    </row>
    <row r="13" spans="1:16">
      <c r="A13" s="12">
        <v>11</v>
      </c>
      <c r="B13" s="224" t="s">
        <v>414</v>
      </c>
      <c r="C13" s="122" t="s">
        <v>407</v>
      </c>
    </row>
    <row r="14" spans="1:16">
      <c r="A14" s="123">
        <v>12</v>
      </c>
      <c r="B14" s="224" t="s">
        <v>415</v>
      </c>
      <c r="C14" s="122" t="s">
        <v>413</v>
      </c>
    </row>
    <row r="15" spans="1:16">
      <c r="A15" s="12">
        <v>13</v>
      </c>
      <c r="B15" s="224" t="s">
        <v>416</v>
      </c>
      <c r="C15" s="122" t="s">
        <v>89</v>
      </c>
      <c r="I15" s="462" t="s">
        <v>417</v>
      </c>
      <c r="J15" s="229" t="s">
        <v>377</v>
      </c>
      <c r="K15" s="464" t="s">
        <v>379</v>
      </c>
      <c r="L15" s="452" t="s">
        <v>380</v>
      </c>
    </row>
    <row r="16" spans="1:16">
      <c r="A16" s="123">
        <v>14</v>
      </c>
      <c r="B16" s="224" t="s">
        <v>418</v>
      </c>
      <c r="C16" s="122" t="s">
        <v>54</v>
      </c>
      <c r="H16">
        <v>1</v>
      </c>
      <c r="I16" s="70" t="s">
        <v>413</v>
      </c>
      <c r="J16" s="311">
        <v>9</v>
      </c>
      <c r="K16" s="465">
        <f>COUNTIF(C3:C76, "Muntasir")</f>
        <v>9</v>
      </c>
      <c r="L16" s="453">
        <f>SUM(J16-K16)</f>
        <v>0</v>
      </c>
      <c r="M16" t="s">
        <v>419</v>
      </c>
    </row>
    <row r="17" spans="1:13">
      <c r="A17" s="12">
        <v>15</v>
      </c>
      <c r="B17" s="224" t="s">
        <v>420</v>
      </c>
      <c r="C17" s="223" t="s">
        <v>407</v>
      </c>
      <c r="H17">
        <v>2</v>
      </c>
      <c r="I17" s="70" t="s">
        <v>407</v>
      </c>
      <c r="J17" s="311">
        <v>8</v>
      </c>
      <c r="K17" s="466">
        <f>COUNTIF(C3:C63, "Hamid")</f>
        <v>8</v>
      </c>
      <c r="L17" s="453">
        <f>SUM(J17-K17)</f>
        <v>0</v>
      </c>
    </row>
    <row r="18" spans="1:13">
      <c r="A18" s="123">
        <v>16</v>
      </c>
      <c r="B18" s="224" t="s">
        <v>421</v>
      </c>
      <c r="C18" s="122" t="s">
        <v>413</v>
      </c>
      <c r="H18">
        <v>3</v>
      </c>
      <c r="I18" s="70" t="s">
        <v>422</v>
      </c>
      <c r="J18" s="311">
        <v>9</v>
      </c>
      <c r="K18" s="465">
        <f>COUNTIF(C3:C78, "Peyman")</f>
        <v>9</v>
      </c>
      <c r="L18" s="453">
        <f>SUM(J18-K18)</f>
        <v>0</v>
      </c>
      <c r="M18" t="s">
        <v>423</v>
      </c>
    </row>
    <row r="19" spans="1:13">
      <c r="A19" s="12">
        <v>17</v>
      </c>
      <c r="B19" s="224" t="s">
        <v>424</v>
      </c>
      <c r="C19" s="223" t="s">
        <v>422</v>
      </c>
      <c r="H19">
        <v>4</v>
      </c>
      <c r="I19" s="69" t="s">
        <v>396</v>
      </c>
      <c r="J19" s="315">
        <v>8</v>
      </c>
      <c r="K19" s="467">
        <f>COUNTIF(C3:C63, "Femi")</f>
        <v>8</v>
      </c>
      <c r="L19" s="463">
        <f>SUM(J19-K19)</f>
        <v>0</v>
      </c>
    </row>
    <row r="20" spans="1:13">
      <c r="A20" s="123">
        <v>18</v>
      </c>
      <c r="B20" s="224" t="s">
        <v>425</v>
      </c>
      <c r="C20" s="122" t="s">
        <v>78</v>
      </c>
      <c r="J20" s="277">
        <f>SUM(J16:J19)</f>
        <v>34</v>
      </c>
      <c r="K20" s="295">
        <f>SUM(K16:K19)</f>
        <v>34</v>
      </c>
      <c r="L20" s="448">
        <f>SUM(L16:L19)</f>
        <v>0</v>
      </c>
    </row>
    <row r="21" spans="1:13">
      <c r="A21" s="12">
        <v>19</v>
      </c>
      <c r="B21" s="612" t="s">
        <v>426</v>
      </c>
      <c r="C21" s="471" t="s">
        <v>408</v>
      </c>
      <c r="D21" t="s">
        <v>427</v>
      </c>
    </row>
    <row r="22" spans="1:13">
      <c r="A22" s="123">
        <v>20</v>
      </c>
      <c r="B22" s="224" t="s">
        <v>428</v>
      </c>
      <c r="C22" s="122" t="s">
        <v>422</v>
      </c>
      <c r="K22" s="297" t="s">
        <v>379</v>
      </c>
      <c r="L22" s="296" t="s">
        <v>380</v>
      </c>
    </row>
    <row r="23" spans="1:13">
      <c r="A23" s="12">
        <v>21</v>
      </c>
      <c r="B23" s="224" t="s">
        <v>429</v>
      </c>
      <c r="C23" s="122" t="s">
        <v>396</v>
      </c>
      <c r="K23" s="279">
        <f>SUM(K10,K20)</f>
        <v>59</v>
      </c>
      <c r="L23" s="278">
        <f>SUM(L10+L20)</f>
        <v>2</v>
      </c>
    </row>
    <row r="24" spans="1:13">
      <c r="A24" s="123">
        <v>22</v>
      </c>
      <c r="B24" s="224" t="s">
        <v>430</v>
      </c>
      <c r="C24" s="223" t="s">
        <v>54</v>
      </c>
    </row>
    <row r="25" spans="1:13">
      <c r="A25" s="12">
        <v>23</v>
      </c>
      <c r="B25" s="224" t="s">
        <v>431</v>
      </c>
      <c r="C25" s="122" t="s">
        <v>89</v>
      </c>
    </row>
    <row r="26" spans="1:13">
      <c r="A26" s="123">
        <v>24</v>
      </c>
      <c r="B26" s="224" t="s">
        <v>432</v>
      </c>
      <c r="C26" s="223" t="s">
        <v>422</v>
      </c>
    </row>
    <row r="27" spans="1:13">
      <c r="A27" s="12">
        <v>25</v>
      </c>
      <c r="B27" s="224" t="s">
        <v>433</v>
      </c>
      <c r="C27" s="122" t="s">
        <v>396</v>
      </c>
    </row>
    <row r="28" spans="1:13">
      <c r="A28" s="123">
        <v>26</v>
      </c>
      <c r="B28" s="224" t="s">
        <v>434</v>
      </c>
      <c r="C28" s="122" t="s">
        <v>413</v>
      </c>
    </row>
    <row r="29" spans="1:13">
      <c r="A29" s="12">
        <v>27</v>
      </c>
      <c r="B29" s="224" t="s">
        <v>435</v>
      </c>
      <c r="C29" s="223" t="s">
        <v>422</v>
      </c>
    </row>
    <row r="30" spans="1:13">
      <c r="A30" s="123">
        <v>28</v>
      </c>
      <c r="B30" s="224" t="s">
        <v>436</v>
      </c>
      <c r="C30" s="122" t="s">
        <v>89</v>
      </c>
    </row>
    <row r="31" spans="1:13">
      <c r="A31" s="12">
        <v>29</v>
      </c>
      <c r="B31" s="224" t="s">
        <v>437</v>
      </c>
      <c r="C31" s="223" t="s">
        <v>54</v>
      </c>
    </row>
    <row r="32" spans="1:13">
      <c r="A32" s="123">
        <v>30</v>
      </c>
      <c r="B32" s="124" t="s">
        <v>438</v>
      </c>
      <c r="C32" s="225" t="s">
        <v>422</v>
      </c>
    </row>
    <row r="33" spans="1:3">
      <c r="A33" s="12">
        <v>31</v>
      </c>
      <c r="B33" s="124" t="s">
        <v>439</v>
      </c>
      <c r="C33" s="122" t="s">
        <v>90</v>
      </c>
    </row>
    <row r="34" spans="1:3">
      <c r="A34" s="123">
        <v>32</v>
      </c>
      <c r="B34" s="124" t="s">
        <v>440</v>
      </c>
      <c r="C34" s="122" t="s">
        <v>407</v>
      </c>
    </row>
    <row r="35" spans="1:3">
      <c r="A35" s="12">
        <v>33</v>
      </c>
      <c r="B35" s="124" t="s">
        <v>441</v>
      </c>
      <c r="C35" s="122" t="s">
        <v>54</v>
      </c>
    </row>
    <row r="36" spans="1:3">
      <c r="A36" s="123">
        <v>34</v>
      </c>
      <c r="B36" s="124" t="s">
        <v>442</v>
      </c>
      <c r="C36" s="122" t="s">
        <v>413</v>
      </c>
    </row>
    <row r="37" spans="1:3">
      <c r="A37" s="12">
        <v>35</v>
      </c>
      <c r="B37" s="124" t="s">
        <v>443</v>
      </c>
      <c r="C37" s="122" t="s">
        <v>89</v>
      </c>
    </row>
    <row r="38" spans="1:3">
      <c r="A38" s="123">
        <v>36</v>
      </c>
      <c r="B38" s="124" t="s">
        <v>444</v>
      </c>
      <c r="C38" s="122" t="s">
        <v>90</v>
      </c>
    </row>
    <row r="39" spans="1:3">
      <c r="A39" s="12">
        <v>37</v>
      </c>
      <c r="B39" s="124" t="s">
        <v>445</v>
      </c>
      <c r="C39" s="122" t="s">
        <v>413</v>
      </c>
    </row>
    <row r="40" spans="1:3">
      <c r="A40" s="123">
        <v>38</v>
      </c>
      <c r="B40" s="124" t="s">
        <v>446</v>
      </c>
      <c r="C40" s="122" t="s">
        <v>407</v>
      </c>
    </row>
    <row r="41" spans="1:3">
      <c r="A41" s="12">
        <v>39</v>
      </c>
      <c r="B41" s="124" t="s">
        <v>447</v>
      </c>
      <c r="C41" s="122" t="s">
        <v>152</v>
      </c>
    </row>
    <row r="42" spans="1:3">
      <c r="A42" s="123">
        <v>40</v>
      </c>
      <c r="B42" s="124" t="s">
        <v>448</v>
      </c>
      <c r="C42" s="122" t="s">
        <v>413</v>
      </c>
    </row>
    <row r="43" spans="1:3">
      <c r="A43" s="12">
        <v>41</v>
      </c>
      <c r="B43" s="124" t="s">
        <v>449</v>
      </c>
      <c r="C43" s="10" t="s">
        <v>152</v>
      </c>
    </row>
    <row r="44" spans="1:3">
      <c r="A44" s="123">
        <v>42</v>
      </c>
      <c r="B44" s="124" t="s">
        <v>450</v>
      </c>
      <c r="C44" s="10" t="s">
        <v>396</v>
      </c>
    </row>
    <row r="45" spans="1:3">
      <c r="A45" s="12">
        <v>43</v>
      </c>
      <c r="B45" s="124" t="s">
        <v>451</v>
      </c>
      <c r="C45" s="10" t="s">
        <v>396</v>
      </c>
    </row>
    <row r="46" spans="1:3">
      <c r="A46" s="123">
        <v>44</v>
      </c>
      <c r="B46" s="124" t="s">
        <v>452</v>
      </c>
      <c r="C46" s="10" t="s">
        <v>54</v>
      </c>
    </row>
    <row r="47" spans="1:3">
      <c r="A47" s="12">
        <v>45</v>
      </c>
      <c r="B47" s="124" t="s">
        <v>453</v>
      </c>
      <c r="C47" s="10" t="s">
        <v>152</v>
      </c>
    </row>
    <row r="48" spans="1:3">
      <c r="A48" s="123">
        <v>46</v>
      </c>
      <c r="B48" s="124" t="s">
        <v>454</v>
      </c>
      <c r="C48" s="10" t="s">
        <v>396</v>
      </c>
    </row>
    <row r="49" spans="1:3">
      <c r="A49" s="12">
        <v>47</v>
      </c>
      <c r="B49" s="124" t="s">
        <v>455</v>
      </c>
      <c r="C49" s="10" t="s">
        <v>89</v>
      </c>
    </row>
    <row r="50" spans="1:3">
      <c r="A50" s="123">
        <v>48</v>
      </c>
      <c r="B50" s="124" t="s">
        <v>456</v>
      </c>
      <c r="C50" s="10" t="s">
        <v>54</v>
      </c>
    </row>
    <row r="51" spans="1:3">
      <c r="A51" s="12">
        <v>49</v>
      </c>
      <c r="B51" s="124" t="s">
        <v>457</v>
      </c>
      <c r="C51" s="10" t="s">
        <v>422</v>
      </c>
    </row>
    <row r="52" spans="1:3">
      <c r="A52" s="123">
        <v>50</v>
      </c>
      <c r="B52" s="124" t="s">
        <v>458</v>
      </c>
      <c r="C52" s="10" t="s">
        <v>413</v>
      </c>
    </row>
    <row r="53" spans="1:3">
      <c r="A53" s="12">
        <v>51</v>
      </c>
      <c r="B53" s="124" t="s">
        <v>459</v>
      </c>
      <c r="C53" s="10" t="s">
        <v>396</v>
      </c>
    </row>
    <row r="54" spans="1:3">
      <c r="A54" s="123">
        <v>52</v>
      </c>
      <c r="B54" s="124" t="s">
        <v>460</v>
      </c>
      <c r="C54" s="10" t="s">
        <v>407</v>
      </c>
    </row>
    <row r="55" spans="1:3">
      <c r="A55" s="12">
        <v>53</v>
      </c>
      <c r="B55" s="124" t="s">
        <v>461</v>
      </c>
      <c r="C55" s="10" t="s">
        <v>422</v>
      </c>
    </row>
    <row r="56" spans="1:3">
      <c r="A56" s="123">
        <v>54</v>
      </c>
      <c r="B56" s="124" t="s">
        <v>462</v>
      </c>
      <c r="C56" s="10" t="s">
        <v>422</v>
      </c>
    </row>
    <row r="57" spans="1:3">
      <c r="A57" s="12">
        <v>55</v>
      </c>
      <c r="B57" s="124" t="s">
        <v>463</v>
      </c>
      <c r="C57" s="10" t="s">
        <v>413</v>
      </c>
    </row>
    <row r="58" spans="1:3">
      <c r="A58" s="123">
        <v>56</v>
      </c>
      <c r="B58" s="124" t="s">
        <v>464</v>
      </c>
      <c r="C58" s="10" t="s">
        <v>422</v>
      </c>
    </row>
    <row r="59" spans="1:3">
      <c r="A59" s="12">
        <v>57</v>
      </c>
      <c r="B59" s="124" t="s">
        <v>465</v>
      </c>
      <c r="C59" s="10" t="s">
        <v>396</v>
      </c>
    </row>
    <row r="60" spans="1:3">
      <c r="A60" s="123">
        <v>58</v>
      </c>
      <c r="B60" s="130" t="s">
        <v>466</v>
      </c>
      <c r="C60" s="195" t="s">
        <v>407</v>
      </c>
    </row>
    <row r="61" spans="1:3">
      <c r="A61" s="18">
        <v>59</v>
      </c>
      <c r="B61" s="281" t="s">
        <v>467</v>
      </c>
      <c r="C61" s="281" t="s">
        <v>78</v>
      </c>
    </row>
    <row r="62" spans="1:3">
      <c r="A62" s="12">
        <v>60</v>
      </c>
      <c r="B62" s="290" t="s">
        <v>468</v>
      </c>
      <c r="C62" s="290" t="s">
        <v>78</v>
      </c>
    </row>
    <row r="63" spans="1:3">
      <c r="A63" s="128">
        <v>61</v>
      </c>
      <c r="B63" s="298" t="s">
        <v>469</v>
      </c>
      <c r="C63" s="129" t="s">
        <v>90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N115"/>
  <sheetViews>
    <sheetView workbookViewId="0">
      <selection sqref="A1:E1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31" t="s">
        <v>470</v>
      </c>
      <c r="B1" s="1032"/>
      <c r="C1" s="1032"/>
      <c r="D1" s="1032"/>
      <c r="E1" s="1033"/>
      <c r="F1" s="131"/>
      <c r="G1" s="131"/>
    </row>
    <row r="2" spans="1:14" ht="15.75" customHeight="1">
      <c r="A2" s="870" t="s">
        <v>471</v>
      </c>
      <c r="B2" s="98" t="s">
        <v>328</v>
      </c>
      <c r="C2" s="98" t="s">
        <v>472</v>
      </c>
      <c r="D2" s="610" t="s">
        <v>473</v>
      </c>
      <c r="E2" s="98" t="s">
        <v>6</v>
      </c>
      <c r="G2" s="1037" t="s">
        <v>474</v>
      </c>
      <c r="H2" s="1038"/>
      <c r="I2" s="1039"/>
      <c r="K2" s="836" t="s">
        <v>394</v>
      </c>
      <c r="L2" s="837" t="s">
        <v>377</v>
      </c>
      <c r="M2" s="838" t="s">
        <v>379</v>
      </c>
      <c r="N2" s="839" t="s">
        <v>475</v>
      </c>
    </row>
    <row r="3" spans="1:14" ht="16.5">
      <c r="A3" s="123">
        <v>1</v>
      </c>
      <c r="B3" s="833" t="s">
        <v>476</v>
      </c>
      <c r="C3" s="833" t="s">
        <v>477</v>
      </c>
      <c r="D3" s="833" t="s">
        <v>252</v>
      </c>
      <c r="E3" s="833" t="s">
        <v>478</v>
      </c>
      <c r="G3" s="1034">
        <v>109</v>
      </c>
      <c r="H3" s="1035"/>
      <c r="I3" s="1036"/>
      <c r="J3">
        <v>1</v>
      </c>
      <c r="K3" s="840" t="s">
        <v>478</v>
      </c>
      <c r="L3" s="841">
        <v>4</v>
      </c>
      <c r="M3" s="842">
        <f>COUNTIF(E3:E120, "Drishty Sobnath")</f>
        <v>4</v>
      </c>
      <c r="N3" s="843">
        <f>SUM(L3-M3)</f>
        <v>0</v>
      </c>
    </row>
    <row r="4" spans="1:14">
      <c r="A4" s="12">
        <v>2</v>
      </c>
      <c r="B4" s="833" t="s">
        <v>479</v>
      </c>
      <c r="C4" s="833" t="s">
        <v>480</v>
      </c>
      <c r="D4" s="833" t="s">
        <v>252</v>
      </c>
      <c r="E4" s="833" t="s">
        <v>478</v>
      </c>
      <c r="G4" s="1022"/>
      <c r="H4" s="1023"/>
      <c r="I4" s="1024"/>
      <c r="J4">
        <v>2</v>
      </c>
      <c r="K4" s="832" t="s">
        <v>481</v>
      </c>
      <c r="L4" s="841">
        <v>4</v>
      </c>
      <c r="M4" s="842">
        <f>COUNTIF(E3:E120, "Shakeel Ahmad")</f>
        <v>2</v>
      </c>
      <c r="N4" s="843">
        <f>SUM(L4-M4)</f>
        <v>2</v>
      </c>
    </row>
    <row r="5" spans="1:14" ht="18" customHeight="1">
      <c r="A5" s="123">
        <v>3</v>
      </c>
      <c r="B5" s="833" t="s">
        <v>482</v>
      </c>
      <c r="C5" s="833" t="s">
        <v>483</v>
      </c>
      <c r="D5" s="833" t="s">
        <v>252</v>
      </c>
      <c r="E5" s="833" t="s">
        <v>478</v>
      </c>
      <c r="G5" s="314"/>
      <c r="H5" s="314"/>
      <c r="I5" s="314"/>
      <c r="J5">
        <v>3</v>
      </c>
      <c r="K5" s="832" t="s">
        <v>484</v>
      </c>
      <c r="L5" s="841">
        <v>4</v>
      </c>
      <c r="M5" s="842">
        <f>COUNTIF(E3:E120, "Jarutas Andritsch")</f>
        <v>4</v>
      </c>
      <c r="N5" s="843">
        <f>SUM(L5-M5)</f>
        <v>0</v>
      </c>
    </row>
    <row r="6" spans="1:14">
      <c r="A6" s="123">
        <v>4</v>
      </c>
      <c r="B6" s="833" t="s">
        <v>485</v>
      </c>
      <c r="C6" s="833" t="s">
        <v>486</v>
      </c>
      <c r="D6" s="833" t="s">
        <v>252</v>
      </c>
      <c r="E6" s="833" t="s">
        <v>478</v>
      </c>
      <c r="J6">
        <v>4</v>
      </c>
      <c r="K6" s="832" t="s">
        <v>487</v>
      </c>
      <c r="L6" s="841">
        <v>4</v>
      </c>
      <c r="M6" s="842">
        <f>COUNTIF(E3:E120, "Kashif Talpur")</f>
        <v>4</v>
      </c>
      <c r="N6" s="843">
        <f>SUM(L6-M6)</f>
        <v>0</v>
      </c>
    </row>
    <row r="7" spans="1:14">
      <c r="A7" s="12">
        <v>5</v>
      </c>
      <c r="B7" s="833" t="s">
        <v>488</v>
      </c>
      <c r="C7" s="833" t="s">
        <v>489</v>
      </c>
      <c r="D7" s="833" t="s">
        <v>252</v>
      </c>
      <c r="E7" s="833" t="s">
        <v>481</v>
      </c>
      <c r="J7">
        <v>5</v>
      </c>
      <c r="K7" s="832" t="s">
        <v>490</v>
      </c>
      <c r="L7" s="841">
        <v>6</v>
      </c>
      <c r="M7" s="842">
        <f>COUNTIF(E3:E120, "Pengfei Xue")</f>
        <v>6</v>
      </c>
      <c r="N7" s="843">
        <f>SUM(L7-M7)</f>
        <v>0</v>
      </c>
    </row>
    <row r="8" spans="1:14">
      <c r="A8" s="123">
        <v>6</v>
      </c>
      <c r="B8" s="833" t="s">
        <v>491</v>
      </c>
      <c r="C8" s="833" t="s">
        <v>492</v>
      </c>
      <c r="D8" s="833" t="s">
        <v>252</v>
      </c>
      <c r="E8" s="833" t="s">
        <v>481</v>
      </c>
      <c r="J8">
        <v>6</v>
      </c>
      <c r="K8" s="832" t="s">
        <v>493</v>
      </c>
      <c r="L8" s="841">
        <v>6</v>
      </c>
      <c r="M8" s="842">
        <f>COUNTIF(E3:E120, "Bacha Rehman")</f>
        <v>6</v>
      </c>
      <c r="N8" s="843">
        <f>SUM(L8-M8)</f>
        <v>0</v>
      </c>
    </row>
    <row r="9" spans="1:14">
      <c r="A9" s="123">
        <v>7</v>
      </c>
      <c r="B9" s="833" t="s">
        <v>494</v>
      </c>
      <c r="C9" s="833" t="s">
        <v>495</v>
      </c>
      <c r="D9" s="833" t="s">
        <v>252</v>
      </c>
      <c r="E9" s="833" t="s">
        <v>484</v>
      </c>
      <c r="J9">
        <v>7</v>
      </c>
      <c r="K9" s="844" t="s">
        <v>496</v>
      </c>
      <c r="L9" s="841">
        <v>8</v>
      </c>
      <c r="M9" s="842">
        <f>COUNTIF(E3:E120, "Raza Hasan")</f>
        <v>6</v>
      </c>
      <c r="N9" s="843">
        <f>SUM(L9-M9)</f>
        <v>2</v>
      </c>
    </row>
    <row r="10" spans="1:14">
      <c r="A10" s="12">
        <v>8</v>
      </c>
      <c r="B10" s="833" t="s">
        <v>497</v>
      </c>
      <c r="C10" s="833" t="s">
        <v>498</v>
      </c>
      <c r="D10" s="833" t="s">
        <v>252</v>
      </c>
      <c r="E10" s="833" t="s">
        <v>484</v>
      </c>
      <c r="J10">
        <v>8</v>
      </c>
      <c r="K10" s="845" t="s">
        <v>499</v>
      </c>
      <c r="L10" s="846">
        <v>2</v>
      </c>
      <c r="M10" s="842">
        <f>COUNTIF(E3:E120, "Taiwo Ayodele")</f>
        <v>2</v>
      </c>
      <c r="N10" s="843">
        <f>SUM(L10-M10)</f>
        <v>0</v>
      </c>
    </row>
    <row r="11" spans="1:14">
      <c r="A11" s="123">
        <v>9</v>
      </c>
      <c r="B11" s="833" t="s">
        <v>500</v>
      </c>
      <c r="C11" s="833" t="s">
        <v>501</v>
      </c>
      <c r="D11" s="833" t="s">
        <v>252</v>
      </c>
      <c r="E11" s="833" t="s">
        <v>484</v>
      </c>
      <c r="J11">
        <v>9</v>
      </c>
      <c r="K11" s="834" t="s">
        <v>502</v>
      </c>
      <c r="L11" s="847" t="s">
        <v>502</v>
      </c>
      <c r="M11" s="842">
        <v>0</v>
      </c>
      <c r="N11" s="843">
        <v>0</v>
      </c>
    </row>
    <row r="12" spans="1:14">
      <c r="A12" s="123">
        <v>10</v>
      </c>
      <c r="B12" s="833" t="s">
        <v>503</v>
      </c>
      <c r="C12" s="833" t="s">
        <v>504</v>
      </c>
      <c r="D12" s="833" t="s">
        <v>252</v>
      </c>
      <c r="E12" s="833" t="s">
        <v>484</v>
      </c>
      <c r="J12">
        <v>10</v>
      </c>
      <c r="K12" s="835" t="s">
        <v>502</v>
      </c>
      <c r="L12" s="848" t="s">
        <v>502</v>
      </c>
      <c r="M12" s="842">
        <v>0</v>
      </c>
      <c r="N12" s="843">
        <v>0</v>
      </c>
    </row>
    <row r="13" spans="1:14">
      <c r="A13" s="12">
        <v>11</v>
      </c>
      <c r="B13" s="833" t="s">
        <v>505</v>
      </c>
      <c r="C13" s="833" t="s">
        <v>506</v>
      </c>
      <c r="D13" s="833" t="s">
        <v>252</v>
      </c>
      <c r="E13" s="833" t="s">
        <v>487</v>
      </c>
      <c r="J13">
        <v>11</v>
      </c>
      <c r="K13" s="849" t="s">
        <v>502</v>
      </c>
      <c r="L13" s="829"/>
      <c r="M13" s="850">
        <v>0</v>
      </c>
      <c r="N13" s="843">
        <v>0</v>
      </c>
    </row>
    <row r="14" spans="1:14">
      <c r="A14" s="123">
        <v>12</v>
      </c>
      <c r="B14" s="833" t="s">
        <v>507</v>
      </c>
      <c r="C14" s="833" t="s">
        <v>508</v>
      </c>
      <c r="D14" s="833" t="s">
        <v>252</v>
      </c>
      <c r="E14" s="833" t="s">
        <v>487</v>
      </c>
      <c r="K14" s="829"/>
      <c r="L14" s="851">
        <v>38</v>
      </c>
      <c r="M14" s="852">
        <v>34</v>
      </c>
      <c r="N14" s="829"/>
    </row>
    <row r="15" spans="1:14">
      <c r="A15" s="123">
        <v>13</v>
      </c>
      <c r="B15" s="833" t="s">
        <v>509</v>
      </c>
      <c r="C15" s="833" t="s">
        <v>510</v>
      </c>
      <c r="D15" s="833" t="s">
        <v>252</v>
      </c>
      <c r="E15" s="833" t="s">
        <v>487</v>
      </c>
    </row>
    <row r="16" spans="1:14">
      <c r="A16" s="12">
        <v>14</v>
      </c>
      <c r="B16" s="833" t="s">
        <v>511</v>
      </c>
      <c r="C16" s="833" t="s">
        <v>512</v>
      </c>
      <c r="D16" s="833" t="s">
        <v>252</v>
      </c>
      <c r="E16" s="833" t="s">
        <v>487</v>
      </c>
      <c r="K16" s="777" t="s">
        <v>417</v>
      </c>
      <c r="L16" s="778"/>
      <c r="M16" s="578"/>
      <c r="N16" s="779"/>
    </row>
    <row r="17" spans="1:14">
      <c r="A17" s="123">
        <v>15</v>
      </c>
      <c r="B17" s="833" t="s">
        <v>513</v>
      </c>
      <c r="C17" s="833" t="s">
        <v>514</v>
      </c>
      <c r="D17" s="833" t="s">
        <v>252</v>
      </c>
      <c r="E17" s="833" t="s">
        <v>490</v>
      </c>
      <c r="J17">
        <v>1</v>
      </c>
      <c r="K17" s="831" t="s">
        <v>515</v>
      </c>
      <c r="L17" s="853">
        <v>8</v>
      </c>
      <c r="M17" s="854">
        <v>8</v>
      </c>
      <c r="N17" s="855">
        <f>SUM(L17-M17)</f>
        <v>0</v>
      </c>
    </row>
    <row r="18" spans="1:14">
      <c r="A18" s="123">
        <v>16</v>
      </c>
      <c r="B18" s="833" t="s">
        <v>516</v>
      </c>
      <c r="C18" s="833" t="s">
        <v>517</v>
      </c>
      <c r="D18" s="833" t="s">
        <v>252</v>
      </c>
      <c r="E18" s="833" t="s">
        <v>490</v>
      </c>
      <c r="J18">
        <v>2</v>
      </c>
      <c r="K18" s="832" t="s">
        <v>518</v>
      </c>
      <c r="L18" s="856">
        <v>8</v>
      </c>
      <c r="M18" s="857">
        <v>8</v>
      </c>
      <c r="N18" s="855">
        <f>SUM(L18-M18)</f>
        <v>0</v>
      </c>
    </row>
    <row r="19" spans="1:14">
      <c r="A19" s="12">
        <v>17</v>
      </c>
      <c r="B19" s="833" t="s">
        <v>519</v>
      </c>
      <c r="C19" s="833" t="s">
        <v>520</v>
      </c>
      <c r="D19" s="833" t="s">
        <v>252</v>
      </c>
      <c r="E19" s="833" t="s">
        <v>490</v>
      </c>
      <c r="J19">
        <v>3</v>
      </c>
      <c r="K19" s="832" t="s">
        <v>521</v>
      </c>
      <c r="L19" s="856">
        <v>8</v>
      </c>
      <c r="M19" s="857">
        <v>8</v>
      </c>
      <c r="N19" s="855">
        <f>SUM(L19-M19)</f>
        <v>0</v>
      </c>
    </row>
    <row r="20" spans="1:14">
      <c r="A20" s="123">
        <v>18</v>
      </c>
      <c r="B20" s="833" t="s">
        <v>522</v>
      </c>
      <c r="C20" s="833" t="s">
        <v>523</v>
      </c>
      <c r="D20" s="833" t="s">
        <v>252</v>
      </c>
      <c r="E20" s="833" t="s">
        <v>490</v>
      </c>
      <c r="J20">
        <v>4</v>
      </c>
      <c r="K20" s="832" t="s">
        <v>524</v>
      </c>
      <c r="L20" s="856">
        <v>8</v>
      </c>
      <c r="M20" s="858">
        <v>8</v>
      </c>
      <c r="N20" s="855">
        <f>SUM(L20-M20)</f>
        <v>0</v>
      </c>
    </row>
    <row r="21" spans="1:14">
      <c r="A21" s="123">
        <v>19</v>
      </c>
      <c r="B21" s="833" t="s">
        <v>525</v>
      </c>
      <c r="C21" s="833" t="s">
        <v>526</v>
      </c>
      <c r="D21" s="833" t="s">
        <v>252</v>
      </c>
      <c r="E21" s="833" t="s">
        <v>490</v>
      </c>
      <c r="J21">
        <v>5</v>
      </c>
      <c r="K21" s="832" t="s">
        <v>527</v>
      </c>
      <c r="L21" s="856">
        <v>8</v>
      </c>
      <c r="M21" s="858">
        <v>8</v>
      </c>
      <c r="N21" s="855">
        <f>SUM(L21-M21)</f>
        <v>0</v>
      </c>
    </row>
    <row r="22" spans="1:14">
      <c r="A22" s="12">
        <v>20</v>
      </c>
      <c r="B22" s="833" t="s">
        <v>528</v>
      </c>
      <c r="C22" s="833" t="s">
        <v>529</v>
      </c>
      <c r="D22" s="833" t="s">
        <v>252</v>
      </c>
      <c r="E22" s="833" t="s">
        <v>490</v>
      </c>
      <c r="J22">
        <v>6</v>
      </c>
      <c r="K22" s="832" t="s">
        <v>530</v>
      </c>
      <c r="L22" s="856">
        <v>8</v>
      </c>
      <c r="M22" s="858">
        <v>8</v>
      </c>
      <c r="N22" s="855">
        <f>SUM(L22-M22)</f>
        <v>0</v>
      </c>
    </row>
    <row r="23" spans="1:14">
      <c r="A23" s="123">
        <v>21</v>
      </c>
      <c r="B23" s="833" t="s">
        <v>531</v>
      </c>
      <c r="C23" s="833" t="s">
        <v>532</v>
      </c>
      <c r="D23" s="833" t="s">
        <v>252</v>
      </c>
      <c r="E23" s="833" t="s">
        <v>493</v>
      </c>
      <c r="J23">
        <v>7</v>
      </c>
      <c r="K23" s="832" t="s">
        <v>533</v>
      </c>
      <c r="L23" s="856">
        <v>8</v>
      </c>
      <c r="M23" s="858">
        <v>8</v>
      </c>
      <c r="N23" s="855">
        <f>SUM(L23-M23)</f>
        <v>0</v>
      </c>
    </row>
    <row r="24" spans="1:14">
      <c r="A24" s="123">
        <v>22</v>
      </c>
      <c r="B24" s="833" t="s">
        <v>534</v>
      </c>
      <c r="C24" s="833" t="s">
        <v>535</v>
      </c>
      <c r="D24" s="833" t="s">
        <v>252</v>
      </c>
      <c r="E24" s="833" t="s">
        <v>493</v>
      </c>
      <c r="J24">
        <v>8</v>
      </c>
      <c r="K24" s="832" t="s">
        <v>536</v>
      </c>
      <c r="L24" s="856">
        <v>8</v>
      </c>
      <c r="M24" s="858">
        <v>8</v>
      </c>
      <c r="N24" s="855">
        <f>SUM(L24-M24)</f>
        <v>0</v>
      </c>
    </row>
    <row r="25" spans="1:14">
      <c r="A25" s="12">
        <v>23</v>
      </c>
      <c r="B25" s="833" t="s">
        <v>537</v>
      </c>
      <c r="C25" s="833" t="s">
        <v>538</v>
      </c>
      <c r="D25" s="833" t="s">
        <v>252</v>
      </c>
      <c r="E25" s="833" t="s">
        <v>493</v>
      </c>
      <c r="J25">
        <v>9</v>
      </c>
      <c r="K25" s="832" t="s">
        <v>539</v>
      </c>
      <c r="L25" s="861">
        <v>8</v>
      </c>
      <c r="M25" s="862">
        <v>8</v>
      </c>
      <c r="N25" s="855">
        <f>SUM(L25-M25)</f>
        <v>0</v>
      </c>
    </row>
    <row r="26" spans="1:14">
      <c r="A26" s="123">
        <v>24</v>
      </c>
      <c r="B26" s="833" t="s">
        <v>540</v>
      </c>
      <c r="C26" s="833" t="s">
        <v>541</v>
      </c>
      <c r="D26" s="833" t="s">
        <v>252</v>
      </c>
      <c r="E26" s="833" t="s">
        <v>493</v>
      </c>
      <c r="K26" s="829"/>
      <c r="L26" s="859">
        <f>SUM(L17:L25)</f>
        <v>72</v>
      </c>
      <c r="M26" s="860">
        <f>SUM(M17:M25)</f>
        <v>72</v>
      </c>
      <c r="N26" s="829"/>
    </row>
    <row r="27" spans="1:14">
      <c r="A27" s="123">
        <v>25</v>
      </c>
      <c r="B27" s="833" t="s">
        <v>542</v>
      </c>
      <c r="C27" s="833" t="s">
        <v>543</v>
      </c>
      <c r="D27" s="833" t="s">
        <v>252</v>
      </c>
      <c r="E27" s="833" t="s">
        <v>493</v>
      </c>
      <c r="N27" s="63"/>
    </row>
    <row r="28" spans="1:14">
      <c r="A28" s="12">
        <v>26</v>
      </c>
      <c r="B28" s="833" t="s">
        <v>544</v>
      </c>
      <c r="C28" s="833" t="s">
        <v>545</v>
      </c>
      <c r="D28" s="833" t="s">
        <v>252</v>
      </c>
      <c r="E28" s="833" t="s">
        <v>493</v>
      </c>
      <c r="K28" s="780" t="s">
        <v>546</v>
      </c>
      <c r="L28" s="781">
        <f>SUM(L14+L26)</f>
        <v>110</v>
      </c>
      <c r="M28" s="265"/>
      <c r="N28" s="119"/>
    </row>
    <row r="29" spans="1:14">
      <c r="A29" s="123">
        <v>27</v>
      </c>
      <c r="B29" s="833" t="s">
        <v>547</v>
      </c>
      <c r="C29" s="833" t="s">
        <v>548</v>
      </c>
      <c r="D29" s="833" t="s">
        <v>252</v>
      </c>
      <c r="E29" s="833" t="s">
        <v>496</v>
      </c>
      <c r="M29" s="782" t="s">
        <v>475</v>
      </c>
      <c r="N29" s="783" t="s">
        <v>379</v>
      </c>
    </row>
    <row r="30" spans="1:14">
      <c r="A30" s="123">
        <v>28</v>
      </c>
      <c r="B30" s="833" t="s">
        <v>549</v>
      </c>
      <c r="C30" s="833" t="s">
        <v>550</v>
      </c>
      <c r="D30" s="833" t="s">
        <v>252</v>
      </c>
      <c r="E30" s="833" t="s">
        <v>496</v>
      </c>
      <c r="M30" s="291">
        <f>SUM(G3)</f>
        <v>109</v>
      </c>
      <c r="N30" s="279">
        <f>SUM(M14+M26)</f>
        <v>106</v>
      </c>
    </row>
    <row r="31" spans="1:14">
      <c r="A31" s="12">
        <v>29</v>
      </c>
      <c r="B31" s="833" t="s">
        <v>551</v>
      </c>
      <c r="C31" s="833" t="s">
        <v>552</v>
      </c>
      <c r="D31" s="833" t="s">
        <v>252</v>
      </c>
      <c r="E31" s="833" t="s">
        <v>496</v>
      </c>
    </row>
    <row r="32" spans="1:14">
      <c r="A32" s="123">
        <v>30</v>
      </c>
      <c r="B32" s="833" t="s">
        <v>553</v>
      </c>
      <c r="C32" s="833" t="s">
        <v>554</v>
      </c>
      <c r="D32" s="833" t="s">
        <v>252</v>
      </c>
      <c r="E32" s="833" t="s">
        <v>496</v>
      </c>
    </row>
    <row r="33" spans="1:5">
      <c r="A33" s="123">
        <v>31</v>
      </c>
      <c r="B33" s="833" t="s">
        <v>555</v>
      </c>
      <c r="C33" s="833" t="s">
        <v>556</v>
      </c>
      <c r="D33" s="833" t="s">
        <v>252</v>
      </c>
      <c r="E33" s="833" t="s">
        <v>496</v>
      </c>
    </row>
    <row r="34" spans="1:5">
      <c r="A34" s="12">
        <v>32</v>
      </c>
      <c r="B34" s="833" t="s">
        <v>557</v>
      </c>
      <c r="C34" s="833" t="s">
        <v>558</v>
      </c>
      <c r="D34" s="833" t="s">
        <v>252</v>
      </c>
      <c r="E34" s="833" t="s">
        <v>496</v>
      </c>
    </row>
    <row r="35" spans="1:5">
      <c r="A35" s="123">
        <v>33</v>
      </c>
      <c r="B35" s="833" t="s">
        <v>559</v>
      </c>
      <c r="C35" s="833" t="s">
        <v>560</v>
      </c>
      <c r="D35" s="833" t="s">
        <v>252</v>
      </c>
      <c r="E35" s="833" t="s">
        <v>499</v>
      </c>
    </row>
    <row r="36" spans="1:5">
      <c r="A36" s="123">
        <v>34</v>
      </c>
      <c r="B36" s="833" t="s">
        <v>561</v>
      </c>
      <c r="C36" s="833" t="s">
        <v>562</v>
      </c>
      <c r="D36" s="833" t="s">
        <v>252</v>
      </c>
      <c r="E36" s="833" t="s">
        <v>499</v>
      </c>
    </row>
    <row r="37" spans="1:5">
      <c r="A37" s="12">
        <v>35</v>
      </c>
      <c r="B37" s="833" t="s">
        <v>563</v>
      </c>
      <c r="C37" s="833" t="s">
        <v>564</v>
      </c>
      <c r="D37" s="833" t="s">
        <v>252</v>
      </c>
      <c r="E37" s="833" t="s">
        <v>515</v>
      </c>
    </row>
    <row r="38" spans="1:5">
      <c r="A38" s="123">
        <v>36</v>
      </c>
      <c r="B38" s="833" t="s">
        <v>565</v>
      </c>
      <c r="C38" s="833" t="s">
        <v>566</v>
      </c>
      <c r="D38" s="833" t="s">
        <v>252</v>
      </c>
      <c r="E38" s="833" t="s">
        <v>515</v>
      </c>
    </row>
    <row r="39" spans="1:5">
      <c r="A39" s="123">
        <v>37</v>
      </c>
      <c r="B39" s="833" t="s">
        <v>567</v>
      </c>
      <c r="C39" s="833" t="s">
        <v>568</v>
      </c>
      <c r="D39" s="833" t="s">
        <v>252</v>
      </c>
      <c r="E39" s="833" t="s">
        <v>515</v>
      </c>
    </row>
    <row r="40" spans="1:5">
      <c r="A40" s="12">
        <v>38</v>
      </c>
      <c r="B40" s="833" t="s">
        <v>569</v>
      </c>
      <c r="C40" s="833" t="s">
        <v>570</v>
      </c>
      <c r="D40" s="833" t="s">
        <v>252</v>
      </c>
      <c r="E40" s="833" t="s">
        <v>515</v>
      </c>
    </row>
    <row r="41" spans="1:5">
      <c r="A41" s="123">
        <v>39</v>
      </c>
      <c r="B41" s="833" t="s">
        <v>571</v>
      </c>
      <c r="C41" s="833" t="s">
        <v>572</v>
      </c>
      <c r="D41" s="833" t="s">
        <v>252</v>
      </c>
      <c r="E41" s="833" t="s">
        <v>515</v>
      </c>
    </row>
    <row r="42" spans="1:5">
      <c r="A42" s="123">
        <v>40</v>
      </c>
      <c r="B42" s="833" t="s">
        <v>573</v>
      </c>
      <c r="C42" s="833" t="s">
        <v>574</v>
      </c>
      <c r="D42" s="833" t="s">
        <v>252</v>
      </c>
      <c r="E42" s="833" t="s">
        <v>515</v>
      </c>
    </row>
    <row r="43" spans="1:5">
      <c r="A43" s="12">
        <v>41</v>
      </c>
      <c r="B43" s="833" t="s">
        <v>575</v>
      </c>
      <c r="C43" s="833" t="s">
        <v>576</v>
      </c>
      <c r="D43" s="833" t="s">
        <v>252</v>
      </c>
      <c r="E43" s="833" t="s">
        <v>515</v>
      </c>
    </row>
    <row r="44" spans="1:5">
      <c r="A44" s="123">
        <v>42</v>
      </c>
      <c r="B44" s="833" t="s">
        <v>577</v>
      </c>
      <c r="C44" s="833" t="s">
        <v>578</v>
      </c>
      <c r="D44" s="833" t="s">
        <v>252</v>
      </c>
      <c r="E44" s="833" t="s">
        <v>515</v>
      </c>
    </row>
    <row r="45" spans="1:5">
      <c r="A45" s="123">
        <v>43</v>
      </c>
      <c r="B45" s="833" t="s">
        <v>579</v>
      </c>
      <c r="C45" s="833" t="s">
        <v>580</v>
      </c>
      <c r="D45" s="833" t="s">
        <v>252</v>
      </c>
      <c r="E45" s="833" t="s">
        <v>518</v>
      </c>
    </row>
    <row r="46" spans="1:5">
      <c r="A46" s="12">
        <v>44</v>
      </c>
      <c r="B46" s="833" t="s">
        <v>581</v>
      </c>
      <c r="C46" s="833" t="s">
        <v>582</v>
      </c>
      <c r="D46" s="833" t="s">
        <v>252</v>
      </c>
      <c r="E46" s="833" t="s">
        <v>518</v>
      </c>
    </row>
    <row r="47" spans="1:5">
      <c r="A47" s="123">
        <v>45</v>
      </c>
      <c r="B47" s="833" t="s">
        <v>583</v>
      </c>
      <c r="C47" s="833" t="s">
        <v>584</v>
      </c>
      <c r="D47" s="833" t="s">
        <v>252</v>
      </c>
      <c r="E47" s="833" t="s">
        <v>518</v>
      </c>
    </row>
    <row r="48" spans="1:5">
      <c r="A48" s="123">
        <v>46</v>
      </c>
      <c r="B48" s="833" t="s">
        <v>585</v>
      </c>
      <c r="C48" s="833" t="s">
        <v>586</v>
      </c>
      <c r="D48" s="833" t="s">
        <v>252</v>
      </c>
      <c r="E48" s="833" t="s">
        <v>518</v>
      </c>
    </row>
    <row r="49" spans="1:5">
      <c r="A49" s="12">
        <v>47</v>
      </c>
      <c r="B49" s="833" t="s">
        <v>587</v>
      </c>
      <c r="C49" s="833" t="s">
        <v>588</v>
      </c>
      <c r="D49" s="833" t="s">
        <v>252</v>
      </c>
      <c r="E49" s="833" t="s">
        <v>518</v>
      </c>
    </row>
    <row r="50" spans="1:5">
      <c r="A50" s="123">
        <v>48</v>
      </c>
      <c r="B50" s="833" t="s">
        <v>589</v>
      </c>
      <c r="C50" s="833" t="s">
        <v>590</v>
      </c>
      <c r="D50" s="833" t="s">
        <v>252</v>
      </c>
      <c r="E50" s="833" t="s">
        <v>518</v>
      </c>
    </row>
    <row r="51" spans="1:5">
      <c r="A51" s="123">
        <v>49</v>
      </c>
      <c r="B51" s="833" t="s">
        <v>591</v>
      </c>
      <c r="C51" s="833" t="s">
        <v>592</v>
      </c>
      <c r="D51" s="833" t="s">
        <v>252</v>
      </c>
      <c r="E51" s="833" t="s">
        <v>518</v>
      </c>
    </row>
    <row r="52" spans="1:5">
      <c r="A52" s="12">
        <v>50</v>
      </c>
      <c r="B52" s="833" t="s">
        <v>593</v>
      </c>
      <c r="C52" s="833" t="s">
        <v>594</v>
      </c>
      <c r="D52" s="833" t="s">
        <v>252</v>
      </c>
      <c r="E52" s="833" t="s">
        <v>518</v>
      </c>
    </row>
    <row r="53" spans="1:5">
      <c r="A53" s="123">
        <v>51</v>
      </c>
      <c r="B53" s="224" t="s">
        <v>595</v>
      </c>
      <c r="C53" s="829" t="s">
        <v>596</v>
      </c>
      <c r="D53" s="124" t="s">
        <v>252</v>
      </c>
      <c r="E53" s="830" t="s">
        <v>521</v>
      </c>
    </row>
    <row r="54" spans="1:5">
      <c r="A54" s="123">
        <v>52</v>
      </c>
      <c r="B54" s="833" t="s">
        <v>597</v>
      </c>
      <c r="C54" s="833" t="s">
        <v>598</v>
      </c>
      <c r="D54" s="833" t="s">
        <v>252</v>
      </c>
      <c r="E54" s="833" t="s">
        <v>521</v>
      </c>
    </row>
    <row r="55" spans="1:5">
      <c r="A55" s="12">
        <v>53</v>
      </c>
      <c r="B55" s="833" t="s">
        <v>599</v>
      </c>
      <c r="C55" s="833" t="s">
        <v>600</v>
      </c>
      <c r="D55" s="833" t="s">
        <v>252</v>
      </c>
      <c r="E55" s="833" t="s">
        <v>521</v>
      </c>
    </row>
    <row r="56" spans="1:5">
      <c r="A56" s="123">
        <v>54</v>
      </c>
      <c r="B56" s="833" t="s">
        <v>601</v>
      </c>
      <c r="C56" s="833" t="s">
        <v>602</v>
      </c>
      <c r="D56" s="833" t="s">
        <v>252</v>
      </c>
      <c r="E56" s="833" t="s">
        <v>521</v>
      </c>
    </row>
    <row r="57" spans="1:5">
      <c r="A57" s="123">
        <v>55</v>
      </c>
      <c r="B57" s="833" t="s">
        <v>603</v>
      </c>
      <c r="C57" s="833" t="s">
        <v>604</v>
      </c>
      <c r="D57" s="833" t="s">
        <v>252</v>
      </c>
      <c r="E57" s="833" t="s">
        <v>521</v>
      </c>
    </row>
    <row r="58" spans="1:5">
      <c r="A58" s="12">
        <v>56</v>
      </c>
      <c r="B58" s="833" t="s">
        <v>605</v>
      </c>
      <c r="C58" s="833" t="s">
        <v>606</v>
      </c>
      <c r="D58" s="833" t="s">
        <v>252</v>
      </c>
      <c r="E58" s="833" t="s">
        <v>521</v>
      </c>
    </row>
    <row r="59" spans="1:5">
      <c r="A59" s="123">
        <v>57</v>
      </c>
      <c r="B59" s="833" t="s">
        <v>607</v>
      </c>
      <c r="C59" s="833" t="s">
        <v>608</v>
      </c>
      <c r="D59" s="833" t="s">
        <v>252</v>
      </c>
      <c r="E59" s="833" t="s">
        <v>521</v>
      </c>
    </row>
    <row r="60" spans="1:5">
      <c r="A60" s="123">
        <v>58</v>
      </c>
      <c r="B60" s="833" t="s">
        <v>609</v>
      </c>
      <c r="C60" s="833" t="s">
        <v>610</v>
      </c>
      <c r="D60" s="833" t="s">
        <v>252</v>
      </c>
      <c r="E60" s="833" t="s">
        <v>521</v>
      </c>
    </row>
    <row r="61" spans="1:5">
      <c r="A61" s="12">
        <v>59</v>
      </c>
      <c r="B61" s="833" t="s">
        <v>611</v>
      </c>
      <c r="C61" s="833" t="s">
        <v>612</v>
      </c>
      <c r="D61" s="833" t="s">
        <v>252</v>
      </c>
      <c r="E61" s="833" t="s">
        <v>524</v>
      </c>
    </row>
    <row r="62" spans="1:5">
      <c r="A62" s="123">
        <v>60</v>
      </c>
      <c r="B62" s="833" t="s">
        <v>613</v>
      </c>
      <c r="C62" s="833" t="s">
        <v>614</v>
      </c>
      <c r="D62" s="833" t="s">
        <v>252</v>
      </c>
      <c r="E62" s="833" t="s">
        <v>524</v>
      </c>
    </row>
    <row r="63" spans="1:5">
      <c r="A63" s="123">
        <v>61</v>
      </c>
      <c r="B63" s="833" t="s">
        <v>615</v>
      </c>
      <c r="C63" s="833" t="s">
        <v>616</v>
      </c>
      <c r="D63" s="833" t="s">
        <v>252</v>
      </c>
      <c r="E63" s="833" t="s">
        <v>524</v>
      </c>
    </row>
    <row r="64" spans="1:5">
      <c r="A64" s="12">
        <v>62</v>
      </c>
      <c r="B64" s="833" t="s">
        <v>617</v>
      </c>
      <c r="C64" s="833" t="s">
        <v>618</v>
      </c>
      <c r="D64" s="833" t="s">
        <v>252</v>
      </c>
      <c r="E64" s="833" t="s">
        <v>524</v>
      </c>
    </row>
    <row r="65" spans="1:5">
      <c r="A65" s="123">
        <v>63</v>
      </c>
      <c r="B65" s="833" t="s">
        <v>619</v>
      </c>
      <c r="C65" s="833" t="s">
        <v>620</v>
      </c>
      <c r="D65" s="833" t="s">
        <v>252</v>
      </c>
      <c r="E65" s="833" t="s">
        <v>524</v>
      </c>
    </row>
    <row r="66" spans="1:5">
      <c r="A66" s="123">
        <v>64</v>
      </c>
      <c r="B66" s="833" t="s">
        <v>621</v>
      </c>
      <c r="C66" s="833" t="s">
        <v>622</v>
      </c>
      <c r="D66" s="833" t="s">
        <v>252</v>
      </c>
      <c r="E66" s="833" t="s">
        <v>524</v>
      </c>
    </row>
    <row r="67" spans="1:5">
      <c r="A67" s="12">
        <v>65</v>
      </c>
      <c r="B67" s="833" t="s">
        <v>623</v>
      </c>
      <c r="C67" s="833" t="s">
        <v>624</v>
      </c>
      <c r="D67" s="833" t="s">
        <v>252</v>
      </c>
      <c r="E67" s="833" t="s">
        <v>524</v>
      </c>
    </row>
    <row r="68" spans="1:5">
      <c r="A68" s="123">
        <v>66</v>
      </c>
      <c r="B68" s="833" t="s">
        <v>625</v>
      </c>
      <c r="C68" s="833" t="s">
        <v>626</v>
      </c>
      <c r="D68" s="833" t="s">
        <v>252</v>
      </c>
      <c r="E68" s="833" t="s">
        <v>524</v>
      </c>
    </row>
    <row r="69" spans="1:5">
      <c r="A69" s="123">
        <v>67</v>
      </c>
      <c r="B69" s="833" t="s">
        <v>627</v>
      </c>
      <c r="C69" s="833" t="s">
        <v>628</v>
      </c>
      <c r="D69" s="833" t="s">
        <v>252</v>
      </c>
      <c r="E69" s="833" t="s">
        <v>527</v>
      </c>
    </row>
    <row r="70" spans="1:5">
      <c r="A70" s="12">
        <v>68</v>
      </c>
      <c r="B70" s="833" t="s">
        <v>629</v>
      </c>
      <c r="C70" s="833" t="s">
        <v>630</v>
      </c>
      <c r="D70" s="833" t="s">
        <v>252</v>
      </c>
      <c r="E70" s="833" t="s">
        <v>527</v>
      </c>
    </row>
    <row r="71" spans="1:5">
      <c r="A71" s="123">
        <v>69</v>
      </c>
      <c r="B71" s="833" t="s">
        <v>631</v>
      </c>
      <c r="C71" s="833" t="s">
        <v>632</v>
      </c>
      <c r="D71" s="833" t="s">
        <v>252</v>
      </c>
      <c r="E71" s="833" t="s">
        <v>527</v>
      </c>
    </row>
    <row r="72" spans="1:5">
      <c r="A72" s="123">
        <v>70</v>
      </c>
      <c r="B72" s="833" t="s">
        <v>633</v>
      </c>
      <c r="C72" s="833" t="s">
        <v>634</v>
      </c>
      <c r="D72" s="833" t="s">
        <v>252</v>
      </c>
      <c r="E72" s="833" t="s">
        <v>527</v>
      </c>
    </row>
    <row r="73" spans="1:5">
      <c r="A73" s="12">
        <v>71</v>
      </c>
      <c r="B73" s="833" t="s">
        <v>635</v>
      </c>
      <c r="C73" s="833" t="s">
        <v>636</v>
      </c>
      <c r="D73" s="833" t="s">
        <v>252</v>
      </c>
      <c r="E73" s="833" t="s">
        <v>527</v>
      </c>
    </row>
    <row r="74" spans="1:5">
      <c r="A74" s="123">
        <v>72</v>
      </c>
      <c r="B74" s="833" t="s">
        <v>637</v>
      </c>
      <c r="C74" s="833" t="s">
        <v>638</v>
      </c>
      <c r="D74" s="833" t="s">
        <v>252</v>
      </c>
      <c r="E74" s="833" t="s">
        <v>527</v>
      </c>
    </row>
    <row r="75" spans="1:5">
      <c r="A75" s="123">
        <v>73</v>
      </c>
      <c r="B75" s="833" t="s">
        <v>639</v>
      </c>
      <c r="C75" s="833" t="s">
        <v>640</v>
      </c>
      <c r="D75" s="833" t="s">
        <v>252</v>
      </c>
      <c r="E75" s="833" t="s">
        <v>527</v>
      </c>
    </row>
    <row r="76" spans="1:5">
      <c r="A76" s="12">
        <v>74</v>
      </c>
      <c r="B76" s="833" t="s">
        <v>641</v>
      </c>
      <c r="C76" s="833" t="s">
        <v>642</v>
      </c>
      <c r="D76" s="833" t="s">
        <v>252</v>
      </c>
      <c r="E76" s="833" t="s">
        <v>527</v>
      </c>
    </row>
    <row r="77" spans="1:5">
      <c r="A77" s="123">
        <v>75</v>
      </c>
      <c r="B77" s="833" t="s">
        <v>643</v>
      </c>
      <c r="C77" s="833" t="s">
        <v>644</v>
      </c>
      <c r="D77" s="833" t="s">
        <v>252</v>
      </c>
      <c r="E77" s="833" t="s">
        <v>530</v>
      </c>
    </row>
    <row r="78" spans="1:5">
      <c r="A78" s="123">
        <v>76</v>
      </c>
      <c r="B78" s="833" t="s">
        <v>645</v>
      </c>
      <c r="C78" s="833" t="s">
        <v>646</v>
      </c>
      <c r="D78" s="833" t="s">
        <v>252</v>
      </c>
      <c r="E78" s="833" t="s">
        <v>530</v>
      </c>
    </row>
    <row r="79" spans="1:5">
      <c r="A79" s="12">
        <v>77</v>
      </c>
      <c r="B79" s="833" t="s">
        <v>647</v>
      </c>
      <c r="C79" s="833" t="s">
        <v>648</v>
      </c>
      <c r="D79" s="833" t="s">
        <v>252</v>
      </c>
      <c r="E79" s="833" t="s">
        <v>530</v>
      </c>
    </row>
    <row r="80" spans="1:5">
      <c r="A80" s="123">
        <v>78</v>
      </c>
      <c r="B80" s="833" t="s">
        <v>649</v>
      </c>
      <c r="C80" s="833" t="s">
        <v>650</v>
      </c>
      <c r="D80" s="833" t="s">
        <v>252</v>
      </c>
      <c r="E80" s="833" t="s">
        <v>530</v>
      </c>
    </row>
    <row r="81" spans="1:5">
      <c r="A81" s="123">
        <v>79</v>
      </c>
      <c r="B81" s="833" t="s">
        <v>651</v>
      </c>
      <c r="C81" s="833" t="s">
        <v>652</v>
      </c>
      <c r="D81" s="833" t="s">
        <v>252</v>
      </c>
      <c r="E81" s="833" t="s">
        <v>530</v>
      </c>
    </row>
    <row r="82" spans="1:5">
      <c r="A82" s="12">
        <v>80</v>
      </c>
      <c r="B82" s="833" t="s">
        <v>653</v>
      </c>
      <c r="C82" s="833" t="s">
        <v>654</v>
      </c>
      <c r="D82" s="833" t="s">
        <v>252</v>
      </c>
      <c r="E82" s="833" t="s">
        <v>530</v>
      </c>
    </row>
    <row r="83" spans="1:5">
      <c r="A83" s="123">
        <v>81</v>
      </c>
      <c r="B83" s="833" t="s">
        <v>655</v>
      </c>
      <c r="C83" s="833" t="s">
        <v>656</v>
      </c>
      <c r="D83" s="833" t="s">
        <v>252</v>
      </c>
      <c r="E83" s="833" t="s">
        <v>530</v>
      </c>
    </row>
    <row r="84" spans="1:5">
      <c r="A84" s="123">
        <v>82</v>
      </c>
      <c r="B84" s="833" t="s">
        <v>657</v>
      </c>
      <c r="C84" s="833" t="s">
        <v>658</v>
      </c>
      <c r="D84" s="833" t="s">
        <v>252</v>
      </c>
      <c r="E84" s="833" t="s">
        <v>530</v>
      </c>
    </row>
    <row r="85" spans="1:5">
      <c r="A85" s="12">
        <v>83</v>
      </c>
      <c r="B85" s="833" t="s">
        <v>659</v>
      </c>
      <c r="C85" s="833" t="s">
        <v>660</v>
      </c>
      <c r="D85" s="833" t="s">
        <v>252</v>
      </c>
      <c r="E85" s="833" t="s">
        <v>533</v>
      </c>
    </row>
    <row r="86" spans="1:5">
      <c r="A86" s="123">
        <v>84</v>
      </c>
      <c r="B86" s="833" t="s">
        <v>661</v>
      </c>
      <c r="C86" s="833" t="s">
        <v>662</v>
      </c>
      <c r="D86" s="833" t="s">
        <v>252</v>
      </c>
      <c r="E86" s="833" t="s">
        <v>533</v>
      </c>
    </row>
    <row r="87" spans="1:5">
      <c r="A87" s="123">
        <v>85</v>
      </c>
      <c r="B87" s="833" t="s">
        <v>637</v>
      </c>
      <c r="C87" s="833" t="s">
        <v>663</v>
      </c>
      <c r="D87" s="833" t="s">
        <v>252</v>
      </c>
      <c r="E87" s="833" t="s">
        <v>533</v>
      </c>
    </row>
    <row r="88" spans="1:5">
      <c r="A88" s="12">
        <v>86</v>
      </c>
      <c r="B88" s="833" t="s">
        <v>664</v>
      </c>
      <c r="C88" s="833" t="s">
        <v>665</v>
      </c>
      <c r="D88" s="833" t="s">
        <v>252</v>
      </c>
      <c r="E88" s="833" t="s">
        <v>533</v>
      </c>
    </row>
    <row r="89" spans="1:5">
      <c r="A89" s="123">
        <v>87</v>
      </c>
      <c r="B89" s="833" t="s">
        <v>666</v>
      </c>
      <c r="C89" s="833" t="s">
        <v>667</v>
      </c>
      <c r="D89" s="833" t="s">
        <v>252</v>
      </c>
      <c r="E89" s="833" t="s">
        <v>533</v>
      </c>
    </row>
    <row r="90" spans="1:5">
      <c r="A90" s="123">
        <v>88</v>
      </c>
      <c r="B90" s="833" t="s">
        <v>668</v>
      </c>
      <c r="C90" s="833" t="s">
        <v>669</v>
      </c>
      <c r="D90" s="833" t="s">
        <v>252</v>
      </c>
      <c r="E90" s="833" t="s">
        <v>533</v>
      </c>
    </row>
    <row r="91" spans="1:5">
      <c r="A91" s="12">
        <v>89</v>
      </c>
      <c r="B91" s="833" t="s">
        <v>670</v>
      </c>
      <c r="C91" s="833" t="s">
        <v>671</v>
      </c>
      <c r="D91" s="833" t="s">
        <v>252</v>
      </c>
      <c r="E91" s="833" t="s">
        <v>533</v>
      </c>
    </row>
    <row r="92" spans="1:5">
      <c r="A92" s="123">
        <v>90</v>
      </c>
      <c r="B92" s="833" t="s">
        <v>672</v>
      </c>
      <c r="C92" s="833" t="s">
        <v>673</v>
      </c>
      <c r="D92" s="833" t="s">
        <v>252</v>
      </c>
      <c r="E92" s="833" t="s">
        <v>533</v>
      </c>
    </row>
    <row r="93" spans="1:5">
      <c r="A93" s="123">
        <v>91</v>
      </c>
      <c r="B93" s="833" t="s">
        <v>674</v>
      </c>
      <c r="C93" s="833" t="s">
        <v>675</v>
      </c>
      <c r="D93" s="833" t="s">
        <v>252</v>
      </c>
      <c r="E93" s="833" t="s">
        <v>536</v>
      </c>
    </row>
    <row r="94" spans="1:5">
      <c r="A94" s="12">
        <v>92</v>
      </c>
      <c r="B94" s="833" t="s">
        <v>676</v>
      </c>
      <c r="C94" s="833" t="s">
        <v>677</v>
      </c>
      <c r="D94" s="833" t="s">
        <v>252</v>
      </c>
      <c r="E94" s="833" t="s">
        <v>536</v>
      </c>
    </row>
    <row r="95" spans="1:5">
      <c r="A95" s="123">
        <v>93</v>
      </c>
      <c r="B95" s="833" t="s">
        <v>678</v>
      </c>
      <c r="C95" s="833" t="s">
        <v>679</v>
      </c>
      <c r="D95" s="833" t="s">
        <v>252</v>
      </c>
      <c r="E95" s="833" t="s">
        <v>536</v>
      </c>
    </row>
    <row r="96" spans="1:5">
      <c r="A96" s="123">
        <v>94</v>
      </c>
      <c r="B96" s="833" t="s">
        <v>680</v>
      </c>
      <c r="C96" s="833" t="s">
        <v>681</v>
      </c>
      <c r="D96" s="833" t="s">
        <v>252</v>
      </c>
      <c r="E96" s="833" t="s">
        <v>536</v>
      </c>
    </row>
    <row r="97" spans="1:5">
      <c r="A97" s="12">
        <v>95</v>
      </c>
      <c r="B97" s="833" t="s">
        <v>682</v>
      </c>
      <c r="C97" s="833" t="s">
        <v>683</v>
      </c>
      <c r="D97" s="833" t="s">
        <v>252</v>
      </c>
      <c r="E97" s="833" t="s">
        <v>536</v>
      </c>
    </row>
    <row r="98" spans="1:5">
      <c r="A98" s="123">
        <v>96</v>
      </c>
      <c r="B98" s="833" t="s">
        <v>684</v>
      </c>
      <c r="C98" s="833" t="s">
        <v>685</v>
      </c>
      <c r="D98" s="833" t="s">
        <v>252</v>
      </c>
      <c r="E98" s="833" t="s">
        <v>536</v>
      </c>
    </row>
    <row r="99" spans="1:5">
      <c r="A99" s="123">
        <v>97</v>
      </c>
      <c r="B99" s="833" t="s">
        <v>686</v>
      </c>
      <c r="C99" s="833" t="s">
        <v>687</v>
      </c>
      <c r="D99" s="833" t="s">
        <v>252</v>
      </c>
      <c r="E99" s="833" t="s">
        <v>536</v>
      </c>
    </row>
    <row r="100" spans="1:5">
      <c r="A100" s="12">
        <v>98</v>
      </c>
      <c r="B100" s="833" t="s">
        <v>688</v>
      </c>
      <c r="C100" s="833" t="s">
        <v>689</v>
      </c>
      <c r="D100" s="833" t="s">
        <v>252</v>
      </c>
      <c r="E100" s="833" t="s">
        <v>536</v>
      </c>
    </row>
    <row r="101" spans="1:5">
      <c r="A101" s="123">
        <v>99</v>
      </c>
      <c r="B101" s="833" t="s">
        <v>690</v>
      </c>
      <c r="C101" s="833" t="s">
        <v>691</v>
      </c>
      <c r="D101" s="833" t="s">
        <v>252</v>
      </c>
      <c r="E101" s="833" t="s">
        <v>539</v>
      </c>
    </row>
    <row r="102" spans="1:5">
      <c r="A102" s="123">
        <v>100</v>
      </c>
      <c r="B102" s="833" t="s">
        <v>692</v>
      </c>
      <c r="C102" s="833" t="s">
        <v>693</v>
      </c>
      <c r="D102" s="833" t="s">
        <v>252</v>
      </c>
      <c r="E102" s="833" t="s">
        <v>539</v>
      </c>
    </row>
    <row r="103" spans="1:5">
      <c r="A103" s="12">
        <v>101</v>
      </c>
      <c r="B103" s="833" t="s">
        <v>694</v>
      </c>
      <c r="C103" s="833" t="s">
        <v>695</v>
      </c>
      <c r="D103" s="833" t="s">
        <v>252</v>
      </c>
      <c r="E103" s="833" t="s">
        <v>539</v>
      </c>
    </row>
    <row r="104" spans="1:5">
      <c r="A104" s="123">
        <v>102</v>
      </c>
      <c r="B104" s="833" t="s">
        <v>696</v>
      </c>
      <c r="C104" s="833" t="s">
        <v>697</v>
      </c>
      <c r="D104" s="833" t="s">
        <v>252</v>
      </c>
      <c r="E104" s="833" t="s">
        <v>539</v>
      </c>
    </row>
    <row r="105" spans="1:5">
      <c r="A105" s="123">
        <v>103</v>
      </c>
      <c r="B105" s="833" t="s">
        <v>698</v>
      </c>
      <c r="C105" s="833" t="s">
        <v>699</v>
      </c>
      <c r="D105" s="833" t="s">
        <v>252</v>
      </c>
      <c r="E105" s="833" t="s">
        <v>539</v>
      </c>
    </row>
    <row r="106" spans="1:5">
      <c r="A106" s="12">
        <v>104</v>
      </c>
      <c r="B106" s="833" t="s">
        <v>700</v>
      </c>
      <c r="C106" s="833" t="s">
        <v>701</v>
      </c>
      <c r="D106" s="833" t="s">
        <v>252</v>
      </c>
      <c r="E106" s="833" t="s">
        <v>539</v>
      </c>
    </row>
    <row r="107" spans="1:5">
      <c r="A107" s="123">
        <v>105</v>
      </c>
      <c r="B107" s="833" t="s">
        <v>702</v>
      </c>
      <c r="C107" s="833" t="s">
        <v>703</v>
      </c>
      <c r="D107" s="833" t="s">
        <v>252</v>
      </c>
      <c r="E107" s="833" t="s">
        <v>539</v>
      </c>
    </row>
    <row r="108" spans="1:5">
      <c r="A108" s="123">
        <v>106</v>
      </c>
      <c r="B108" s="833" t="s">
        <v>704</v>
      </c>
      <c r="C108" s="833" t="s">
        <v>705</v>
      </c>
      <c r="D108" s="833" t="s">
        <v>252</v>
      </c>
      <c r="E108" s="833" t="s">
        <v>539</v>
      </c>
    </row>
    <row r="109" spans="1:5">
      <c r="A109" s="12">
        <v>107</v>
      </c>
      <c r="B109" s="833" t="s">
        <v>706</v>
      </c>
      <c r="C109" s="833"/>
      <c r="D109" s="833"/>
      <c r="E109" s="833"/>
    </row>
    <row r="110" spans="1:5">
      <c r="A110" s="123">
        <v>108</v>
      </c>
      <c r="B110" s="17" t="s">
        <v>707</v>
      </c>
      <c r="C110" s="17"/>
      <c r="D110" s="10"/>
      <c r="E110" s="129"/>
    </row>
    <row r="111" spans="1:5">
      <c r="A111" s="123">
        <v>109</v>
      </c>
      <c r="B111" s="17" t="s">
        <v>708</v>
      </c>
      <c r="C111" s="17"/>
      <c r="D111" s="10"/>
      <c r="E111" s="129"/>
    </row>
    <row r="112" spans="1:5">
      <c r="A112" s="12">
        <v>110</v>
      </c>
      <c r="B112" s="17"/>
      <c r="C112" s="17"/>
      <c r="D112" s="10"/>
      <c r="E112" s="129"/>
    </row>
    <row r="113" spans="1:5">
      <c r="A113" s="123">
        <v>111</v>
      </c>
      <c r="B113" s="17"/>
      <c r="C113" s="17"/>
      <c r="D113" s="10"/>
      <c r="E113" s="129"/>
    </row>
    <row r="114" spans="1:5">
      <c r="A114" s="123">
        <v>112</v>
      </c>
      <c r="B114" s="17"/>
      <c r="C114" s="17"/>
      <c r="D114" s="10"/>
      <c r="E114" s="129"/>
    </row>
    <row r="115" spans="1:5">
      <c r="A115" s="12">
        <v>113</v>
      </c>
      <c r="B115" s="17"/>
      <c r="C115" s="17"/>
      <c r="D115" s="10"/>
      <c r="E115" s="129"/>
    </row>
  </sheetData>
  <mergeCells count="3">
    <mergeCell ref="A1:E1"/>
    <mergeCell ref="G3:I4"/>
    <mergeCell ref="G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workbookViewId="0">
      <selection activeCell="N5" sqref="N5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66" t="s">
        <v>473</v>
      </c>
      <c r="C1" s="266" t="s">
        <v>328</v>
      </c>
      <c r="D1" s="309" t="s">
        <v>6</v>
      </c>
      <c r="K1" s="98" t="s">
        <v>376</v>
      </c>
      <c r="L1" s="483" t="s">
        <v>377</v>
      </c>
      <c r="M1" s="486" t="s">
        <v>378</v>
      </c>
      <c r="N1" s="484" t="s">
        <v>379</v>
      </c>
      <c r="O1" s="485" t="s">
        <v>380</v>
      </c>
    </row>
    <row r="2" spans="1:15" ht="15.75">
      <c r="A2" s="201">
        <v>1</v>
      </c>
      <c r="B2" s="216" t="s">
        <v>166</v>
      </c>
      <c r="C2" s="474"/>
      <c r="D2" s="210"/>
      <c r="F2" s="305" t="s">
        <v>166</v>
      </c>
      <c r="G2" s="606">
        <v>11</v>
      </c>
      <c r="H2" s="1040">
        <f>SUM(G2:G6)</f>
        <v>59</v>
      </c>
      <c r="J2" s="128">
        <v>1</v>
      </c>
      <c r="K2" s="17" t="s">
        <v>115</v>
      </c>
      <c r="L2" s="12"/>
      <c r="M2" s="12"/>
      <c r="N2" s="488">
        <f>COUNTIF(D2:D65, "Bacha")</f>
        <v>0</v>
      </c>
      <c r="O2" s="487">
        <f>SUM(L2-N2)</f>
        <v>0</v>
      </c>
    </row>
    <row r="3" spans="1:15" ht="15.75">
      <c r="A3" s="202">
        <v>2</v>
      </c>
      <c r="B3" s="203" t="s">
        <v>166</v>
      </c>
      <c r="C3" s="475"/>
      <c r="D3" s="62"/>
      <c r="F3" s="306" t="s">
        <v>709</v>
      </c>
      <c r="G3" s="607">
        <v>8</v>
      </c>
      <c r="H3" s="1041"/>
      <c r="J3" s="128">
        <v>2</v>
      </c>
      <c r="K3" s="17" t="s">
        <v>144</v>
      </c>
      <c r="L3" s="12"/>
      <c r="M3" s="12"/>
      <c r="N3" s="488">
        <f>COUNTIF(D2:D65, "Bode")</f>
        <v>0</v>
      </c>
      <c r="O3" s="487">
        <f>SUM(L3-N3)</f>
        <v>0</v>
      </c>
    </row>
    <row r="4" spans="1:15" ht="15.75">
      <c r="A4" s="202">
        <v>3</v>
      </c>
      <c r="B4" s="203" t="s">
        <v>166</v>
      </c>
      <c r="C4" s="475"/>
      <c r="D4" s="62"/>
      <c r="F4" s="307" t="s">
        <v>710</v>
      </c>
      <c r="G4" s="608">
        <v>10</v>
      </c>
      <c r="H4" s="1041"/>
      <c r="J4" s="128">
        <v>3</v>
      </c>
      <c r="K4" s="17" t="s">
        <v>297</v>
      </c>
      <c r="L4" s="12"/>
      <c r="M4" s="12"/>
      <c r="N4" s="488">
        <f>COUNTIF(D2:D65, "Anthony")</f>
        <v>0</v>
      </c>
      <c r="O4" s="487">
        <f>SUM(L4-N4)</f>
        <v>0</v>
      </c>
    </row>
    <row r="5" spans="1:15" ht="15.75">
      <c r="A5" s="202">
        <v>4</v>
      </c>
      <c r="B5" s="203" t="s">
        <v>166</v>
      </c>
      <c r="C5" s="475"/>
      <c r="D5" s="62"/>
      <c r="F5" s="306" t="s">
        <v>711</v>
      </c>
      <c r="G5" s="607">
        <v>5</v>
      </c>
      <c r="H5" s="1041"/>
      <c r="J5" s="128">
        <v>4</v>
      </c>
      <c r="K5" s="17" t="s">
        <v>8</v>
      </c>
      <c r="L5" s="12"/>
      <c r="M5" s="12"/>
      <c r="N5" s="488">
        <f>COUNTIF(D2:D65, "Darren")</f>
        <v>0</v>
      </c>
      <c r="O5" s="487">
        <f>SUM(L5-N5)</f>
        <v>0</v>
      </c>
    </row>
    <row r="6" spans="1:15" ht="15.75">
      <c r="A6" s="202">
        <v>5</v>
      </c>
      <c r="B6" s="203" t="s">
        <v>166</v>
      </c>
      <c r="C6" s="475"/>
      <c r="D6" s="62"/>
      <c r="F6" s="308" t="s">
        <v>712</v>
      </c>
      <c r="G6" s="609">
        <v>25</v>
      </c>
      <c r="H6" s="1042"/>
      <c r="J6" s="128">
        <v>5</v>
      </c>
      <c r="K6" s="17" t="s">
        <v>89</v>
      </c>
      <c r="L6" s="12"/>
      <c r="M6" s="12"/>
      <c r="N6" s="488">
        <f>COUNTIF(D2:D65, "Drishty")</f>
        <v>0</v>
      </c>
      <c r="O6" s="487">
        <f>SUM(L6-N6)</f>
        <v>0</v>
      </c>
    </row>
    <row r="7" spans="1:15" ht="15.75">
      <c r="A7" s="202">
        <v>6</v>
      </c>
      <c r="B7" s="203" t="s">
        <v>166</v>
      </c>
      <c r="C7" s="475"/>
      <c r="D7" s="62"/>
      <c r="J7" s="128">
        <v>6</v>
      </c>
      <c r="K7" s="17" t="s">
        <v>54</v>
      </c>
      <c r="L7" s="12"/>
      <c r="M7" s="12"/>
      <c r="N7" s="488">
        <f>COUNTIF(D2:D65, "Jarutas")</f>
        <v>0</v>
      </c>
      <c r="O7" s="487">
        <f>SUM(L7-N7)</f>
        <v>0</v>
      </c>
    </row>
    <row r="8" spans="1:15" ht="15.75">
      <c r="A8" s="202">
        <v>7</v>
      </c>
      <c r="B8" s="203" t="s">
        <v>166</v>
      </c>
      <c r="C8" s="475"/>
      <c r="D8" s="62"/>
      <c r="G8" s="5"/>
      <c r="J8" s="128">
        <v>7</v>
      </c>
      <c r="K8" s="17" t="s">
        <v>12</v>
      </c>
      <c r="L8" s="12"/>
      <c r="M8" s="12"/>
      <c r="N8" s="488">
        <f>COUNTIF(D2:D65, "Kalin")</f>
        <v>0</v>
      </c>
      <c r="O8" s="487">
        <f>SUM(L8-N8)</f>
        <v>0</v>
      </c>
    </row>
    <row r="9" spans="1:15" ht="15.75">
      <c r="A9" s="202">
        <v>8</v>
      </c>
      <c r="B9" s="203" t="s">
        <v>166</v>
      </c>
      <c r="C9" s="475"/>
      <c r="D9" s="62"/>
      <c r="F9" s="452" t="s">
        <v>713</v>
      </c>
      <c r="J9" s="128">
        <v>8</v>
      </c>
      <c r="K9" s="17" t="s">
        <v>152</v>
      </c>
      <c r="L9" s="12"/>
      <c r="M9" s="12"/>
      <c r="N9" s="488">
        <f>COUNTIF(D11:D74, "Kashif")</f>
        <v>0</v>
      </c>
      <c r="O9" s="487">
        <f>SUM(L9-N9)</f>
        <v>0</v>
      </c>
    </row>
    <row r="10" spans="1:15" ht="15.75" customHeight="1">
      <c r="A10" s="202">
        <v>9</v>
      </c>
      <c r="B10" s="203" t="s">
        <v>166</v>
      </c>
      <c r="C10" s="475"/>
      <c r="D10" s="62"/>
      <c r="F10" s="620" t="s">
        <v>475</v>
      </c>
      <c r="J10" s="128">
        <v>9</v>
      </c>
      <c r="K10" s="17" t="s">
        <v>272</v>
      </c>
      <c r="L10" s="12"/>
      <c r="M10" s="12"/>
      <c r="N10" s="488">
        <f>COUNTIF(D2:D65, "Kenton")</f>
        <v>0</v>
      </c>
      <c r="O10" s="487">
        <f>SUM(L10-N10)</f>
        <v>0</v>
      </c>
    </row>
    <row r="11" spans="1:15" ht="15.75" customHeight="1">
      <c r="A11" s="202">
        <v>10</v>
      </c>
      <c r="B11" s="203" t="s">
        <v>166</v>
      </c>
      <c r="C11" s="475"/>
      <c r="D11" s="62"/>
      <c r="F11" s="1043">
        <f>SUM(H2-N24)</f>
        <v>54</v>
      </c>
      <c r="J11" s="128">
        <v>10</v>
      </c>
      <c r="K11" s="17" t="s">
        <v>274</v>
      </c>
      <c r="L11" s="12"/>
      <c r="M11" s="12"/>
      <c r="N11" s="488">
        <f>COUNTIF(D2:D65, "Marc")</f>
        <v>0</v>
      </c>
      <c r="O11" s="487">
        <f>SUM(L11-N11)</f>
        <v>0</v>
      </c>
    </row>
    <row r="12" spans="1:15" ht="15.75" customHeight="1">
      <c r="A12" s="214">
        <v>11</v>
      </c>
      <c r="B12" s="208" t="s">
        <v>166</v>
      </c>
      <c r="C12" s="476"/>
      <c r="D12" s="215"/>
      <c r="F12" s="1044"/>
      <c r="J12" s="128">
        <v>11</v>
      </c>
      <c r="K12" s="17" t="s">
        <v>10</v>
      </c>
      <c r="L12" s="12">
        <v>5</v>
      </c>
      <c r="M12" s="12" t="s">
        <v>270</v>
      </c>
      <c r="N12" s="488">
        <f>COUNTIF(D2:D65, "Martin")</f>
        <v>5</v>
      </c>
      <c r="O12" s="487">
        <f>SUM(L12-N12)</f>
        <v>0</v>
      </c>
    </row>
    <row r="13" spans="1:15" ht="15.75">
      <c r="A13" s="196">
        <v>12</v>
      </c>
      <c r="B13" s="197" t="s">
        <v>709</v>
      </c>
      <c r="C13" s="477"/>
      <c r="D13" s="198"/>
      <c r="J13" s="128">
        <v>12</v>
      </c>
      <c r="K13" s="17" t="s">
        <v>59</v>
      </c>
      <c r="L13" s="12"/>
      <c r="M13" s="12"/>
      <c r="N13" s="488">
        <f>COUNTIF(D2:D65, "Nick")</f>
        <v>0</v>
      </c>
      <c r="O13" s="487">
        <f>SUM(L13-N13)</f>
        <v>0</v>
      </c>
    </row>
    <row r="14" spans="1:15" ht="15.75">
      <c r="A14" s="114">
        <v>13</v>
      </c>
      <c r="B14" s="186" t="s">
        <v>709</v>
      </c>
      <c r="C14" s="478"/>
      <c r="D14" s="63"/>
      <c r="J14" s="128">
        <v>13</v>
      </c>
      <c r="K14" s="17" t="s">
        <v>300</v>
      </c>
      <c r="L14" s="12"/>
      <c r="M14" s="12"/>
      <c r="N14" s="488">
        <f>COUNTIF(D2:D65, "Neville")</f>
        <v>0</v>
      </c>
      <c r="O14" s="487">
        <f>SUM(L14-N14)</f>
        <v>0</v>
      </c>
    </row>
    <row r="15" spans="1:15" ht="15.75">
      <c r="A15" s="114">
        <v>14</v>
      </c>
      <c r="B15" s="186" t="s">
        <v>709</v>
      </c>
      <c r="C15" s="478"/>
      <c r="D15" s="63"/>
      <c r="J15" s="128">
        <v>14</v>
      </c>
      <c r="K15" s="17" t="s">
        <v>276</v>
      </c>
      <c r="L15" s="12"/>
      <c r="M15" s="12"/>
      <c r="N15" s="488">
        <f>COUNTIF(D2:D65, "Pengfei")</f>
        <v>0</v>
      </c>
      <c r="O15" s="487">
        <f>SUM(L15-N15)</f>
        <v>0</v>
      </c>
    </row>
    <row r="16" spans="1:15" ht="15.75">
      <c r="A16" s="114">
        <v>15</v>
      </c>
      <c r="B16" s="186" t="s">
        <v>709</v>
      </c>
      <c r="C16" s="478"/>
      <c r="D16" s="63"/>
      <c r="J16" s="128">
        <v>15</v>
      </c>
      <c r="K16" s="723" t="s">
        <v>240</v>
      </c>
      <c r="L16" s="12"/>
      <c r="M16" s="12"/>
      <c r="N16" s="488">
        <f>COUNTIF(D2:D65, "Raza")</f>
        <v>0</v>
      </c>
      <c r="O16" s="487">
        <f>SUM(L16-N16)</f>
        <v>0</v>
      </c>
    </row>
    <row r="17" spans="1:15" ht="15.75">
      <c r="A17" s="114">
        <v>16</v>
      </c>
      <c r="B17" s="186" t="s">
        <v>709</v>
      </c>
      <c r="C17" s="478"/>
      <c r="D17" s="63"/>
      <c r="J17" s="128">
        <v>16</v>
      </c>
      <c r="K17" s="17" t="s">
        <v>78</v>
      </c>
      <c r="L17" s="12"/>
      <c r="M17" s="12"/>
      <c r="N17" s="488">
        <f>COUNTIF(D2:D65, "Shakeel")</f>
        <v>0</v>
      </c>
      <c r="O17" s="487">
        <f>SUM(L17-N17)</f>
        <v>0</v>
      </c>
    </row>
    <row r="18" spans="1:15" ht="15.75">
      <c r="A18" s="114">
        <v>17</v>
      </c>
      <c r="B18" s="186" t="s">
        <v>709</v>
      </c>
      <c r="C18" s="478"/>
      <c r="D18" s="63"/>
      <c r="J18" s="128">
        <v>17</v>
      </c>
      <c r="K18" s="17" t="s">
        <v>40</v>
      </c>
      <c r="L18" s="12"/>
      <c r="M18" s="12"/>
      <c r="N18" s="488">
        <f>COUNTIF(D2:D65, "Warren")</f>
        <v>0</v>
      </c>
      <c r="O18" s="487">
        <f>SUM(L18-N18)</f>
        <v>0</v>
      </c>
    </row>
    <row r="19" spans="1:15" ht="15.75">
      <c r="A19" s="114">
        <v>18</v>
      </c>
      <c r="B19" s="186" t="s">
        <v>709</v>
      </c>
      <c r="C19" s="478"/>
      <c r="D19" s="63"/>
      <c r="J19" s="128">
        <v>18</v>
      </c>
      <c r="K19" s="17" t="s">
        <v>80</v>
      </c>
      <c r="L19" s="12"/>
      <c r="M19" s="12"/>
      <c r="N19" s="488">
        <f>COUNTIF(D2:D65, "Taiwo")</f>
        <v>0</v>
      </c>
      <c r="O19" s="487">
        <f t="shared" ref="O19:O23" si="0">SUM(L19-N19)</f>
        <v>0</v>
      </c>
    </row>
    <row r="20" spans="1:15" ht="15.75">
      <c r="A20" s="116">
        <v>19</v>
      </c>
      <c r="B20" s="199" t="s">
        <v>709</v>
      </c>
      <c r="C20" s="479"/>
      <c r="D20" s="119"/>
      <c r="J20" s="128">
        <v>19</v>
      </c>
      <c r="K20" s="17" t="s">
        <v>102</v>
      </c>
      <c r="L20" s="12">
        <v>4</v>
      </c>
      <c r="M20" s="12"/>
      <c r="N20" s="488">
        <f>COUNTIF(D2:D65, "Craig")</f>
        <v>0</v>
      </c>
      <c r="O20" s="487">
        <f t="shared" si="0"/>
        <v>4</v>
      </c>
    </row>
    <row r="21" spans="1:15" ht="15.75">
      <c r="A21" s="209">
        <v>20</v>
      </c>
      <c r="B21" s="216" t="s">
        <v>710</v>
      </c>
      <c r="C21" s="474"/>
      <c r="D21" s="210"/>
      <c r="J21" s="128">
        <v>20</v>
      </c>
      <c r="K21" s="17" t="s">
        <v>17</v>
      </c>
      <c r="L21" s="12"/>
      <c r="M21" s="12"/>
      <c r="N21" s="488">
        <f>COUNTIF(D2:D65, "Armen")</f>
        <v>0</v>
      </c>
      <c r="O21" s="487">
        <f t="shared" si="0"/>
        <v>0</v>
      </c>
    </row>
    <row r="22" spans="1:15" ht="15.75">
      <c r="A22" s="202">
        <v>21</v>
      </c>
      <c r="B22" s="203" t="s">
        <v>710</v>
      </c>
      <c r="C22" s="475"/>
      <c r="D22" s="62"/>
      <c r="J22" s="126">
        <v>21</v>
      </c>
      <c r="K22" s="17"/>
      <c r="L22" s="12"/>
      <c r="M22" s="12"/>
      <c r="N22" s="488">
        <f>COUNTIF(D2:D65, " ")</f>
        <v>0</v>
      </c>
      <c r="O22" s="487">
        <f t="shared" si="0"/>
        <v>0</v>
      </c>
    </row>
    <row r="23" spans="1:15" ht="15.75">
      <c r="A23" s="202">
        <v>22</v>
      </c>
      <c r="B23" s="203" t="s">
        <v>710</v>
      </c>
      <c r="C23" s="475"/>
      <c r="D23" s="62"/>
      <c r="J23" s="12">
        <v>22</v>
      </c>
      <c r="K23" s="397"/>
      <c r="L23" s="18"/>
      <c r="M23" s="12"/>
      <c r="N23" s="618">
        <f>COUNTIF(D2:D65, " ")</f>
        <v>0</v>
      </c>
      <c r="O23" s="619">
        <f t="shared" si="0"/>
        <v>0</v>
      </c>
    </row>
    <row r="24" spans="1:15" ht="15.75">
      <c r="A24" s="202">
        <v>23</v>
      </c>
      <c r="B24" s="203" t="s">
        <v>710</v>
      </c>
      <c r="C24" s="475"/>
      <c r="D24" s="62"/>
      <c r="J24" s="5"/>
      <c r="L24" s="38">
        <f>SUM(L2:L23)</f>
        <v>9</v>
      </c>
      <c r="N24" s="617">
        <f>SUM(N2:N23)</f>
        <v>5</v>
      </c>
      <c r="O24" s="452">
        <f>SUM(O2:O23)</f>
        <v>4</v>
      </c>
    </row>
    <row r="25" spans="1:15" ht="15.75">
      <c r="A25" s="202">
        <v>24</v>
      </c>
      <c r="B25" s="203" t="s">
        <v>710</v>
      </c>
      <c r="C25" s="475"/>
      <c r="D25" s="62"/>
      <c r="J25" s="5"/>
    </row>
    <row r="26" spans="1:15" ht="15.75">
      <c r="A26" s="202">
        <v>25</v>
      </c>
      <c r="B26" s="203" t="s">
        <v>710</v>
      </c>
      <c r="C26" s="475"/>
      <c r="D26" s="62"/>
    </row>
    <row r="27" spans="1:15" ht="15.75">
      <c r="A27" s="202">
        <v>26</v>
      </c>
      <c r="B27" s="203" t="s">
        <v>710</v>
      </c>
      <c r="C27" s="475"/>
      <c r="D27" s="62"/>
    </row>
    <row r="28" spans="1:15">
      <c r="A28" s="202">
        <v>27</v>
      </c>
      <c r="B28" s="203" t="s">
        <v>710</v>
      </c>
      <c r="C28" s="475"/>
      <c r="D28" s="62"/>
    </row>
    <row r="29" spans="1:15">
      <c r="A29" s="202">
        <v>28</v>
      </c>
      <c r="B29" s="203" t="s">
        <v>710</v>
      </c>
      <c r="C29" s="475"/>
      <c r="D29" s="62"/>
    </row>
    <row r="30" spans="1:15">
      <c r="A30" s="204">
        <v>29</v>
      </c>
      <c r="B30" s="205" t="s">
        <v>710</v>
      </c>
      <c r="C30" s="480"/>
      <c r="D30" s="66"/>
    </row>
    <row r="31" spans="1:15">
      <c r="A31" s="213">
        <v>30</v>
      </c>
      <c r="B31" s="200" t="s">
        <v>711</v>
      </c>
      <c r="C31" s="481"/>
      <c r="D31" s="154" t="s">
        <v>10</v>
      </c>
    </row>
    <row r="32" spans="1:15">
      <c r="A32" s="114">
        <v>31</v>
      </c>
      <c r="B32" s="186" t="s">
        <v>711</v>
      </c>
      <c r="C32" s="478"/>
      <c r="D32" s="211" t="s">
        <v>10</v>
      </c>
    </row>
    <row r="33" spans="1:4">
      <c r="A33" s="114">
        <v>32</v>
      </c>
      <c r="B33" s="186" t="s">
        <v>711</v>
      </c>
      <c r="C33" s="478"/>
      <c r="D33" s="211" t="s">
        <v>10</v>
      </c>
    </row>
    <row r="34" spans="1:4">
      <c r="A34" s="114">
        <v>33</v>
      </c>
      <c r="B34" s="186" t="s">
        <v>711</v>
      </c>
      <c r="C34" s="478"/>
      <c r="D34" s="211" t="s">
        <v>10</v>
      </c>
    </row>
    <row r="35" spans="1:4">
      <c r="A35" s="116">
        <v>34</v>
      </c>
      <c r="B35" s="199" t="s">
        <v>711</v>
      </c>
      <c r="C35" s="479"/>
      <c r="D35" s="212" t="s">
        <v>10</v>
      </c>
    </row>
    <row r="36" spans="1:4">
      <c r="A36" s="209">
        <v>35</v>
      </c>
      <c r="B36" s="207" t="s">
        <v>712</v>
      </c>
      <c r="C36" s="482"/>
      <c r="D36" s="210"/>
    </row>
    <row r="37" spans="1:4">
      <c r="A37" s="202">
        <v>36</v>
      </c>
      <c r="B37" s="206" t="s">
        <v>712</v>
      </c>
      <c r="C37" s="19"/>
      <c r="D37" s="62"/>
    </row>
    <row r="38" spans="1:4">
      <c r="A38" s="202">
        <v>37</v>
      </c>
      <c r="B38" s="206" t="s">
        <v>712</v>
      </c>
      <c r="C38" s="19"/>
      <c r="D38" s="62"/>
    </row>
    <row r="39" spans="1:4">
      <c r="A39" s="202">
        <v>38</v>
      </c>
      <c r="B39" s="206" t="s">
        <v>712</v>
      </c>
      <c r="C39" s="19"/>
      <c r="D39" s="62"/>
    </row>
    <row r="40" spans="1:4">
      <c r="A40" s="202">
        <v>39</v>
      </c>
      <c r="B40" s="206" t="s">
        <v>712</v>
      </c>
      <c r="C40" s="19"/>
      <c r="D40" s="62"/>
    </row>
    <row r="41" spans="1:4">
      <c r="A41" s="202">
        <v>40</v>
      </c>
      <c r="B41" s="206" t="s">
        <v>712</v>
      </c>
      <c r="C41" s="19"/>
      <c r="D41" s="62"/>
    </row>
    <row r="42" spans="1:4">
      <c r="A42" s="202">
        <v>41</v>
      </c>
      <c r="B42" s="206" t="s">
        <v>712</v>
      </c>
      <c r="C42" s="19"/>
      <c r="D42" s="62"/>
    </row>
    <row r="43" spans="1:4">
      <c r="A43" s="202">
        <v>42</v>
      </c>
      <c r="B43" s="206" t="s">
        <v>712</v>
      </c>
      <c r="C43" s="19"/>
      <c r="D43" s="62"/>
    </row>
    <row r="44" spans="1:4">
      <c r="A44" s="202">
        <v>43</v>
      </c>
      <c r="B44" s="206" t="s">
        <v>712</v>
      </c>
      <c r="C44" s="19"/>
      <c r="D44" s="62"/>
    </row>
    <row r="45" spans="1:4">
      <c r="A45" s="202">
        <v>44</v>
      </c>
      <c r="B45" s="206" t="s">
        <v>712</v>
      </c>
      <c r="C45" s="19"/>
      <c r="D45" s="62"/>
    </row>
    <row r="46" spans="1:4">
      <c r="A46" s="202">
        <v>45</v>
      </c>
      <c r="B46" s="206" t="s">
        <v>712</v>
      </c>
      <c r="C46" s="19"/>
      <c r="D46" s="62"/>
    </row>
    <row r="47" spans="1:4">
      <c r="A47" s="202">
        <v>46</v>
      </c>
      <c r="B47" s="206" t="s">
        <v>712</v>
      </c>
      <c r="C47" s="19"/>
      <c r="D47" s="62"/>
    </row>
    <row r="48" spans="1:4">
      <c r="A48" s="202">
        <v>47</v>
      </c>
      <c r="B48" s="206" t="s">
        <v>712</v>
      </c>
      <c r="C48" s="19"/>
      <c r="D48" s="62"/>
    </row>
    <row r="49" spans="1:4">
      <c r="A49" s="202">
        <v>48</v>
      </c>
      <c r="B49" s="206" t="s">
        <v>712</v>
      </c>
      <c r="C49" s="19"/>
      <c r="D49" s="62"/>
    </row>
    <row r="50" spans="1:4">
      <c r="A50" s="202">
        <v>49</v>
      </c>
      <c r="B50" s="206" t="s">
        <v>712</v>
      </c>
      <c r="C50" s="19"/>
      <c r="D50" s="62"/>
    </row>
    <row r="51" spans="1:4">
      <c r="A51" s="202">
        <v>50</v>
      </c>
      <c r="B51" s="206" t="s">
        <v>712</v>
      </c>
      <c r="C51" s="19"/>
      <c r="D51" s="62"/>
    </row>
    <row r="52" spans="1:4">
      <c r="A52" s="202">
        <v>51</v>
      </c>
      <c r="B52" s="206" t="s">
        <v>712</v>
      </c>
      <c r="C52" s="19"/>
      <c r="D52" s="62"/>
    </row>
    <row r="53" spans="1:4">
      <c r="A53" s="202">
        <v>52</v>
      </c>
      <c r="B53" s="206" t="s">
        <v>712</v>
      </c>
      <c r="C53" s="19"/>
      <c r="D53" s="62"/>
    </row>
    <row r="54" spans="1:4">
      <c r="A54" s="202">
        <v>53</v>
      </c>
      <c r="B54" s="206" t="s">
        <v>712</v>
      </c>
      <c r="C54" s="19"/>
      <c r="D54" s="62"/>
    </row>
    <row r="55" spans="1:4">
      <c r="A55" s="202">
        <v>54</v>
      </c>
      <c r="B55" s="206" t="s">
        <v>712</v>
      </c>
      <c r="C55" s="19"/>
      <c r="D55" s="62"/>
    </row>
    <row r="56" spans="1:4">
      <c r="A56" s="202">
        <v>55</v>
      </c>
      <c r="B56" s="206" t="s">
        <v>712</v>
      </c>
      <c r="C56" s="19"/>
      <c r="D56" s="62"/>
    </row>
    <row r="57" spans="1:4">
      <c r="A57" s="202">
        <v>56</v>
      </c>
      <c r="B57" s="206" t="s">
        <v>712</v>
      </c>
      <c r="C57" s="19"/>
      <c r="D57" s="62"/>
    </row>
    <row r="58" spans="1:4">
      <c r="A58" s="202">
        <v>57</v>
      </c>
      <c r="B58" s="206" t="s">
        <v>712</v>
      </c>
      <c r="C58" s="19"/>
      <c r="D58" s="62"/>
    </row>
    <row r="59" spans="1:4">
      <c r="A59" s="202">
        <v>58</v>
      </c>
      <c r="B59" s="206" t="s">
        <v>712</v>
      </c>
      <c r="C59" s="19"/>
      <c r="D59" s="62"/>
    </row>
    <row r="60" spans="1:4">
      <c r="A60" s="204">
        <v>59</v>
      </c>
      <c r="B60" s="148" t="s">
        <v>712</v>
      </c>
      <c r="C60" s="259"/>
      <c r="D60" s="66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89DC-21FF-41D6-9447-EAD53795B870}">
  <sheetPr>
    <tabColor rgb="FF8AE9FF"/>
  </sheetPr>
  <dimension ref="A1:N162"/>
  <sheetViews>
    <sheetView workbookViewId="0">
      <selection activeCell="E12" sqref="E12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31" t="s">
        <v>714</v>
      </c>
      <c r="B1" s="1032"/>
      <c r="C1" s="1032"/>
      <c r="D1" s="1032"/>
      <c r="E1" s="1033"/>
      <c r="F1" s="131"/>
      <c r="G1" s="131"/>
    </row>
    <row r="2" spans="1:14" ht="15.75" customHeight="1">
      <c r="A2" s="126"/>
      <c r="B2" s="98" t="s">
        <v>328</v>
      </c>
      <c r="C2" s="98" t="s">
        <v>472</v>
      </c>
      <c r="D2" s="610" t="s">
        <v>473</v>
      </c>
      <c r="E2" s="98" t="s">
        <v>6</v>
      </c>
      <c r="G2" s="1037" t="s">
        <v>715</v>
      </c>
      <c r="H2" s="1038"/>
      <c r="I2" s="1039"/>
      <c r="K2" s="836" t="s">
        <v>394</v>
      </c>
      <c r="L2" s="837" t="s">
        <v>377</v>
      </c>
      <c r="M2" s="838" t="s">
        <v>379</v>
      </c>
      <c r="N2" s="839" t="s">
        <v>475</v>
      </c>
    </row>
    <row r="3" spans="1:14" ht="16.5">
      <c r="A3" s="123">
        <v>1</v>
      </c>
      <c r="B3" s="833"/>
      <c r="C3" s="833"/>
      <c r="D3" s="833" t="s">
        <v>252</v>
      </c>
      <c r="E3" s="833"/>
      <c r="G3" s="1034"/>
      <c r="H3" s="1035"/>
      <c r="I3" s="1036"/>
      <c r="J3">
        <v>1</v>
      </c>
      <c r="K3" s="840" t="s">
        <v>478</v>
      </c>
      <c r="L3" s="841"/>
      <c r="M3" s="842">
        <f>COUNTIF(E3:E160, "Drishty Sobnath")</f>
        <v>0</v>
      </c>
      <c r="N3" s="843">
        <f>SUM(L3-M3)</f>
        <v>0</v>
      </c>
    </row>
    <row r="4" spans="1:14">
      <c r="A4" s="12">
        <v>2</v>
      </c>
      <c r="B4" s="833"/>
      <c r="C4" s="833"/>
      <c r="D4" s="833" t="s">
        <v>252</v>
      </c>
      <c r="E4" s="833"/>
      <c r="G4" s="1022"/>
      <c r="H4" s="1023"/>
      <c r="I4" s="1024"/>
      <c r="J4">
        <v>2</v>
      </c>
      <c r="K4" s="832" t="s">
        <v>481</v>
      </c>
      <c r="L4" s="841"/>
      <c r="M4" s="842">
        <f>COUNTIF(E3:E160, "Shakeel Ahmad")</f>
        <v>0</v>
      </c>
      <c r="N4" s="843">
        <f>SUM(L4-M4)</f>
        <v>0</v>
      </c>
    </row>
    <row r="5" spans="1:14" ht="18" customHeight="1">
      <c r="A5" s="123">
        <v>3</v>
      </c>
      <c r="B5" s="833"/>
      <c r="C5" s="833"/>
      <c r="D5" s="833" t="s">
        <v>252</v>
      </c>
      <c r="E5" s="833"/>
      <c r="G5" s="314"/>
      <c r="H5" s="314"/>
      <c r="I5" s="314"/>
      <c r="J5">
        <v>3</v>
      </c>
      <c r="K5" s="832" t="s">
        <v>484</v>
      </c>
      <c r="L5" s="841"/>
      <c r="M5" s="842">
        <f>COUNTIF(E3:E160, "Jarutas Andritsch")</f>
        <v>0</v>
      </c>
      <c r="N5" s="843">
        <f>SUM(L5-M5)</f>
        <v>0</v>
      </c>
    </row>
    <row r="6" spans="1:14">
      <c r="A6" s="123">
        <v>4</v>
      </c>
      <c r="B6" s="833"/>
      <c r="C6" s="833"/>
      <c r="D6" s="833" t="s">
        <v>252</v>
      </c>
      <c r="E6" s="833"/>
      <c r="J6">
        <v>4</v>
      </c>
      <c r="K6" s="832" t="s">
        <v>487</v>
      </c>
      <c r="L6" s="841"/>
      <c r="M6" s="842">
        <f>COUNTIF(E3:E160, "Kashif Talpur")</f>
        <v>0</v>
      </c>
      <c r="N6" s="843">
        <f>SUM(L6-M6)</f>
        <v>0</v>
      </c>
    </row>
    <row r="7" spans="1:14">
      <c r="A7" s="12">
        <v>5</v>
      </c>
      <c r="B7" s="833"/>
      <c r="C7" s="833"/>
      <c r="D7" s="833" t="s">
        <v>252</v>
      </c>
      <c r="E7" s="833"/>
      <c r="J7">
        <v>5</v>
      </c>
      <c r="K7" s="832" t="s">
        <v>490</v>
      </c>
      <c r="L7" s="841"/>
      <c r="M7" s="842">
        <f>COUNTIF(E3:E160, "Pengfei Xue")</f>
        <v>0</v>
      </c>
      <c r="N7" s="843">
        <f>SUM(L7-M7)</f>
        <v>0</v>
      </c>
    </row>
    <row r="8" spans="1:14">
      <c r="A8" s="123">
        <v>6</v>
      </c>
      <c r="B8" s="833"/>
      <c r="C8" s="833"/>
      <c r="D8" s="833" t="s">
        <v>252</v>
      </c>
      <c r="E8" s="833"/>
      <c r="J8">
        <v>6</v>
      </c>
      <c r="K8" s="832" t="s">
        <v>493</v>
      </c>
      <c r="L8" s="841"/>
      <c r="M8" s="842">
        <f>COUNTIF(E3:E160, "Bacha Rehman")</f>
        <v>0</v>
      </c>
      <c r="N8" s="843">
        <f>SUM(L8-M8)</f>
        <v>0</v>
      </c>
    </row>
    <row r="9" spans="1:14">
      <c r="A9" s="123">
        <v>7</v>
      </c>
      <c r="B9" s="833"/>
      <c r="C9" s="833"/>
      <c r="D9" s="833" t="s">
        <v>252</v>
      </c>
      <c r="E9" s="833"/>
      <c r="J9">
        <v>7</v>
      </c>
      <c r="K9" s="844" t="s">
        <v>496</v>
      </c>
      <c r="L9" s="841"/>
      <c r="M9" s="842">
        <f>COUNTIF(E3:E160, "Raza Hasan")</f>
        <v>0</v>
      </c>
      <c r="N9" s="843">
        <f>SUM(L9-M9)</f>
        <v>0</v>
      </c>
    </row>
    <row r="10" spans="1:14">
      <c r="A10" s="12">
        <v>8</v>
      </c>
      <c r="B10" s="833"/>
      <c r="C10" s="833"/>
      <c r="D10" s="833" t="s">
        <v>252</v>
      </c>
      <c r="E10" s="833"/>
      <c r="J10">
        <v>8</v>
      </c>
      <c r="K10" s="845" t="s">
        <v>499</v>
      </c>
      <c r="L10" s="846"/>
      <c r="M10" s="842">
        <f>COUNTIF(E3:E160, "Taiwo Ayodele")</f>
        <v>0</v>
      </c>
      <c r="N10" s="843">
        <f>SUM(L10-M10)</f>
        <v>0</v>
      </c>
    </row>
    <row r="11" spans="1:14">
      <c r="A11" s="123">
        <v>9</v>
      </c>
      <c r="B11" s="833"/>
      <c r="C11" s="833"/>
      <c r="D11" s="833" t="s">
        <v>252</v>
      </c>
      <c r="E11" s="833"/>
      <c r="J11">
        <v>9</v>
      </c>
      <c r="K11" s="834" t="s">
        <v>502</v>
      </c>
      <c r="L11" s="847"/>
      <c r="M11" s="842">
        <v>0</v>
      </c>
      <c r="N11" s="843">
        <v>0</v>
      </c>
    </row>
    <row r="12" spans="1:14">
      <c r="A12" s="123">
        <v>10</v>
      </c>
      <c r="B12" s="833"/>
      <c r="C12" s="833"/>
      <c r="D12" s="833" t="s">
        <v>252</v>
      </c>
      <c r="E12" s="833"/>
      <c r="J12">
        <v>10</v>
      </c>
      <c r="K12" s="835" t="s">
        <v>502</v>
      </c>
      <c r="L12" s="848"/>
      <c r="M12" s="842">
        <v>0</v>
      </c>
      <c r="N12" s="843">
        <v>0</v>
      </c>
    </row>
    <row r="13" spans="1:14">
      <c r="A13" s="12">
        <v>11</v>
      </c>
      <c r="B13" s="833"/>
      <c r="C13" s="833"/>
      <c r="D13" s="833" t="s">
        <v>252</v>
      </c>
      <c r="E13" s="833"/>
      <c r="G13" s="497"/>
      <c r="J13">
        <v>11</v>
      </c>
      <c r="K13" s="849" t="s">
        <v>502</v>
      </c>
      <c r="L13" s="829"/>
      <c r="M13" s="850">
        <v>0</v>
      </c>
      <c r="N13" s="843">
        <v>0</v>
      </c>
    </row>
    <row r="14" spans="1:14">
      <c r="A14" s="123">
        <v>12</v>
      </c>
      <c r="B14" s="833"/>
      <c r="C14" s="833"/>
      <c r="D14" s="833" t="s">
        <v>252</v>
      </c>
      <c r="E14" s="833"/>
      <c r="K14" s="829"/>
      <c r="L14" s="851">
        <f>SUM(L3:L13)</f>
        <v>0</v>
      </c>
      <c r="M14" s="852">
        <f>SUM(M3:M13)</f>
        <v>0</v>
      </c>
      <c r="N14" s="829"/>
    </row>
    <row r="15" spans="1:14">
      <c r="A15" s="123">
        <v>13</v>
      </c>
      <c r="B15" s="833"/>
      <c r="C15" s="833"/>
      <c r="D15" s="833" t="s">
        <v>252</v>
      </c>
      <c r="E15" s="833"/>
    </row>
    <row r="16" spans="1:14">
      <c r="A16" s="12">
        <v>14</v>
      </c>
      <c r="B16" s="833"/>
      <c r="C16" s="833"/>
      <c r="D16" s="833" t="s">
        <v>252</v>
      </c>
      <c r="E16" s="833"/>
      <c r="K16" s="777" t="s">
        <v>417</v>
      </c>
      <c r="L16" s="837" t="s">
        <v>377</v>
      </c>
      <c r="M16" s="838" t="s">
        <v>379</v>
      </c>
      <c r="N16" s="839" t="s">
        <v>475</v>
      </c>
    </row>
    <row r="17" spans="1:14">
      <c r="A17" s="123">
        <v>15</v>
      </c>
      <c r="B17" s="833"/>
      <c r="C17" s="833"/>
      <c r="D17" s="833" t="s">
        <v>252</v>
      </c>
      <c r="E17" s="833"/>
      <c r="J17">
        <v>1</v>
      </c>
      <c r="K17" s="831" t="s">
        <v>515</v>
      </c>
      <c r="L17" s="853"/>
      <c r="M17" s="854">
        <f>COUNTIF(E3:E160, "Khushi Matloob")</f>
        <v>0</v>
      </c>
      <c r="N17" s="855">
        <f>SUM(L17-M17)</f>
        <v>0</v>
      </c>
    </row>
    <row r="18" spans="1:14">
      <c r="A18" s="123">
        <v>16</v>
      </c>
      <c r="B18" s="833"/>
      <c r="C18" s="833"/>
      <c r="D18" s="833" t="s">
        <v>252</v>
      </c>
      <c r="E18" s="833"/>
      <c r="J18">
        <v>2</v>
      </c>
      <c r="K18" s="832" t="s">
        <v>518</v>
      </c>
      <c r="L18" s="856"/>
      <c r="M18" s="857">
        <f>COUNTIF(E3:E160, "Saeed Sharif")</f>
        <v>0</v>
      </c>
      <c r="N18" s="855">
        <f>SUM(L18-M18)</f>
        <v>0</v>
      </c>
    </row>
    <row r="19" spans="1:14">
      <c r="A19" s="12">
        <v>17</v>
      </c>
      <c r="B19" s="833"/>
      <c r="C19" s="833"/>
      <c r="D19" s="833" t="s">
        <v>252</v>
      </c>
      <c r="E19" s="833"/>
      <c r="J19">
        <v>3</v>
      </c>
      <c r="K19" s="832" t="s">
        <v>521</v>
      </c>
      <c r="L19" s="856"/>
      <c r="M19" s="857">
        <f>COUNTIF(E3:E160, "Mujeeb Ur Rehman")</f>
        <v>0</v>
      </c>
      <c r="N19" s="855">
        <f>SUM(L19-M19)</f>
        <v>0</v>
      </c>
    </row>
    <row r="20" spans="1:14">
      <c r="A20" s="123">
        <v>18</v>
      </c>
      <c r="B20" s="833"/>
      <c r="C20" s="833"/>
      <c r="D20" s="833" t="s">
        <v>252</v>
      </c>
      <c r="E20" s="833"/>
      <c r="J20">
        <v>4</v>
      </c>
      <c r="K20" s="832" t="s">
        <v>524</v>
      </c>
      <c r="L20" s="856"/>
      <c r="M20" s="858">
        <f>COUNTIF(E3:E160, "Vahid Rafe")</f>
        <v>0</v>
      </c>
      <c r="N20" s="855">
        <f>SUM(L20-M20)</f>
        <v>0</v>
      </c>
    </row>
    <row r="21" spans="1:14">
      <c r="A21" s="123">
        <v>19</v>
      </c>
      <c r="B21" s="833"/>
      <c r="C21" s="833"/>
      <c r="D21" s="833" t="s">
        <v>252</v>
      </c>
      <c r="E21" s="833"/>
      <c r="J21">
        <v>5</v>
      </c>
      <c r="K21" s="832" t="s">
        <v>527</v>
      </c>
      <c r="L21" s="856"/>
      <c r="M21" s="858">
        <f>COUNTIF(E3:E160, "Hany Atlamb")</f>
        <v>0</v>
      </c>
      <c r="N21" s="855">
        <f>SUM(L21-M21)</f>
        <v>0</v>
      </c>
    </row>
    <row r="22" spans="1:14">
      <c r="A22" s="12">
        <v>20</v>
      </c>
      <c r="B22" s="833"/>
      <c r="C22" s="833"/>
      <c r="D22" s="833" t="s">
        <v>252</v>
      </c>
      <c r="E22" s="833"/>
      <c r="J22">
        <v>6</v>
      </c>
      <c r="K22" s="832" t="s">
        <v>530</v>
      </c>
      <c r="L22" s="856"/>
      <c r="M22" s="858">
        <f>COUNTIF(E3:E160, "Hamidreza Soltani")</f>
        <v>0</v>
      </c>
      <c r="N22" s="855">
        <f>SUM(L22-M22)</f>
        <v>0</v>
      </c>
    </row>
    <row r="23" spans="1:14">
      <c r="A23" s="123">
        <v>21</v>
      </c>
      <c r="B23" s="833"/>
      <c r="C23" s="833"/>
      <c r="D23" s="833" t="s">
        <v>252</v>
      </c>
      <c r="E23" s="833"/>
      <c r="J23">
        <v>7</v>
      </c>
      <c r="K23" s="832" t="s">
        <v>533</v>
      </c>
      <c r="L23" s="856"/>
      <c r="M23" s="858">
        <f>COUNTIF(E3:E160, "Peyman Heydarian")</f>
        <v>0</v>
      </c>
      <c r="N23" s="855">
        <f>SUM(L23-M23)</f>
        <v>0</v>
      </c>
    </row>
    <row r="24" spans="1:14">
      <c r="A24" s="123">
        <v>22</v>
      </c>
      <c r="B24" s="833"/>
      <c r="C24" s="833"/>
      <c r="D24" s="833" t="s">
        <v>252</v>
      </c>
      <c r="E24" s="833"/>
      <c r="J24">
        <v>8</v>
      </c>
      <c r="K24" s="832" t="s">
        <v>536</v>
      </c>
      <c r="L24" s="856"/>
      <c r="M24" s="858">
        <f>COUNTIF(E3:E160, "Zuhaib Khan")</f>
        <v>0</v>
      </c>
      <c r="N24" s="855">
        <f>SUM(L24-M24)</f>
        <v>0</v>
      </c>
    </row>
    <row r="25" spans="1:14">
      <c r="A25" s="12">
        <v>23</v>
      </c>
      <c r="B25" s="833"/>
      <c r="C25" s="833"/>
      <c r="D25" s="833" t="s">
        <v>252</v>
      </c>
      <c r="E25" s="833"/>
      <c r="J25">
        <v>9</v>
      </c>
      <c r="K25" s="832" t="s">
        <v>539</v>
      </c>
      <c r="L25" s="861"/>
      <c r="M25" s="862">
        <f>COUNTIF(E3:E160, "Ade Shonola")</f>
        <v>0</v>
      </c>
      <c r="N25" s="855">
        <f>SUM(L25-M25)</f>
        <v>0</v>
      </c>
    </row>
    <row r="26" spans="1:14">
      <c r="A26" s="123">
        <v>24</v>
      </c>
      <c r="B26" s="833"/>
      <c r="C26" s="833"/>
      <c r="D26" s="833" t="s">
        <v>252</v>
      </c>
      <c r="E26" s="833"/>
      <c r="K26" s="829"/>
      <c r="L26" s="859">
        <f>SUM(L17:L25)</f>
        <v>0</v>
      </c>
      <c r="M26" s="860">
        <f>SUM(M17:M25)</f>
        <v>0</v>
      </c>
      <c r="N26" s="829"/>
    </row>
    <row r="27" spans="1:14">
      <c r="A27" s="123">
        <v>25</v>
      </c>
      <c r="B27" s="833"/>
      <c r="C27" s="833"/>
      <c r="D27" s="833" t="s">
        <v>252</v>
      </c>
      <c r="E27" s="833"/>
      <c r="N27" s="63"/>
    </row>
    <row r="28" spans="1:14">
      <c r="A28" s="12">
        <v>26</v>
      </c>
      <c r="B28" s="833"/>
      <c r="C28" s="833"/>
      <c r="D28" s="833" t="s">
        <v>252</v>
      </c>
      <c r="E28" s="833"/>
      <c r="K28" s="780" t="s">
        <v>546</v>
      </c>
      <c r="L28" s="781">
        <f>SUM(L14+L26)</f>
        <v>0</v>
      </c>
      <c r="M28" s="265"/>
      <c r="N28" s="119"/>
    </row>
    <row r="29" spans="1:14">
      <c r="A29" s="123">
        <v>27</v>
      </c>
      <c r="B29" s="833"/>
      <c r="C29" s="833"/>
      <c r="D29" s="833" t="s">
        <v>252</v>
      </c>
      <c r="E29" s="833"/>
      <c r="M29" s="782" t="s">
        <v>475</v>
      </c>
      <c r="N29" s="783" t="s">
        <v>379</v>
      </c>
    </row>
    <row r="30" spans="1:14">
      <c r="A30" s="123">
        <v>28</v>
      </c>
      <c r="B30" s="833"/>
      <c r="C30" s="833"/>
      <c r="D30" s="833" t="s">
        <v>252</v>
      </c>
      <c r="E30" s="833"/>
      <c r="M30" s="291">
        <f>SUM(G3)</f>
        <v>0</v>
      </c>
      <c r="N30" s="279">
        <f>SUM(M14+M26)</f>
        <v>0</v>
      </c>
    </row>
    <row r="31" spans="1:14">
      <c r="A31" s="12">
        <v>29</v>
      </c>
      <c r="B31" s="833"/>
      <c r="C31" s="833"/>
      <c r="D31" s="833" t="s">
        <v>252</v>
      </c>
      <c r="E31" s="833"/>
    </row>
    <row r="32" spans="1:14">
      <c r="A32" s="123">
        <v>30</v>
      </c>
      <c r="B32" s="833"/>
      <c r="C32" s="833"/>
      <c r="D32" s="833" t="s">
        <v>252</v>
      </c>
      <c r="E32" s="833"/>
    </row>
    <row r="33" spans="1:5">
      <c r="A33" s="123">
        <v>31</v>
      </c>
      <c r="B33" s="833"/>
      <c r="C33" s="833"/>
      <c r="D33" s="833" t="s">
        <v>252</v>
      </c>
      <c r="E33" s="833"/>
    </row>
    <row r="34" spans="1:5">
      <c r="A34" s="12">
        <v>32</v>
      </c>
      <c r="B34" s="833"/>
      <c r="C34" s="833"/>
      <c r="D34" s="833" t="s">
        <v>252</v>
      </c>
      <c r="E34" s="833"/>
    </row>
    <row r="35" spans="1:5">
      <c r="A35" s="123">
        <v>33</v>
      </c>
      <c r="B35" s="833"/>
      <c r="C35" s="833"/>
      <c r="D35" s="833" t="s">
        <v>252</v>
      </c>
      <c r="E35" s="833"/>
    </row>
    <row r="36" spans="1:5">
      <c r="A36" s="123">
        <v>34</v>
      </c>
      <c r="B36" s="833"/>
      <c r="C36" s="833"/>
      <c r="D36" s="833" t="s">
        <v>252</v>
      </c>
      <c r="E36" s="833"/>
    </row>
    <row r="37" spans="1:5">
      <c r="A37" s="12">
        <v>35</v>
      </c>
      <c r="B37" s="833"/>
      <c r="C37" s="833"/>
      <c r="D37" s="833" t="s">
        <v>252</v>
      </c>
      <c r="E37" s="833"/>
    </row>
    <row r="38" spans="1:5">
      <c r="A38" s="123">
        <v>36</v>
      </c>
      <c r="B38" s="833"/>
      <c r="C38" s="833"/>
      <c r="D38" s="833" t="s">
        <v>252</v>
      </c>
      <c r="E38" s="833"/>
    </row>
    <row r="39" spans="1:5">
      <c r="A39" s="123">
        <v>37</v>
      </c>
      <c r="B39" s="833"/>
      <c r="C39" s="833"/>
      <c r="D39" s="833" t="s">
        <v>252</v>
      </c>
      <c r="E39" s="833"/>
    </row>
    <row r="40" spans="1:5">
      <c r="A40" s="12">
        <v>38</v>
      </c>
      <c r="B40" s="833"/>
      <c r="C40" s="833"/>
      <c r="D40" s="833" t="s">
        <v>252</v>
      </c>
      <c r="E40" s="833"/>
    </row>
    <row r="41" spans="1:5">
      <c r="A41" s="123">
        <v>39</v>
      </c>
      <c r="B41" s="833"/>
      <c r="C41" s="833"/>
      <c r="D41" s="833" t="s">
        <v>252</v>
      </c>
      <c r="E41" s="833"/>
    </row>
    <row r="42" spans="1:5">
      <c r="A42" s="123">
        <v>40</v>
      </c>
      <c r="B42" s="833"/>
      <c r="C42" s="833"/>
      <c r="D42" s="833" t="s">
        <v>252</v>
      </c>
      <c r="E42" s="833"/>
    </row>
    <row r="43" spans="1:5">
      <c r="A43" s="12">
        <v>41</v>
      </c>
      <c r="B43" s="833"/>
      <c r="C43" s="833"/>
      <c r="D43" s="833" t="s">
        <v>252</v>
      </c>
      <c r="E43" s="833"/>
    </row>
    <row r="44" spans="1:5">
      <c r="A44" s="123">
        <v>42</v>
      </c>
      <c r="B44" s="833"/>
      <c r="C44" s="833"/>
      <c r="D44" s="833" t="s">
        <v>252</v>
      </c>
      <c r="E44" s="833"/>
    </row>
    <row r="45" spans="1:5">
      <c r="A45" s="123">
        <v>43</v>
      </c>
      <c r="B45" s="833"/>
      <c r="C45" s="833"/>
      <c r="D45" s="833" t="s">
        <v>252</v>
      </c>
      <c r="E45" s="833"/>
    </row>
    <row r="46" spans="1:5">
      <c r="A46" s="12">
        <v>44</v>
      </c>
      <c r="B46" s="833"/>
      <c r="C46" s="833"/>
      <c r="D46" s="833" t="s">
        <v>252</v>
      </c>
      <c r="E46" s="833"/>
    </row>
    <row r="47" spans="1:5">
      <c r="A47" s="123">
        <v>45</v>
      </c>
      <c r="B47" s="833"/>
      <c r="C47" s="833"/>
      <c r="D47" s="833" t="s">
        <v>252</v>
      </c>
      <c r="E47" s="833"/>
    </row>
    <row r="48" spans="1:5">
      <c r="A48" s="123">
        <v>46</v>
      </c>
      <c r="B48" s="833"/>
      <c r="C48" s="833"/>
      <c r="D48" s="833" t="s">
        <v>252</v>
      </c>
      <c r="E48" s="833"/>
    </row>
    <row r="49" spans="1:5">
      <c r="A49" s="12">
        <v>47</v>
      </c>
      <c r="B49" s="833"/>
      <c r="C49" s="833"/>
      <c r="D49" s="833" t="s">
        <v>252</v>
      </c>
      <c r="E49" s="833"/>
    </row>
    <row r="50" spans="1:5">
      <c r="A50" s="123">
        <v>48</v>
      </c>
      <c r="B50" s="833"/>
      <c r="C50" s="833"/>
      <c r="D50" s="833" t="s">
        <v>252</v>
      </c>
      <c r="E50" s="833"/>
    </row>
    <row r="51" spans="1:5">
      <c r="A51" s="123">
        <v>49</v>
      </c>
      <c r="B51" s="833"/>
      <c r="C51" s="833"/>
      <c r="D51" s="833" t="s">
        <v>252</v>
      </c>
      <c r="E51" s="833"/>
    </row>
    <row r="52" spans="1:5">
      <c r="A52" s="12">
        <v>50</v>
      </c>
      <c r="B52" s="833"/>
      <c r="C52" s="833"/>
      <c r="D52" s="833" t="s">
        <v>252</v>
      </c>
      <c r="E52" s="833"/>
    </row>
    <row r="53" spans="1:5">
      <c r="A53" s="123">
        <v>51</v>
      </c>
      <c r="B53" s="224"/>
      <c r="C53" s="829"/>
      <c r="D53" s="124" t="s">
        <v>252</v>
      </c>
      <c r="E53" s="830"/>
    </row>
    <row r="54" spans="1:5">
      <c r="A54" s="123">
        <v>52</v>
      </c>
      <c r="B54" s="833"/>
      <c r="C54" s="833"/>
      <c r="D54" s="833" t="s">
        <v>252</v>
      </c>
      <c r="E54" s="833"/>
    </row>
    <row r="55" spans="1:5">
      <c r="A55" s="12">
        <v>53</v>
      </c>
      <c r="B55" s="833"/>
      <c r="C55" s="833"/>
      <c r="D55" s="833" t="s">
        <v>252</v>
      </c>
      <c r="E55" s="833"/>
    </row>
    <row r="56" spans="1:5">
      <c r="A56" s="123">
        <v>54</v>
      </c>
      <c r="B56" s="833"/>
      <c r="C56" s="833"/>
      <c r="D56" s="833" t="s">
        <v>252</v>
      </c>
      <c r="E56" s="833"/>
    </row>
    <row r="57" spans="1:5">
      <c r="A57" s="123">
        <v>55</v>
      </c>
      <c r="B57" s="833"/>
      <c r="C57" s="833"/>
      <c r="D57" s="833" t="s">
        <v>252</v>
      </c>
      <c r="E57" s="833"/>
    </row>
    <row r="58" spans="1:5">
      <c r="A58" s="12">
        <v>56</v>
      </c>
      <c r="B58" s="833"/>
      <c r="C58" s="833"/>
      <c r="D58" s="833" t="s">
        <v>252</v>
      </c>
      <c r="E58" s="833"/>
    </row>
    <row r="59" spans="1:5">
      <c r="A59" s="123">
        <v>57</v>
      </c>
      <c r="B59" s="833"/>
      <c r="C59" s="833"/>
      <c r="D59" s="833" t="s">
        <v>252</v>
      </c>
      <c r="E59" s="833"/>
    </row>
    <row r="60" spans="1:5">
      <c r="A60" s="123">
        <v>58</v>
      </c>
      <c r="B60" s="833"/>
      <c r="C60" s="833"/>
      <c r="D60" s="833" t="s">
        <v>252</v>
      </c>
      <c r="E60" s="833"/>
    </row>
    <row r="61" spans="1:5">
      <c r="A61" s="12">
        <v>59</v>
      </c>
      <c r="B61" s="833"/>
      <c r="C61" s="833"/>
      <c r="D61" s="833" t="s">
        <v>252</v>
      </c>
      <c r="E61" s="833"/>
    </row>
    <row r="62" spans="1:5">
      <c r="A62" s="123">
        <v>60</v>
      </c>
      <c r="B62" s="833"/>
      <c r="C62" s="833"/>
      <c r="D62" s="833" t="s">
        <v>252</v>
      </c>
      <c r="E62" s="833"/>
    </row>
    <row r="63" spans="1:5">
      <c r="A63" s="123">
        <v>61</v>
      </c>
      <c r="B63" s="833"/>
      <c r="C63" s="833"/>
      <c r="D63" s="833" t="s">
        <v>252</v>
      </c>
      <c r="E63" s="833"/>
    </row>
    <row r="64" spans="1:5">
      <c r="A64" s="12">
        <v>62</v>
      </c>
      <c r="B64" s="833"/>
      <c r="C64" s="833"/>
      <c r="D64" s="833" t="s">
        <v>252</v>
      </c>
      <c r="E64" s="833"/>
    </row>
    <row r="65" spans="1:5">
      <c r="A65" s="123">
        <v>63</v>
      </c>
      <c r="B65" s="833"/>
      <c r="C65" s="833"/>
      <c r="D65" s="833" t="s">
        <v>252</v>
      </c>
      <c r="E65" s="833"/>
    </row>
    <row r="66" spans="1:5">
      <c r="A66" s="123">
        <v>64</v>
      </c>
      <c r="B66" s="833"/>
      <c r="C66" s="833"/>
      <c r="D66" s="833" t="s">
        <v>252</v>
      </c>
      <c r="E66" s="833"/>
    </row>
    <row r="67" spans="1:5">
      <c r="A67" s="12">
        <v>65</v>
      </c>
      <c r="B67" s="833"/>
      <c r="C67" s="833"/>
      <c r="D67" s="833" t="s">
        <v>252</v>
      </c>
      <c r="E67" s="833"/>
    </row>
    <row r="68" spans="1:5">
      <c r="A68" s="123">
        <v>66</v>
      </c>
      <c r="B68" s="833"/>
      <c r="C68" s="833"/>
      <c r="D68" s="833" t="s">
        <v>252</v>
      </c>
      <c r="E68" s="833"/>
    </row>
    <row r="69" spans="1:5">
      <c r="A69" s="123">
        <v>67</v>
      </c>
      <c r="B69" s="833"/>
      <c r="C69" s="833"/>
      <c r="D69" s="833" t="s">
        <v>252</v>
      </c>
      <c r="E69" s="833"/>
    </row>
    <row r="70" spans="1:5">
      <c r="A70" s="12">
        <v>68</v>
      </c>
      <c r="B70" s="833"/>
      <c r="C70" s="833"/>
      <c r="D70" s="833" t="s">
        <v>252</v>
      </c>
      <c r="E70" s="833"/>
    </row>
    <row r="71" spans="1:5">
      <c r="A71" s="123">
        <v>69</v>
      </c>
      <c r="B71" s="833"/>
      <c r="C71" s="833"/>
      <c r="D71" s="833" t="s">
        <v>252</v>
      </c>
      <c r="E71" s="833"/>
    </row>
    <row r="72" spans="1:5">
      <c r="A72" s="123">
        <v>70</v>
      </c>
      <c r="B72" s="833"/>
      <c r="C72" s="833"/>
      <c r="D72" s="833" t="s">
        <v>252</v>
      </c>
      <c r="E72" s="833"/>
    </row>
    <row r="73" spans="1:5">
      <c r="A73" s="12">
        <v>71</v>
      </c>
      <c r="B73" s="833"/>
      <c r="C73" s="833"/>
      <c r="D73" s="833" t="s">
        <v>252</v>
      </c>
      <c r="E73" s="833"/>
    </row>
    <row r="74" spans="1:5">
      <c r="A74" s="123">
        <v>72</v>
      </c>
      <c r="B74" s="833"/>
      <c r="C74" s="833"/>
      <c r="D74" s="833" t="s">
        <v>252</v>
      </c>
      <c r="E74" s="833"/>
    </row>
    <row r="75" spans="1:5">
      <c r="A75" s="123">
        <v>73</v>
      </c>
      <c r="B75" s="833"/>
      <c r="C75" s="833"/>
      <c r="D75" s="833" t="s">
        <v>252</v>
      </c>
      <c r="E75" s="833"/>
    </row>
    <row r="76" spans="1:5">
      <c r="A76" s="12">
        <v>74</v>
      </c>
      <c r="B76" s="833"/>
      <c r="C76" s="833"/>
      <c r="D76" s="833" t="s">
        <v>252</v>
      </c>
      <c r="E76" s="833"/>
    </row>
    <row r="77" spans="1:5">
      <c r="A77" s="123">
        <v>75</v>
      </c>
      <c r="B77" s="833"/>
      <c r="C77" s="833"/>
      <c r="D77" s="833" t="s">
        <v>252</v>
      </c>
      <c r="E77" s="833"/>
    </row>
    <row r="78" spans="1:5">
      <c r="A78" s="123">
        <v>76</v>
      </c>
      <c r="B78" s="833"/>
      <c r="C78" s="833"/>
      <c r="D78" s="833" t="s">
        <v>252</v>
      </c>
      <c r="E78" s="833"/>
    </row>
    <row r="79" spans="1:5">
      <c r="A79" s="12">
        <v>77</v>
      </c>
      <c r="B79" s="833"/>
      <c r="C79" s="833"/>
      <c r="D79" s="833" t="s">
        <v>252</v>
      </c>
      <c r="E79" s="833"/>
    </row>
    <row r="80" spans="1:5">
      <c r="A80" s="123">
        <v>78</v>
      </c>
      <c r="B80" s="833"/>
      <c r="C80" s="833"/>
      <c r="D80" s="833" t="s">
        <v>252</v>
      </c>
      <c r="E80" s="833"/>
    </row>
    <row r="81" spans="1:5">
      <c r="A81" s="123">
        <v>79</v>
      </c>
      <c r="B81" s="833"/>
      <c r="C81" s="833"/>
      <c r="D81" s="833" t="s">
        <v>252</v>
      </c>
      <c r="E81" s="833"/>
    </row>
    <row r="82" spans="1:5">
      <c r="A82" s="12">
        <v>80</v>
      </c>
      <c r="B82" s="833"/>
      <c r="C82" s="833"/>
      <c r="D82" s="833" t="s">
        <v>252</v>
      </c>
      <c r="E82" s="833"/>
    </row>
    <row r="83" spans="1:5">
      <c r="A83" s="123">
        <v>81</v>
      </c>
      <c r="B83" s="833"/>
      <c r="C83" s="833"/>
      <c r="D83" s="833" t="s">
        <v>252</v>
      </c>
      <c r="E83" s="833"/>
    </row>
    <row r="84" spans="1:5">
      <c r="A84" s="123">
        <v>82</v>
      </c>
      <c r="B84" s="833"/>
      <c r="C84" s="833"/>
      <c r="D84" s="833" t="s">
        <v>252</v>
      </c>
      <c r="E84" s="833"/>
    </row>
    <row r="85" spans="1:5">
      <c r="A85" s="12">
        <v>83</v>
      </c>
      <c r="B85" s="833"/>
      <c r="C85" s="833"/>
      <c r="D85" s="833" t="s">
        <v>252</v>
      </c>
      <c r="E85" s="833"/>
    </row>
    <row r="86" spans="1:5">
      <c r="A86" s="123">
        <v>84</v>
      </c>
      <c r="B86" s="833"/>
      <c r="C86" s="833"/>
      <c r="D86" s="833" t="s">
        <v>252</v>
      </c>
      <c r="E86" s="833"/>
    </row>
    <row r="87" spans="1:5">
      <c r="A87" s="123">
        <v>85</v>
      </c>
      <c r="B87" s="833"/>
      <c r="C87" s="833"/>
      <c r="D87" s="833" t="s">
        <v>252</v>
      </c>
      <c r="E87" s="833"/>
    </row>
    <row r="88" spans="1:5">
      <c r="A88" s="12">
        <v>86</v>
      </c>
      <c r="B88" s="833"/>
      <c r="C88" s="833"/>
      <c r="D88" s="833" t="s">
        <v>252</v>
      </c>
      <c r="E88" s="833"/>
    </row>
    <row r="89" spans="1:5">
      <c r="A89" s="123">
        <v>87</v>
      </c>
      <c r="B89" s="833"/>
      <c r="C89" s="833"/>
      <c r="D89" s="833" t="s">
        <v>252</v>
      </c>
      <c r="E89" s="833"/>
    </row>
    <row r="90" spans="1:5">
      <c r="A90" s="123">
        <v>88</v>
      </c>
      <c r="B90" s="833"/>
      <c r="C90" s="833"/>
      <c r="D90" s="833" t="s">
        <v>252</v>
      </c>
      <c r="E90" s="833"/>
    </row>
    <row r="91" spans="1:5">
      <c r="A91" s="12">
        <v>89</v>
      </c>
      <c r="B91" s="833"/>
      <c r="C91" s="833"/>
      <c r="D91" s="833" t="s">
        <v>252</v>
      </c>
      <c r="E91" s="833"/>
    </row>
    <row r="92" spans="1:5">
      <c r="A92" s="123">
        <v>90</v>
      </c>
      <c r="B92" s="833"/>
      <c r="C92" s="833"/>
      <c r="D92" s="833" t="s">
        <v>252</v>
      </c>
      <c r="E92" s="833"/>
    </row>
    <row r="93" spans="1:5">
      <c r="A93" s="123">
        <v>91</v>
      </c>
      <c r="B93" s="833"/>
      <c r="C93" s="833"/>
      <c r="D93" s="833" t="s">
        <v>252</v>
      </c>
      <c r="E93" s="833"/>
    </row>
    <row r="94" spans="1:5">
      <c r="A94" s="12">
        <v>92</v>
      </c>
      <c r="B94" s="833"/>
      <c r="C94" s="833"/>
      <c r="D94" s="833" t="s">
        <v>252</v>
      </c>
      <c r="E94" s="833"/>
    </row>
    <row r="95" spans="1:5">
      <c r="A95" s="123">
        <v>93</v>
      </c>
      <c r="B95" s="833"/>
      <c r="C95" s="833"/>
      <c r="D95" s="833" t="s">
        <v>252</v>
      </c>
      <c r="E95" s="833"/>
    </row>
    <row r="96" spans="1:5">
      <c r="A96" s="123">
        <v>94</v>
      </c>
      <c r="B96" s="833"/>
      <c r="C96" s="833"/>
      <c r="D96" s="833" t="s">
        <v>252</v>
      </c>
      <c r="E96" s="833"/>
    </row>
    <row r="97" spans="1:5">
      <c r="A97" s="12">
        <v>95</v>
      </c>
      <c r="B97" s="833"/>
      <c r="C97" s="833"/>
      <c r="D97" s="833" t="s">
        <v>252</v>
      </c>
      <c r="E97" s="833"/>
    </row>
    <row r="98" spans="1:5">
      <c r="A98" s="123">
        <v>96</v>
      </c>
      <c r="B98" s="833"/>
      <c r="C98" s="833"/>
      <c r="D98" s="833" t="s">
        <v>252</v>
      </c>
      <c r="E98" s="833"/>
    </row>
    <row r="99" spans="1:5">
      <c r="A99" s="123">
        <v>97</v>
      </c>
      <c r="B99" s="833"/>
      <c r="C99" s="833"/>
      <c r="D99" s="833" t="s">
        <v>252</v>
      </c>
      <c r="E99" s="833"/>
    </row>
    <row r="100" spans="1:5">
      <c r="A100" s="12">
        <v>98</v>
      </c>
      <c r="B100" s="833"/>
      <c r="C100" s="833"/>
      <c r="D100" s="833" t="s">
        <v>252</v>
      </c>
      <c r="E100" s="833"/>
    </row>
    <row r="101" spans="1:5">
      <c r="A101" s="123">
        <v>99</v>
      </c>
      <c r="B101" s="833"/>
      <c r="C101" s="833"/>
      <c r="D101" s="833" t="s">
        <v>252</v>
      </c>
      <c r="E101" s="833"/>
    </row>
    <row r="102" spans="1:5">
      <c r="A102" s="123">
        <v>100</v>
      </c>
      <c r="B102" s="833"/>
      <c r="C102" s="833"/>
      <c r="D102" s="833" t="s">
        <v>252</v>
      </c>
      <c r="E102" s="833"/>
    </row>
    <row r="103" spans="1:5">
      <c r="A103" s="12">
        <v>101</v>
      </c>
      <c r="B103" s="833"/>
      <c r="C103" s="833"/>
      <c r="D103" s="833" t="s">
        <v>252</v>
      </c>
      <c r="E103" s="833"/>
    </row>
    <row r="104" spans="1:5">
      <c r="A104" s="123">
        <v>102</v>
      </c>
      <c r="B104" s="833"/>
      <c r="C104" s="833"/>
      <c r="D104" s="833" t="s">
        <v>252</v>
      </c>
      <c r="E104" s="833"/>
    </row>
    <row r="105" spans="1:5">
      <c r="A105" s="123">
        <v>103</v>
      </c>
      <c r="B105" s="833"/>
      <c r="C105" s="833"/>
      <c r="D105" s="833" t="s">
        <v>252</v>
      </c>
      <c r="E105" s="833"/>
    </row>
    <row r="106" spans="1:5">
      <c r="A106" s="12">
        <v>104</v>
      </c>
      <c r="B106" s="833"/>
      <c r="C106" s="833"/>
      <c r="D106" s="833" t="s">
        <v>252</v>
      </c>
      <c r="E106" s="833"/>
    </row>
    <row r="107" spans="1:5">
      <c r="A107" s="123">
        <v>105</v>
      </c>
      <c r="B107" s="833"/>
      <c r="C107" s="833"/>
      <c r="D107" s="833" t="s">
        <v>252</v>
      </c>
      <c r="E107" s="833"/>
    </row>
    <row r="108" spans="1:5">
      <c r="A108" s="123">
        <v>106</v>
      </c>
      <c r="B108" s="833"/>
      <c r="C108" s="833"/>
      <c r="D108" s="833" t="s">
        <v>252</v>
      </c>
      <c r="E108" s="833"/>
    </row>
    <row r="109" spans="1:5">
      <c r="A109" s="12">
        <v>107</v>
      </c>
      <c r="B109" s="833"/>
      <c r="C109" s="833"/>
      <c r="D109" s="833" t="s">
        <v>252</v>
      </c>
      <c r="E109" s="833"/>
    </row>
    <row r="110" spans="1:5">
      <c r="A110" s="123">
        <v>108</v>
      </c>
      <c r="B110" s="17"/>
      <c r="C110" s="17"/>
      <c r="D110" s="833" t="s">
        <v>252</v>
      </c>
      <c r="E110" s="129"/>
    </row>
    <row r="111" spans="1:5">
      <c r="A111" s="123">
        <v>109</v>
      </c>
      <c r="B111" s="17"/>
      <c r="C111" s="17"/>
      <c r="D111" s="833" t="s">
        <v>252</v>
      </c>
      <c r="E111" s="129"/>
    </row>
    <row r="112" spans="1:5">
      <c r="A112" s="12">
        <v>110</v>
      </c>
      <c r="B112" s="17"/>
      <c r="C112" s="17"/>
      <c r="D112" s="833" t="s">
        <v>252</v>
      </c>
      <c r="E112" s="129"/>
    </row>
    <row r="113" spans="1:5">
      <c r="A113" s="123">
        <v>111</v>
      </c>
      <c r="B113" s="17"/>
      <c r="C113" s="17"/>
      <c r="D113" s="833" t="s">
        <v>252</v>
      </c>
      <c r="E113" s="129"/>
    </row>
    <row r="114" spans="1:5">
      <c r="A114" s="123">
        <v>112</v>
      </c>
      <c r="B114" s="17"/>
      <c r="C114" s="17"/>
      <c r="D114" s="833" t="s">
        <v>252</v>
      </c>
      <c r="E114" s="129"/>
    </row>
    <row r="115" spans="1:5">
      <c r="A115" s="12">
        <v>113</v>
      </c>
      <c r="B115" s="868"/>
      <c r="C115" s="868"/>
      <c r="D115" s="833" t="s">
        <v>252</v>
      </c>
      <c r="E115" s="869"/>
    </row>
    <row r="116" spans="1:5" ht="15.75" customHeight="1">
      <c r="A116" s="127">
        <v>114</v>
      </c>
      <c r="B116" s="10"/>
      <c r="C116" s="10"/>
      <c r="D116" s="848" t="s">
        <v>252</v>
      </c>
      <c r="E116" s="10"/>
    </row>
    <row r="117" spans="1:5" ht="15.75" customHeight="1">
      <c r="A117" s="128">
        <v>115</v>
      </c>
      <c r="B117" s="10"/>
      <c r="C117" s="10"/>
      <c r="D117" s="848" t="s">
        <v>252</v>
      </c>
      <c r="E117" s="10"/>
    </row>
    <row r="118" spans="1:5" ht="15.75" customHeight="1">
      <c r="A118" s="127">
        <v>116</v>
      </c>
      <c r="B118" s="10"/>
      <c r="C118" s="10"/>
      <c r="D118" s="848" t="s">
        <v>252</v>
      </c>
      <c r="E118" s="10"/>
    </row>
    <row r="119" spans="1:5" ht="15.75" customHeight="1">
      <c r="A119" s="128">
        <v>117</v>
      </c>
      <c r="B119" s="10"/>
      <c r="C119" s="10"/>
      <c r="D119" s="848" t="s">
        <v>252</v>
      </c>
      <c r="E119" s="10"/>
    </row>
    <row r="120" spans="1:5" ht="15.75" customHeight="1">
      <c r="A120" s="127">
        <v>118</v>
      </c>
      <c r="B120" s="10"/>
      <c r="C120" s="10"/>
      <c r="D120" s="848" t="s">
        <v>252</v>
      </c>
      <c r="E120" s="10"/>
    </row>
    <row r="121" spans="1:5" ht="15.75" customHeight="1">
      <c r="A121" s="128">
        <v>119</v>
      </c>
      <c r="B121" s="10"/>
      <c r="C121" s="10"/>
      <c r="D121" s="848" t="s">
        <v>252</v>
      </c>
      <c r="E121" s="10"/>
    </row>
    <row r="122" spans="1:5" ht="15.75" customHeight="1">
      <c r="A122" s="127">
        <v>120</v>
      </c>
      <c r="B122" s="10"/>
      <c r="C122" s="10"/>
      <c r="D122" s="848" t="s">
        <v>252</v>
      </c>
      <c r="E122" s="10"/>
    </row>
    <row r="123" spans="1:5" ht="15.75" customHeight="1">
      <c r="A123" s="128">
        <v>121</v>
      </c>
      <c r="B123" s="10"/>
      <c r="C123" s="10"/>
      <c r="D123" s="848" t="s">
        <v>252</v>
      </c>
      <c r="E123" s="10"/>
    </row>
    <row r="124" spans="1:5" ht="15.75" customHeight="1">
      <c r="A124" s="127">
        <v>122</v>
      </c>
      <c r="B124" s="10"/>
      <c r="C124" s="10"/>
      <c r="D124" s="848" t="s">
        <v>252</v>
      </c>
      <c r="E124" s="10"/>
    </row>
    <row r="125" spans="1:5" ht="15.75" customHeight="1">
      <c r="A125" s="128">
        <v>123</v>
      </c>
      <c r="B125" s="10"/>
      <c r="C125" s="10"/>
      <c r="D125" s="848" t="s">
        <v>252</v>
      </c>
      <c r="E125" s="10"/>
    </row>
    <row r="126" spans="1:5" ht="15.75" customHeight="1">
      <c r="A126" s="127">
        <v>124</v>
      </c>
      <c r="B126" s="10"/>
      <c r="C126" s="10"/>
      <c r="D126" s="848" t="s">
        <v>252</v>
      </c>
      <c r="E126" s="10"/>
    </row>
    <row r="127" spans="1:5" ht="15.75" customHeight="1">
      <c r="A127" s="128">
        <v>125</v>
      </c>
      <c r="B127" s="10"/>
      <c r="C127" s="10"/>
      <c r="D127" s="848" t="s">
        <v>252</v>
      </c>
      <c r="E127" s="10"/>
    </row>
    <row r="128" spans="1:5" ht="15.75" customHeight="1">
      <c r="A128" s="127">
        <v>126</v>
      </c>
      <c r="B128" s="10"/>
      <c r="C128" s="10"/>
      <c r="D128" s="848" t="s">
        <v>252</v>
      </c>
      <c r="E128" s="10"/>
    </row>
    <row r="129" spans="1:5" ht="15.75" customHeight="1">
      <c r="A129" s="128">
        <v>127</v>
      </c>
      <c r="B129" s="10"/>
      <c r="C129" s="10"/>
      <c r="D129" s="848" t="s">
        <v>252</v>
      </c>
      <c r="E129" s="10"/>
    </row>
    <row r="130" spans="1:5" ht="15.75" customHeight="1">
      <c r="A130" s="127">
        <v>128</v>
      </c>
      <c r="B130" s="10"/>
      <c r="C130" s="10"/>
      <c r="D130" s="848" t="s">
        <v>252</v>
      </c>
      <c r="E130" s="10"/>
    </row>
    <row r="131" spans="1:5" ht="15.75" customHeight="1">
      <c r="A131" s="128">
        <v>129</v>
      </c>
      <c r="B131" s="10"/>
      <c r="C131" s="10"/>
      <c r="D131" s="848" t="s">
        <v>252</v>
      </c>
      <c r="E131" s="10"/>
    </row>
    <row r="132" spans="1:5" ht="15.75" customHeight="1">
      <c r="A132" s="127">
        <v>130</v>
      </c>
      <c r="B132" s="10"/>
      <c r="C132" s="10"/>
      <c r="D132" s="848" t="s">
        <v>252</v>
      </c>
      <c r="E132" s="10"/>
    </row>
    <row r="133" spans="1:5" ht="15.75" customHeight="1">
      <c r="A133" s="127">
        <v>131</v>
      </c>
      <c r="B133" s="10"/>
      <c r="C133" s="10"/>
      <c r="D133" s="848" t="s">
        <v>252</v>
      </c>
      <c r="E133" s="10"/>
    </row>
    <row r="134" spans="1:5" ht="15.75" customHeight="1">
      <c r="A134" s="128">
        <v>132</v>
      </c>
      <c r="B134" s="10"/>
      <c r="C134" s="10"/>
      <c r="D134" s="848" t="s">
        <v>252</v>
      </c>
      <c r="E134" s="10"/>
    </row>
    <row r="135" spans="1:5" ht="15.75" customHeight="1">
      <c r="A135" s="127">
        <v>133</v>
      </c>
      <c r="B135" s="10"/>
      <c r="C135" s="10"/>
      <c r="D135" s="848" t="s">
        <v>252</v>
      </c>
      <c r="E135" s="10"/>
    </row>
    <row r="136" spans="1:5" ht="15.75" customHeight="1">
      <c r="A136" s="128">
        <v>134</v>
      </c>
      <c r="B136" s="10"/>
      <c r="C136" s="10"/>
      <c r="D136" s="848" t="s">
        <v>252</v>
      </c>
      <c r="E136" s="10"/>
    </row>
    <row r="137" spans="1:5" ht="15.75" customHeight="1">
      <c r="A137" s="127">
        <v>135</v>
      </c>
      <c r="B137" s="10"/>
      <c r="C137" s="10"/>
      <c r="D137" s="848" t="s">
        <v>252</v>
      </c>
      <c r="E137" s="10"/>
    </row>
    <row r="138" spans="1:5" ht="15.75" customHeight="1">
      <c r="A138" s="128">
        <v>136</v>
      </c>
      <c r="B138" s="10"/>
      <c r="C138" s="10"/>
      <c r="D138" s="848" t="s">
        <v>252</v>
      </c>
      <c r="E138" s="10"/>
    </row>
    <row r="139" spans="1:5" ht="15.75" customHeight="1">
      <c r="A139" s="127">
        <v>137</v>
      </c>
      <c r="B139" s="10"/>
      <c r="C139" s="10"/>
      <c r="D139" s="848" t="s">
        <v>252</v>
      </c>
      <c r="E139" s="10"/>
    </row>
    <row r="140" spans="1:5" ht="15.75" customHeight="1">
      <c r="A140" s="128">
        <v>138</v>
      </c>
      <c r="B140" s="10"/>
      <c r="C140" s="10"/>
      <c r="D140" s="848" t="s">
        <v>252</v>
      </c>
      <c r="E140" s="10"/>
    </row>
    <row r="141" spans="1:5" ht="15.75" customHeight="1">
      <c r="A141" s="127">
        <v>139</v>
      </c>
      <c r="B141" s="10"/>
      <c r="C141" s="10"/>
      <c r="D141" s="848" t="s">
        <v>252</v>
      </c>
      <c r="E141" s="10"/>
    </row>
    <row r="142" spans="1:5" ht="15.75" customHeight="1">
      <c r="A142" s="128">
        <v>140</v>
      </c>
      <c r="B142" s="10"/>
      <c r="C142" s="10"/>
      <c r="D142" s="848" t="s">
        <v>252</v>
      </c>
      <c r="E142" s="10"/>
    </row>
    <row r="143" spans="1:5" ht="15.75" customHeight="1">
      <c r="A143" s="127">
        <v>141</v>
      </c>
      <c r="B143" s="10"/>
      <c r="C143" s="10"/>
      <c r="D143" s="848" t="s">
        <v>252</v>
      </c>
      <c r="E143" s="10"/>
    </row>
    <row r="144" spans="1:5" ht="15.75" customHeight="1">
      <c r="A144" s="128">
        <v>142</v>
      </c>
      <c r="B144" s="10"/>
      <c r="C144" s="10"/>
      <c r="D144" s="848" t="s">
        <v>252</v>
      </c>
      <c r="E144" s="10"/>
    </row>
    <row r="145" spans="1:5" ht="15.75" customHeight="1">
      <c r="A145" s="127">
        <v>143</v>
      </c>
      <c r="B145" s="10"/>
      <c r="C145" s="10"/>
      <c r="D145" s="848" t="s">
        <v>252</v>
      </c>
      <c r="E145" s="10"/>
    </row>
    <row r="146" spans="1:5" ht="15.75" customHeight="1">
      <c r="A146" s="128">
        <v>144</v>
      </c>
      <c r="B146" s="10"/>
      <c r="C146" s="10"/>
      <c r="D146" s="848" t="s">
        <v>252</v>
      </c>
      <c r="E146" s="10"/>
    </row>
    <row r="147" spans="1:5" ht="15.75" customHeight="1">
      <c r="A147" s="127">
        <v>145</v>
      </c>
      <c r="B147" s="10"/>
      <c r="C147" s="10"/>
      <c r="D147" s="848" t="s">
        <v>252</v>
      </c>
      <c r="E147" s="10"/>
    </row>
    <row r="148" spans="1:5" ht="15.75" customHeight="1">
      <c r="A148" s="128">
        <v>146</v>
      </c>
      <c r="B148" s="10"/>
      <c r="C148" s="10"/>
      <c r="D148" s="848" t="s">
        <v>252</v>
      </c>
      <c r="E148" s="10"/>
    </row>
    <row r="149" spans="1:5" ht="15.75" customHeight="1">
      <c r="A149" s="127">
        <v>147</v>
      </c>
      <c r="B149" s="10"/>
      <c r="C149" s="10"/>
      <c r="D149" s="848" t="s">
        <v>252</v>
      </c>
      <c r="E149" s="10"/>
    </row>
    <row r="150" spans="1:5" ht="15.75" customHeight="1">
      <c r="A150" s="128">
        <v>148</v>
      </c>
      <c r="B150" s="10"/>
      <c r="C150" s="10"/>
      <c r="D150" s="848" t="s">
        <v>252</v>
      </c>
      <c r="E150" s="10"/>
    </row>
    <row r="151" spans="1:5" ht="15.75" customHeight="1">
      <c r="A151" s="127">
        <v>149</v>
      </c>
      <c r="B151" s="10"/>
      <c r="C151" s="10"/>
      <c r="D151" s="848" t="s">
        <v>252</v>
      </c>
      <c r="E151" s="10"/>
    </row>
    <row r="152" spans="1:5" ht="15.75" customHeight="1">
      <c r="A152" s="127">
        <v>150</v>
      </c>
      <c r="B152" s="10"/>
      <c r="C152" s="10"/>
      <c r="D152" s="848" t="s">
        <v>252</v>
      </c>
      <c r="E152" s="10"/>
    </row>
    <row r="153" spans="1:5" ht="15.75" customHeight="1">
      <c r="A153" s="128">
        <v>151</v>
      </c>
      <c r="B153" s="10"/>
      <c r="C153" s="10"/>
      <c r="D153" s="848" t="s">
        <v>252</v>
      </c>
      <c r="E153" s="10"/>
    </row>
    <row r="154" spans="1:5" ht="15.75" customHeight="1">
      <c r="A154" s="127">
        <v>152</v>
      </c>
      <c r="B154" s="10"/>
      <c r="C154" s="10"/>
      <c r="D154" s="848" t="s">
        <v>252</v>
      </c>
      <c r="E154" s="10"/>
    </row>
    <row r="155" spans="1:5" ht="15.75" customHeight="1">
      <c r="A155" s="128">
        <v>153</v>
      </c>
      <c r="B155" s="10"/>
      <c r="C155" s="10"/>
      <c r="D155" s="848" t="s">
        <v>252</v>
      </c>
      <c r="E155" s="10"/>
    </row>
    <row r="156" spans="1:5" ht="15.75" customHeight="1">
      <c r="A156" s="127">
        <v>154</v>
      </c>
      <c r="B156" s="10"/>
      <c r="C156" s="10"/>
      <c r="D156" s="848" t="s">
        <v>252</v>
      </c>
      <c r="E156" s="10"/>
    </row>
    <row r="157" spans="1:5" ht="15.75" customHeight="1">
      <c r="A157" s="128">
        <v>155</v>
      </c>
      <c r="B157" s="10"/>
      <c r="C157" s="10"/>
      <c r="D157" s="848" t="s">
        <v>252</v>
      </c>
      <c r="E157" s="10"/>
    </row>
    <row r="158" spans="1:5" ht="15.75" customHeight="1">
      <c r="A158" s="127">
        <v>156</v>
      </c>
      <c r="B158" s="10"/>
      <c r="C158" s="10"/>
      <c r="D158" s="848" t="s">
        <v>252</v>
      </c>
      <c r="E158" s="10"/>
    </row>
    <row r="159" spans="1:5" ht="15.75" customHeight="1">
      <c r="A159" s="128">
        <v>157</v>
      </c>
      <c r="B159" s="10"/>
      <c r="C159" s="10"/>
      <c r="D159" s="848" t="s">
        <v>252</v>
      </c>
      <c r="E159" s="10"/>
    </row>
    <row r="160" spans="1:5" ht="15.75" customHeight="1">
      <c r="A160" s="127">
        <v>158</v>
      </c>
      <c r="B160" s="10"/>
      <c r="C160" s="10"/>
      <c r="D160" s="848" t="s">
        <v>252</v>
      </c>
      <c r="E160" s="10"/>
    </row>
    <row r="161" spans="1:5" ht="15.75" customHeight="1">
      <c r="A161" s="128">
        <v>159</v>
      </c>
      <c r="B161" s="10"/>
      <c r="C161" s="10"/>
      <c r="D161" s="848" t="s">
        <v>252</v>
      </c>
      <c r="E161" s="10"/>
    </row>
    <row r="162" spans="1:5" ht="15.75" customHeight="1">
      <c r="A162" s="127">
        <v>160</v>
      </c>
      <c r="B162" s="10"/>
      <c r="C162" s="10"/>
      <c r="D162" s="848" t="s">
        <v>252</v>
      </c>
      <c r="E162" s="10"/>
    </row>
  </sheetData>
  <mergeCells count="3">
    <mergeCell ref="A1:E1"/>
    <mergeCell ref="G2:I2"/>
    <mergeCell ref="G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57"/>
  <sheetViews>
    <sheetView topLeftCell="A25" workbookViewId="0">
      <selection activeCell="J44" sqref="J44"/>
    </sheetView>
  </sheetViews>
  <sheetFormatPr defaultColWidth="11" defaultRowHeight="15.75" customHeight="1"/>
  <cols>
    <col min="1" max="1" width="6.125" customWidth="1"/>
    <col min="2" max="2" width="93" customWidth="1"/>
    <col min="3" max="3" width="11.5" customWidth="1"/>
    <col min="4" max="4" width="9.375" customWidth="1"/>
    <col min="5" max="5" width="9.25" customWidth="1"/>
    <col min="6" max="7" width="8.5" customWidth="1"/>
    <col min="8" max="8" width="6.75" customWidth="1"/>
    <col min="9" max="9" width="34" style="11" customWidth="1"/>
    <col min="10" max="10" width="14.125" style="11" customWidth="1"/>
    <col min="11" max="11" width="13.125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895" t="s">
        <v>19</v>
      </c>
      <c r="B1" s="896"/>
      <c r="C1" s="876" t="s">
        <v>20</v>
      </c>
      <c r="D1" s="904" t="s">
        <v>21</v>
      </c>
      <c r="E1" s="904" t="s">
        <v>22</v>
      </c>
      <c r="F1" s="899" t="s">
        <v>1</v>
      </c>
      <c r="G1" s="900" t="s">
        <v>2</v>
      </c>
      <c r="H1" s="902" t="s">
        <v>3</v>
      </c>
      <c r="I1" s="913" t="s">
        <v>5</v>
      </c>
      <c r="J1" s="917" t="s">
        <v>23</v>
      </c>
      <c r="K1" s="915" t="s">
        <v>23</v>
      </c>
      <c r="L1" s="892" t="s">
        <v>24</v>
      </c>
      <c r="M1" s="893"/>
      <c r="N1" s="893"/>
      <c r="O1" s="893"/>
      <c r="P1" s="894"/>
      <c r="Q1" s="909" t="s">
        <v>25</v>
      </c>
      <c r="R1" s="910"/>
      <c r="S1" s="889" t="s">
        <v>26</v>
      </c>
      <c r="T1" s="890"/>
      <c r="U1" s="891"/>
      <c r="V1" s="887" t="s">
        <v>27</v>
      </c>
    </row>
    <row r="2" spans="1:22" ht="42.75" customHeight="1">
      <c r="A2" s="897"/>
      <c r="B2" s="898"/>
      <c r="C2" s="876"/>
      <c r="D2" s="905"/>
      <c r="E2" s="905"/>
      <c r="F2" s="899"/>
      <c r="G2" s="901"/>
      <c r="H2" s="903"/>
      <c r="I2" s="914"/>
      <c r="J2" s="918"/>
      <c r="K2" s="916"/>
      <c r="L2" s="398" t="s">
        <v>28</v>
      </c>
      <c r="M2" s="310" t="s">
        <v>29</v>
      </c>
      <c r="N2" s="310" t="s">
        <v>30</v>
      </c>
      <c r="O2" s="312" t="s">
        <v>31</v>
      </c>
      <c r="P2" s="320" t="s">
        <v>32</v>
      </c>
      <c r="Q2" s="316" t="s">
        <v>33</v>
      </c>
      <c r="R2" s="317" t="s">
        <v>34</v>
      </c>
      <c r="S2" s="1" t="s">
        <v>31</v>
      </c>
      <c r="T2" s="489" t="s">
        <v>35</v>
      </c>
      <c r="U2" s="489" t="s">
        <v>36</v>
      </c>
      <c r="V2" s="888"/>
    </row>
    <row r="3" spans="1:22">
      <c r="A3" s="564">
        <v>1</v>
      </c>
      <c r="B3" s="761" t="s">
        <v>37</v>
      </c>
      <c r="C3" s="634">
        <v>1</v>
      </c>
      <c r="D3" s="634"/>
      <c r="E3" s="634"/>
      <c r="F3" s="769">
        <v>3</v>
      </c>
      <c r="G3" s="359"/>
      <c r="H3" s="330"/>
      <c r="I3" s="351" t="s">
        <v>8</v>
      </c>
      <c r="J3" s="728"/>
      <c r="K3" s="704"/>
      <c r="L3" s="523"/>
      <c r="M3" s="351" t="s">
        <v>38</v>
      </c>
      <c r="N3" s="351" t="s">
        <v>38</v>
      </c>
      <c r="O3" s="351" t="s">
        <v>38</v>
      </c>
      <c r="P3" s="351" t="s">
        <v>38</v>
      </c>
      <c r="Q3" s="318" t="s">
        <v>38</v>
      </c>
      <c r="R3" s="530" t="s">
        <v>38</v>
      </c>
      <c r="S3" s="529" t="s">
        <v>38</v>
      </c>
      <c r="T3" s="534" t="s">
        <v>38</v>
      </c>
      <c r="U3" s="545" t="s">
        <v>38</v>
      </c>
      <c r="V3" s="494">
        <f>COUNTIF(M3:U3, "X")</f>
        <v>9</v>
      </c>
    </row>
    <row r="4" spans="1:22">
      <c r="A4" s="559">
        <v>2</v>
      </c>
      <c r="B4" s="762" t="s">
        <v>39</v>
      </c>
      <c r="C4" s="12">
        <v>1</v>
      </c>
      <c r="D4" s="12"/>
      <c r="E4" s="12">
        <v>4</v>
      </c>
      <c r="F4" s="769">
        <v>2</v>
      </c>
      <c r="G4" s="55">
        <v>1</v>
      </c>
      <c r="H4" s="331">
        <v>1</v>
      </c>
      <c r="I4" s="302" t="s">
        <v>40</v>
      </c>
      <c r="J4" s="311" t="s">
        <v>41</v>
      </c>
      <c r="K4" s="350"/>
      <c r="L4" s="521"/>
      <c r="M4" s="302" t="s">
        <v>38</v>
      </c>
      <c r="N4" s="302" t="s">
        <v>38</v>
      </c>
      <c r="O4" s="302" t="s">
        <v>38</v>
      </c>
      <c r="P4" s="302" t="s">
        <v>38</v>
      </c>
      <c r="Q4" s="622" t="s">
        <v>38</v>
      </c>
      <c r="R4" s="128"/>
      <c r="S4" s="75" t="s">
        <v>38</v>
      </c>
      <c r="T4" s="525" t="s">
        <v>38</v>
      </c>
      <c r="U4" s="45"/>
      <c r="V4" s="313">
        <f t="shared" ref="V4:V37" si="0">COUNTIF(M4:U4, "X")</f>
        <v>7</v>
      </c>
    </row>
    <row r="5" spans="1:22">
      <c r="A5" s="560">
        <v>3</v>
      </c>
      <c r="B5" s="763" t="s">
        <v>42</v>
      </c>
      <c r="C5" s="634">
        <v>1</v>
      </c>
      <c r="D5" s="634"/>
      <c r="E5" s="634">
        <v>2</v>
      </c>
      <c r="F5" s="769">
        <v>2</v>
      </c>
      <c r="G5" s="55">
        <v>1</v>
      </c>
      <c r="H5" s="331">
        <v>1</v>
      </c>
      <c r="I5" s="352" t="s">
        <v>43</v>
      </c>
      <c r="J5" s="688" t="s">
        <v>41</v>
      </c>
      <c r="K5" s="350"/>
      <c r="L5" s="521"/>
      <c r="M5" s="352"/>
      <c r="N5" s="352"/>
      <c r="O5" s="352" t="s">
        <v>38</v>
      </c>
      <c r="P5" s="352" t="s">
        <v>38</v>
      </c>
      <c r="Q5" s="319"/>
      <c r="R5" s="531"/>
      <c r="S5" s="76" t="s">
        <v>38</v>
      </c>
      <c r="T5" s="535" t="s">
        <v>38</v>
      </c>
      <c r="U5" s="546"/>
      <c r="V5" s="313">
        <f t="shared" si="0"/>
        <v>4</v>
      </c>
    </row>
    <row r="6" spans="1:22">
      <c r="A6" s="559">
        <v>4</v>
      </c>
      <c r="B6" s="762" t="s">
        <v>44</v>
      </c>
      <c r="C6" s="12" t="s">
        <v>45</v>
      </c>
      <c r="D6" s="12"/>
      <c r="E6" s="12">
        <v>2</v>
      </c>
      <c r="F6" s="769">
        <v>2</v>
      </c>
      <c r="G6" s="55">
        <v>1</v>
      </c>
      <c r="H6" s="331">
        <v>1</v>
      </c>
      <c r="I6" s="302" t="s">
        <v>46</v>
      </c>
      <c r="J6" s="311" t="s">
        <v>47</v>
      </c>
      <c r="K6" s="350" t="s">
        <v>48</v>
      </c>
      <c r="L6" s="521"/>
      <c r="M6" s="302"/>
      <c r="N6" s="302"/>
      <c r="O6" s="302" t="s">
        <v>38</v>
      </c>
      <c r="P6" s="302" t="s">
        <v>38</v>
      </c>
      <c r="Q6" s="114" t="s">
        <v>38</v>
      </c>
      <c r="R6" s="128"/>
      <c r="S6" s="75" t="s">
        <v>38</v>
      </c>
      <c r="T6" s="525" t="s">
        <v>38</v>
      </c>
      <c r="U6" s="45"/>
      <c r="V6" s="313">
        <f t="shared" si="0"/>
        <v>5</v>
      </c>
    </row>
    <row r="7" spans="1:22">
      <c r="A7" s="560">
        <v>5</v>
      </c>
      <c r="B7" s="763" t="s">
        <v>49</v>
      </c>
      <c r="C7" s="634">
        <v>2</v>
      </c>
      <c r="D7" s="634"/>
      <c r="E7" s="634">
        <v>2</v>
      </c>
      <c r="F7" s="769">
        <v>2</v>
      </c>
      <c r="G7" s="55">
        <v>1</v>
      </c>
      <c r="H7" s="331">
        <v>1</v>
      </c>
      <c r="I7" s="352" t="s">
        <v>43</v>
      </c>
      <c r="J7" s="688"/>
      <c r="K7" s="350"/>
      <c r="L7" s="521"/>
      <c r="M7" s="352"/>
      <c r="N7" s="352"/>
      <c r="O7" s="352" t="s">
        <v>38</v>
      </c>
      <c r="P7" s="352" t="s">
        <v>38</v>
      </c>
      <c r="Q7" s="319" t="s">
        <v>38</v>
      </c>
      <c r="R7" s="531"/>
      <c r="S7" s="76" t="s">
        <v>38</v>
      </c>
      <c r="T7" s="535" t="s">
        <v>38</v>
      </c>
      <c r="U7" s="546"/>
      <c r="V7" s="313">
        <f t="shared" si="0"/>
        <v>5</v>
      </c>
    </row>
    <row r="8" spans="1:22">
      <c r="A8" s="559">
        <v>6</v>
      </c>
      <c r="B8" s="762" t="s">
        <v>50</v>
      </c>
      <c r="C8" s="12">
        <v>1</v>
      </c>
      <c r="D8" s="12"/>
      <c r="E8" s="12"/>
      <c r="F8" s="769">
        <v>3</v>
      </c>
      <c r="G8" s="55"/>
      <c r="H8" s="331"/>
      <c r="I8" s="302" t="s">
        <v>15</v>
      </c>
      <c r="J8" s="311"/>
      <c r="K8" s="350"/>
      <c r="L8" s="521"/>
      <c r="M8" s="302" t="s">
        <v>38</v>
      </c>
      <c r="N8" s="302"/>
      <c r="O8" s="302"/>
      <c r="P8" s="302"/>
      <c r="Q8" s="114"/>
      <c r="R8" s="128"/>
      <c r="S8" s="75"/>
      <c r="T8" s="525"/>
      <c r="U8" s="45"/>
      <c r="V8" s="313">
        <f t="shared" si="0"/>
        <v>1</v>
      </c>
    </row>
    <row r="9" spans="1:22">
      <c r="A9" s="560">
        <v>7</v>
      </c>
      <c r="B9" s="763" t="s">
        <v>51</v>
      </c>
      <c r="C9" s="634">
        <v>2</v>
      </c>
      <c r="D9" s="634"/>
      <c r="E9" s="634"/>
      <c r="F9" s="769"/>
      <c r="G9" s="55"/>
      <c r="H9" s="331"/>
      <c r="I9" s="352" t="s">
        <v>52</v>
      </c>
      <c r="J9" s="688"/>
      <c r="K9" s="350"/>
      <c r="L9" s="521"/>
      <c r="M9" s="352" t="s">
        <v>38</v>
      </c>
      <c r="N9" s="352" t="s">
        <v>38</v>
      </c>
      <c r="O9" s="352" t="s">
        <v>38</v>
      </c>
      <c r="P9" s="352" t="s">
        <v>38</v>
      </c>
      <c r="Q9" s="319" t="s">
        <v>38</v>
      </c>
      <c r="R9" s="531" t="s">
        <v>38</v>
      </c>
      <c r="S9" s="76"/>
      <c r="T9" s="535"/>
      <c r="U9" s="546" t="s">
        <v>38</v>
      </c>
      <c r="V9" s="313">
        <f t="shared" si="0"/>
        <v>7</v>
      </c>
    </row>
    <row r="10" spans="1:22">
      <c r="A10" s="559">
        <v>8</v>
      </c>
      <c r="B10" s="762" t="s">
        <v>53</v>
      </c>
      <c r="C10" s="12">
        <v>2</v>
      </c>
      <c r="D10" s="12"/>
      <c r="E10" s="12"/>
      <c r="F10" s="769"/>
      <c r="G10" s="55"/>
      <c r="H10" s="331"/>
      <c r="I10" s="302" t="s">
        <v>54</v>
      </c>
      <c r="J10" s="311" t="s">
        <v>55</v>
      </c>
      <c r="K10" s="350"/>
      <c r="L10" s="521"/>
      <c r="M10" s="302" t="s">
        <v>38</v>
      </c>
      <c r="N10" s="302"/>
      <c r="O10" s="302"/>
      <c r="P10" s="302"/>
      <c r="Q10" s="114" t="s">
        <v>38</v>
      </c>
      <c r="R10" s="128" t="s">
        <v>38</v>
      </c>
      <c r="S10" s="75"/>
      <c r="T10" s="525"/>
      <c r="U10" s="45" t="s">
        <v>38</v>
      </c>
      <c r="V10" s="313">
        <f t="shared" si="0"/>
        <v>4</v>
      </c>
    </row>
    <row r="11" spans="1:22">
      <c r="A11" s="560">
        <v>9</v>
      </c>
      <c r="B11" s="763" t="s">
        <v>56</v>
      </c>
      <c r="C11" s="634">
        <v>2</v>
      </c>
      <c r="D11" s="634"/>
      <c r="E11" s="634"/>
      <c r="F11" s="769">
        <v>4</v>
      </c>
      <c r="G11" s="55"/>
      <c r="H11" s="331"/>
      <c r="I11" s="352" t="s">
        <v>8</v>
      </c>
      <c r="J11" s="688"/>
      <c r="K11" s="350"/>
      <c r="L11" s="521"/>
      <c r="M11" s="352" t="s">
        <v>38</v>
      </c>
      <c r="N11" s="352" t="s">
        <v>38</v>
      </c>
      <c r="O11" s="352"/>
      <c r="P11" s="352"/>
      <c r="Q11" s="319"/>
      <c r="R11" s="531"/>
      <c r="S11" s="76"/>
      <c r="T11" s="535"/>
      <c r="U11" s="546"/>
      <c r="V11" s="313">
        <f t="shared" si="0"/>
        <v>2</v>
      </c>
    </row>
    <row r="12" spans="1:22">
      <c r="A12" s="559">
        <v>10</v>
      </c>
      <c r="B12" s="764" t="s">
        <v>57</v>
      </c>
      <c r="C12" s="12" t="s">
        <v>58</v>
      </c>
      <c r="D12" s="12"/>
      <c r="E12" s="12"/>
      <c r="F12" s="769">
        <v>4</v>
      </c>
      <c r="G12" s="55"/>
      <c r="H12" s="331"/>
      <c r="I12" s="302" t="s">
        <v>59</v>
      </c>
      <c r="J12" s="727" t="s">
        <v>17</v>
      </c>
      <c r="K12" s="350"/>
      <c r="L12" s="521"/>
      <c r="M12" s="352"/>
      <c r="N12" s="352" t="s">
        <v>38</v>
      </c>
      <c r="O12" s="352"/>
      <c r="P12" s="352"/>
      <c r="Q12" s="622" t="s">
        <v>38</v>
      </c>
      <c r="R12" s="531"/>
      <c r="S12" s="75"/>
      <c r="T12" s="525"/>
      <c r="U12" s="45"/>
      <c r="V12" s="313">
        <f t="shared" si="0"/>
        <v>2</v>
      </c>
    </row>
    <row r="13" spans="1:22">
      <c r="A13" s="559">
        <v>11</v>
      </c>
      <c r="B13" s="765" t="s">
        <v>60</v>
      </c>
      <c r="C13" s="13">
        <v>2</v>
      </c>
      <c r="D13" s="13"/>
      <c r="E13" s="13"/>
      <c r="F13" s="769">
        <v>3</v>
      </c>
      <c r="G13" s="360"/>
      <c r="H13" s="332"/>
      <c r="I13" s="301" t="s">
        <v>8</v>
      </c>
      <c r="J13" s="696"/>
      <c r="K13" s="350"/>
      <c r="L13" s="521"/>
      <c r="M13" s="302"/>
      <c r="N13" s="302" t="s">
        <v>38</v>
      </c>
      <c r="O13" s="302"/>
      <c r="P13" s="302"/>
      <c r="Q13" s="114" t="s">
        <v>38</v>
      </c>
      <c r="R13" s="128"/>
      <c r="S13" s="75"/>
      <c r="T13" s="525"/>
      <c r="U13" s="45"/>
      <c r="V13" s="313">
        <f>COUNTIF(M13:U13, "X")</f>
        <v>2</v>
      </c>
    </row>
    <row r="14" spans="1:22">
      <c r="A14" s="560">
        <v>12</v>
      </c>
      <c r="B14" s="764" t="s">
        <v>61</v>
      </c>
      <c r="C14" s="9">
        <v>3</v>
      </c>
      <c r="D14" s="9"/>
      <c r="E14" s="9"/>
      <c r="F14" s="770">
        <v>2</v>
      </c>
      <c r="G14" s="360"/>
      <c r="H14" s="332"/>
      <c r="I14" s="302" t="s">
        <v>10</v>
      </c>
      <c r="J14" s="311"/>
      <c r="K14" s="350"/>
      <c r="L14" s="521"/>
      <c r="M14" s="352"/>
      <c r="N14" s="352"/>
      <c r="O14" s="352"/>
      <c r="P14" s="352"/>
      <c r="Q14" s="319"/>
      <c r="R14" s="532" t="s">
        <v>38</v>
      </c>
      <c r="S14" s="76"/>
      <c r="T14" s="535"/>
      <c r="U14" s="546"/>
      <c r="V14" s="313">
        <f t="shared" si="0"/>
        <v>1</v>
      </c>
    </row>
    <row r="15" spans="1:22">
      <c r="A15" s="559">
        <v>13</v>
      </c>
      <c r="B15" s="765" t="s">
        <v>62</v>
      </c>
      <c r="C15" s="771" t="s">
        <v>63</v>
      </c>
      <c r="D15" s="771"/>
      <c r="E15" s="771"/>
      <c r="F15" s="772">
        <v>2</v>
      </c>
      <c r="G15" s="361"/>
      <c r="H15" s="333"/>
      <c r="I15" s="702" t="s">
        <v>10</v>
      </c>
      <c r="J15" s="697"/>
      <c r="K15" s="350"/>
      <c r="L15" s="521"/>
      <c r="M15" s="352"/>
      <c r="N15" s="352"/>
      <c r="O15" s="352"/>
      <c r="P15" s="352"/>
      <c r="Q15" s="911" t="s">
        <v>38</v>
      </c>
      <c r="R15" s="912"/>
      <c r="S15" s="75"/>
      <c r="T15" s="525"/>
      <c r="U15" s="45" t="s">
        <v>38</v>
      </c>
      <c r="V15" s="495">
        <f>COUNTIF(M15:U15, "X")</f>
        <v>2</v>
      </c>
    </row>
    <row r="16" spans="1:22">
      <c r="A16" s="560">
        <v>14</v>
      </c>
      <c r="B16" s="766" t="s">
        <v>64</v>
      </c>
      <c r="C16" s="9">
        <v>1</v>
      </c>
      <c r="D16" s="9"/>
      <c r="E16" s="9"/>
      <c r="F16" s="770">
        <v>2</v>
      </c>
      <c r="G16" s="517"/>
      <c r="H16" s="518"/>
      <c r="I16" s="580" t="s">
        <v>52</v>
      </c>
      <c r="J16" s="698"/>
      <c r="K16" s="350"/>
      <c r="L16" s="521"/>
      <c r="M16" s="458"/>
      <c r="N16" s="458"/>
      <c r="O16" s="458"/>
      <c r="P16" s="458"/>
      <c r="Q16" s="221"/>
      <c r="R16" s="522" t="s">
        <v>38</v>
      </c>
      <c r="S16" s="446"/>
      <c r="T16" s="536"/>
      <c r="U16" s="547" t="s">
        <v>38</v>
      </c>
      <c r="V16" s="552">
        <f t="shared" si="0"/>
        <v>2</v>
      </c>
    </row>
    <row r="17" spans="1:22">
      <c r="A17" s="561">
        <v>17</v>
      </c>
      <c r="B17" s="767" t="s">
        <v>65</v>
      </c>
      <c r="C17" s="773">
        <v>3</v>
      </c>
      <c r="D17" s="773"/>
      <c r="E17" s="771"/>
      <c r="F17" s="772"/>
      <c r="G17" s="361"/>
      <c r="H17" s="333"/>
      <c r="I17" s="703" t="s">
        <v>52</v>
      </c>
      <c r="J17" s="699"/>
      <c r="K17" s="350"/>
      <c r="L17" s="521"/>
      <c r="M17" s="401"/>
      <c r="N17" s="401"/>
      <c r="O17" s="401"/>
      <c r="P17" s="401"/>
      <c r="Q17" s="412"/>
      <c r="R17" s="533" t="s">
        <v>38</v>
      </c>
      <c r="S17" s="304"/>
      <c r="T17" s="537"/>
      <c r="U17" s="292"/>
      <c r="V17" s="552">
        <f t="shared" si="0"/>
        <v>1</v>
      </c>
    </row>
    <row r="18" spans="1:22" ht="15.75" customHeight="1">
      <c r="A18" s="559">
        <v>15</v>
      </c>
      <c r="B18" s="762" t="s">
        <v>66</v>
      </c>
      <c r="C18" s="12">
        <v>2</v>
      </c>
      <c r="D18" s="12"/>
      <c r="E18" s="12"/>
      <c r="F18" s="774"/>
      <c r="G18" s="361"/>
      <c r="H18" s="333"/>
      <c r="I18" s="1057" t="s">
        <v>67</v>
      </c>
      <c r="J18" s="700"/>
      <c r="K18" s="350"/>
      <c r="L18" s="521"/>
      <c r="M18" s="70"/>
      <c r="N18" s="70"/>
      <c r="O18" s="70"/>
      <c r="P18" s="70"/>
      <c r="Q18" s="67"/>
      <c r="R18" s="17"/>
      <c r="S18" s="142"/>
      <c r="T18" s="525" t="s">
        <v>38</v>
      </c>
      <c r="U18" s="45" t="s">
        <v>38</v>
      </c>
      <c r="V18" s="552">
        <f t="shared" si="0"/>
        <v>2</v>
      </c>
    </row>
    <row r="19" spans="1:22">
      <c r="A19" s="562">
        <v>16</v>
      </c>
      <c r="B19" s="768" t="s">
        <v>68</v>
      </c>
      <c r="C19" s="773">
        <v>2</v>
      </c>
      <c r="D19" s="773"/>
      <c r="E19" s="771"/>
      <c r="F19" s="774"/>
      <c r="G19" s="519"/>
      <c r="H19" s="520"/>
      <c r="I19" s="712" t="s">
        <v>69</v>
      </c>
      <c r="J19" s="701"/>
      <c r="K19" s="350"/>
      <c r="L19" s="521"/>
      <c r="M19" s="524"/>
      <c r="N19" s="524"/>
      <c r="O19" s="524"/>
      <c r="P19" s="524"/>
      <c r="Q19" s="527"/>
      <c r="R19" s="539"/>
      <c r="S19" s="446" t="s">
        <v>38</v>
      </c>
      <c r="T19" s="540"/>
      <c r="U19" s="548"/>
      <c r="V19" s="553">
        <f t="shared" si="0"/>
        <v>1</v>
      </c>
    </row>
    <row r="20" spans="1:22">
      <c r="A20" s="558">
        <v>18</v>
      </c>
      <c r="B20" s="505" t="s">
        <v>70</v>
      </c>
      <c r="C20" s="775">
        <v>1</v>
      </c>
      <c r="D20" s="775"/>
      <c r="E20" s="775">
        <v>2</v>
      </c>
      <c r="F20" s="772">
        <v>2</v>
      </c>
      <c r="G20" s="362">
        <v>1</v>
      </c>
      <c r="H20" s="334">
        <v>1</v>
      </c>
      <c r="I20" s="565" t="s">
        <v>43</v>
      </c>
      <c r="J20" s="686" t="s">
        <v>71</v>
      </c>
      <c r="K20" s="350"/>
      <c r="L20" s="521"/>
      <c r="M20" s="353"/>
      <c r="N20" s="353"/>
      <c r="O20" s="324" t="s">
        <v>38</v>
      </c>
      <c r="P20" s="153" t="s">
        <v>38</v>
      </c>
      <c r="Q20" s="528" t="s">
        <v>38</v>
      </c>
      <c r="R20" s="513"/>
      <c r="S20" s="523"/>
      <c r="T20" s="523"/>
      <c r="U20" s="541"/>
      <c r="V20" s="447">
        <f t="shared" si="0"/>
        <v>3</v>
      </c>
    </row>
    <row r="21" spans="1:22">
      <c r="A21" s="554">
        <v>19</v>
      </c>
      <c r="B21" s="503" t="s">
        <v>72</v>
      </c>
      <c r="C21" s="303">
        <v>2</v>
      </c>
      <c r="D21" s="748"/>
      <c r="E21" s="748">
        <v>2</v>
      </c>
      <c r="F21" s="375">
        <v>2</v>
      </c>
      <c r="G21" s="55">
        <v>1</v>
      </c>
      <c r="H21" s="331">
        <v>1</v>
      </c>
      <c r="I21" s="352" t="s">
        <v>43</v>
      </c>
      <c r="J21" s="687" t="s">
        <v>71</v>
      </c>
      <c r="K21" s="350"/>
      <c r="L21" s="521"/>
      <c r="M21" s="353"/>
      <c r="N21" s="353"/>
      <c r="O21" s="324" t="s">
        <v>38</v>
      </c>
      <c r="P21" s="153" t="s">
        <v>38</v>
      </c>
      <c r="Q21" s="353" t="s">
        <v>38</v>
      </c>
      <c r="R21" s="514"/>
      <c r="S21" s="521"/>
      <c r="T21" s="521"/>
      <c r="U21" s="542"/>
      <c r="V21" s="447">
        <f t="shared" si="0"/>
        <v>3</v>
      </c>
    </row>
    <row r="22" spans="1:22">
      <c r="A22" s="386">
        <v>20</v>
      </c>
      <c r="B22" s="503" t="s">
        <v>73</v>
      </c>
      <c r="C22" s="75">
        <v>2</v>
      </c>
      <c r="D22" s="748"/>
      <c r="E22" s="748">
        <v>1</v>
      </c>
      <c r="F22" s="375">
        <v>2</v>
      </c>
      <c r="G22" s="150">
        <v>1</v>
      </c>
      <c r="H22" s="335">
        <v>2</v>
      </c>
      <c r="I22" s="302" t="s">
        <v>40</v>
      </c>
      <c r="J22" s="311" t="s">
        <v>41</v>
      </c>
      <c r="K22" s="350"/>
      <c r="L22" s="521"/>
      <c r="M22" s="302"/>
      <c r="N22" s="302"/>
      <c r="O22" s="75"/>
      <c r="P22" s="45" t="s">
        <v>38</v>
      </c>
      <c r="Q22" s="302" t="s">
        <v>38</v>
      </c>
      <c r="R22" s="514"/>
      <c r="S22" s="521"/>
      <c r="T22" s="521"/>
      <c r="U22" s="542"/>
      <c r="V22" s="447">
        <f t="shared" si="0"/>
        <v>2</v>
      </c>
    </row>
    <row r="23" spans="1:22">
      <c r="A23" s="554">
        <v>21</v>
      </c>
      <c r="B23" s="575" t="s">
        <v>74</v>
      </c>
      <c r="C23" s="322">
        <v>2</v>
      </c>
      <c r="D23" s="526"/>
      <c r="E23" s="526"/>
      <c r="F23" s="374">
        <v>2</v>
      </c>
      <c r="G23" s="55"/>
      <c r="H23" s="336"/>
      <c r="I23" s="605" t="s">
        <v>10</v>
      </c>
      <c r="J23" s="688"/>
      <c r="K23" s="350"/>
      <c r="L23" s="521"/>
      <c r="M23" s="352" t="s">
        <v>38</v>
      </c>
      <c r="N23" s="352" t="s">
        <v>38</v>
      </c>
      <c r="O23" s="322" t="s">
        <v>38</v>
      </c>
      <c r="P23" s="373" t="s">
        <v>38</v>
      </c>
      <c r="Q23" s="352"/>
      <c r="R23" s="514"/>
      <c r="S23" s="521"/>
      <c r="T23" s="521"/>
      <c r="U23" s="542"/>
      <c r="V23" s="447">
        <f t="shared" si="0"/>
        <v>4</v>
      </c>
    </row>
    <row r="24" spans="1:22">
      <c r="A24" s="386">
        <v>22</v>
      </c>
      <c r="B24" s="503" t="s">
        <v>75</v>
      </c>
      <c r="C24" s="75">
        <v>1</v>
      </c>
      <c r="D24" s="525"/>
      <c r="E24" s="525">
        <v>1</v>
      </c>
      <c r="F24" s="374">
        <v>2</v>
      </c>
      <c r="G24" s="55">
        <v>1</v>
      </c>
      <c r="H24" s="336">
        <v>1</v>
      </c>
      <c r="I24" s="302" t="s">
        <v>40</v>
      </c>
      <c r="J24" s="689" t="s">
        <v>76</v>
      </c>
      <c r="K24" s="350"/>
      <c r="L24" s="521"/>
      <c r="M24" s="354"/>
      <c r="N24" s="354"/>
      <c r="O24" s="325"/>
      <c r="P24" s="404" t="s">
        <v>38</v>
      </c>
      <c r="Q24" s="354" t="s">
        <v>38</v>
      </c>
      <c r="R24" s="514"/>
      <c r="S24" s="521"/>
      <c r="T24" s="521"/>
      <c r="U24" s="542"/>
      <c r="V24" s="447">
        <f t="shared" si="0"/>
        <v>2</v>
      </c>
    </row>
    <row r="25" spans="1:22">
      <c r="A25" s="554">
        <v>23</v>
      </c>
      <c r="B25" s="504" t="s">
        <v>77</v>
      </c>
      <c r="C25" s="322">
        <v>1</v>
      </c>
      <c r="D25" s="526"/>
      <c r="E25" s="526">
        <v>2</v>
      </c>
      <c r="F25" s="374">
        <v>2</v>
      </c>
      <c r="G25" s="55">
        <v>1</v>
      </c>
      <c r="H25" s="336">
        <v>2</v>
      </c>
      <c r="I25" s="352" t="s">
        <v>78</v>
      </c>
      <c r="J25" s="690" t="s">
        <v>76</v>
      </c>
      <c r="K25" s="350"/>
      <c r="L25" s="521"/>
      <c r="M25" s="32"/>
      <c r="N25" s="32"/>
      <c r="O25" s="326" t="s">
        <v>38</v>
      </c>
      <c r="P25" s="405" t="s">
        <v>38</v>
      </c>
      <c r="Q25" s="32"/>
      <c r="R25" s="514"/>
      <c r="S25" s="521"/>
      <c r="T25" s="521"/>
      <c r="U25" s="542"/>
      <c r="V25" s="447">
        <f t="shared" si="0"/>
        <v>2</v>
      </c>
    </row>
    <row r="26" spans="1:22">
      <c r="A26" s="386">
        <v>24</v>
      </c>
      <c r="B26" s="575" t="s">
        <v>79</v>
      </c>
      <c r="C26" s="75">
        <v>1</v>
      </c>
      <c r="D26" s="525"/>
      <c r="E26" s="525"/>
      <c r="F26" s="374">
        <v>3</v>
      </c>
      <c r="G26" s="55"/>
      <c r="H26" s="336"/>
      <c r="I26" s="711" t="s">
        <v>80</v>
      </c>
      <c r="J26" s="691"/>
      <c r="K26" s="350"/>
      <c r="L26" s="521"/>
      <c r="M26" s="33" t="s">
        <v>38</v>
      </c>
      <c r="N26" s="33"/>
      <c r="O26" s="327"/>
      <c r="P26" s="406"/>
      <c r="Q26" s="33" t="s">
        <v>38</v>
      </c>
      <c r="R26" s="514"/>
      <c r="S26" s="521"/>
      <c r="T26" s="521"/>
      <c r="U26" s="542"/>
      <c r="V26" s="447">
        <f t="shared" si="0"/>
        <v>2</v>
      </c>
    </row>
    <row r="27" spans="1:22">
      <c r="A27" s="554">
        <v>25</v>
      </c>
      <c r="B27" s="504" t="s">
        <v>81</v>
      </c>
      <c r="C27" s="322">
        <v>1</v>
      </c>
      <c r="D27" s="526"/>
      <c r="E27" s="526"/>
      <c r="F27" s="374">
        <v>4</v>
      </c>
      <c r="G27" s="55"/>
      <c r="H27" s="336"/>
      <c r="I27" s="352" t="s">
        <v>59</v>
      </c>
      <c r="J27" s="688"/>
      <c r="K27" s="350"/>
      <c r="L27" s="521"/>
      <c r="M27" s="32" t="s">
        <v>38</v>
      </c>
      <c r="N27" s="32" t="s">
        <v>38</v>
      </c>
      <c r="O27" s="326"/>
      <c r="P27" s="405"/>
      <c r="Q27" s="32" t="s">
        <v>38</v>
      </c>
      <c r="R27" s="514"/>
      <c r="S27" s="521"/>
      <c r="T27" s="521"/>
      <c r="U27" s="542"/>
      <c r="V27" s="447">
        <f t="shared" si="0"/>
        <v>3</v>
      </c>
    </row>
    <row r="28" spans="1:22">
      <c r="A28" s="386">
        <v>26</v>
      </c>
      <c r="B28" s="575" t="s">
        <v>82</v>
      </c>
      <c r="C28" s="75">
        <v>1</v>
      </c>
      <c r="D28" s="525"/>
      <c r="E28" s="525"/>
      <c r="F28" s="374">
        <v>3</v>
      </c>
      <c r="G28" s="56"/>
      <c r="H28" s="337"/>
      <c r="I28" s="710" t="s">
        <v>17</v>
      </c>
      <c r="J28" s="689"/>
      <c r="K28" s="350"/>
      <c r="L28" s="521"/>
      <c r="M28" s="33" t="s">
        <v>38</v>
      </c>
      <c r="N28" s="33" t="s">
        <v>38</v>
      </c>
      <c r="O28" s="327"/>
      <c r="P28" s="406"/>
      <c r="Q28" s="33" t="s">
        <v>38</v>
      </c>
      <c r="R28" s="514"/>
      <c r="S28" s="521"/>
      <c r="T28" s="521"/>
      <c r="U28" s="542"/>
      <c r="V28" s="447">
        <f t="shared" si="0"/>
        <v>3</v>
      </c>
    </row>
    <row r="29" spans="1:22">
      <c r="A29" s="554">
        <v>27</v>
      </c>
      <c r="B29" s="504" t="s">
        <v>83</v>
      </c>
      <c r="C29" s="322">
        <v>1</v>
      </c>
      <c r="D29" s="526"/>
      <c r="E29" s="526"/>
      <c r="F29" s="374">
        <v>3</v>
      </c>
      <c r="G29" s="55"/>
      <c r="H29" s="331"/>
      <c r="I29" s="352" t="s">
        <v>84</v>
      </c>
      <c r="J29" s="690"/>
      <c r="K29" s="350"/>
      <c r="L29" s="521"/>
      <c r="M29" s="32" t="s">
        <v>38</v>
      </c>
      <c r="N29" s="32"/>
      <c r="O29" s="326"/>
      <c r="P29" s="405"/>
      <c r="Q29" s="32" t="s">
        <v>38</v>
      </c>
      <c r="R29" s="514"/>
      <c r="S29" s="521"/>
      <c r="T29" s="521"/>
      <c r="U29" s="542"/>
      <c r="V29" s="447">
        <f t="shared" si="0"/>
        <v>2</v>
      </c>
    </row>
    <row r="30" spans="1:22">
      <c r="A30" s="386">
        <v>28</v>
      </c>
      <c r="B30" s="503" t="s">
        <v>85</v>
      </c>
      <c r="C30" s="75">
        <v>1</v>
      </c>
      <c r="D30" s="525"/>
      <c r="E30" s="525">
        <v>1</v>
      </c>
      <c r="F30" s="374">
        <v>2</v>
      </c>
      <c r="G30" s="55">
        <v>1</v>
      </c>
      <c r="H30" s="331">
        <v>1</v>
      </c>
      <c r="I30" s="354" t="s">
        <v>40</v>
      </c>
      <c r="J30" s="692"/>
      <c r="K30" s="350"/>
      <c r="L30" s="521"/>
      <c r="M30" s="33"/>
      <c r="N30" s="33"/>
      <c r="O30" s="327"/>
      <c r="P30" s="406" t="s">
        <v>38</v>
      </c>
      <c r="Q30" s="33" t="s">
        <v>38</v>
      </c>
      <c r="R30" s="514"/>
      <c r="S30" s="521"/>
      <c r="T30" s="521"/>
      <c r="U30" s="542"/>
      <c r="V30" s="447">
        <f t="shared" si="0"/>
        <v>2</v>
      </c>
    </row>
    <row r="31" spans="1:22">
      <c r="A31" s="554">
        <v>29</v>
      </c>
      <c r="B31" s="505" t="s">
        <v>86</v>
      </c>
      <c r="C31" s="322">
        <v>2</v>
      </c>
      <c r="D31" s="526"/>
      <c r="E31" s="526">
        <v>1</v>
      </c>
      <c r="F31" s="376">
        <v>2</v>
      </c>
      <c r="G31" s="55">
        <v>1</v>
      </c>
      <c r="H31" s="331">
        <v>1</v>
      </c>
      <c r="I31" s="32" t="s">
        <v>12</v>
      </c>
      <c r="J31" s="690"/>
      <c r="K31" s="350"/>
      <c r="L31" s="521"/>
      <c r="M31" s="32"/>
      <c r="N31" s="32"/>
      <c r="O31" s="326" t="s">
        <v>38</v>
      </c>
      <c r="P31" s="405"/>
      <c r="Q31" s="32" t="s">
        <v>38</v>
      </c>
      <c r="R31" s="514"/>
      <c r="S31" s="521"/>
      <c r="T31" s="521"/>
      <c r="U31" s="542"/>
      <c r="V31" s="447">
        <f t="shared" si="0"/>
        <v>2</v>
      </c>
    </row>
    <row r="32" spans="1:22">
      <c r="A32" s="386">
        <v>30</v>
      </c>
      <c r="B32" s="504" t="s">
        <v>87</v>
      </c>
      <c r="C32" s="322" t="s">
        <v>88</v>
      </c>
      <c r="D32" s="526"/>
      <c r="E32" s="526"/>
      <c r="F32" s="377">
        <v>3</v>
      </c>
      <c r="G32" s="363"/>
      <c r="H32" s="338"/>
      <c r="I32" s="32" t="s">
        <v>89</v>
      </c>
      <c r="J32" s="690" t="s">
        <v>90</v>
      </c>
      <c r="K32" s="350"/>
      <c r="L32" s="521"/>
      <c r="M32" s="32"/>
      <c r="N32" s="32" t="s">
        <v>38</v>
      </c>
      <c r="O32" s="326"/>
      <c r="P32" s="405"/>
      <c r="Q32" s="621" t="s">
        <v>38</v>
      </c>
      <c r="R32" s="514"/>
      <c r="S32" s="521"/>
      <c r="T32" s="521"/>
      <c r="U32" s="542"/>
      <c r="V32" s="447">
        <f t="shared" si="0"/>
        <v>2</v>
      </c>
    </row>
    <row r="33" spans="1:22">
      <c r="A33" s="386">
        <v>31</v>
      </c>
      <c r="B33" s="503" t="s">
        <v>91</v>
      </c>
      <c r="C33" s="75">
        <v>2</v>
      </c>
      <c r="D33" s="525"/>
      <c r="E33" s="525"/>
      <c r="F33" s="377">
        <v>4</v>
      </c>
      <c r="G33" s="364"/>
      <c r="H33" s="339"/>
      <c r="I33" s="33" t="s">
        <v>59</v>
      </c>
      <c r="J33" s="692"/>
      <c r="K33" s="350"/>
      <c r="L33" s="521"/>
      <c r="M33" s="33"/>
      <c r="N33" s="33" t="s">
        <v>38</v>
      </c>
      <c r="O33" s="327"/>
      <c r="P33" s="406"/>
      <c r="Q33" s="33" t="s">
        <v>38</v>
      </c>
      <c r="R33" s="514"/>
      <c r="S33" s="521"/>
      <c r="T33" s="521"/>
      <c r="U33" s="542"/>
      <c r="V33" s="447">
        <f t="shared" si="0"/>
        <v>2</v>
      </c>
    </row>
    <row r="34" spans="1:22">
      <c r="A34" s="554">
        <v>32</v>
      </c>
      <c r="B34" s="504" t="s">
        <v>92</v>
      </c>
      <c r="C34" s="322">
        <v>1</v>
      </c>
      <c r="D34" s="526"/>
      <c r="E34" s="526"/>
      <c r="F34" s="377" t="s">
        <v>93</v>
      </c>
      <c r="G34" s="364"/>
      <c r="H34" s="339"/>
      <c r="I34" s="32" t="s">
        <v>59</v>
      </c>
      <c r="J34" s="690"/>
      <c r="K34" s="350"/>
      <c r="L34" s="521"/>
      <c r="M34" s="32" t="s">
        <v>38</v>
      </c>
      <c r="N34" s="32" t="s">
        <v>38</v>
      </c>
      <c r="O34" s="326"/>
      <c r="P34" s="405"/>
      <c r="Q34" s="32" t="s">
        <v>38</v>
      </c>
      <c r="R34" s="514"/>
      <c r="S34" s="521"/>
      <c r="T34" s="521"/>
      <c r="U34" s="542"/>
      <c r="V34" s="447">
        <f t="shared" si="0"/>
        <v>3</v>
      </c>
    </row>
    <row r="35" spans="1:22">
      <c r="A35" s="386">
        <v>33</v>
      </c>
      <c r="B35" s="503" t="s">
        <v>94</v>
      </c>
      <c r="C35" s="75">
        <v>2</v>
      </c>
      <c r="D35" s="525"/>
      <c r="E35" s="525"/>
      <c r="F35" s="377">
        <v>2</v>
      </c>
      <c r="G35" s="364"/>
      <c r="H35" s="339"/>
      <c r="I35" s="33" t="s">
        <v>95</v>
      </c>
      <c r="J35" s="692"/>
      <c r="K35" s="350"/>
      <c r="L35" s="521"/>
      <c r="M35" s="33"/>
      <c r="N35" s="33"/>
      <c r="O35" s="327"/>
      <c r="P35" s="406"/>
      <c r="Q35" s="33" t="s">
        <v>38</v>
      </c>
      <c r="R35" s="514"/>
      <c r="S35" s="521"/>
      <c r="T35" s="521"/>
      <c r="U35" s="542"/>
      <c r="V35" s="447">
        <f t="shared" si="0"/>
        <v>1</v>
      </c>
    </row>
    <row r="36" spans="1:22">
      <c r="A36" s="554">
        <v>34</v>
      </c>
      <c r="B36" s="504" t="s">
        <v>96</v>
      </c>
      <c r="C36" s="386">
        <v>3</v>
      </c>
      <c r="D36" s="749"/>
      <c r="E36" s="749"/>
      <c r="F36" s="378">
        <v>3</v>
      </c>
      <c r="G36" s="365"/>
      <c r="H36" s="340"/>
      <c r="I36" s="32" t="s">
        <v>52</v>
      </c>
      <c r="J36" s="690"/>
      <c r="K36" s="350"/>
      <c r="L36" s="521"/>
      <c r="M36" s="32"/>
      <c r="N36" s="32"/>
      <c r="O36" s="326"/>
      <c r="P36" s="405"/>
      <c r="Q36" s="490" t="s">
        <v>38</v>
      </c>
      <c r="R36" s="514"/>
      <c r="S36" s="521"/>
      <c r="T36" s="521"/>
      <c r="U36" s="542"/>
      <c r="V36" s="447">
        <f t="shared" si="0"/>
        <v>1</v>
      </c>
    </row>
    <row r="37" spans="1:22">
      <c r="A37" s="557">
        <v>35</v>
      </c>
      <c r="B37" s="506" t="s">
        <v>97</v>
      </c>
      <c r="C37" s="321">
        <v>3</v>
      </c>
      <c r="D37" s="566"/>
      <c r="E37" s="566"/>
      <c r="F37" s="379">
        <v>3</v>
      </c>
      <c r="G37" s="147"/>
      <c r="H37" s="341"/>
      <c r="I37" s="355" t="s">
        <v>52</v>
      </c>
      <c r="J37" s="691"/>
      <c r="K37" s="350"/>
      <c r="L37" s="543"/>
      <c r="M37" s="355"/>
      <c r="N37" s="355"/>
      <c r="O37" s="328"/>
      <c r="P37" s="410"/>
      <c r="Q37" s="491" t="s">
        <v>38</v>
      </c>
      <c r="R37" s="515"/>
      <c r="S37" s="543"/>
      <c r="T37" s="543"/>
      <c r="U37" s="544"/>
      <c r="V37" s="288">
        <f t="shared" si="0"/>
        <v>1</v>
      </c>
    </row>
    <row r="38" spans="1:22">
      <c r="A38" s="556">
        <v>36</v>
      </c>
      <c r="B38" s="507" t="s">
        <v>98</v>
      </c>
      <c r="C38" s="387">
        <v>1</v>
      </c>
      <c r="D38" s="750"/>
      <c r="E38" s="776">
        <v>1</v>
      </c>
      <c r="F38" s="380">
        <v>2</v>
      </c>
      <c r="G38" s="366">
        <v>1</v>
      </c>
      <c r="H38" s="342">
        <v>1</v>
      </c>
      <c r="I38" s="356" t="s">
        <v>12</v>
      </c>
      <c r="J38" s="693"/>
      <c r="K38" s="350"/>
      <c r="L38" s="402"/>
      <c r="M38" s="399"/>
      <c r="N38" s="402"/>
      <c r="O38" s="399"/>
      <c r="P38" s="402" t="s">
        <v>38</v>
      </c>
      <c r="Q38" s="492" t="s">
        <v>38</v>
      </c>
      <c r="R38" s="514"/>
      <c r="S38" s="521"/>
      <c r="T38" s="521"/>
      <c r="U38" s="542"/>
      <c r="V38" s="447">
        <f>COUNTIF(J38:U38, "X")</f>
        <v>2</v>
      </c>
    </row>
    <row r="39" spans="1:22">
      <c r="A39" s="386">
        <v>37</v>
      </c>
      <c r="B39" s="504" t="s">
        <v>99</v>
      </c>
      <c r="C39" s="323">
        <v>1</v>
      </c>
      <c r="D39" s="751"/>
      <c r="E39" s="526">
        <v>1</v>
      </c>
      <c r="F39" s="374">
        <v>2</v>
      </c>
      <c r="G39" s="55">
        <v>1</v>
      </c>
      <c r="H39" s="331">
        <v>1</v>
      </c>
      <c r="I39" s="352" t="s">
        <v>40</v>
      </c>
      <c r="J39" s="688"/>
      <c r="K39" s="350"/>
      <c r="L39" s="403" t="s">
        <v>38</v>
      </c>
      <c r="M39" s="322"/>
      <c r="N39" s="373"/>
      <c r="O39" s="322" t="s">
        <v>38</v>
      </c>
      <c r="P39" s="373" t="s">
        <v>38</v>
      </c>
      <c r="Q39" s="352"/>
      <c r="R39" s="514"/>
      <c r="S39" s="521"/>
      <c r="T39" s="521"/>
      <c r="U39" s="542"/>
      <c r="V39" s="447">
        <f>COUNTIF(J39:U39, "X")</f>
        <v>3</v>
      </c>
    </row>
    <row r="40" spans="1:22">
      <c r="A40" s="554">
        <v>38</v>
      </c>
      <c r="B40" s="508" t="s">
        <v>100</v>
      </c>
      <c r="C40" s="388">
        <v>1</v>
      </c>
      <c r="D40" s="752"/>
      <c r="E40" s="818">
        <v>1</v>
      </c>
      <c r="F40" s="376">
        <v>2</v>
      </c>
      <c r="G40" s="55">
        <v>1</v>
      </c>
      <c r="H40" s="331">
        <v>1</v>
      </c>
      <c r="I40" s="302" t="s">
        <v>40</v>
      </c>
      <c r="J40" s="689"/>
      <c r="K40" s="350"/>
      <c r="L40" s="404"/>
      <c r="M40" s="325"/>
      <c r="N40" s="404"/>
      <c r="O40" s="325" t="s">
        <v>38</v>
      </c>
      <c r="P40" s="404" t="s">
        <v>38</v>
      </c>
      <c r="Q40" s="354" t="s">
        <v>38</v>
      </c>
      <c r="R40" s="514"/>
      <c r="S40" s="521"/>
      <c r="T40" s="521"/>
      <c r="U40" s="542"/>
      <c r="V40" s="447">
        <f>COUNTIF(J40:U40, "X")</f>
        <v>3</v>
      </c>
    </row>
    <row r="41" spans="1:22">
      <c r="A41" s="386">
        <v>39</v>
      </c>
      <c r="B41" s="509" t="s">
        <v>101</v>
      </c>
      <c r="C41" s="389">
        <v>2</v>
      </c>
      <c r="D41" s="753"/>
      <c r="E41" s="819"/>
      <c r="F41" s="377">
        <v>3</v>
      </c>
      <c r="G41" s="55"/>
      <c r="H41" s="331"/>
      <c r="I41" s="352" t="s">
        <v>102</v>
      </c>
      <c r="J41" s="690"/>
      <c r="K41" s="350"/>
      <c r="L41" s="405"/>
      <c r="M41" s="326"/>
      <c r="N41" s="405"/>
      <c r="O41" s="326" t="s">
        <v>38</v>
      </c>
      <c r="P41" s="405" t="s">
        <v>38</v>
      </c>
      <c r="Q41" s="621" t="s">
        <v>38</v>
      </c>
      <c r="R41" s="514"/>
      <c r="S41" s="521"/>
      <c r="T41" s="521"/>
      <c r="U41" s="542"/>
      <c r="V41" s="447">
        <f>COUNTIF(J41:U41, "X")</f>
        <v>3</v>
      </c>
    </row>
    <row r="42" spans="1:22">
      <c r="A42" s="554">
        <v>40</v>
      </c>
      <c r="B42" s="510" t="s">
        <v>103</v>
      </c>
      <c r="C42" s="329">
        <v>1</v>
      </c>
      <c r="D42" s="754"/>
      <c r="E42" s="820">
        <v>1</v>
      </c>
      <c r="F42" s="377">
        <v>2</v>
      </c>
      <c r="G42" s="55">
        <v>1</v>
      </c>
      <c r="H42" s="331">
        <v>1</v>
      </c>
      <c r="I42" s="302" t="s">
        <v>43</v>
      </c>
      <c r="J42" s="692"/>
      <c r="K42" s="350"/>
      <c r="L42" s="406"/>
      <c r="M42" s="327"/>
      <c r="N42" s="406"/>
      <c r="O42" s="327" t="s">
        <v>38</v>
      </c>
      <c r="P42" s="406" t="s">
        <v>38</v>
      </c>
      <c r="Q42" s="33" t="s">
        <v>38</v>
      </c>
      <c r="R42" s="514"/>
      <c r="S42" s="521"/>
      <c r="T42" s="521"/>
      <c r="U42" s="542"/>
      <c r="V42" s="447">
        <f>COUNTIF(J42:U42, "X")</f>
        <v>3</v>
      </c>
    </row>
    <row r="43" spans="1:22">
      <c r="A43" s="386">
        <v>41</v>
      </c>
      <c r="B43" s="509" t="s">
        <v>104</v>
      </c>
      <c r="C43" s="390">
        <v>2</v>
      </c>
      <c r="D43" s="755"/>
      <c r="E43" s="819"/>
      <c r="F43" s="377"/>
      <c r="G43" s="367"/>
      <c r="H43" s="343"/>
      <c r="I43" s="73" t="s">
        <v>10</v>
      </c>
      <c r="J43" s="690" t="s">
        <v>105</v>
      </c>
      <c r="K43" s="350"/>
      <c r="L43" s="407" t="s">
        <v>38</v>
      </c>
      <c r="M43" s="326" t="s">
        <v>38</v>
      </c>
      <c r="N43" s="405" t="s">
        <v>38</v>
      </c>
      <c r="O43" s="326" t="s">
        <v>38</v>
      </c>
      <c r="P43" s="405" t="s">
        <v>38</v>
      </c>
      <c r="Q43" s="32"/>
      <c r="R43" s="514"/>
      <c r="S43" s="521"/>
      <c r="T43" s="521"/>
      <c r="U43" s="542"/>
      <c r="V43" s="447">
        <f>COUNTIF(J43:U43, "X")</f>
        <v>5</v>
      </c>
    </row>
    <row r="44" spans="1:22">
      <c r="A44" s="554">
        <v>42</v>
      </c>
      <c r="B44" s="511" t="s">
        <v>106</v>
      </c>
      <c r="C44" s="391">
        <v>2</v>
      </c>
      <c r="D44" s="756"/>
      <c r="E44" s="821"/>
      <c r="F44" s="381">
        <v>2</v>
      </c>
      <c r="G44" s="55"/>
      <c r="H44" s="331"/>
      <c r="I44" s="33" t="s">
        <v>10</v>
      </c>
      <c r="J44" s="692" t="s">
        <v>40</v>
      </c>
      <c r="K44" s="350" t="s">
        <v>102</v>
      </c>
      <c r="L44" s="408" t="s">
        <v>38</v>
      </c>
      <c r="M44" s="327" t="s">
        <v>38</v>
      </c>
      <c r="N44" s="406" t="s">
        <v>38</v>
      </c>
      <c r="O44" s="327" t="s">
        <v>38</v>
      </c>
      <c r="P44" s="406" t="s">
        <v>38</v>
      </c>
      <c r="Q44" s="33" t="s">
        <v>38</v>
      </c>
      <c r="R44" s="514"/>
      <c r="S44" s="521"/>
      <c r="T44" s="521"/>
      <c r="U44" s="542"/>
      <c r="V44" s="447">
        <f>COUNTIF(J44:U44, "X")</f>
        <v>6</v>
      </c>
    </row>
    <row r="45" spans="1:22">
      <c r="A45" s="386">
        <v>43</v>
      </c>
      <c r="B45" s="504" t="s">
        <v>107</v>
      </c>
      <c r="C45" s="392" t="s">
        <v>88</v>
      </c>
      <c r="D45" s="757"/>
      <c r="E45" s="822"/>
      <c r="F45" s="382">
        <v>3</v>
      </c>
      <c r="G45" s="368"/>
      <c r="H45" s="344"/>
      <c r="I45" s="32" t="s">
        <v>89</v>
      </c>
      <c r="J45" s="690" t="s">
        <v>90</v>
      </c>
      <c r="K45" s="350"/>
      <c r="L45" s="407" t="s">
        <v>38</v>
      </c>
      <c r="M45" s="326" t="s">
        <v>38</v>
      </c>
      <c r="N45" s="405" t="s">
        <v>38</v>
      </c>
      <c r="O45" s="326"/>
      <c r="P45" s="405"/>
      <c r="Q45" s="621" t="s">
        <v>38</v>
      </c>
      <c r="R45" s="514"/>
      <c r="S45" s="521"/>
      <c r="T45" s="521"/>
      <c r="U45" s="542"/>
      <c r="V45" s="447">
        <f>COUNTIF(J45:U45, "X")</f>
        <v>4</v>
      </c>
    </row>
    <row r="46" spans="1:22">
      <c r="A46" s="554">
        <v>44</v>
      </c>
      <c r="B46" s="747" t="s">
        <v>108</v>
      </c>
      <c r="C46" s="388">
        <v>1</v>
      </c>
      <c r="D46" s="752"/>
      <c r="E46" s="818"/>
      <c r="F46" s="376">
        <v>3</v>
      </c>
      <c r="G46" s="55"/>
      <c r="H46" s="331"/>
      <c r="I46" s="713" t="s">
        <v>102</v>
      </c>
      <c r="J46" s="692"/>
      <c r="K46" s="350"/>
      <c r="L46" s="409"/>
      <c r="M46" s="327" t="s">
        <v>38</v>
      </c>
      <c r="N46" s="406" t="s">
        <v>38</v>
      </c>
      <c r="O46" s="327"/>
      <c r="P46" s="406"/>
      <c r="Q46" s="33" t="s">
        <v>38</v>
      </c>
      <c r="R46" s="514"/>
      <c r="S46" s="521"/>
      <c r="T46" s="521"/>
      <c r="U46" s="542"/>
      <c r="V46" s="447">
        <f>COUNTIF(J46:U46, "X")</f>
        <v>3</v>
      </c>
    </row>
    <row r="47" spans="1:22">
      <c r="A47" s="386">
        <v>45</v>
      </c>
      <c r="B47" s="509" t="s">
        <v>109</v>
      </c>
      <c r="C47" s="389">
        <v>1</v>
      </c>
      <c r="D47" s="753"/>
      <c r="E47" s="823"/>
      <c r="F47" s="383"/>
      <c r="G47" s="369"/>
      <c r="H47" s="345"/>
      <c r="I47" s="538" t="s">
        <v>59</v>
      </c>
      <c r="J47" s="690"/>
      <c r="K47" s="350"/>
      <c r="L47" s="407" t="s">
        <v>38</v>
      </c>
      <c r="M47" s="326" t="s">
        <v>38</v>
      </c>
      <c r="N47" s="405" t="s">
        <v>38</v>
      </c>
      <c r="O47" s="326"/>
      <c r="P47" s="405"/>
      <c r="Q47" s="32"/>
      <c r="R47" s="514"/>
      <c r="S47" s="521"/>
      <c r="T47" s="521"/>
      <c r="U47" s="542"/>
      <c r="V47" s="447">
        <f>COUNTIF(J47:U47, "X")</f>
        <v>3</v>
      </c>
    </row>
    <row r="48" spans="1:22">
      <c r="A48" s="386">
        <v>46</v>
      </c>
      <c r="B48" s="510" t="s">
        <v>110</v>
      </c>
      <c r="C48" s="329" t="s">
        <v>88</v>
      </c>
      <c r="D48" s="754"/>
      <c r="E48" s="754"/>
      <c r="F48" s="384">
        <v>2</v>
      </c>
      <c r="G48" s="370"/>
      <c r="H48" s="346"/>
      <c r="I48" s="357" t="s">
        <v>84</v>
      </c>
      <c r="J48" s="694"/>
      <c r="K48" s="350"/>
      <c r="L48" s="408" t="s">
        <v>38</v>
      </c>
      <c r="M48" s="327" t="s">
        <v>38</v>
      </c>
      <c r="N48" s="406"/>
      <c r="O48" s="327"/>
      <c r="P48" s="406"/>
      <c r="Q48" s="33"/>
      <c r="R48" s="514"/>
      <c r="S48" s="521"/>
      <c r="T48" s="521"/>
      <c r="U48" s="542"/>
      <c r="V48" s="447">
        <f>COUNTIF(J48:U48, "X")</f>
        <v>2</v>
      </c>
    </row>
    <row r="49" spans="1:22">
      <c r="A49" s="554">
        <v>47</v>
      </c>
      <c r="B49" s="509" t="s">
        <v>111</v>
      </c>
      <c r="C49" s="389">
        <v>1</v>
      </c>
      <c r="D49" s="753"/>
      <c r="E49" s="823"/>
      <c r="F49" s="383"/>
      <c r="G49" s="371"/>
      <c r="H49" s="347"/>
      <c r="I49" s="413" t="s">
        <v>112</v>
      </c>
      <c r="J49" s="690"/>
      <c r="K49" s="350"/>
      <c r="L49" s="405"/>
      <c r="M49" s="326"/>
      <c r="N49" s="405"/>
      <c r="O49" s="326" t="s">
        <v>38</v>
      </c>
      <c r="P49" s="405"/>
      <c r="Q49" s="32"/>
      <c r="R49" s="514"/>
      <c r="S49" s="521"/>
      <c r="T49" s="521"/>
      <c r="U49" s="542"/>
      <c r="V49" s="447">
        <f>COUNTIF(J49:U49, "X")</f>
        <v>1</v>
      </c>
    </row>
    <row r="50" spans="1:22">
      <c r="A50" s="386">
        <v>48</v>
      </c>
      <c r="B50" s="576" t="s">
        <v>113</v>
      </c>
      <c r="C50" s="393">
        <v>1</v>
      </c>
      <c r="D50" s="758"/>
      <c r="E50" s="820"/>
      <c r="F50" s="377">
        <v>3</v>
      </c>
      <c r="G50" s="364"/>
      <c r="H50" s="339"/>
      <c r="I50" s="713" t="s">
        <v>59</v>
      </c>
      <c r="J50" s="692" t="s">
        <v>80</v>
      </c>
      <c r="K50" s="350"/>
      <c r="L50" s="408" t="s">
        <v>38</v>
      </c>
      <c r="M50" s="327" t="s">
        <v>38</v>
      </c>
      <c r="N50" s="406"/>
      <c r="O50" s="327"/>
      <c r="P50" s="406"/>
      <c r="Q50" s="33"/>
      <c r="R50" s="514"/>
      <c r="S50" s="521"/>
      <c r="T50" s="521"/>
      <c r="U50" s="542"/>
      <c r="V50" s="447">
        <f>COUNTIF(J50:U50, "X")</f>
        <v>2</v>
      </c>
    </row>
    <row r="51" spans="1:22">
      <c r="A51" s="554">
        <v>49</v>
      </c>
      <c r="B51" s="576" t="s">
        <v>114</v>
      </c>
      <c r="C51" s="394">
        <v>1</v>
      </c>
      <c r="D51" s="759"/>
      <c r="E51" s="824"/>
      <c r="F51" s="377">
        <v>3</v>
      </c>
      <c r="G51" s="364"/>
      <c r="H51" s="339"/>
      <c r="I51" s="714" t="s">
        <v>115</v>
      </c>
      <c r="J51" s="690" t="s">
        <v>90</v>
      </c>
      <c r="K51" s="350"/>
      <c r="L51" s="405"/>
      <c r="M51" s="326"/>
      <c r="N51" s="405" t="s">
        <v>38</v>
      </c>
      <c r="O51" s="326"/>
      <c r="P51" s="405"/>
      <c r="Q51" s="32" t="s">
        <v>38</v>
      </c>
      <c r="R51" s="514"/>
      <c r="S51" s="521"/>
      <c r="T51" s="521"/>
      <c r="U51" s="542"/>
      <c r="V51" s="447">
        <f>COUNTIF(J51:U51, "X")</f>
        <v>2</v>
      </c>
    </row>
    <row r="52" spans="1:22">
      <c r="A52" s="516">
        <v>50</v>
      </c>
      <c r="B52" s="511" t="s">
        <v>116</v>
      </c>
      <c r="C52" s="395">
        <v>3</v>
      </c>
      <c r="D52" s="760"/>
      <c r="E52" s="825"/>
      <c r="F52" s="379">
        <v>2</v>
      </c>
      <c r="G52" s="147"/>
      <c r="H52" s="348"/>
      <c r="I52" s="355" t="s">
        <v>10</v>
      </c>
      <c r="J52" s="691"/>
      <c r="K52" s="350"/>
      <c r="L52" s="410"/>
      <c r="M52" s="328"/>
      <c r="N52" s="410"/>
      <c r="O52" s="328"/>
      <c r="P52" s="410"/>
      <c r="Q52" s="491" t="s">
        <v>38</v>
      </c>
      <c r="R52" s="514"/>
      <c r="S52" s="521"/>
      <c r="T52" s="521"/>
      <c r="U52" s="542"/>
      <c r="V52" s="447">
        <f>COUNTIF(J52:U52, "X")</f>
        <v>1</v>
      </c>
    </row>
    <row r="53" spans="1:22" ht="15.75" customHeight="1">
      <c r="A53" s="555">
        <v>51</v>
      </c>
      <c r="B53" s="512" t="s">
        <v>117</v>
      </c>
      <c r="C53" s="396">
        <v>1</v>
      </c>
      <c r="D53" s="563"/>
      <c r="E53" s="826"/>
      <c r="F53" s="385"/>
      <c r="G53" s="372"/>
      <c r="H53" s="349"/>
      <c r="I53" s="358" t="s">
        <v>59</v>
      </c>
      <c r="J53" s="695"/>
      <c r="K53" s="705"/>
      <c r="L53" s="411"/>
      <c r="M53" s="400"/>
      <c r="N53" s="81" t="s">
        <v>38</v>
      </c>
      <c r="O53" s="400"/>
      <c r="P53" s="411"/>
      <c r="Q53" s="493"/>
      <c r="R53" s="515"/>
      <c r="S53" s="543"/>
      <c r="T53" s="543"/>
      <c r="U53" s="544"/>
      <c r="V53" s="447">
        <f>COUNTIF(J53:U53, "X")</f>
        <v>1</v>
      </c>
    </row>
    <row r="54" spans="1:22" ht="27" customHeight="1">
      <c r="A54" s="8"/>
      <c r="B54" s="43" t="s">
        <v>118</v>
      </c>
      <c r="C54" s="43"/>
      <c r="D54" s="43"/>
      <c r="E54" s="43"/>
      <c r="F54" s="84">
        <f>SUM(F3:F52)</f>
        <v>104</v>
      </c>
      <c r="G54" s="85"/>
      <c r="H54" s="86"/>
    </row>
    <row r="55" spans="1:22" ht="56.1" customHeight="1">
      <c r="A55" s="8"/>
      <c r="B55" s="1" t="s">
        <v>119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906" t="s">
        <v>120</v>
      </c>
      <c r="N55" s="907"/>
      <c r="O55" s="907"/>
      <c r="P55" s="907"/>
      <c r="Q55" s="908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7" t="s">
        <v>121</v>
      </c>
      <c r="C57" s="42"/>
      <c r="D57" s="42"/>
      <c r="E57" s="42"/>
      <c r="F57" s="42"/>
      <c r="G57" s="42"/>
      <c r="H57" s="42"/>
      <c r="I57" s="16"/>
      <c r="J57" s="16"/>
      <c r="K57" s="16"/>
      <c r="L57" s="7"/>
      <c r="M57" s="906" t="s">
        <v>122</v>
      </c>
      <c r="N57" s="907"/>
      <c r="O57" s="907"/>
      <c r="P57" s="907"/>
      <c r="Q57" s="908"/>
    </row>
  </sheetData>
  <mergeCells count="17">
    <mergeCell ref="M55:Q55"/>
    <mergeCell ref="Q1:R1"/>
    <mergeCell ref="M57:Q57"/>
    <mergeCell ref="Q15:R15"/>
    <mergeCell ref="I1:I2"/>
    <mergeCell ref="K1:K2"/>
    <mergeCell ref="J1:J2"/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46" r:id="rId51" xr:uid="{96FC867F-52D0-4794-8B03-D8B12171B2E1}"/>
  </hyperlinks>
  <pageMargins left="0.7" right="0.7" top="0.75" bottom="0.75" header="0.3" footer="0.3"/>
  <pageSetup paperSize="9" orientation="portrait" verticalDpi="0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R52"/>
  <sheetViews>
    <sheetView tabSelected="1" workbookViewId="0">
      <selection activeCell="J16" sqref="J16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1" width="14" customWidth="1"/>
    <col min="12" max="12" width="13.125" customWidth="1"/>
    <col min="13" max="13" width="4.125" customWidth="1"/>
    <col min="14" max="14" width="33.375" customWidth="1"/>
    <col min="15" max="15" width="2.5" customWidth="1"/>
    <col min="16" max="16" width="37.5" customWidth="1"/>
    <col min="17" max="17" width="1.75" customWidth="1"/>
    <col min="18" max="18" width="32.5" customWidth="1"/>
  </cols>
  <sheetData>
    <row r="1" spans="1:18" ht="26.1" customHeight="1">
      <c r="A1" s="942" t="s">
        <v>123</v>
      </c>
      <c r="B1" s="942"/>
      <c r="C1" s="954" t="s">
        <v>20</v>
      </c>
      <c r="D1" s="943" t="s">
        <v>1</v>
      </c>
      <c r="E1" s="945" t="s">
        <v>2</v>
      </c>
      <c r="F1" s="947" t="s">
        <v>3</v>
      </c>
      <c r="G1" s="952" t="s">
        <v>124</v>
      </c>
      <c r="H1" s="948" t="s">
        <v>31</v>
      </c>
      <c r="I1" s="948" t="s">
        <v>125</v>
      </c>
      <c r="J1" s="948" t="s">
        <v>5</v>
      </c>
      <c r="K1" s="1058" t="s">
        <v>126</v>
      </c>
      <c r="L1" s="950" t="s">
        <v>23</v>
      </c>
    </row>
    <row r="2" spans="1:18" ht="37.5" customHeight="1">
      <c r="A2" s="942"/>
      <c r="B2" s="942"/>
      <c r="C2" s="955"/>
      <c r="D2" s="944"/>
      <c r="E2" s="946"/>
      <c r="F2" s="947"/>
      <c r="G2" s="953"/>
      <c r="H2" s="949"/>
      <c r="I2" s="949"/>
      <c r="J2" s="949"/>
      <c r="K2" s="1059"/>
      <c r="L2" s="951"/>
      <c r="N2" s="921" t="s">
        <v>127</v>
      </c>
      <c r="O2" s="922"/>
      <c r="P2" s="922"/>
      <c r="Q2" s="922"/>
      <c r="R2" s="923"/>
    </row>
    <row r="3" spans="1:18" ht="15.75" customHeight="1">
      <c r="A3" s="6">
        <v>1</v>
      </c>
      <c r="B3" s="14" t="s">
        <v>128</v>
      </c>
      <c r="C3" s="634">
        <v>2</v>
      </c>
      <c r="D3" s="631">
        <v>2</v>
      </c>
      <c r="E3" s="638"/>
      <c r="F3" s="636"/>
      <c r="G3" s="667" t="s">
        <v>38</v>
      </c>
      <c r="H3" s="668" t="s">
        <v>38</v>
      </c>
      <c r="I3" s="668" t="s">
        <v>38</v>
      </c>
      <c r="J3" s="683" t="s">
        <v>12</v>
      </c>
      <c r="K3" s="683"/>
      <c r="L3" s="74"/>
      <c r="N3" s="924"/>
      <c r="O3" s="925"/>
      <c r="P3" s="925"/>
      <c r="Q3" s="925"/>
      <c r="R3" s="926"/>
    </row>
    <row r="4" spans="1:18" ht="15.75" customHeight="1">
      <c r="A4" s="4">
        <v>2</v>
      </c>
      <c r="B4" s="611" t="s">
        <v>129</v>
      </c>
      <c r="C4" s="635">
        <v>1</v>
      </c>
      <c r="D4" s="632">
        <v>2</v>
      </c>
      <c r="E4" s="639"/>
      <c r="F4" s="637"/>
      <c r="G4" s="665" t="s">
        <v>38</v>
      </c>
      <c r="H4" s="666" t="s">
        <v>38</v>
      </c>
      <c r="I4" s="666" t="s">
        <v>38</v>
      </c>
      <c r="J4" s="684" t="s">
        <v>12</v>
      </c>
      <c r="K4" s="684"/>
      <c r="L4" s="75"/>
      <c r="N4" s="243" t="s">
        <v>130</v>
      </c>
      <c r="O4" s="247"/>
      <c r="P4" s="245" t="s">
        <v>131</v>
      </c>
      <c r="Q4" s="247"/>
      <c r="R4" s="261" t="s">
        <v>132</v>
      </c>
    </row>
    <row r="5" spans="1:18">
      <c r="A5" s="6">
        <v>3</v>
      </c>
      <c r="B5" s="611" t="s">
        <v>133</v>
      </c>
      <c r="C5" s="635">
        <v>2</v>
      </c>
      <c r="D5" s="631">
        <v>2</v>
      </c>
      <c r="E5" s="638"/>
      <c r="F5" s="636"/>
      <c r="G5" s="405" t="s">
        <v>38</v>
      </c>
      <c r="H5" s="32" t="s">
        <v>38</v>
      </c>
      <c r="I5" s="32" t="s">
        <v>38</v>
      </c>
      <c r="J5" s="685" t="s">
        <v>90</v>
      </c>
      <c r="K5" s="685"/>
      <c r="L5" s="76"/>
      <c r="N5" s="267"/>
      <c r="O5" s="231"/>
      <c r="P5" s="268"/>
      <c r="Q5" s="231"/>
      <c r="R5" s="269"/>
    </row>
    <row r="6" spans="1:18">
      <c r="A6" s="4">
        <v>4</v>
      </c>
      <c r="B6" s="15" t="s">
        <v>134</v>
      </c>
      <c r="C6" s="12">
        <v>1</v>
      </c>
      <c r="D6" s="632">
        <v>2</v>
      </c>
      <c r="E6" s="639"/>
      <c r="F6" s="637"/>
      <c r="G6" s="406"/>
      <c r="H6" s="33"/>
      <c r="I6" s="33" t="s">
        <v>38</v>
      </c>
      <c r="J6" s="302" t="s">
        <v>52</v>
      </c>
      <c r="K6" s="302"/>
      <c r="L6" s="75"/>
      <c r="N6" s="270" t="s">
        <v>135</v>
      </c>
      <c r="O6" s="235"/>
      <c r="P6" s="270" t="s">
        <v>135</v>
      </c>
      <c r="Q6" s="235"/>
      <c r="R6" s="271" t="s">
        <v>135</v>
      </c>
    </row>
    <row r="7" spans="1:18">
      <c r="A7" s="6">
        <v>5</v>
      </c>
      <c r="B7" s="14" t="s">
        <v>136</v>
      </c>
      <c r="C7" s="634">
        <v>1</v>
      </c>
      <c r="D7" s="631">
        <v>2</v>
      </c>
      <c r="E7" s="638"/>
      <c r="F7" s="636"/>
      <c r="G7" s="405"/>
      <c r="H7" s="32" t="s">
        <v>38</v>
      </c>
      <c r="I7" s="32" t="s">
        <v>38</v>
      </c>
      <c r="J7" s="301" t="s">
        <v>40</v>
      </c>
      <c r="K7" s="1060" t="s">
        <v>76</v>
      </c>
      <c r="L7" s="76" t="s">
        <v>41</v>
      </c>
      <c r="N7" s="567" t="s">
        <v>129</v>
      </c>
      <c r="O7" s="249"/>
      <c r="P7" s="567" t="s">
        <v>129</v>
      </c>
      <c r="Q7" s="249"/>
      <c r="R7" s="567" t="s">
        <v>129</v>
      </c>
    </row>
    <row r="8" spans="1:18">
      <c r="A8" s="4">
        <v>6</v>
      </c>
      <c r="B8" s="15" t="s">
        <v>137</v>
      </c>
      <c r="C8" s="12">
        <v>2</v>
      </c>
      <c r="D8" s="632">
        <v>2</v>
      </c>
      <c r="E8" s="639"/>
      <c r="F8" s="637"/>
      <c r="G8" s="406"/>
      <c r="H8" s="33" t="s">
        <v>38</v>
      </c>
      <c r="I8" s="33" t="s">
        <v>38</v>
      </c>
      <c r="J8" s="684" t="s">
        <v>76</v>
      </c>
      <c r="K8" s="684"/>
      <c r="L8" s="75"/>
      <c r="N8" s="567" t="s">
        <v>136</v>
      </c>
      <c r="O8" s="249"/>
      <c r="P8" s="567" t="s">
        <v>136</v>
      </c>
      <c r="Q8" s="249"/>
      <c r="R8" s="567" t="s">
        <v>138</v>
      </c>
    </row>
    <row r="9" spans="1:18">
      <c r="A9" s="6">
        <v>7</v>
      </c>
      <c r="B9" s="611" t="s">
        <v>139</v>
      </c>
      <c r="C9" s="635">
        <v>2</v>
      </c>
      <c r="D9" s="631">
        <v>2</v>
      </c>
      <c r="E9" s="638"/>
      <c r="F9" s="636"/>
      <c r="G9" s="405"/>
      <c r="H9" s="32"/>
      <c r="I9" s="32" t="s">
        <v>38</v>
      </c>
      <c r="J9" s="684" t="s">
        <v>90</v>
      </c>
      <c r="K9" s="684"/>
      <c r="L9" s="76"/>
      <c r="N9" s="567" t="s">
        <v>140</v>
      </c>
      <c r="O9" s="249"/>
      <c r="P9" s="709" t="s">
        <v>134</v>
      </c>
      <c r="Q9" s="249"/>
      <c r="R9" s="567" t="s">
        <v>141</v>
      </c>
    </row>
    <row r="10" spans="1:18">
      <c r="A10" s="4">
        <v>8</v>
      </c>
      <c r="B10" s="611" t="s">
        <v>142</v>
      </c>
      <c r="C10" s="635">
        <v>2</v>
      </c>
      <c r="D10" s="632">
        <v>2</v>
      </c>
      <c r="E10" s="639"/>
      <c r="F10" s="637"/>
      <c r="G10" s="406"/>
      <c r="H10" s="33" t="s">
        <v>38</v>
      </c>
      <c r="I10" s="33"/>
      <c r="J10" s="302" t="s">
        <v>12</v>
      </c>
      <c r="K10" s="302"/>
      <c r="L10" s="75"/>
      <c r="N10" s="568" t="s">
        <v>143</v>
      </c>
      <c r="O10" s="249"/>
      <c r="P10" s="568" t="s">
        <v>143</v>
      </c>
      <c r="Q10" s="249"/>
      <c r="R10" s="568" t="s">
        <v>143</v>
      </c>
    </row>
    <row r="11" spans="1:18">
      <c r="A11" s="6">
        <v>9</v>
      </c>
      <c r="B11" s="611" t="s">
        <v>140</v>
      </c>
      <c r="C11" s="635">
        <v>1</v>
      </c>
      <c r="D11" s="631">
        <v>2</v>
      </c>
      <c r="E11" s="638"/>
      <c r="F11" s="636"/>
      <c r="G11" s="405"/>
      <c r="H11" s="32" t="s">
        <v>38</v>
      </c>
      <c r="I11" s="32"/>
      <c r="J11" s="624" t="s">
        <v>144</v>
      </c>
      <c r="K11" s="624"/>
      <c r="L11" s="76"/>
      <c r="N11" s="137"/>
      <c r="O11" s="231"/>
      <c r="P11" s="137"/>
      <c r="Q11" s="231"/>
      <c r="R11" s="254"/>
    </row>
    <row r="12" spans="1:18">
      <c r="A12" s="4">
        <v>10</v>
      </c>
      <c r="B12" s="15" t="s">
        <v>138</v>
      </c>
      <c r="C12" s="12">
        <v>1</v>
      </c>
      <c r="D12" s="632">
        <v>2</v>
      </c>
      <c r="E12" s="639"/>
      <c r="F12" s="637"/>
      <c r="G12" s="406" t="s">
        <v>38</v>
      </c>
      <c r="H12" s="33"/>
      <c r="I12" s="33"/>
      <c r="J12" s="302" t="s">
        <v>10</v>
      </c>
      <c r="K12" s="302"/>
      <c r="L12" s="75"/>
      <c r="N12" s="272" t="s">
        <v>145</v>
      </c>
      <c r="O12" s="235"/>
      <c r="P12" s="272" t="s">
        <v>145</v>
      </c>
      <c r="Q12" s="235"/>
      <c r="R12" s="273" t="s">
        <v>145</v>
      </c>
    </row>
    <row r="13" spans="1:18">
      <c r="A13" s="6">
        <v>11</v>
      </c>
      <c r="B13" s="14" t="s">
        <v>141</v>
      </c>
      <c r="C13" s="634">
        <v>1</v>
      </c>
      <c r="D13" s="631">
        <v>2</v>
      </c>
      <c r="E13" s="638"/>
      <c r="F13" s="636"/>
      <c r="G13" s="405" t="s">
        <v>38</v>
      </c>
      <c r="H13" s="32"/>
      <c r="I13" s="32"/>
      <c r="J13" s="301" t="s">
        <v>146</v>
      </c>
      <c r="K13" s="301"/>
      <c r="L13" s="76"/>
      <c r="N13" s="569" t="s">
        <v>128</v>
      </c>
      <c r="O13" s="249"/>
      <c r="P13" s="569" t="s">
        <v>128</v>
      </c>
      <c r="Q13" s="249"/>
      <c r="R13" s="569" t="s">
        <v>128</v>
      </c>
    </row>
    <row r="14" spans="1:18">
      <c r="A14" s="4">
        <v>12</v>
      </c>
      <c r="B14" s="15" t="s">
        <v>147</v>
      </c>
      <c r="C14" s="12">
        <v>2</v>
      </c>
      <c r="D14" s="632">
        <v>2</v>
      </c>
      <c r="E14" s="639"/>
      <c r="F14" s="637"/>
      <c r="G14" s="406" t="s">
        <v>38</v>
      </c>
      <c r="H14" s="33"/>
      <c r="I14" s="33"/>
      <c r="J14" s="302" t="s">
        <v>10</v>
      </c>
      <c r="K14" s="302"/>
      <c r="L14" s="75"/>
      <c r="N14" s="569" t="s">
        <v>133</v>
      </c>
      <c r="O14" s="249"/>
      <c r="P14" s="569" t="s">
        <v>133</v>
      </c>
      <c r="Q14" s="249"/>
      <c r="R14" s="569" t="s">
        <v>133</v>
      </c>
    </row>
    <row r="15" spans="1:18">
      <c r="A15" s="6">
        <v>13</v>
      </c>
      <c r="B15" s="14" t="s">
        <v>148</v>
      </c>
      <c r="C15" s="634">
        <v>2</v>
      </c>
      <c r="D15" s="631">
        <v>2</v>
      </c>
      <c r="E15" s="638"/>
      <c r="F15" s="636"/>
      <c r="G15" s="405" t="s">
        <v>38</v>
      </c>
      <c r="H15" s="32"/>
      <c r="I15" s="32"/>
      <c r="J15" s="301" t="s">
        <v>84</v>
      </c>
      <c r="K15" s="301"/>
      <c r="L15" s="76"/>
      <c r="N15" s="569" t="s">
        <v>149</v>
      </c>
      <c r="O15" s="249"/>
      <c r="P15" s="569" t="s">
        <v>149</v>
      </c>
      <c r="Q15" s="249"/>
      <c r="R15" s="569" t="s">
        <v>148</v>
      </c>
    </row>
    <row r="16" spans="1:18">
      <c r="A16" s="4">
        <v>14</v>
      </c>
      <c r="B16" s="611" t="s">
        <v>143</v>
      </c>
      <c r="C16" s="635">
        <v>1</v>
      </c>
      <c r="D16" s="632">
        <v>2</v>
      </c>
      <c r="E16" s="639"/>
      <c r="F16" s="637"/>
      <c r="G16" s="406" t="s">
        <v>38</v>
      </c>
      <c r="H16" s="33" t="s">
        <v>38</v>
      </c>
      <c r="I16" s="33" t="s">
        <v>38</v>
      </c>
      <c r="J16" s="684" t="s">
        <v>80</v>
      </c>
      <c r="K16" s="414"/>
      <c r="L16" s="75"/>
      <c r="N16" s="571" t="s">
        <v>142</v>
      </c>
      <c r="O16" s="249"/>
      <c r="P16" s="569" t="s">
        <v>139</v>
      </c>
      <c r="Q16" s="249"/>
      <c r="R16" s="571" t="s">
        <v>150</v>
      </c>
    </row>
    <row r="17" spans="1:18">
      <c r="A17" s="6">
        <v>15</v>
      </c>
      <c r="B17" s="611" t="s">
        <v>151</v>
      </c>
      <c r="C17" s="635">
        <v>3</v>
      </c>
      <c r="D17" s="631">
        <v>2</v>
      </c>
      <c r="E17" s="638"/>
      <c r="F17" s="636"/>
      <c r="G17" s="665" t="s">
        <v>38</v>
      </c>
      <c r="H17" s="666" t="s">
        <v>38</v>
      </c>
      <c r="I17" s="666" t="s">
        <v>38</v>
      </c>
      <c r="J17" s="624" t="s">
        <v>152</v>
      </c>
      <c r="K17" s="624"/>
      <c r="L17" s="76"/>
      <c r="N17" s="237"/>
      <c r="O17" s="231"/>
      <c r="P17" s="231"/>
      <c r="Q17" s="231"/>
      <c r="R17" s="276"/>
    </row>
    <row r="18" spans="1:18">
      <c r="A18" s="4">
        <v>16</v>
      </c>
      <c r="B18" s="15"/>
      <c r="C18" s="12"/>
      <c r="D18" s="633"/>
      <c r="E18" s="640"/>
      <c r="F18" s="637"/>
      <c r="G18" s="499"/>
      <c r="H18" s="34"/>
      <c r="I18" s="34"/>
      <c r="J18" s="315"/>
      <c r="K18" s="315"/>
      <c r="L18" s="77"/>
      <c r="N18" s="274" t="s">
        <v>153</v>
      </c>
      <c r="O18" s="235"/>
      <c r="P18" s="274" t="s">
        <v>153</v>
      </c>
      <c r="Q18" s="235"/>
      <c r="R18" s="275" t="s">
        <v>153</v>
      </c>
    </row>
    <row r="19" spans="1:18">
      <c r="N19" s="570" t="s">
        <v>154</v>
      </c>
      <c r="O19" s="233"/>
      <c r="P19" s="570" t="s">
        <v>154</v>
      </c>
      <c r="Q19" s="233"/>
      <c r="R19" s="570" t="s">
        <v>154</v>
      </c>
    </row>
    <row r="21" spans="1:18" ht="15.75" customHeight="1">
      <c r="B21" s="573" t="s">
        <v>18</v>
      </c>
      <c r="C21" s="573"/>
    </row>
    <row r="29" spans="1:18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2">
    <mergeCell ref="N2:R3"/>
    <mergeCell ref="A1:B2"/>
    <mergeCell ref="D1:D2"/>
    <mergeCell ref="E1:E2"/>
    <mergeCell ref="F1:F2"/>
    <mergeCell ref="J1:J2"/>
    <mergeCell ref="L1:L2"/>
    <mergeCell ref="G1:G2"/>
    <mergeCell ref="H1:H2"/>
    <mergeCell ref="I1:I2"/>
    <mergeCell ref="C1:C2"/>
    <mergeCell ref="K1:K2"/>
  </mergeCells>
  <conditionalFormatting sqref="J3:K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K7 J3:K3 J10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N7" r:id="rId1" xr:uid="{EC7DF01E-FE08-4C18-8663-F18A85C00EAC}"/>
    <hyperlink ref="N8" r:id="rId2" xr:uid="{E4AFBB96-143C-4A5F-B2A5-16D8523F551F}"/>
    <hyperlink ref="N10" r:id="rId3" xr:uid="{68D5B023-51A5-4BC5-BA7E-AF2F5065CB67}"/>
    <hyperlink ref="P7" r:id="rId4" xr:uid="{D2F7AD32-A220-46B7-A5AC-9F51F4E02DFF}"/>
    <hyperlink ref="P8" r:id="rId5" xr:uid="{0C12CC7B-F178-4C84-9517-DC3AA8C0DD2D}"/>
    <hyperlink ref="P10" r:id="rId6" xr:uid="{3DA7B630-80E4-496D-9C5D-97C509F4F433}"/>
    <hyperlink ref="R7" r:id="rId7" xr:uid="{CCAD06D4-72F0-4120-AEA2-1843E60E2984}"/>
    <hyperlink ref="R10" r:id="rId8" xr:uid="{4B938B54-0F07-447D-84DA-26C2E9527B59}"/>
    <hyperlink ref="N13" r:id="rId9" xr:uid="{193257BD-B451-4393-840E-80CA6AAD8ACE}"/>
    <hyperlink ref="N14" r:id="rId10" xr:uid="{F5F7137B-943D-4D53-B785-BF06FAD156D7}"/>
    <hyperlink ref="N15" r:id="rId11" xr:uid="{EB880287-F4A3-4839-9A7A-E118B02E2435}"/>
    <hyperlink ref="P13" r:id="rId12" xr:uid="{D8AC3B2A-64D1-4238-8F11-69DA293AD8A8}"/>
    <hyperlink ref="P14" r:id="rId13" xr:uid="{01EE5C20-D01B-43BD-8760-3A116C566418}"/>
    <hyperlink ref="R13" r:id="rId14" xr:uid="{8BA35E0F-F21F-4A42-A62C-F6576AC13722}"/>
    <hyperlink ref="R14" r:id="rId15" xr:uid="{A0DCC854-A6F2-459F-9C31-3249C511AF88}"/>
    <hyperlink ref="N19" r:id="rId16" xr:uid="{21D8A2B8-4F9A-47A4-8A92-4505D2F10721}"/>
    <hyperlink ref="P19" r:id="rId17" xr:uid="{03BA1690-D018-414F-95CA-8E1F8254747D}"/>
    <hyperlink ref="R19" r:id="rId18" xr:uid="{CDCFB13D-1EFC-465E-996C-ED205937CF44}"/>
    <hyperlink ref="N16" r:id="rId19" xr:uid="{126D5BC3-E7E5-48CA-8A9D-4ACBE3309FD7}"/>
    <hyperlink ref="R16" r:id="rId20" xr:uid="{56E5D541-C277-420B-A422-920F6AD9E5CA}"/>
    <hyperlink ref="R8" r:id="rId21" xr:uid="{D901D14E-15CA-46A7-AA3A-1D7A33F3B8E8}"/>
    <hyperlink ref="R15" r:id="rId22" xr:uid="{C7981CAA-DE6F-4A8C-A294-7E9B7B0089C7}"/>
    <hyperlink ref="R9" r:id="rId23" xr:uid="{3CC5CA82-65F8-434F-B17B-8568457ECC41}"/>
    <hyperlink ref="P16" r:id="rId24" xr:uid="{B148564D-AF7B-4E35-81FD-A084CCA9C17C}"/>
    <hyperlink ref="B21" r:id="rId25" location="tabs-tree-start" xr:uid="{B30B7964-527A-4D32-A166-A69C181DF5FB}"/>
    <hyperlink ref="N9" r:id="rId26" xr:uid="{CF2F3010-58EB-4F70-9974-5B9860401983}"/>
    <hyperlink ref="P9" r:id="rId27" xr:uid="{2D83158A-DCC4-4ECE-AEE8-D70B10C70784}"/>
    <hyperlink ref="P15" r:id="rId28" xr:uid="{809EE96B-5F08-48E6-8683-CC65EFBD21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topLeftCell="E1" workbookViewId="0">
      <selection activeCell="AE14" sqref="AE14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919" t="s">
        <v>155</v>
      </c>
      <c r="B1" s="240"/>
      <c r="C1" s="921" t="s">
        <v>156</v>
      </c>
      <c r="D1" s="922"/>
      <c r="E1" s="922"/>
      <c r="F1" s="922"/>
      <c r="G1" s="923"/>
      <c r="H1" s="240"/>
      <c r="I1" s="919" t="s">
        <v>157</v>
      </c>
      <c r="K1" s="921" t="s">
        <v>158</v>
      </c>
      <c r="L1" s="922"/>
      <c r="M1" s="922"/>
      <c r="N1" s="922"/>
      <c r="O1" s="922"/>
      <c r="P1" s="922"/>
      <c r="Q1" s="923"/>
      <c r="S1" s="921" t="s">
        <v>159</v>
      </c>
      <c r="T1" s="922"/>
      <c r="U1" s="922"/>
      <c r="V1" s="922"/>
      <c r="W1" s="922"/>
      <c r="X1" s="922"/>
      <c r="Y1" s="923"/>
      <c r="AA1" s="934"/>
      <c r="AB1" s="935"/>
      <c r="AC1" s="932" t="s">
        <v>160</v>
      </c>
      <c r="AD1" s="721"/>
      <c r="AE1" s="930" t="s">
        <v>161</v>
      </c>
      <c r="AF1" s="938"/>
      <c r="AG1" s="939"/>
      <c r="AH1" s="129"/>
    </row>
    <row r="2" spans="1:34" ht="23.25">
      <c r="A2" s="920"/>
      <c r="B2" s="240"/>
      <c r="C2" s="924"/>
      <c r="D2" s="925"/>
      <c r="E2" s="925"/>
      <c r="F2" s="925"/>
      <c r="G2" s="926"/>
      <c r="H2" s="240"/>
      <c r="I2" s="920"/>
      <c r="K2" s="924"/>
      <c r="L2" s="925"/>
      <c r="M2" s="925"/>
      <c r="N2" s="925"/>
      <c r="O2" s="925"/>
      <c r="P2" s="925"/>
      <c r="Q2" s="926"/>
      <c r="S2" s="924"/>
      <c r="T2" s="925"/>
      <c r="U2" s="925"/>
      <c r="V2" s="925"/>
      <c r="W2" s="925"/>
      <c r="X2" s="925"/>
      <c r="Y2" s="926"/>
      <c r="AA2" s="936"/>
      <c r="AB2" s="937"/>
      <c r="AC2" s="933"/>
      <c r="AD2" s="722"/>
      <c r="AE2" s="931"/>
      <c r="AF2" s="940"/>
      <c r="AG2" s="941"/>
      <c r="AH2" s="129"/>
    </row>
    <row r="3" spans="1:34" ht="41.25">
      <c r="A3" s="187" t="s">
        <v>0</v>
      </c>
      <c r="B3" s="241"/>
      <c r="C3" s="243" t="s">
        <v>162</v>
      </c>
      <c r="D3" s="247"/>
      <c r="E3" s="245" t="s">
        <v>163</v>
      </c>
      <c r="F3" s="247"/>
      <c r="G3" s="261" t="s">
        <v>164</v>
      </c>
      <c r="H3" s="241"/>
      <c r="I3" s="172" t="s">
        <v>165</v>
      </c>
      <c r="K3" s="172" t="s">
        <v>166</v>
      </c>
      <c r="L3" s="230"/>
      <c r="M3" s="174" t="s">
        <v>167</v>
      </c>
      <c r="N3" s="231"/>
      <c r="O3" s="176" t="s">
        <v>168</v>
      </c>
      <c r="P3" s="231"/>
      <c r="Q3" s="178" t="s">
        <v>169</v>
      </c>
      <c r="S3" s="180" t="s">
        <v>170</v>
      </c>
      <c r="T3" s="231"/>
      <c r="U3" s="187" t="s">
        <v>171</v>
      </c>
      <c r="V3" s="231"/>
      <c r="W3" s="182" t="s">
        <v>172</v>
      </c>
      <c r="X3" s="231"/>
      <c r="Y3" s="263" t="s">
        <v>173</v>
      </c>
      <c r="AA3" s="715" t="s">
        <v>170</v>
      </c>
      <c r="AB3" s="231"/>
      <c r="AC3" s="716" t="s">
        <v>171</v>
      </c>
      <c r="AD3" s="231"/>
      <c r="AE3" s="717" t="s">
        <v>172</v>
      </c>
      <c r="AF3" s="231"/>
      <c r="AG3" s="718" t="s">
        <v>173</v>
      </c>
    </row>
    <row r="4" spans="1:34">
      <c r="A4" s="188"/>
      <c r="C4" s="244"/>
      <c r="D4" s="231"/>
      <c r="E4" s="246"/>
      <c r="F4" s="231"/>
      <c r="G4" s="262"/>
      <c r="I4" s="173"/>
      <c r="K4" s="173"/>
      <c r="L4" s="230"/>
      <c r="M4" s="175"/>
      <c r="N4" s="231"/>
      <c r="O4" s="177"/>
      <c r="P4" s="231"/>
      <c r="Q4" s="179"/>
      <c r="S4" s="181"/>
      <c r="T4" s="231"/>
      <c r="U4" s="188"/>
      <c r="V4" s="231"/>
      <c r="W4" s="183"/>
      <c r="X4" s="231"/>
      <c r="Y4" s="264"/>
      <c r="AA4" s="181"/>
      <c r="AB4" s="231"/>
      <c r="AC4" s="188"/>
      <c r="AD4" s="231"/>
      <c r="AE4" s="183"/>
      <c r="AF4" s="231"/>
      <c r="AG4" s="264"/>
    </row>
    <row r="5" spans="1:34" ht="18.75">
      <c r="A5" s="189" t="s">
        <v>155</v>
      </c>
      <c r="B5" s="242"/>
      <c r="C5" s="190" t="s">
        <v>174</v>
      </c>
      <c r="D5" s="248"/>
      <c r="E5" s="190" t="s">
        <v>174</v>
      </c>
      <c r="F5" s="248"/>
      <c r="G5" s="251" t="s">
        <v>174</v>
      </c>
      <c r="H5" s="242"/>
      <c r="I5" s="171" t="s">
        <v>175</v>
      </c>
      <c r="K5" s="171" t="s">
        <v>174</v>
      </c>
      <c r="L5" s="231"/>
      <c r="M5" s="171" t="s">
        <v>174</v>
      </c>
      <c r="N5" s="231"/>
      <c r="O5" s="171" t="s">
        <v>174</v>
      </c>
      <c r="P5" s="231"/>
      <c r="Q5" s="171" t="s">
        <v>174</v>
      </c>
      <c r="S5" s="171" t="s">
        <v>174</v>
      </c>
      <c r="T5" s="231"/>
      <c r="U5" s="613" t="s">
        <v>174</v>
      </c>
      <c r="V5" s="231"/>
      <c r="W5" s="171" t="s">
        <v>174</v>
      </c>
      <c r="X5" s="231"/>
      <c r="Y5" s="171" t="s">
        <v>174</v>
      </c>
      <c r="AA5" s="171" t="s">
        <v>174</v>
      </c>
      <c r="AB5" s="231"/>
      <c r="AC5" s="613" t="s">
        <v>174</v>
      </c>
      <c r="AD5" s="231"/>
      <c r="AE5" s="171" t="s">
        <v>174</v>
      </c>
      <c r="AF5" s="231"/>
      <c r="AG5" s="171" t="s">
        <v>174</v>
      </c>
    </row>
    <row r="6" spans="1:34">
      <c r="A6" s="159" t="s">
        <v>135</v>
      </c>
      <c r="B6" s="134"/>
      <c r="C6" s="159" t="s">
        <v>135</v>
      </c>
      <c r="D6" s="235"/>
      <c r="E6" s="159" t="s">
        <v>135</v>
      </c>
      <c r="F6" s="235"/>
      <c r="G6" s="252" t="s">
        <v>135</v>
      </c>
      <c r="H6" s="134"/>
      <c r="I6" s="159" t="s">
        <v>135</v>
      </c>
      <c r="K6" s="135" t="s">
        <v>135</v>
      </c>
      <c r="L6" s="231"/>
      <c r="M6" s="135" t="s">
        <v>135</v>
      </c>
      <c r="N6" s="231"/>
      <c r="O6" s="135" t="s">
        <v>135</v>
      </c>
      <c r="P6" s="231"/>
      <c r="Q6" s="135" t="s">
        <v>135</v>
      </c>
      <c r="S6" s="159" t="s">
        <v>135</v>
      </c>
      <c r="T6" s="231"/>
      <c r="U6" s="159" t="s">
        <v>135</v>
      </c>
      <c r="V6" s="231"/>
      <c r="W6" s="159" t="s">
        <v>135</v>
      </c>
      <c r="X6" s="231"/>
      <c r="Y6" s="159" t="s">
        <v>135</v>
      </c>
      <c r="AA6" s="159" t="s">
        <v>135</v>
      </c>
      <c r="AB6" s="231"/>
      <c r="AC6" s="159" t="s">
        <v>135</v>
      </c>
      <c r="AD6" s="231"/>
      <c r="AE6" s="159" t="s">
        <v>135</v>
      </c>
      <c r="AF6" s="231"/>
      <c r="AG6" s="159" t="s">
        <v>135</v>
      </c>
    </row>
    <row r="7" spans="1:34">
      <c r="A7" s="136" t="s">
        <v>9</v>
      </c>
      <c r="B7" s="158"/>
      <c r="C7" s="136" t="s">
        <v>37</v>
      </c>
      <c r="D7" s="249"/>
      <c r="E7" s="136" t="s">
        <v>37</v>
      </c>
      <c r="F7" s="249"/>
      <c r="G7" s="253" t="s">
        <v>37</v>
      </c>
      <c r="H7" s="158"/>
      <c r="I7" s="136" t="s">
        <v>37</v>
      </c>
      <c r="K7" s="136" t="s">
        <v>37</v>
      </c>
      <c r="L7" s="231"/>
      <c r="M7" s="136" t="s">
        <v>37</v>
      </c>
      <c r="N7" s="231"/>
      <c r="O7" s="136" t="s">
        <v>37</v>
      </c>
      <c r="P7" s="231"/>
      <c r="Q7" s="136" t="s">
        <v>37</v>
      </c>
      <c r="S7" s="136" t="s">
        <v>37</v>
      </c>
      <c r="T7" s="231"/>
      <c r="U7" s="136" t="s">
        <v>37</v>
      </c>
      <c r="V7" s="231"/>
      <c r="W7" s="136" t="s">
        <v>37</v>
      </c>
      <c r="X7" s="231"/>
      <c r="Y7" s="136" t="s">
        <v>37</v>
      </c>
      <c r="AA7" s="136" t="s">
        <v>37</v>
      </c>
      <c r="AB7" s="231"/>
      <c r="AC7" s="136" t="s">
        <v>37</v>
      </c>
      <c r="AD7" s="231"/>
      <c r="AE7" s="136" t="s">
        <v>37</v>
      </c>
      <c r="AF7" s="231"/>
      <c r="AG7" s="136" t="s">
        <v>37</v>
      </c>
    </row>
    <row r="8" spans="1:34">
      <c r="A8" s="136" t="s">
        <v>176</v>
      </c>
      <c r="B8" s="158"/>
      <c r="C8" s="136" t="s">
        <v>39</v>
      </c>
      <c r="D8" s="249"/>
      <c r="E8" s="136" t="s">
        <v>39</v>
      </c>
      <c r="F8" s="249"/>
      <c r="G8" s="253" t="s">
        <v>51</v>
      </c>
      <c r="H8" s="158"/>
      <c r="I8" s="157"/>
      <c r="K8" s="136" t="s">
        <v>39</v>
      </c>
      <c r="L8" s="231"/>
      <c r="M8" s="136" t="s">
        <v>39</v>
      </c>
      <c r="N8" s="231"/>
      <c r="O8" s="136" t="s">
        <v>39</v>
      </c>
      <c r="P8" s="231"/>
      <c r="Q8" s="136" t="s">
        <v>39</v>
      </c>
      <c r="S8" s="136" t="s">
        <v>39</v>
      </c>
      <c r="T8" s="231"/>
      <c r="U8" s="136" t="s">
        <v>39</v>
      </c>
      <c r="V8" s="231"/>
      <c r="W8" s="136" t="s">
        <v>39</v>
      </c>
      <c r="X8" s="231"/>
      <c r="Y8" s="136" t="s">
        <v>39</v>
      </c>
      <c r="AA8" s="136" t="s">
        <v>39</v>
      </c>
      <c r="AB8" s="231"/>
      <c r="AC8" s="136" t="s">
        <v>39</v>
      </c>
      <c r="AD8" s="231"/>
      <c r="AE8" s="136" t="s">
        <v>39</v>
      </c>
      <c r="AF8" s="231"/>
      <c r="AG8" s="136" t="s">
        <v>39</v>
      </c>
    </row>
    <row r="9" spans="1:34">
      <c r="A9" s="136" t="s">
        <v>11</v>
      </c>
      <c r="B9" s="158"/>
      <c r="C9" s="136" t="s">
        <v>42</v>
      </c>
      <c r="D9" s="249"/>
      <c r="E9" s="136" t="s">
        <v>42</v>
      </c>
      <c r="F9" s="249"/>
      <c r="G9" s="253" t="s">
        <v>177</v>
      </c>
      <c r="H9" s="158"/>
      <c r="I9" s="138" t="s">
        <v>145</v>
      </c>
      <c r="K9" s="136" t="s">
        <v>50</v>
      </c>
      <c r="L9" s="231"/>
      <c r="M9" s="136" t="s">
        <v>57</v>
      </c>
      <c r="N9" s="231"/>
      <c r="O9" s="136" t="s">
        <v>42</v>
      </c>
      <c r="P9" s="231"/>
      <c r="Q9" s="136" t="s">
        <v>42</v>
      </c>
      <c r="S9" s="157"/>
      <c r="T9" s="231"/>
      <c r="U9" s="137"/>
      <c r="V9" s="231"/>
      <c r="W9" s="157"/>
      <c r="X9" s="231"/>
      <c r="Y9" s="157"/>
      <c r="AA9" s="157"/>
      <c r="AB9" s="231"/>
      <c r="AC9" s="137"/>
      <c r="AD9" s="231"/>
      <c r="AE9" s="157"/>
      <c r="AF9" s="231"/>
      <c r="AG9" s="157"/>
    </row>
    <row r="10" spans="1:34" ht="18.75">
      <c r="A10" s="137"/>
      <c r="C10" s="137"/>
      <c r="D10" s="231"/>
      <c r="E10" s="137"/>
      <c r="F10" s="231"/>
      <c r="G10" s="254"/>
      <c r="I10" s="144" t="s">
        <v>51</v>
      </c>
      <c r="K10" s="190"/>
      <c r="L10" s="231"/>
      <c r="M10" s="137"/>
      <c r="N10" s="231"/>
      <c r="O10" s="137"/>
      <c r="P10" s="231"/>
      <c r="Q10" s="137"/>
      <c r="S10" s="138" t="s">
        <v>145</v>
      </c>
      <c r="T10" s="231"/>
      <c r="U10" s="138" t="s">
        <v>145</v>
      </c>
      <c r="V10" s="231"/>
      <c r="W10" s="138" t="s">
        <v>145</v>
      </c>
      <c r="X10" s="231"/>
      <c r="Y10" s="138" t="s">
        <v>145</v>
      </c>
      <c r="AA10" s="138" t="s">
        <v>145</v>
      </c>
      <c r="AB10" s="231"/>
      <c r="AC10" s="138" t="s">
        <v>145</v>
      </c>
      <c r="AD10" s="231"/>
      <c r="AE10" s="138" t="s">
        <v>145</v>
      </c>
      <c r="AF10" s="231"/>
      <c r="AG10" s="138" t="s">
        <v>145</v>
      </c>
    </row>
    <row r="11" spans="1:34">
      <c r="A11" s="138" t="s">
        <v>145</v>
      </c>
      <c r="B11" s="134"/>
      <c r="C11" s="138" t="s">
        <v>145</v>
      </c>
      <c r="D11" s="235"/>
      <c r="E11" s="138" t="s">
        <v>145</v>
      </c>
      <c r="F11" s="235"/>
      <c r="G11" s="255" t="s">
        <v>145</v>
      </c>
      <c r="H11" s="134"/>
      <c r="I11" s="137"/>
      <c r="K11" s="138" t="s">
        <v>145</v>
      </c>
      <c r="L11" s="231"/>
      <c r="M11" s="138" t="s">
        <v>145</v>
      </c>
      <c r="N11" s="231"/>
      <c r="O11" s="138" t="s">
        <v>145</v>
      </c>
      <c r="P11" s="231"/>
      <c r="Q11" s="138" t="s">
        <v>145</v>
      </c>
      <c r="S11" s="144" t="s">
        <v>51</v>
      </c>
      <c r="T11" s="231"/>
      <c r="U11" s="144" t="s">
        <v>51</v>
      </c>
      <c r="V11" s="231"/>
      <c r="W11" s="144" t="s">
        <v>51</v>
      </c>
      <c r="X11" s="231"/>
      <c r="Y11" s="144" t="s">
        <v>51</v>
      </c>
      <c r="AA11" s="144" t="s">
        <v>51</v>
      </c>
      <c r="AB11" s="231"/>
      <c r="AC11" s="144" t="s">
        <v>51</v>
      </c>
      <c r="AD11" s="231"/>
      <c r="AE11" s="144" t="s">
        <v>51</v>
      </c>
      <c r="AF11" s="231"/>
      <c r="AG11" s="144" t="s">
        <v>51</v>
      </c>
    </row>
    <row r="12" spans="1:34">
      <c r="A12" s="144" t="s">
        <v>7</v>
      </c>
      <c r="B12" s="158"/>
      <c r="C12" s="144" t="s">
        <v>178</v>
      </c>
      <c r="D12" s="249"/>
      <c r="E12" s="144" t="s">
        <v>179</v>
      </c>
      <c r="F12" s="249"/>
      <c r="G12" s="256" t="s">
        <v>179</v>
      </c>
      <c r="H12" s="158"/>
      <c r="I12" s="160" t="s">
        <v>153</v>
      </c>
      <c r="K12" s="144" t="s">
        <v>51</v>
      </c>
      <c r="L12" s="231"/>
      <c r="M12" s="144" t="s">
        <v>51</v>
      </c>
      <c r="N12" s="231"/>
      <c r="O12" s="144" t="s">
        <v>51</v>
      </c>
      <c r="P12" s="231"/>
      <c r="Q12" s="144" t="s">
        <v>51</v>
      </c>
      <c r="S12" s="144" t="s">
        <v>60</v>
      </c>
      <c r="T12" s="231"/>
      <c r="U12" s="145" t="s">
        <v>53</v>
      </c>
      <c r="V12" s="231"/>
      <c r="W12" s="145" t="s">
        <v>49</v>
      </c>
      <c r="X12" s="231"/>
      <c r="Y12" s="145" t="s">
        <v>49</v>
      </c>
      <c r="AA12" s="144" t="s">
        <v>60</v>
      </c>
      <c r="AB12" s="231"/>
      <c r="AC12" s="145" t="s">
        <v>53</v>
      </c>
      <c r="AD12" s="231"/>
      <c r="AE12" s="145" t="s">
        <v>49</v>
      </c>
      <c r="AF12" s="231"/>
      <c r="AG12" s="145" t="s">
        <v>49</v>
      </c>
    </row>
    <row r="13" spans="1:34">
      <c r="A13" s="144" t="s">
        <v>14</v>
      </c>
      <c r="B13" s="158"/>
      <c r="C13" s="144" t="s">
        <v>180</v>
      </c>
      <c r="D13" s="249"/>
      <c r="E13" s="144" t="s">
        <v>180</v>
      </c>
      <c r="F13" s="249"/>
      <c r="G13" s="256" t="s">
        <v>181</v>
      </c>
      <c r="H13" s="158"/>
      <c r="I13" s="162" t="s">
        <v>181</v>
      </c>
      <c r="K13" s="144" t="s">
        <v>53</v>
      </c>
      <c r="L13" s="231"/>
      <c r="M13" s="144" t="s">
        <v>60</v>
      </c>
      <c r="N13" s="231"/>
      <c r="O13" s="144" t="s">
        <v>180</v>
      </c>
      <c r="P13" s="231"/>
      <c r="Q13" s="144" t="s">
        <v>180</v>
      </c>
      <c r="S13" s="142"/>
      <c r="T13" s="231"/>
      <c r="U13" s="137"/>
      <c r="V13" s="231"/>
      <c r="W13" s="142"/>
      <c r="X13" s="231"/>
      <c r="Y13" s="142"/>
      <c r="AA13" s="142"/>
      <c r="AB13" s="231"/>
      <c r="AC13" s="137"/>
      <c r="AD13" s="231"/>
      <c r="AE13" s="142"/>
      <c r="AF13" s="231"/>
      <c r="AG13" s="142"/>
    </row>
    <row r="14" spans="1:34">
      <c r="A14" s="145" t="s">
        <v>13</v>
      </c>
      <c r="B14" s="158"/>
      <c r="C14" s="145" t="s">
        <v>49</v>
      </c>
      <c r="D14" s="249"/>
      <c r="E14" s="145" t="s">
        <v>49</v>
      </c>
      <c r="F14" s="249"/>
      <c r="G14" s="257" t="s">
        <v>182</v>
      </c>
      <c r="H14" s="158"/>
      <c r="I14" s="137"/>
      <c r="K14" s="145" t="s">
        <v>56</v>
      </c>
      <c r="L14" s="231"/>
      <c r="M14" s="145" t="s">
        <v>56</v>
      </c>
      <c r="N14" s="231"/>
      <c r="O14" s="145" t="s">
        <v>49</v>
      </c>
      <c r="P14" s="231"/>
      <c r="Q14" s="145" t="s">
        <v>49</v>
      </c>
      <c r="S14" s="160" t="s">
        <v>153</v>
      </c>
      <c r="T14" s="231"/>
      <c r="U14" s="160" t="s">
        <v>153</v>
      </c>
      <c r="V14" s="231"/>
      <c r="W14" s="160" t="s">
        <v>153</v>
      </c>
      <c r="X14" s="231"/>
      <c r="Y14" s="160" t="s">
        <v>153</v>
      </c>
      <c r="AA14" s="160" t="s">
        <v>153</v>
      </c>
      <c r="AB14" s="231"/>
      <c r="AC14" s="160" t="s">
        <v>153</v>
      </c>
      <c r="AD14" s="231"/>
      <c r="AE14" s="160" t="s">
        <v>153</v>
      </c>
      <c r="AF14" s="231"/>
      <c r="AG14" s="160" t="s">
        <v>153</v>
      </c>
    </row>
    <row r="15" spans="1:34" ht="18.75">
      <c r="C15" s="237"/>
      <c r="D15" s="231"/>
      <c r="E15" s="231"/>
      <c r="F15" s="231"/>
      <c r="G15" s="254"/>
      <c r="I15" s="191" t="s">
        <v>183</v>
      </c>
      <c r="K15" s="234"/>
      <c r="L15" s="231"/>
      <c r="M15" s="235"/>
      <c r="N15" s="231"/>
      <c r="O15" s="235"/>
      <c r="P15" s="231"/>
      <c r="Q15" s="236"/>
      <c r="S15" s="670" t="s">
        <v>184</v>
      </c>
      <c r="T15" s="231"/>
      <c r="U15" s="670" t="s">
        <v>184</v>
      </c>
      <c r="V15" s="231"/>
      <c r="W15" s="670" t="s">
        <v>184</v>
      </c>
      <c r="X15" s="231"/>
      <c r="Y15" s="671" t="s">
        <v>181</v>
      </c>
      <c r="AA15" s="670" t="s">
        <v>184</v>
      </c>
      <c r="AB15" s="231"/>
      <c r="AC15" s="670" t="s">
        <v>184</v>
      </c>
      <c r="AD15" s="231"/>
      <c r="AE15" s="670" t="s">
        <v>184</v>
      </c>
      <c r="AF15" s="231"/>
      <c r="AG15" s="671" t="s">
        <v>181</v>
      </c>
    </row>
    <row r="16" spans="1:34" ht="18.75">
      <c r="C16" s="250"/>
      <c r="D16" s="233"/>
      <c r="E16" s="233"/>
      <c r="F16" s="233"/>
      <c r="G16" s="258" t="s">
        <v>185</v>
      </c>
      <c r="I16" s="159" t="s">
        <v>135</v>
      </c>
      <c r="K16" s="139" t="s">
        <v>186</v>
      </c>
      <c r="L16" s="231"/>
      <c r="M16" s="139" t="s">
        <v>186</v>
      </c>
      <c r="N16" s="231"/>
      <c r="O16" s="139" t="s">
        <v>186</v>
      </c>
      <c r="P16" s="231"/>
      <c r="Q16" s="139" t="s">
        <v>186</v>
      </c>
      <c r="S16" s="669" t="s">
        <v>187</v>
      </c>
      <c r="T16" s="231"/>
      <c r="U16" s="669" t="s">
        <v>187</v>
      </c>
      <c r="V16" s="231"/>
      <c r="W16" s="669" t="s">
        <v>188</v>
      </c>
      <c r="X16" s="231"/>
      <c r="Y16" s="669" t="s">
        <v>188</v>
      </c>
      <c r="AA16" s="669" t="s">
        <v>187</v>
      </c>
      <c r="AB16" s="231"/>
      <c r="AC16" s="669" t="s">
        <v>187</v>
      </c>
      <c r="AD16" s="231"/>
      <c r="AE16" s="669" t="s">
        <v>188</v>
      </c>
      <c r="AF16" s="231"/>
      <c r="AG16" s="669" t="s">
        <v>188</v>
      </c>
    </row>
    <row r="17" spans="9:33">
      <c r="I17" s="136" t="s">
        <v>177</v>
      </c>
      <c r="K17" s="140" t="s">
        <v>135</v>
      </c>
      <c r="L17" s="231"/>
      <c r="M17" s="140" t="s">
        <v>135</v>
      </c>
      <c r="N17" s="231"/>
      <c r="O17" s="140" t="s">
        <v>135</v>
      </c>
      <c r="P17" s="231"/>
      <c r="Q17" s="140" t="s">
        <v>135</v>
      </c>
      <c r="S17" s="237"/>
      <c r="T17" s="231"/>
      <c r="U17" s="614"/>
      <c r="V17" s="231"/>
      <c r="W17" s="231"/>
      <c r="X17" s="231"/>
      <c r="Y17" s="238"/>
      <c r="AA17" s="237"/>
      <c r="AB17" s="231"/>
      <c r="AC17" s="614"/>
      <c r="AD17" s="231"/>
      <c r="AE17" s="231"/>
      <c r="AF17" s="231"/>
      <c r="AG17" s="238"/>
    </row>
    <row r="18" spans="9:33" ht="18.75">
      <c r="I18" s="157"/>
      <c r="K18" s="141" t="s">
        <v>189</v>
      </c>
      <c r="L18" s="231"/>
      <c r="M18" s="141" t="s">
        <v>189</v>
      </c>
      <c r="N18" s="231"/>
      <c r="O18" s="151" t="s">
        <v>70</v>
      </c>
      <c r="P18" s="231"/>
      <c r="Q18" s="151" t="s">
        <v>70</v>
      </c>
      <c r="S18" s="139" t="s">
        <v>186</v>
      </c>
      <c r="T18" s="231"/>
      <c r="U18" s="139" t="s">
        <v>186</v>
      </c>
      <c r="V18" s="231"/>
      <c r="W18" s="139" t="s">
        <v>186</v>
      </c>
      <c r="X18" s="231"/>
      <c r="Y18" s="139" t="s">
        <v>186</v>
      </c>
      <c r="AA18" s="139" t="s">
        <v>186</v>
      </c>
      <c r="AB18" s="231"/>
      <c r="AC18" s="139" t="s">
        <v>186</v>
      </c>
      <c r="AD18" s="231"/>
      <c r="AE18" s="139" t="s">
        <v>186</v>
      </c>
      <c r="AF18" s="231"/>
      <c r="AG18" s="139" t="s">
        <v>186</v>
      </c>
    </row>
    <row r="19" spans="9:33">
      <c r="I19" s="138" t="s">
        <v>145</v>
      </c>
      <c r="K19" s="141" t="s">
        <v>79</v>
      </c>
      <c r="L19" s="231"/>
      <c r="M19" s="141" t="s">
        <v>190</v>
      </c>
      <c r="N19" s="231"/>
      <c r="O19" s="141" t="s">
        <v>75</v>
      </c>
      <c r="P19" s="231"/>
      <c r="Q19" s="141" t="s">
        <v>85</v>
      </c>
      <c r="S19" s="140" t="s">
        <v>135</v>
      </c>
      <c r="T19" s="231"/>
      <c r="U19" s="140" t="s">
        <v>135</v>
      </c>
      <c r="V19" s="231"/>
      <c r="W19" s="140" t="s">
        <v>135</v>
      </c>
      <c r="X19" s="231"/>
      <c r="Y19" s="140" t="s">
        <v>135</v>
      </c>
      <c r="AA19" s="140" t="s">
        <v>135</v>
      </c>
      <c r="AB19" s="231"/>
      <c r="AC19" s="140" t="s">
        <v>135</v>
      </c>
      <c r="AD19" s="231"/>
      <c r="AE19" s="140" t="s">
        <v>135</v>
      </c>
      <c r="AF19" s="231"/>
      <c r="AG19" s="140" t="s">
        <v>135</v>
      </c>
    </row>
    <row r="20" spans="9:33">
      <c r="I20" s="144" t="s">
        <v>182</v>
      </c>
      <c r="K20" s="141" t="s">
        <v>92</v>
      </c>
      <c r="L20" s="231"/>
      <c r="M20" s="141" t="s">
        <v>92</v>
      </c>
      <c r="N20" s="231"/>
      <c r="O20" s="141" t="s">
        <v>77</v>
      </c>
      <c r="P20" s="231"/>
      <c r="Q20" s="141" t="s">
        <v>77</v>
      </c>
      <c r="S20" s="141" t="s">
        <v>189</v>
      </c>
      <c r="T20" s="231"/>
      <c r="U20" s="141" t="s">
        <v>189</v>
      </c>
      <c r="V20" s="231"/>
      <c r="W20" s="141" t="s">
        <v>191</v>
      </c>
      <c r="X20" s="231"/>
      <c r="Y20" s="141" t="s">
        <v>192</v>
      </c>
      <c r="AA20" s="141" t="s">
        <v>189</v>
      </c>
      <c r="AB20" s="231"/>
      <c r="AC20" s="141" t="s">
        <v>189</v>
      </c>
      <c r="AD20" s="231"/>
      <c r="AE20" s="141" t="s">
        <v>191</v>
      </c>
      <c r="AF20" s="231"/>
      <c r="AG20" s="141" t="s">
        <v>192</v>
      </c>
    </row>
    <row r="21" spans="9:33">
      <c r="I21" s="142"/>
      <c r="K21" s="142"/>
      <c r="L21" s="231"/>
      <c r="M21" s="142"/>
      <c r="N21" s="231"/>
      <c r="O21" s="142"/>
      <c r="P21" s="231"/>
      <c r="Q21" s="142"/>
      <c r="S21" s="141" t="s">
        <v>92</v>
      </c>
      <c r="T21" s="231"/>
      <c r="U21" s="141" t="s">
        <v>79</v>
      </c>
      <c r="V21" s="231"/>
      <c r="W21" s="141" t="s">
        <v>193</v>
      </c>
      <c r="X21" s="231"/>
      <c r="Y21" s="141" t="s">
        <v>193</v>
      </c>
      <c r="AA21" s="141" t="s">
        <v>92</v>
      </c>
      <c r="AB21" s="231"/>
      <c r="AC21" s="141" t="s">
        <v>79</v>
      </c>
      <c r="AD21" s="231"/>
      <c r="AE21" s="141" t="s">
        <v>193</v>
      </c>
      <c r="AF21" s="231"/>
      <c r="AG21" s="141" t="s">
        <v>193</v>
      </c>
    </row>
    <row r="22" spans="9:33">
      <c r="I22" s="160" t="s">
        <v>153</v>
      </c>
      <c r="K22" s="138" t="s">
        <v>145</v>
      </c>
      <c r="L22" s="231"/>
      <c r="M22" s="138" t="s">
        <v>145</v>
      </c>
      <c r="N22" s="231"/>
      <c r="O22" s="138" t="s">
        <v>145</v>
      </c>
      <c r="P22" s="231"/>
      <c r="Q22" s="138" t="s">
        <v>145</v>
      </c>
      <c r="S22" s="142"/>
      <c r="T22" s="231"/>
      <c r="U22" s="142"/>
      <c r="V22" s="231"/>
      <c r="W22" s="142"/>
      <c r="X22" s="231"/>
      <c r="Y22" s="142"/>
      <c r="AA22" s="142"/>
      <c r="AB22" s="231"/>
      <c r="AC22" s="142"/>
      <c r="AD22" s="231"/>
      <c r="AE22" s="142"/>
      <c r="AF22" s="231"/>
      <c r="AG22" s="142"/>
    </row>
    <row r="23" spans="9:33">
      <c r="I23" s="161" t="s">
        <v>194</v>
      </c>
      <c r="K23" s="144" t="s">
        <v>195</v>
      </c>
      <c r="L23" s="231"/>
      <c r="M23" s="144" t="s">
        <v>195</v>
      </c>
      <c r="N23" s="231"/>
      <c r="O23" s="144" t="s">
        <v>195</v>
      </c>
      <c r="P23" s="231"/>
      <c r="Q23" s="144" t="s">
        <v>195</v>
      </c>
      <c r="S23" s="138" t="s">
        <v>145</v>
      </c>
      <c r="T23" s="231"/>
      <c r="U23" s="138" t="s">
        <v>145</v>
      </c>
      <c r="V23" s="231"/>
      <c r="W23" s="138" t="s">
        <v>145</v>
      </c>
      <c r="X23" s="231"/>
      <c r="Y23" s="138" t="s">
        <v>145</v>
      </c>
      <c r="AA23" s="138" t="s">
        <v>145</v>
      </c>
      <c r="AB23" s="231"/>
      <c r="AC23" s="138" t="s">
        <v>145</v>
      </c>
      <c r="AD23" s="231"/>
      <c r="AE23" s="138" t="s">
        <v>145</v>
      </c>
      <c r="AF23" s="231"/>
      <c r="AG23" s="138" t="s">
        <v>145</v>
      </c>
    </row>
    <row r="24" spans="9:33">
      <c r="I24" s="157"/>
      <c r="K24" s="144" t="s">
        <v>83</v>
      </c>
      <c r="L24" s="231"/>
      <c r="M24" s="144" t="s">
        <v>91</v>
      </c>
      <c r="N24" s="231"/>
      <c r="O24" s="144" t="s">
        <v>72</v>
      </c>
      <c r="P24" s="231"/>
      <c r="Q24" s="144" t="s">
        <v>72</v>
      </c>
      <c r="S24" s="496" t="s">
        <v>196</v>
      </c>
      <c r="T24" s="231"/>
      <c r="U24" s="496" t="s">
        <v>196</v>
      </c>
      <c r="V24" s="231"/>
      <c r="W24" s="144" t="s">
        <v>72</v>
      </c>
      <c r="X24" s="231"/>
      <c r="Y24" s="144" t="s">
        <v>72</v>
      </c>
      <c r="AA24" s="496" t="s">
        <v>196</v>
      </c>
      <c r="AB24" s="231"/>
      <c r="AC24" s="496" t="s">
        <v>196</v>
      </c>
      <c r="AD24" s="231"/>
      <c r="AE24" s="144" t="s">
        <v>72</v>
      </c>
      <c r="AF24" s="231"/>
      <c r="AG24" s="144" t="s">
        <v>72</v>
      </c>
    </row>
    <row r="25" spans="9:33">
      <c r="I25" s="193" t="s">
        <v>197</v>
      </c>
      <c r="K25" s="145" t="s">
        <v>81</v>
      </c>
      <c r="L25" s="231"/>
      <c r="M25" s="145" t="s">
        <v>81</v>
      </c>
      <c r="N25" s="231"/>
      <c r="O25" s="145" t="s">
        <v>73</v>
      </c>
      <c r="P25" s="231"/>
      <c r="Q25" s="145" t="s">
        <v>86</v>
      </c>
      <c r="S25" s="144" t="s">
        <v>91</v>
      </c>
      <c r="T25" s="231"/>
      <c r="U25" s="144" t="s">
        <v>198</v>
      </c>
      <c r="V25" s="231"/>
      <c r="W25" s="144" t="s">
        <v>199</v>
      </c>
      <c r="X25" s="231"/>
      <c r="Y25" s="144" t="s">
        <v>86</v>
      </c>
      <c r="AA25" s="144" t="s">
        <v>91</v>
      </c>
      <c r="AB25" s="231"/>
      <c r="AC25" s="144" t="s">
        <v>198</v>
      </c>
      <c r="AD25" s="231"/>
      <c r="AE25" s="144" t="s">
        <v>199</v>
      </c>
      <c r="AF25" s="231"/>
      <c r="AG25" s="144" t="s">
        <v>86</v>
      </c>
    </row>
    <row r="26" spans="9:33">
      <c r="I26" s="192" t="s">
        <v>200</v>
      </c>
      <c r="K26" s="237"/>
      <c r="L26" s="231"/>
      <c r="M26" s="231"/>
      <c r="N26" s="231"/>
      <c r="O26" s="231"/>
      <c r="P26" s="231"/>
      <c r="Q26" s="238"/>
      <c r="S26" s="157"/>
      <c r="T26" s="231"/>
      <c r="U26" s="157"/>
      <c r="V26" s="231"/>
      <c r="W26" s="157"/>
      <c r="X26" s="231"/>
      <c r="Y26" s="157"/>
      <c r="AA26" s="157"/>
      <c r="AB26" s="231"/>
      <c r="AC26" s="157"/>
      <c r="AD26" s="231"/>
      <c r="AE26" s="157"/>
      <c r="AF26" s="231"/>
      <c r="AG26" s="157"/>
    </row>
    <row r="27" spans="9:33" ht="18.75">
      <c r="I27" s="134"/>
      <c r="K27" s="139" t="s">
        <v>201</v>
      </c>
      <c r="L27" s="231"/>
      <c r="M27" s="139" t="s">
        <v>201</v>
      </c>
      <c r="N27" s="231"/>
      <c r="O27" s="139" t="s">
        <v>201</v>
      </c>
      <c r="P27" s="231"/>
      <c r="Q27" s="139" t="s">
        <v>201</v>
      </c>
      <c r="S27" s="160" t="s">
        <v>153</v>
      </c>
      <c r="T27" s="231"/>
      <c r="U27" s="160" t="s">
        <v>153</v>
      </c>
      <c r="V27" s="231"/>
      <c r="W27" s="160" t="s">
        <v>153</v>
      </c>
      <c r="X27" s="231"/>
      <c r="Y27" s="160" t="s">
        <v>153</v>
      </c>
      <c r="AA27" s="160" t="s">
        <v>153</v>
      </c>
      <c r="AB27" s="231"/>
      <c r="AC27" s="160" t="s">
        <v>153</v>
      </c>
      <c r="AD27" s="231"/>
      <c r="AE27" s="160" t="s">
        <v>153</v>
      </c>
      <c r="AF27" s="231"/>
      <c r="AG27" s="160" t="s">
        <v>153</v>
      </c>
    </row>
    <row r="28" spans="9:33">
      <c r="I28" s="158"/>
      <c r="K28" s="143" t="s">
        <v>135</v>
      </c>
      <c r="L28" s="231"/>
      <c r="M28" s="143" t="s">
        <v>135</v>
      </c>
      <c r="N28" s="231"/>
      <c r="O28" s="143" t="s">
        <v>135</v>
      </c>
      <c r="P28" s="231"/>
      <c r="Q28" s="143" t="s">
        <v>135</v>
      </c>
      <c r="S28" s="671" t="s">
        <v>202</v>
      </c>
      <c r="T28" s="231"/>
      <c r="U28" s="671" t="s">
        <v>202</v>
      </c>
      <c r="V28" s="231"/>
      <c r="W28" s="671" t="s">
        <v>202</v>
      </c>
      <c r="X28" s="231"/>
      <c r="Y28" s="671" t="s">
        <v>202</v>
      </c>
      <c r="AA28" s="671" t="s">
        <v>202</v>
      </c>
      <c r="AB28" s="231"/>
      <c r="AC28" s="671" t="s">
        <v>202</v>
      </c>
      <c r="AD28" s="231"/>
      <c r="AE28" s="671" t="s">
        <v>202</v>
      </c>
      <c r="AF28" s="231"/>
      <c r="AG28" s="671" t="s">
        <v>202</v>
      </c>
    </row>
    <row r="29" spans="9:33">
      <c r="I29" s="158"/>
      <c r="K29" s="136" t="s">
        <v>203</v>
      </c>
      <c r="L29" s="231"/>
      <c r="M29" s="146" t="s">
        <v>204</v>
      </c>
      <c r="N29" s="231"/>
      <c r="O29" s="146" t="s">
        <v>205</v>
      </c>
      <c r="P29" s="231"/>
      <c r="Q29" s="146" t="s">
        <v>205</v>
      </c>
      <c r="S29" s="669" t="s">
        <v>206</v>
      </c>
      <c r="T29" s="231"/>
      <c r="U29" s="669" t="s">
        <v>206</v>
      </c>
      <c r="V29" s="231"/>
      <c r="W29" s="669" t="s">
        <v>206</v>
      </c>
      <c r="X29" s="231"/>
      <c r="Y29" s="669" t="s">
        <v>206</v>
      </c>
      <c r="AA29" s="669" t="s">
        <v>207</v>
      </c>
      <c r="AB29" s="231"/>
      <c r="AC29" s="669" t="s">
        <v>206</v>
      </c>
      <c r="AD29" s="231"/>
      <c r="AE29" s="669" t="s">
        <v>206</v>
      </c>
      <c r="AF29" s="231"/>
      <c r="AG29" s="669" t="s">
        <v>206</v>
      </c>
    </row>
    <row r="30" spans="9:33">
      <c r="K30" s="146" t="s">
        <v>208</v>
      </c>
      <c r="L30" s="231"/>
      <c r="M30" s="146" t="s">
        <v>209</v>
      </c>
      <c r="N30" s="231"/>
      <c r="O30" s="146" t="s">
        <v>98</v>
      </c>
      <c r="P30" s="231"/>
      <c r="Q30" s="146" t="s">
        <v>210</v>
      </c>
      <c r="S30" s="237"/>
      <c r="T30" s="231"/>
      <c r="U30" s="231"/>
      <c r="V30" s="231"/>
      <c r="W30" s="231"/>
      <c r="X30" s="231"/>
      <c r="Y30" s="238"/>
      <c r="AA30" s="237"/>
      <c r="AB30" s="231"/>
      <c r="AC30" s="231"/>
      <c r="AD30" s="231"/>
      <c r="AE30" s="231"/>
      <c r="AF30" s="231"/>
      <c r="AG30" s="238"/>
    </row>
    <row r="31" spans="9:33" ht="18.75">
      <c r="K31" s="146" t="s">
        <v>211</v>
      </c>
      <c r="L31" s="231"/>
      <c r="M31" s="146" t="s">
        <v>211</v>
      </c>
      <c r="N31" s="231"/>
      <c r="O31" s="146" t="s">
        <v>212</v>
      </c>
      <c r="P31" s="231"/>
      <c r="Q31" s="146" t="s">
        <v>212</v>
      </c>
      <c r="S31" s="139" t="s">
        <v>201</v>
      </c>
      <c r="T31" s="231"/>
      <c r="U31" s="139" t="s">
        <v>201</v>
      </c>
      <c r="V31" s="231"/>
      <c r="W31" s="139" t="s">
        <v>201</v>
      </c>
      <c r="X31" s="231"/>
      <c r="Y31" s="139" t="s">
        <v>201</v>
      </c>
      <c r="AA31" s="139" t="s">
        <v>201</v>
      </c>
      <c r="AB31" s="231"/>
      <c r="AC31" s="139" t="s">
        <v>201</v>
      </c>
      <c r="AD31" s="231"/>
      <c r="AE31" s="139" t="s">
        <v>201</v>
      </c>
      <c r="AF31" s="231"/>
      <c r="AG31" s="139" t="s">
        <v>201</v>
      </c>
    </row>
    <row r="32" spans="9:33">
      <c r="K32" s="146" t="s">
        <v>213</v>
      </c>
      <c r="L32" s="231"/>
      <c r="M32" s="146" t="s">
        <v>214</v>
      </c>
      <c r="N32" s="231"/>
      <c r="O32" s="146" t="s">
        <v>215</v>
      </c>
      <c r="P32" s="231"/>
      <c r="Q32" s="146" t="s">
        <v>216</v>
      </c>
      <c r="S32" s="143" t="s">
        <v>135</v>
      </c>
      <c r="T32" s="231"/>
      <c r="U32" s="165" t="s">
        <v>135</v>
      </c>
      <c r="V32" s="231"/>
      <c r="W32" s="165" t="s">
        <v>135</v>
      </c>
      <c r="X32" s="231"/>
      <c r="Y32" s="165" t="s">
        <v>135</v>
      </c>
      <c r="AA32" s="143" t="s">
        <v>135</v>
      </c>
      <c r="AB32" s="231"/>
      <c r="AC32" s="165" t="s">
        <v>135</v>
      </c>
      <c r="AD32" s="231"/>
      <c r="AE32" s="165" t="s">
        <v>135</v>
      </c>
      <c r="AF32" s="231"/>
      <c r="AG32" s="165" t="s">
        <v>135</v>
      </c>
    </row>
    <row r="33" spans="11:33" s="169" customFormat="1">
      <c r="K33" s="168" t="s">
        <v>217</v>
      </c>
      <c r="L33" s="232"/>
      <c r="M33" s="168" t="s">
        <v>218</v>
      </c>
      <c r="N33" s="232"/>
      <c r="O33" s="168" t="s">
        <v>219</v>
      </c>
      <c r="P33" s="232"/>
      <c r="Q33" s="168" t="s">
        <v>219</v>
      </c>
      <c r="S33" s="168" t="s">
        <v>220</v>
      </c>
      <c r="T33" s="232"/>
      <c r="U33" s="170" t="s">
        <v>220</v>
      </c>
      <c r="V33" s="232"/>
      <c r="W33" s="170" t="s">
        <v>221</v>
      </c>
      <c r="X33" s="232"/>
      <c r="Y33" s="170" t="s">
        <v>216</v>
      </c>
      <c r="AA33" s="168" t="s">
        <v>220</v>
      </c>
      <c r="AB33" s="232"/>
      <c r="AC33" s="170" t="s">
        <v>220</v>
      </c>
      <c r="AD33" s="232"/>
      <c r="AE33" s="170" t="s">
        <v>221</v>
      </c>
      <c r="AF33" s="232"/>
      <c r="AG33" s="170" t="s">
        <v>216</v>
      </c>
    </row>
    <row r="34" spans="11:33">
      <c r="K34" s="142"/>
      <c r="L34" s="231"/>
      <c r="M34" s="142"/>
      <c r="N34" s="231"/>
      <c r="O34" s="142"/>
      <c r="P34" s="231"/>
      <c r="Q34" s="142"/>
      <c r="S34" s="146" t="s">
        <v>209</v>
      </c>
      <c r="T34" s="231"/>
      <c r="U34" s="167" t="s">
        <v>222</v>
      </c>
      <c r="V34" s="231"/>
      <c r="W34" s="167" t="s">
        <v>103</v>
      </c>
      <c r="X34" s="231"/>
      <c r="Y34" s="167" t="s">
        <v>103</v>
      </c>
      <c r="AA34" s="146" t="s">
        <v>209</v>
      </c>
      <c r="AB34" s="231"/>
      <c r="AC34" s="167" t="s">
        <v>222</v>
      </c>
      <c r="AD34" s="231"/>
      <c r="AE34" s="167" t="s">
        <v>103</v>
      </c>
      <c r="AF34" s="231"/>
      <c r="AG34" s="167" t="s">
        <v>103</v>
      </c>
    </row>
    <row r="35" spans="11:33">
      <c r="K35" s="138" t="s">
        <v>145</v>
      </c>
      <c r="L35" s="231"/>
      <c r="M35" s="138" t="s">
        <v>145</v>
      </c>
      <c r="N35" s="231"/>
      <c r="O35" s="138" t="s">
        <v>145</v>
      </c>
      <c r="P35" s="231"/>
      <c r="Q35" s="138" t="s">
        <v>145</v>
      </c>
      <c r="S35" s="163"/>
      <c r="T35" s="231"/>
      <c r="U35" s="166"/>
      <c r="V35" s="231"/>
      <c r="W35" s="166"/>
      <c r="X35" s="231"/>
      <c r="Y35" s="166"/>
      <c r="AA35" s="163"/>
      <c r="AB35" s="231"/>
      <c r="AC35" s="166"/>
      <c r="AD35" s="231"/>
      <c r="AE35" s="166"/>
      <c r="AF35" s="231"/>
      <c r="AG35" s="166"/>
    </row>
    <row r="36" spans="11:33">
      <c r="K36" s="144" t="s">
        <v>106</v>
      </c>
      <c r="L36" s="231"/>
      <c r="M36" s="144" t="s">
        <v>106</v>
      </c>
      <c r="N36" s="231"/>
      <c r="O36" s="144" t="s">
        <v>106</v>
      </c>
      <c r="P36" s="231"/>
      <c r="Q36" s="144" t="s">
        <v>106</v>
      </c>
      <c r="S36" s="138" t="s">
        <v>145</v>
      </c>
      <c r="T36" s="231"/>
      <c r="U36" s="138" t="s">
        <v>145</v>
      </c>
      <c r="V36" s="231"/>
      <c r="W36" s="138" t="s">
        <v>145</v>
      </c>
      <c r="X36" s="231"/>
      <c r="Y36" s="138" t="s">
        <v>145</v>
      </c>
      <c r="AA36" s="138" t="s">
        <v>145</v>
      </c>
      <c r="AB36" s="231"/>
      <c r="AC36" s="138" t="s">
        <v>145</v>
      </c>
      <c r="AD36" s="231"/>
      <c r="AE36" s="138" t="s">
        <v>145</v>
      </c>
      <c r="AF36" s="231"/>
      <c r="AG36" s="138" t="s">
        <v>145</v>
      </c>
    </row>
    <row r="37" spans="11:33">
      <c r="K37" s="145" t="s">
        <v>104</v>
      </c>
      <c r="L37" s="233"/>
      <c r="M37" s="145" t="s">
        <v>104</v>
      </c>
      <c r="N37" s="233"/>
      <c r="O37" s="145" t="s">
        <v>104</v>
      </c>
      <c r="P37" s="233"/>
      <c r="Q37" s="145" t="s">
        <v>104</v>
      </c>
      <c r="S37" s="144" t="s">
        <v>106</v>
      </c>
      <c r="T37" s="231"/>
      <c r="U37" s="144" t="s">
        <v>106</v>
      </c>
      <c r="V37" s="231"/>
      <c r="W37" s="144" t="s">
        <v>106</v>
      </c>
      <c r="X37" s="231"/>
      <c r="Y37" s="144" t="s">
        <v>106</v>
      </c>
      <c r="AA37" s="144" t="s">
        <v>106</v>
      </c>
      <c r="AB37" s="231"/>
      <c r="AC37" s="144" t="s">
        <v>106</v>
      </c>
      <c r="AD37" s="231"/>
      <c r="AE37" s="144" t="s">
        <v>106</v>
      </c>
      <c r="AF37" s="231"/>
      <c r="AG37" s="144" t="s">
        <v>106</v>
      </c>
    </row>
    <row r="38" spans="11:33">
      <c r="S38" s="496" t="s">
        <v>223</v>
      </c>
      <c r="T38" s="231"/>
      <c r="U38" s="496" t="s">
        <v>223</v>
      </c>
      <c r="V38" s="231"/>
      <c r="W38" s="496" t="s">
        <v>224</v>
      </c>
      <c r="X38" s="231"/>
      <c r="Y38" s="496" t="s">
        <v>224</v>
      </c>
      <c r="AA38" s="496" t="s">
        <v>223</v>
      </c>
      <c r="AB38" s="231"/>
      <c r="AC38" s="496" t="s">
        <v>223</v>
      </c>
      <c r="AD38" s="231"/>
      <c r="AE38" s="496" t="s">
        <v>224</v>
      </c>
      <c r="AF38" s="231"/>
      <c r="AG38" s="496" t="s">
        <v>224</v>
      </c>
    </row>
    <row r="39" spans="11:33">
      <c r="S39" s="164"/>
      <c r="T39" s="231"/>
      <c r="U39" s="164"/>
      <c r="V39" s="231"/>
      <c r="W39" s="164"/>
      <c r="X39" s="231"/>
      <c r="Y39" s="164"/>
      <c r="AA39" s="164"/>
      <c r="AB39" s="231"/>
      <c r="AC39" s="164"/>
      <c r="AD39" s="231"/>
      <c r="AE39" s="164"/>
      <c r="AF39" s="231"/>
      <c r="AG39" s="164"/>
    </row>
    <row r="40" spans="11:33">
      <c r="S40" s="160" t="s">
        <v>153</v>
      </c>
      <c r="T40" s="231"/>
      <c r="U40" s="160" t="s">
        <v>153</v>
      </c>
      <c r="V40" s="231"/>
      <c r="W40" s="160" t="s">
        <v>153</v>
      </c>
      <c r="X40" s="231"/>
      <c r="Y40" s="160" t="s">
        <v>153</v>
      </c>
      <c r="AA40" s="160" t="s">
        <v>153</v>
      </c>
      <c r="AB40" s="231"/>
      <c r="AC40" s="160" t="s">
        <v>153</v>
      </c>
      <c r="AD40" s="231"/>
      <c r="AE40" s="160" t="s">
        <v>153</v>
      </c>
      <c r="AF40" s="231"/>
      <c r="AG40" s="160" t="s">
        <v>153</v>
      </c>
    </row>
    <row r="41" spans="11:33">
      <c r="S41" s="669" t="s">
        <v>225</v>
      </c>
      <c r="T41" s="231"/>
      <c r="U41" s="669" t="s">
        <v>225</v>
      </c>
      <c r="V41" s="231"/>
      <c r="W41" s="669" t="s">
        <v>225</v>
      </c>
      <c r="X41" s="231"/>
      <c r="Y41" s="669" t="s">
        <v>225</v>
      </c>
      <c r="AA41" s="720" t="s">
        <v>226</v>
      </c>
      <c r="AB41" s="231"/>
      <c r="AC41" s="669" t="s">
        <v>226</v>
      </c>
      <c r="AD41" s="231"/>
      <c r="AE41" s="669" t="s">
        <v>226</v>
      </c>
      <c r="AF41" s="231"/>
      <c r="AG41" s="669" t="s">
        <v>226</v>
      </c>
    </row>
    <row r="42" spans="11:33">
      <c r="S42" s="239"/>
      <c r="T42" s="231"/>
      <c r="U42" s="231"/>
      <c r="V42" s="231"/>
      <c r="W42" s="231"/>
      <c r="X42" s="231"/>
      <c r="Y42" s="238"/>
      <c r="AA42" s="239"/>
      <c r="AB42" s="231"/>
      <c r="AC42" s="231"/>
      <c r="AD42" s="231"/>
      <c r="AE42" s="231"/>
      <c r="AF42" s="231"/>
      <c r="AG42" s="238"/>
    </row>
    <row r="43" spans="11:33">
      <c r="S43" s="194" t="s">
        <v>227</v>
      </c>
      <c r="T43" s="231"/>
      <c r="U43" s="194" t="s">
        <v>227</v>
      </c>
      <c r="V43" s="231"/>
      <c r="W43" s="194" t="s">
        <v>227</v>
      </c>
      <c r="X43" s="231"/>
      <c r="Y43" s="194" t="s">
        <v>227</v>
      </c>
      <c r="AA43" s="194" t="s">
        <v>228</v>
      </c>
      <c r="AB43" s="231"/>
      <c r="AC43" s="194" t="s">
        <v>227</v>
      </c>
      <c r="AD43" s="231"/>
      <c r="AE43" s="194" t="s">
        <v>227</v>
      </c>
      <c r="AF43" s="231"/>
      <c r="AG43" s="194" t="s">
        <v>227</v>
      </c>
    </row>
    <row r="44" spans="11:33">
      <c r="S44" s="192" t="s">
        <v>200</v>
      </c>
      <c r="T44" s="233"/>
      <c r="U44" s="192" t="s">
        <v>200</v>
      </c>
      <c r="V44" s="233"/>
      <c r="W44" s="192" t="s">
        <v>200</v>
      </c>
      <c r="X44" s="233"/>
      <c r="Y44" s="192" t="s">
        <v>200</v>
      </c>
      <c r="AA44" s="719" t="s">
        <v>229</v>
      </c>
      <c r="AB44" s="233"/>
      <c r="AC44" s="719" t="s">
        <v>230</v>
      </c>
      <c r="AD44" s="233"/>
      <c r="AE44" s="719" t="s">
        <v>230</v>
      </c>
      <c r="AF44" s="233"/>
      <c r="AG44" s="719" t="s">
        <v>229</v>
      </c>
    </row>
    <row r="46" spans="11:33" ht="15" customHeight="1">
      <c r="S46" s="927" t="s">
        <v>231</v>
      </c>
      <c r="T46" s="928"/>
      <c r="U46" s="929"/>
      <c r="W46" s="927" t="s">
        <v>232</v>
      </c>
      <c r="X46" s="928"/>
      <c r="Y46" s="929"/>
      <c r="AA46" s="927" t="s">
        <v>231</v>
      </c>
      <c r="AB46" s="928"/>
      <c r="AC46" s="929"/>
      <c r="AE46" s="927" t="s">
        <v>232</v>
      </c>
      <c r="AF46" s="928"/>
      <c r="AG46" s="929"/>
    </row>
  </sheetData>
  <mergeCells count="13">
    <mergeCell ref="AE1:AE2"/>
    <mergeCell ref="AC1:AC2"/>
    <mergeCell ref="AA1:AB2"/>
    <mergeCell ref="AF1:AG2"/>
    <mergeCell ref="AA46:AC46"/>
    <mergeCell ref="AE46:AG46"/>
    <mergeCell ref="A1:A2"/>
    <mergeCell ref="C1:G2"/>
    <mergeCell ref="W46:Y46"/>
    <mergeCell ref="S46:U46"/>
    <mergeCell ref="K1:Q2"/>
    <mergeCell ref="S1:Y2"/>
    <mergeCell ref="I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M51"/>
  <sheetViews>
    <sheetView workbookViewId="0">
      <selection activeCell="H22" sqref="H22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1.5" customWidth="1"/>
    <col min="9" max="9" width="8.25" customWidth="1"/>
    <col min="10" max="10" width="4.75" customWidth="1"/>
    <col min="11" max="11" width="39.25" customWidth="1"/>
    <col min="12" max="12" width="3.125" customWidth="1"/>
    <col min="13" max="13" width="42" customWidth="1"/>
  </cols>
  <sheetData>
    <row r="1" spans="1:13" ht="26.1" customHeight="1">
      <c r="A1" s="871" t="s">
        <v>233</v>
      </c>
      <c r="B1" s="872"/>
      <c r="C1" s="962" t="s">
        <v>234</v>
      </c>
      <c r="D1" s="960" t="s">
        <v>1</v>
      </c>
      <c r="E1" s="945" t="s">
        <v>2</v>
      </c>
      <c r="F1" s="883" t="s">
        <v>3</v>
      </c>
      <c r="G1" s="952" t="s">
        <v>5</v>
      </c>
      <c r="H1" s="956" t="s">
        <v>6</v>
      </c>
      <c r="I1" s="957"/>
      <c r="K1" s="1045"/>
    </row>
    <row r="2" spans="1:13" ht="30" customHeight="1">
      <c r="A2" s="873"/>
      <c r="B2" s="874"/>
      <c r="C2" s="963"/>
      <c r="D2" s="961"/>
      <c r="E2" s="946"/>
      <c r="F2" s="884"/>
      <c r="G2" s="953"/>
      <c r="H2" s="958"/>
      <c r="I2" s="959"/>
      <c r="K2" s="1053" t="s">
        <v>235</v>
      </c>
    </row>
    <row r="3" spans="1:13">
      <c r="A3" s="36">
        <v>1</v>
      </c>
      <c r="B3" s="577" t="s">
        <v>236</v>
      </c>
      <c r="C3" s="57" t="s">
        <v>237</v>
      </c>
      <c r="D3" s="226"/>
      <c r="E3" s="60"/>
      <c r="F3" s="78"/>
      <c r="G3" s="623" t="s">
        <v>115</v>
      </c>
      <c r="H3" s="19" t="s">
        <v>80</v>
      </c>
      <c r="I3" s="62"/>
      <c r="K3" s="1051" t="s">
        <v>238</v>
      </c>
    </row>
    <row r="4" spans="1:13">
      <c r="A4" s="35">
        <v>2</v>
      </c>
      <c r="B4" s="501" t="s">
        <v>239</v>
      </c>
      <c r="C4" s="58" t="s">
        <v>237</v>
      </c>
      <c r="D4" s="227"/>
      <c r="E4" s="59"/>
      <c r="F4" s="79"/>
      <c r="G4" s="45" t="s">
        <v>89</v>
      </c>
      <c r="H4" s="726" t="s">
        <v>240</v>
      </c>
      <c r="I4" s="664"/>
      <c r="K4" s="1046" t="s">
        <v>241</v>
      </c>
    </row>
    <row r="5" spans="1:13">
      <c r="A5" s="36">
        <v>3</v>
      </c>
      <c r="B5" s="577" t="s">
        <v>154</v>
      </c>
      <c r="C5" s="57" t="s">
        <v>242</v>
      </c>
      <c r="D5" s="226"/>
      <c r="E5" s="60"/>
      <c r="F5" s="78"/>
      <c r="G5" s="623" t="s">
        <v>152</v>
      </c>
      <c r="H5" s="19"/>
      <c r="I5" s="62"/>
      <c r="K5" s="1052" t="s">
        <v>243</v>
      </c>
      <c r="M5" s="1050" t="s">
        <v>244</v>
      </c>
    </row>
    <row r="6" spans="1:13">
      <c r="A6" s="35">
        <v>4</v>
      </c>
      <c r="B6" s="501" t="s">
        <v>243</v>
      </c>
      <c r="C6" s="58" t="s">
        <v>245</v>
      </c>
      <c r="D6" s="227"/>
      <c r="E6" s="59"/>
      <c r="F6" s="79"/>
      <c r="G6" s="45" t="s">
        <v>78</v>
      </c>
      <c r="H6" s="17" t="s">
        <v>152</v>
      </c>
      <c r="I6" s="63"/>
      <c r="K6" s="1047"/>
      <c r="M6" s="1056"/>
    </row>
    <row r="7" spans="1:13">
      <c r="A7" s="64">
        <v>5</v>
      </c>
      <c r="B7" s="572" t="s">
        <v>241</v>
      </c>
      <c r="C7" s="260" t="s">
        <v>245</v>
      </c>
      <c r="D7" s="228"/>
      <c r="E7" s="65"/>
      <c r="F7" s="80"/>
      <c r="G7" s="81" t="s">
        <v>54</v>
      </c>
      <c r="H7" s="66" t="s">
        <v>240</v>
      </c>
      <c r="I7" s="66"/>
      <c r="J7" s="630"/>
      <c r="K7" s="1054" t="s">
        <v>246</v>
      </c>
      <c r="M7" s="1054" t="s">
        <v>247</v>
      </c>
    </row>
    <row r="8" spans="1:13" ht="15.75" customHeight="1">
      <c r="K8" s="1046" t="s">
        <v>236</v>
      </c>
      <c r="M8" s="1046" t="s">
        <v>241</v>
      </c>
    </row>
    <row r="9" spans="1:13" ht="15.75" customHeight="1">
      <c r="K9" s="1052" t="s">
        <v>239</v>
      </c>
      <c r="M9" s="1052" t="s">
        <v>243</v>
      </c>
    </row>
    <row r="10" spans="1:13" ht="15.75" customHeight="1">
      <c r="B10" s="573" t="s">
        <v>18</v>
      </c>
      <c r="K10" s="1047"/>
      <c r="M10" s="1047"/>
    </row>
    <row r="11" spans="1:13" ht="15.75" customHeight="1">
      <c r="K11" s="1055" t="s">
        <v>248</v>
      </c>
      <c r="M11" s="1055" t="s">
        <v>249</v>
      </c>
    </row>
    <row r="12" spans="1:13" ht="15.75" customHeight="1">
      <c r="K12" s="1048" t="s">
        <v>154</v>
      </c>
      <c r="M12" s="1046" t="s">
        <v>236</v>
      </c>
    </row>
    <row r="13" spans="1:13" ht="15.75" customHeight="1">
      <c r="K13" s="1049"/>
      <c r="M13" s="1052" t="s">
        <v>239</v>
      </c>
    </row>
    <row r="14" spans="1:13" ht="15.75" customHeight="1">
      <c r="K14" s="1045"/>
      <c r="M14" s="1047"/>
    </row>
    <row r="15" spans="1:13" ht="15.75" customHeight="1">
      <c r="M15" s="1051" t="s">
        <v>238</v>
      </c>
    </row>
    <row r="16" spans="1:13" ht="15.75" customHeight="1">
      <c r="M16" s="1048" t="s">
        <v>154</v>
      </c>
    </row>
    <row r="17" spans="1:13" ht="15.75" customHeight="1">
      <c r="M17" s="1049"/>
    </row>
    <row r="29" spans="1:13" ht="15">
      <c r="A29" s="5"/>
    </row>
    <row r="51" spans="1:1" ht="15">
      <c r="A51" s="1"/>
    </row>
  </sheetData>
  <mergeCells count="10">
    <mergeCell ref="K12:K13"/>
    <mergeCell ref="M16:M17"/>
    <mergeCell ref="M5:M6"/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  <hyperlink ref="K4" r:id="rId7" xr:uid="{582A05BA-1884-4E96-B021-57D3C6EBFF8D}"/>
    <hyperlink ref="K5" r:id="rId8" xr:uid="{AA56849F-5353-4384-A24A-2198C67263E1}"/>
    <hyperlink ref="K8" r:id="rId9" xr:uid="{F3D6F99C-A824-4552-828D-29FF12DC06BC}"/>
    <hyperlink ref="K9" r:id="rId10" xr:uid="{69946C34-1C8C-4FFF-98BF-946D8687F156}"/>
    <hyperlink ref="K12" r:id="rId11" xr:uid="{161D9FA4-F98E-4AF9-A7DC-954AE071FE89}"/>
    <hyperlink ref="M8" r:id="rId12" xr:uid="{C60CBA5B-C94D-48F1-BC53-BC89535676D6}"/>
    <hyperlink ref="M9" r:id="rId13" xr:uid="{AC0B7126-8256-4494-B5CA-E665D1709D84}"/>
    <hyperlink ref="M12" r:id="rId14" xr:uid="{9AB8905E-7937-44DD-BF71-53C87CF0C2F0}"/>
    <hyperlink ref="M13" r:id="rId15" xr:uid="{60C2C682-26C6-46A0-BB60-B955C21DCAB1}"/>
    <hyperlink ref="M16" r:id="rId16" xr:uid="{8CBADB6E-A140-4415-839D-146C57563D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F62"/>
  <sheetViews>
    <sheetView workbookViewId="0">
      <selection activeCell="H7" sqref="H7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648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75" t="s">
        <v>250</v>
      </c>
      <c r="B1" s="975"/>
      <c r="C1" s="979" t="s">
        <v>251</v>
      </c>
      <c r="D1" s="980"/>
      <c r="E1" s="977" t="s">
        <v>19</v>
      </c>
      <c r="F1" s="978"/>
      <c r="G1" s="981" t="s">
        <v>123</v>
      </c>
      <c r="H1" s="982"/>
      <c r="I1" s="983" t="s">
        <v>252</v>
      </c>
      <c r="J1" s="984"/>
      <c r="K1" s="972" t="s">
        <v>253</v>
      </c>
      <c r="L1" s="973"/>
      <c r="M1" s="680"/>
      <c r="N1" s="970" t="s">
        <v>254</v>
      </c>
      <c r="O1" s="971"/>
      <c r="P1" s="625"/>
      <c r="Q1" s="888" t="s">
        <v>255</v>
      </c>
      <c r="R1" s="649"/>
      <c r="S1" s="967" t="s">
        <v>256</v>
      </c>
      <c r="T1" s="968"/>
      <c r="U1" s="968"/>
      <c r="V1" s="968"/>
      <c r="W1" s="968"/>
      <c r="X1" s="968"/>
      <c r="Y1" s="968"/>
      <c r="Z1" s="969"/>
    </row>
    <row r="2" spans="1:26" ht="20.25" customHeight="1">
      <c r="A2" s="976"/>
      <c r="B2" s="976"/>
      <c r="C2" s="24" t="s">
        <v>257</v>
      </c>
      <c r="D2" s="421" t="s">
        <v>258</v>
      </c>
      <c r="E2" s="549" t="s">
        <v>257</v>
      </c>
      <c r="F2" s="550" t="s">
        <v>258</v>
      </c>
      <c r="G2" s="425" t="s">
        <v>257</v>
      </c>
      <c r="H2" s="431" t="s">
        <v>258</v>
      </c>
      <c r="I2" s="426" t="s">
        <v>257</v>
      </c>
      <c r="J2" s="25" t="s">
        <v>258</v>
      </c>
      <c r="K2" s="810" t="s">
        <v>257</v>
      </c>
      <c r="L2" s="811" t="s">
        <v>258</v>
      </c>
      <c r="M2" s="1"/>
      <c r="N2" s="681" t="s">
        <v>259</v>
      </c>
      <c r="O2" s="682" t="s">
        <v>260</v>
      </c>
      <c r="P2" s="1"/>
      <c r="Q2" s="974"/>
      <c r="R2" s="649"/>
      <c r="S2" s="229" t="s">
        <v>261</v>
      </c>
      <c r="T2" s="229" t="s">
        <v>262</v>
      </c>
      <c r="U2" s="229" t="s">
        <v>263</v>
      </c>
      <c r="V2" s="229" t="s">
        <v>264</v>
      </c>
      <c r="W2" s="229" t="s">
        <v>265</v>
      </c>
      <c r="X2" s="229" t="s">
        <v>266</v>
      </c>
      <c r="Y2" s="229" t="s">
        <v>267</v>
      </c>
      <c r="Z2" s="647" t="s">
        <v>268</v>
      </c>
    </row>
    <row r="3" spans="1:26">
      <c r="A3" s="652">
        <v>1</v>
      </c>
      <c r="B3" s="498" t="s">
        <v>269</v>
      </c>
      <c r="C3" s="26">
        <f>COUNTIF(Foundation!G3:G8, "Ajab")</f>
        <v>0</v>
      </c>
      <c r="D3" s="422"/>
      <c r="E3" s="551">
        <f>COUNTIF('UG Map L4-L6'!I3:I53, "Ajab")</f>
        <v>1</v>
      </c>
      <c r="F3" s="800">
        <f>COUNTIF('UG Map L4-L6'!J3:J52, "Ajab")</f>
        <v>0</v>
      </c>
      <c r="G3" s="791">
        <f>COUNTIF('PG Delivery &amp; Map (15 Credits)'!J3:J18, "Ajab")</f>
        <v>0</v>
      </c>
      <c r="H3" s="432"/>
      <c r="I3" s="427">
        <f>COUNTIF('PG MAIDS'!G3:G7, " ")</f>
        <v>0</v>
      </c>
      <c r="J3" s="27">
        <f>COUNTIF('PG MAIDS'!H3:H7, " ")+COUNTIF('PG MAIDS'!I3:I7, " ")</f>
        <v>0</v>
      </c>
      <c r="K3" s="812">
        <f>SUM(C3+E3+G3+I3)</f>
        <v>1</v>
      </c>
      <c r="L3" s="813">
        <f>SUM(D3+F3+H3+J3)</f>
        <v>0</v>
      </c>
      <c r="M3" s="628"/>
      <c r="N3" s="677" t="s">
        <v>270</v>
      </c>
      <c r="O3" s="679"/>
      <c r="P3" s="628"/>
      <c r="Q3" s="654" t="s">
        <v>112</v>
      </c>
      <c r="R3" s="649"/>
      <c r="S3" s="436"/>
      <c r="T3" s="436"/>
      <c r="U3" s="436"/>
      <c r="V3" s="436"/>
      <c r="W3" s="445">
        <v>1</v>
      </c>
      <c r="X3" s="445"/>
      <c r="Y3" s="445"/>
      <c r="Z3" s="444">
        <v>1</v>
      </c>
    </row>
    <row r="4" spans="1:26">
      <c r="A4" s="12">
        <v>2</v>
      </c>
      <c r="B4" s="627" t="s">
        <v>271</v>
      </c>
      <c r="C4" s="28">
        <f>COUNTIF(Foundation!G3:G8, "Andy")</f>
        <v>0</v>
      </c>
      <c r="D4" s="423"/>
      <c r="E4" s="419">
        <f>COUNTIF('UG Map L4-L6'!I3:I53, "Andy")</f>
        <v>0</v>
      </c>
      <c r="F4" s="801">
        <f>COUNTIF('UG Map L4-L6'!J3:J52, "Andy")</f>
        <v>0</v>
      </c>
      <c r="G4" s="792">
        <f>COUNTIF('PG Delivery &amp; Map (15 Credits)'!J3:J18, "NEW")</f>
        <v>0</v>
      </c>
      <c r="H4" s="433"/>
      <c r="I4" s="428">
        <f>COUNTIF('PG MAIDS'!G3:G7, " ")</f>
        <v>0</v>
      </c>
      <c r="J4" s="29">
        <f>COUNTIF('PG MAIDS'!H3:H7, " ")+COUNTIF('PG MAIDS'!I3:I7, " ")</f>
        <v>0</v>
      </c>
      <c r="K4" s="812">
        <f>SUM(C4+E4+G4+I4)</f>
        <v>0</v>
      </c>
      <c r="L4" s="813">
        <f t="shared" ref="L4:L17" si="0">SUM(D4+F4+H4+J4)</f>
        <v>0</v>
      </c>
      <c r="M4" s="628"/>
      <c r="N4" s="676"/>
      <c r="O4" s="673"/>
      <c r="P4" s="628"/>
      <c r="Q4" s="629" t="e">
        <f>SUM('Super Staff Cover'!#REF!)</f>
        <v>#REF!</v>
      </c>
      <c r="R4" s="649"/>
      <c r="S4" s="437"/>
      <c r="T4" s="437"/>
      <c r="U4" s="437"/>
      <c r="V4" s="437"/>
      <c r="W4" s="437">
        <v>1</v>
      </c>
      <c r="X4" s="437"/>
      <c r="Y4" s="437"/>
      <c r="Z4" s="39"/>
    </row>
    <row r="5" spans="1:26">
      <c r="A5" s="13">
        <v>3</v>
      </c>
      <c r="B5" s="19" t="s">
        <v>84</v>
      </c>
      <c r="C5" s="28">
        <f>COUNTIF(Foundation!G3:G8, "Anthony")</f>
        <v>0</v>
      </c>
      <c r="D5" s="423"/>
      <c r="E5" s="419">
        <f>COUNTIF('UG Map L4-L6'!I3:I53, "Anthony")</f>
        <v>2</v>
      </c>
      <c r="F5" s="801">
        <f>COUNTIF('UG Map L4-L6'!J3:J52, "Anthony")</f>
        <v>0</v>
      </c>
      <c r="G5" s="792">
        <f>COUNTIF('PG Delivery &amp; Map (15 Credits)'!J3:J18, "Anthony")</f>
        <v>1</v>
      </c>
      <c r="H5" s="433"/>
      <c r="I5" s="428">
        <f>COUNTIF('PG MAIDS'!G3:G7, " ")</f>
        <v>0</v>
      </c>
      <c r="J5" s="29">
        <f>COUNTIF('PG MAIDS'!H3:H7, " ")+COUNTIF('PG MAIDS'!I3:I7, " ")</f>
        <v>0</v>
      </c>
      <c r="K5" s="812">
        <f t="shared" ref="K5:K17" si="1">SUM(C5+E5+G5+I5)</f>
        <v>3</v>
      </c>
      <c r="L5" s="813">
        <f t="shared" si="0"/>
        <v>0</v>
      </c>
      <c r="M5" s="628"/>
      <c r="N5" s="677" t="s">
        <v>270</v>
      </c>
      <c r="O5" s="673" t="s">
        <v>270</v>
      </c>
      <c r="P5" s="628"/>
      <c r="Q5" s="629">
        <f>SUM('Super Staff Cover'!H4)</f>
        <v>10</v>
      </c>
      <c r="R5" s="649"/>
      <c r="S5" s="438"/>
      <c r="T5" s="438"/>
      <c r="U5" s="438"/>
      <c r="V5" s="438"/>
      <c r="W5" s="438">
        <v>0.5</v>
      </c>
      <c r="X5" s="438"/>
      <c r="Y5" s="438"/>
      <c r="Z5" s="40"/>
    </row>
    <row r="6" spans="1:26">
      <c r="A6" s="13">
        <v>4</v>
      </c>
      <c r="B6" s="725" t="s">
        <v>115</v>
      </c>
      <c r="C6" s="28">
        <f>COUNTIF(Foundation!G3:G8, "Bacha")</f>
        <v>0</v>
      </c>
      <c r="D6" s="423"/>
      <c r="E6" s="419">
        <f>COUNTIF('UG Map L4-L6'!I3:I53, "Bacha")</f>
        <v>1</v>
      </c>
      <c r="F6" s="801">
        <f>COUNTIF('UG Map L4-L6'!J3:J52, "Bacha")</f>
        <v>0</v>
      </c>
      <c r="G6" s="792">
        <f>COUNTIF('PG Delivery &amp; Map (15 Credits)'!J3:J18, "Bacha")</f>
        <v>0</v>
      </c>
      <c r="H6" s="433"/>
      <c r="I6" s="428">
        <f>COUNTIF('PG MAIDS'!G3:G7, "Bacha")</f>
        <v>1</v>
      </c>
      <c r="J6" s="29">
        <f>COUNTIF('PG MAIDS'!H3:H7, "Bacha")+COUNTIF('PG MAIDS'!I3:I7, "Bacha")</f>
        <v>0</v>
      </c>
      <c r="K6" s="812">
        <f>SUM(C6+E6+G6+I6)</f>
        <v>2</v>
      </c>
      <c r="L6" s="813">
        <f>SUM(D6+F6+H6+J6)</f>
        <v>0</v>
      </c>
      <c r="M6" s="628"/>
      <c r="N6" s="676"/>
      <c r="O6" s="673" t="s">
        <v>270</v>
      </c>
      <c r="P6" s="628"/>
      <c r="Q6" s="629">
        <f>SUM('Super Staff Cover'!H2)</f>
        <v>6</v>
      </c>
      <c r="R6" s="649"/>
      <c r="S6" s="438"/>
      <c r="T6" s="438"/>
      <c r="U6" s="438"/>
      <c r="V6" s="438">
        <v>1</v>
      </c>
      <c r="W6" s="438"/>
      <c r="X6" s="438"/>
      <c r="Y6" s="438"/>
      <c r="Z6" s="40"/>
    </row>
    <row r="7" spans="1:26">
      <c r="A7" s="13">
        <v>5</v>
      </c>
      <c r="B7" s="19" t="s">
        <v>76</v>
      </c>
      <c r="C7" s="28"/>
      <c r="D7" s="423"/>
      <c r="E7" s="419">
        <f>COUNTIF('UG Map L4-L6'!I4:I54, "Bode")</f>
        <v>0</v>
      </c>
      <c r="F7" s="801">
        <f>COUNTIF('UG Map L4-L6'!K4:K54, "Bode")</f>
        <v>0</v>
      </c>
      <c r="G7" s="792">
        <f>COUNTIF('PG Delivery &amp; Map (15 Credits)'!J3:J18, "Bode")</f>
        <v>1</v>
      </c>
      <c r="H7" s="433">
        <f>COUNTIF('PG Delivery &amp; Map (15 Credits)'!L3:L18, "Bode")+COUNTIF('PG Delivery &amp; Map (15 Credits)'!K3:K18, "Bode")</f>
        <v>1</v>
      </c>
      <c r="I7" s="428">
        <f>COUNTIF('PG MAIDS'!G3:G7, " ")</f>
        <v>0</v>
      </c>
      <c r="J7" s="29">
        <f>COUNTIF('PG MAIDS'!H3:H7, " ")+COUNTIF('PG MAIDS'!I3:I7, "Bode")</f>
        <v>0</v>
      </c>
      <c r="K7" s="812">
        <f t="shared" si="1"/>
        <v>1</v>
      </c>
      <c r="L7" s="813">
        <f t="shared" si="0"/>
        <v>1</v>
      </c>
      <c r="M7" s="628"/>
      <c r="N7" s="677" t="s">
        <v>270</v>
      </c>
      <c r="O7" s="673" t="s">
        <v>270</v>
      </c>
      <c r="P7" s="628"/>
      <c r="Q7" s="629">
        <f>SUM('Super Staff Cover'!H3)</f>
        <v>10</v>
      </c>
      <c r="R7" s="649"/>
      <c r="S7" s="438"/>
      <c r="T7" s="438"/>
      <c r="U7" s="438"/>
      <c r="V7" s="438"/>
      <c r="W7" s="438"/>
      <c r="X7" s="438"/>
      <c r="Y7" s="438"/>
      <c r="Z7" s="40"/>
    </row>
    <row r="8" spans="1:26">
      <c r="A8" s="13">
        <v>6</v>
      </c>
      <c r="B8" s="17" t="s">
        <v>8</v>
      </c>
      <c r="C8" s="28">
        <f>COUNTIF(Foundation!G3:G8, "Darren")</f>
        <v>1</v>
      </c>
      <c r="D8" s="423"/>
      <c r="E8" s="419">
        <f>COUNTIF('UG Map L4-L6'!I3:I53, "Darren")</f>
        <v>3</v>
      </c>
      <c r="F8" s="801">
        <f>COUNTIF('UG Map L4-L6'!J3:J52, "Darren")</f>
        <v>0</v>
      </c>
      <c r="G8" s="792">
        <f>COUNTIF('PG Delivery &amp; Map (15 Credits)'!J3:J18, "Darren")</f>
        <v>0</v>
      </c>
      <c r="H8" s="433"/>
      <c r="I8" s="428">
        <f>COUNTIF('PG MAIDS'!G3:G7, " ")</f>
        <v>0</v>
      </c>
      <c r="J8" s="29">
        <f>COUNTIF('PG MAIDS'!H3:H7, " ")+COUNTIF('PG MAIDS'!I3:I7, " ")</f>
        <v>0</v>
      </c>
      <c r="K8" s="812">
        <f t="shared" si="1"/>
        <v>4</v>
      </c>
      <c r="L8" s="813">
        <f t="shared" si="0"/>
        <v>0</v>
      </c>
      <c r="M8" s="628"/>
      <c r="N8" s="677" t="s">
        <v>270</v>
      </c>
      <c r="O8" s="673"/>
      <c r="P8" s="628"/>
      <c r="Q8" s="629">
        <f>SUM('Super Staff Cover'!H5)</f>
        <v>0</v>
      </c>
      <c r="R8" s="649"/>
      <c r="S8" s="437"/>
      <c r="T8" s="437"/>
      <c r="U8" s="437"/>
      <c r="V8" s="437"/>
      <c r="W8" s="437">
        <v>1</v>
      </c>
      <c r="X8" s="437"/>
      <c r="Y8" s="437"/>
      <c r="Z8" s="39"/>
    </row>
    <row r="9" spans="1:26">
      <c r="A9" s="13">
        <v>7</v>
      </c>
      <c r="B9" s="19" t="s">
        <v>89</v>
      </c>
      <c r="C9" s="28">
        <f>COUNTIF(Foundation!G3:G8, "Drishty")</f>
        <v>0</v>
      </c>
      <c r="D9" s="423"/>
      <c r="E9" s="419">
        <f>COUNTIF('UG Map L4-L6'!I3:I53, "Drishty")</f>
        <v>2</v>
      </c>
      <c r="F9" s="801">
        <f>COUNTIF('UG Map L4-L6'!J3:J52, "Drishty")</f>
        <v>0</v>
      </c>
      <c r="G9" s="792">
        <f>COUNTIF('PG Delivery &amp; Map (15 Credits)'!J3:J18, "Drishty")</f>
        <v>0</v>
      </c>
      <c r="H9" s="433"/>
      <c r="I9" s="429">
        <f>COUNTIF('PG MAIDS'!G3:G7, "Drishty")</f>
        <v>1</v>
      </c>
      <c r="J9" s="29">
        <f>COUNTIF('PG MAIDS'!H3:H7, "Drishty")+COUNTIF('PG MAIDS'!I3:I7, "Drishty")</f>
        <v>0</v>
      </c>
      <c r="K9" s="812">
        <f t="shared" si="1"/>
        <v>3</v>
      </c>
      <c r="L9" s="813">
        <f t="shared" si="0"/>
        <v>0</v>
      </c>
      <c r="M9" s="628"/>
      <c r="N9" s="677" t="s">
        <v>270</v>
      </c>
      <c r="O9" s="673" t="s">
        <v>270</v>
      </c>
      <c r="P9" s="628"/>
      <c r="Q9" s="629">
        <f>SUM('Super Staff Cover'!H6)</f>
        <v>12</v>
      </c>
      <c r="R9" s="649"/>
      <c r="S9" s="438"/>
      <c r="T9" s="438">
        <v>1</v>
      </c>
      <c r="U9" s="438"/>
      <c r="V9" s="438"/>
      <c r="W9" s="438">
        <v>1</v>
      </c>
      <c r="X9" s="438"/>
      <c r="Y9" s="438"/>
      <c r="Z9" s="40"/>
    </row>
    <row r="10" spans="1:26">
      <c r="A10" s="13">
        <v>8</v>
      </c>
      <c r="B10" s="626" t="s">
        <v>80</v>
      </c>
      <c r="C10" s="28">
        <f>COUNTIF(Foundation!G3:G8, "Taiwo")</f>
        <v>0</v>
      </c>
      <c r="D10" s="423"/>
      <c r="E10" s="419">
        <f>COUNTIF('UG Map L4-L6'!I3:I53, "Taiwo")</f>
        <v>1</v>
      </c>
      <c r="F10" s="801">
        <f>COUNTIF('UG Map L4-L6'!J3:J52, "Taiwo")</f>
        <v>1</v>
      </c>
      <c r="G10" s="792">
        <f>COUNTIF('PG Delivery &amp; Map (15 Credits)'!J3:J18, "Taiwo")</f>
        <v>1</v>
      </c>
      <c r="H10" s="433"/>
      <c r="I10" s="428">
        <f>COUNTIF('PG MAIDS'!G3:G7, "Taiwo")</f>
        <v>0</v>
      </c>
      <c r="J10" s="29">
        <f>COUNTIF('PG MAIDS'!H3:H7, "Taiwo")+COUNTIF('PG MAIDS'!I3:I7, "Taiwo")</f>
        <v>1</v>
      </c>
      <c r="K10" s="812">
        <f t="shared" si="1"/>
        <v>2</v>
      </c>
      <c r="L10" s="813">
        <f t="shared" si="0"/>
        <v>2</v>
      </c>
      <c r="M10" s="628"/>
      <c r="N10" s="677" t="s">
        <v>270</v>
      </c>
      <c r="O10" s="673"/>
      <c r="P10" s="628"/>
      <c r="Q10" s="629">
        <f>SUM('Super Staff Cover'!H21)</f>
        <v>2</v>
      </c>
      <c r="R10" s="649"/>
      <c r="S10" s="437"/>
      <c r="T10" s="437"/>
      <c r="U10" s="437"/>
      <c r="V10" s="437">
        <v>1</v>
      </c>
      <c r="W10" s="437"/>
      <c r="X10" s="437"/>
      <c r="Y10" s="437"/>
      <c r="Z10" s="39"/>
    </row>
    <row r="11" spans="1:26">
      <c r="A11" s="13">
        <v>9</v>
      </c>
      <c r="B11" s="17" t="s">
        <v>54</v>
      </c>
      <c r="C11" s="28">
        <f>COUNTIF(Foundation!G3:G8, "Jarutas")</f>
        <v>0</v>
      </c>
      <c r="D11" s="423"/>
      <c r="E11" s="419">
        <f>COUNTIF('UG Map L4-L6'!I3:I53, "Jarutas")</f>
        <v>1</v>
      </c>
      <c r="F11" s="801">
        <f>COUNTIF('UG Map L4-L6'!J3:J52, "Jarutas")</f>
        <v>0</v>
      </c>
      <c r="G11" s="792">
        <f>COUNTIF('PG Delivery &amp; Map (15 Credits)'!J3:J18, "Jarutas")</f>
        <v>0</v>
      </c>
      <c r="H11" s="433"/>
      <c r="I11" s="428">
        <f>COUNTIF('PG MAIDS'!G3:G7, "Jarutas")</f>
        <v>1</v>
      </c>
      <c r="J11" s="29">
        <f>COUNTIF('PG MAIDS'!H3:H7, "Jarutas")+COUNTIF('PG MAIDS'!I3:I7, "Jarutas")</f>
        <v>0</v>
      </c>
      <c r="K11" s="812">
        <f t="shared" si="1"/>
        <v>2</v>
      </c>
      <c r="L11" s="813">
        <f t="shared" si="0"/>
        <v>0</v>
      </c>
      <c r="M11" s="628"/>
      <c r="N11" s="677" t="s">
        <v>270</v>
      </c>
      <c r="O11" s="673" t="s">
        <v>270</v>
      </c>
      <c r="P11" s="628"/>
      <c r="Q11" s="629">
        <f>SUM('Super Staff Cover'!H8)</f>
        <v>12</v>
      </c>
      <c r="R11" s="649"/>
      <c r="S11" s="437"/>
      <c r="T11" s="437"/>
      <c r="U11" s="437"/>
      <c r="V11" s="437"/>
      <c r="W11" s="437">
        <v>1</v>
      </c>
      <c r="X11" s="437"/>
      <c r="Y11" s="437"/>
      <c r="Z11" s="39"/>
    </row>
    <row r="12" spans="1:26">
      <c r="A12" s="13">
        <v>10</v>
      </c>
      <c r="B12" s="17" t="s">
        <v>12</v>
      </c>
      <c r="C12" s="28">
        <f>COUNTIF(Foundation!G3:G8, "Kalin")</f>
        <v>2</v>
      </c>
      <c r="D12" s="423"/>
      <c r="E12" s="419">
        <f>COUNTIF('UG Map L4-L6'!I3:I53, "Kalin")</f>
        <v>2</v>
      </c>
      <c r="F12" s="801">
        <f>COUNTIF('UG Map L4-L6'!J3:J52, "Joe")</f>
        <v>0</v>
      </c>
      <c r="G12" s="792">
        <f>COUNTIF('PG Delivery &amp; Map (15 Credits)'!J3:J18, "Kalin")</f>
        <v>3</v>
      </c>
      <c r="H12" s="433"/>
      <c r="I12" s="428">
        <f>COUNTIF('PG MAIDS'!G3:G7, " ")</f>
        <v>0</v>
      </c>
      <c r="J12" s="29">
        <f>COUNTIF('PG MAIDS'!H3:H7, "kalin")+COUNTIF('PG MAIDS'!I3:I7, "kalin")</f>
        <v>0</v>
      </c>
      <c r="K12" s="812">
        <f t="shared" si="1"/>
        <v>7</v>
      </c>
      <c r="L12" s="813">
        <f t="shared" si="0"/>
        <v>0</v>
      </c>
      <c r="M12" s="628"/>
      <c r="N12" s="677" t="s">
        <v>270</v>
      </c>
      <c r="O12" s="673" t="s">
        <v>270</v>
      </c>
      <c r="P12" s="628"/>
      <c r="Q12" s="629">
        <f>SUM('Super Staff Cover'!H9)</f>
        <v>4</v>
      </c>
      <c r="R12" s="649"/>
      <c r="S12" s="437">
        <v>1</v>
      </c>
      <c r="T12" s="437"/>
      <c r="U12" s="437"/>
      <c r="V12" s="437"/>
      <c r="W12" s="437"/>
      <c r="X12" s="437"/>
      <c r="Y12" s="437"/>
      <c r="Z12" s="39"/>
    </row>
    <row r="13" spans="1:26">
      <c r="A13" s="13">
        <v>11</v>
      </c>
      <c r="B13" s="19" t="s">
        <v>272</v>
      </c>
      <c r="C13" s="28">
        <f>COUNTIF(Foundation!G3:G8, "Kenton")</f>
        <v>0</v>
      </c>
      <c r="D13" s="423"/>
      <c r="E13" s="419">
        <f>COUNTIF('UG Map L4-L6'!I3:I53, "Kenton")</f>
        <v>5</v>
      </c>
      <c r="F13" s="801">
        <f>COUNTIF('UG Map L4-L6'!J3:J52, "Kenton")</f>
        <v>0</v>
      </c>
      <c r="G13" s="792">
        <f>COUNTIF('PG Delivery &amp; Map (15 Credits)'!J3:J18, "Kenton")</f>
        <v>1</v>
      </c>
      <c r="H13" s="433"/>
      <c r="I13" s="428">
        <f>COUNTIF('PG MAIDS'!G3:G7, "Kenton")</f>
        <v>0</v>
      </c>
      <c r="J13" s="29">
        <f>COUNTIF('PG MAIDS'!H3:H7, " ")+COUNTIF('PG MAIDS'!I3:I7, " ")</f>
        <v>0</v>
      </c>
      <c r="K13" s="812">
        <f t="shared" si="1"/>
        <v>6</v>
      </c>
      <c r="L13" s="813">
        <f t="shared" si="0"/>
        <v>0</v>
      </c>
      <c r="M13" s="628"/>
      <c r="N13" s="677" t="s">
        <v>270</v>
      </c>
      <c r="O13" s="673" t="s">
        <v>270</v>
      </c>
      <c r="P13" s="628"/>
      <c r="Q13" s="629">
        <f>SUM('Super Staff Cover'!H11)</f>
        <v>2</v>
      </c>
      <c r="R13" s="649"/>
      <c r="S13" s="438"/>
      <c r="T13" s="438"/>
      <c r="U13" s="438"/>
      <c r="V13" s="438"/>
      <c r="W13" s="438"/>
      <c r="X13" s="438">
        <v>1</v>
      </c>
      <c r="Y13" s="438"/>
      <c r="Z13" s="40"/>
    </row>
    <row r="14" spans="1:26">
      <c r="A14" s="13">
        <v>12</v>
      </c>
      <c r="B14" s="184" t="s">
        <v>152</v>
      </c>
      <c r="C14" s="28"/>
      <c r="D14" s="423"/>
      <c r="E14" s="419">
        <f>COUNTIF('UG Map L4-L6'!I3:I53, "Kashif")</f>
        <v>0</v>
      </c>
      <c r="F14" s="801">
        <f>COUNTIF('UG Map L4-L6'!J3:J52, "Kashif")</f>
        <v>0</v>
      </c>
      <c r="G14" s="792">
        <f>COUNTIF('PG Delivery &amp; Map (15 Credits)'!J3:J18, "Kashif")</f>
        <v>1</v>
      </c>
      <c r="H14" s="433"/>
      <c r="I14" s="428">
        <f>COUNTIF('PG MAIDS'!G3:G7, "Kashif")</f>
        <v>1</v>
      </c>
      <c r="J14" s="29">
        <f>COUNTIF('PG MAIDS'!I3:I7, "Kashif")</f>
        <v>0</v>
      </c>
      <c r="K14" s="812">
        <f>SUM(C14+E14+G14+I14)</f>
        <v>2</v>
      </c>
      <c r="L14" s="813">
        <f t="shared" si="0"/>
        <v>0</v>
      </c>
      <c r="M14" s="628"/>
      <c r="N14" s="676"/>
      <c r="O14" s="673" t="s">
        <v>270</v>
      </c>
      <c r="P14" s="628"/>
      <c r="Q14" s="629">
        <f>SUM('Super Staff Cover'!H10)</f>
        <v>8</v>
      </c>
      <c r="R14" s="649"/>
      <c r="S14" s="438"/>
      <c r="T14" s="438"/>
      <c r="U14" s="438"/>
      <c r="V14" s="438"/>
      <c r="W14" s="438">
        <v>1</v>
      </c>
      <c r="X14" s="438"/>
      <c r="Y14" s="438"/>
      <c r="Z14" s="40"/>
    </row>
    <row r="15" spans="1:26">
      <c r="A15" s="13">
        <v>13</v>
      </c>
      <c r="B15" s="185" t="s">
        <v>273</v>
      </c>
      <c r="C15" s="28">
        <f>COUNTIF(Foundation!G3:G8, "Louise")</f>
        <v>1</v>
      </c>
      <c r="D15" s="423"/>
      <c r="E15" s="420">
        <f>COUNTIF('UG Map L4-L6'!I3:I53, "Louise")</f>
        <v>1</v>
      </c>
      <c r="F15" s="801">
        <f>COUNTIF('UG Map L4-L6'!J3:J52, "Louise")</f>
        <v>0</v>
      </c>
      <c r="G15" s="792">
        <f>COUNTIF('PG Delivery &amp; Map (15 Credits)'!J3:J18, "Louise")</f>
        <v>0</v>
      </c>
      <c r="H15" s="433">
        <f>COUNTIF('PG Delivery &amp; Map (15 Credits)'!L2:L18, "Louise")</f>
        <v>0</v>
      </c>
      <c r="I15" s="428">
        <f>COUNTIF('PG MAIDS'!G3:G7, " ")</f>
        <v>0</v>
      </c>
      <c r="J15" s="29">
        <f>COUNTIF('PG MAIDS'!H3:H7, " ")+COUNTIF('PG MAIDS'!I3:I7, " ")</f>
        <v>0</v>
      </c>
      <c r="K15" s="812">
        <f t="shared" si="1"/>
        <v>2</v>
      </c>
      <c r="L15" s="813">
        <f t="shared" si="0"/>
        <v>0</v>
      </c>
      <c r="M15" s="628"/>
      <c r="N15" s="677" t="s">
        <v>270</v>
      </c>
      <c r="O15" s="673"/>
      <c r="P15" s="628"/>
      <c r="Q15" s="654" t="s">
        <v>112</v>
      </c>
      <c r="R15" s="649"/>
      <c r="S15" s="439"/>
      <c r="T15" s="439"/>
      <c r="U15" s="439"/>
      <c r="V15" s="439">
        <v>1</v>
      </c>
      <c r="W15" s="439"/>
      <c r="X15" s="439"/>
      <c r="Y15" s="439"/>
      <c r="Z15" s="72">
        <v>1</v>
      </c>
    </row>
    <row r="16" spans="1:26">
      <c r="A16" s="13">
        <v>14</v>
      </c>
      <c r="B16" s="417" t="s">
        <v>10</v>
      </c>
      <c r="C16" s="30">
        <f>COUNTIF(Foundation!G3:G8, "Martin")</f>
        <v>1</v>
      </c>
      <c r="D16" s="424"/>
      <c r="E16" s="420">
        <f>COUNTIF('UG Map L4-L6'!I3:I53, "Martin")</f>
        <v>6</v>
      </c>
      <c r="F16" s="801">
        <f>COUNTIF('UG Map L4-L6'!J3:J52, "Martin")</f>
        <v>0</v>
      </c>
      <c r="G16" s="793">
        <f>COUNTIF('PG Delivery &amp; Map (15 Credits)'!J3:J18, "Martin")</f>
        <v>2</v>
      </c>
      <c r="H16" s="434"/>
      <c r="I16" s="430">
        <f>COUNTIF('PG MAIDS'!G3:G7, " ")</f>
        <v>0</v>
      </c>
      <c r="J16" s="284">
        <f>COUNTIF('PG MAIDS'!H3:H7, " ")+COUNTIF('PG MAIDS'!I3:I7, " ")</f>
        <v>0</v>
      </c>
      <c r="K16" s="812">
        <f t="shared" si="1"/>
        <v>9</v>
      </c>
      <c r="L16" s="813">
        <f t="shared" si="0"/>
        <v>0</v>
      </c>
      <c r="M16" s="628"/>
      <c r="N16" s="677" t="s">
        <v>270</v>
      </c>
      <c r="O16" s="673" t="s">
        <v>270</v>
      </c>
      <c r="P16" s="628"/>
      <c r="Q16" s="629">
        <f>SUM('Super Staff Cover'!H13)</f>
        <v>5</v>
      </c>
      <c r="R16" s="649"/>
      <c r="S16" s="440"/>
      <c r="T16" s="440">
        <v>1</v>
      </c>
      <c r="U16" s="440"/>
      <c r="V16" s="440"/>
      <c r="W16" s="440"/>
      <c r="X16" s="440"/>
      <c r="Y16" s="440"/>
      <c r="Z16" s="435"/>
    </row>
    <row r="17" spans="1:26">
      <c r="A17" s="13">
        <v>15</v>
      </c>
      <c r="B17" s="17" t="s">
        <v>274</v>
      </c>
      <c r="C17" s="583"/>
      <c r="D17" s="584"/>
      <c r="E17" s="585"/>
      <c r="F17" s="802"/>
      <c r="G17" s="794"/>
      <c r="H17" s="586"/>
      <c r="I17" s="587"/>
      <c r="J17" s="588">
        <f>COUNTIF('PG MAIDS'!H3:H7, " ")+COUNTIF('PG MAIDS'!I3:I7, " ")</f>
        <v>0</v>
      </c>
      <c r="K17" s="812">
        <f t="shared" si="1"/>
        <v>0</v>
      </c>
      <c r="L17" s="813">
        <f t="shared" si="0"/>
        <v>0</v>
      </c>
      <c r="M17" s="628"/>
      <c r="N17" s="676"/>
      <c r="O17" s="673"/>
      <c r="P17" s="628"/>
      <c r="Q17" s="629">
        <f>SUM('Super Staff Cover'!H12)</f>
        <v>10</v>
      </c>
      <c r="R17" s="649"/>
      <c r="S17" s="70"/>
      <c r="T17" s="70"/>
      <c r="U17" s="70"/>
      <c r="V17" s="70"/>
      <c r="W17" s="70"/>
      <c r="X17" s="70"/>
      <c r="Y17" s="70"/>
      <c r="Z17" s="142"/>
    </row>
    <row r="18" spans="1:26" s="630" customFormat="1">
      <c r="A18" s="13">
        <v>16</v>
      </c>
      <c r="B18" s="418" t="s">
        <v>275</v>
      </c>
      <c r="C18" s="656">
        <f>COUNTIF(Foundation!G3:G8, "Mike")</f>
        <v>0</v>
      </c>
      <c r="D18" s="657"/>
      <c r="E18" s="658">
        <f>COUNTIF('UG Map L4-L6'!I3:I53, "Mike")</f>
        <v>0</v>
      </c>
      <c r="F18" s="803">
        <f>COUNTIF('UG Map L4-L6'!J3:J52, "Mike")</f>
        <v>3</v>
      </c>
      <c r="G18" s="795">
        <f>COUNTIF('PG Delivery &amp; Map (15 Credits)'!J3:J18, "Mike")</f>
        <v>0</v>
      </c>
      <c r="H18" s="659">
        <f>COUNTIF('PG Delivery &amp; Map (15 Credits)'!L3:L18, "Mike")+COUNTIF('PG Delivery &amp; Map (15 Credits)'!K3:K18, "Mike")</f>
        <v>1</v>
      </c>
      <c r="I18" s="660">
        <f>COUNTIF('PG MAIDS'!G3:G7, " ")</f>
        <v>0</v>
      </c>
      <c r="J18" s="661">
        <f>COUNTIF('PG MAIDS'!H3:H7, " ")+COUNTIF('PG MAIDS'!I3:I7, " ")</f>
        <v>0</v>
      </c>
      <c r="K18" s="814">
        <f>SUM(C18+E18+G18+I18)</f>
        <v>0</v>
      </c>
      <c r="L18" s="815">
        <f>SUM(D18+F18+H18+J18)</f>
        <v>4</v>
      </c>
      <c r="M18" s="653"/>
      <c r="N18" s="677" t="s">
        <v>270</v>
      </c>
      <c r="O18" s="674"/>
      <c r="P18" s="653"/>
      <c r="Q18" s="654" t="s">
        <v>112</v>
      </c>
      <c r="R18" s="655"/>
      <c r="S18" s="445"/>
      <c r="T18" s="445"/>
      <c r="U18" s="445"/>
      <c r="V18" s="445"/>
      <c r="W18" s="445"/>
      <c r="X18" s="445"/>
      <c r="Y18" s="445">
        <v>1</v>
      </c>
      <c r="Z18" s="444"/>
    </row>
    <row r="19" spans="1:26">
      <c r="A19" s="13">
        <v>17</v>
      </c>
      <c r="B19" s="19" t="s">
        <v>43</v>
      </c>
      <c r="C19" s="30">
        <f>COUNTIF(Foundation!G3:G8, "Neville")</f>
        <v>0</v>
      </c>
      <c r="D19" s="424"/>
      <c r="E19" s="420">
        <f>COUNTIF('UG Map L4-L6'!I3:I53, "Neville")</f>
        <v>5</v>
      </c>
      <c r="F19" s="801">
        <f>COUNTIF('UG Map L4-L6'!J3:J52, "Neville")</f>
        <v>0</v>
      </c>
      <c r="G19" s="792">
        <f>COUNTIF('PG Delivery &amp; Map (15 Credits)'!J3:J18, "Neville")</f>
        <v>0</v>
      </c>
      <c r="H19" s="433"/>
      <c r="I19" s="428">
        <f>COUNTIF('PG MAIDS'!G3:G7, " ")</f>
        <v>0</v>
      </c>
      <c r="J19" s="29">
        <f>COUNTIF('PG MAIDS'!H3:H7, " ")+COUNTIF('PG MAIDS'!I3:I7, " ")</f>
        <v>0</v>
      </c>
      <c r="K19" s="812">
        <f>SUM(C19+E19+G19+I19)</f>
        <v>5</v>
      </c>
      <c r="L19" s="813">
        <f>SUM(D19+F19+H19+J19)</f>
        <v>0</v>
      </c>
      <c r="M19" s="628"/>
      <c r="N19" s="677" t="s">
        <v>270</v>
      </c>
      <c r="O19" s="673"/>
      <c r="P19" s="628"/>
      <c r="Q19" s="629">
        <f>SUM('Super Staff Cover'!H16)</f>
        <v>0</v>
      </c>
      <c r="R19" s="649"/>
      <c r="S19" s="437"/>
      <c r="T19" s="437"/>
      <c r="U19" s="437">
        <v>0.5</v>
      </c>
      <c r="V19" s="437"/>
      <c r="W19" s="437"/>
      <c r="X19" s="437"/>
      <c r="Y19" s="437"/>
      <c r="Z19" s="39"/>
    </row>
    <row r="20" spans="1:26">
      <c r="A20" s="13">
        <v>18</v>
      </c>
      <c r="B20" s="17" t="s">
        <v>59</v>
      </c>
      <c r="C20" s="31">
        <f>COUNTIF(Foundation!G3:G8, "Nick")</f>
        <v>0</v>
      </c>
      <c r="D20" s="423"/>
      <c r="E20" s="420">
        <f>COUNTIF('UG Map L4-L6'!I3:I53, "Nick")</f>
        <v>7</v>
      </c>
      <c r="F20" s="801">
        <f>COUNTIF('UG Map L4-L6'!J3:J52, "Nick")</f>
        <v>0</v>
      </c>
      <c r="G20" s="792">
        <f>COUNTIF('PG Delivery &amp; Map (15 Credits)'!J3:J18, "Nick")</f>
        <v>0</v>
      </c>
      <c r="H20" s="433"/>
      <c r="I20" s="428">
        <f>COUNTIF('PG MAIDS'!G3:G7, " ")</f>
        <v>0</v>
      </c>
      <c r="J20" s="29">
        <f>COUNTIF('PG MAIDS'!H3:H7, " ")+COUNTIF('PG MAIDS'!I3:I7, " ")</f>
        <v>0</v>
      </c>
      <c r="K20" s="812">
        <f>SUM(C20+E20+G20+I20)</f>
        <v>7</v>
      </c>
      <c r="L20" s="813">
        <f>SUM(D20+F20+H20+J20)</f>
        <v>0</v>
      </c>
      <c r="M20" s="628"/>
      <c r="N20" s="677" t="s">
        <v>270</v>
      </c>
      <c r="O20" s="673"/>
      <c r="P20" s="628"/>
      <c r="Q20" s="629">
        <f>SUM('Super Staff Cover'!H15)</f>
        <v>4</v>
      </c>
      <c r="R20" s="649"/>
      <c r="S20" s="438"/>
      <c r="T20" s="438"/>
      <c r="U20" s="438">
        <v>1</v>
      </c>
      <c r="V20" s="438"/>
      <c r="W20" s="438"/>
      <c r="X20" s="438"/>
      <c r="Y20" s="438"/>
      <c r="Z20" s="40"/>
    </row>
    <row r="21" spans="1:26">
      <c r="A21" s="13">
        <v>19</v>
      </c>
      <c r="B21" s="19" t="s">
        <v>276</v>
      </c>
      <c r="C21" s="31">
        <f>COUNTIF(Foundation!G3:G8, "Pengfei")</f>
        <v>0</v>
      </c>
      <c r="D21" s="423"/>
      <c r="E21" s="420">
        <f>COUNTIF('UG Map L4-L6'!I3:I53, "Pengfei")</f>
        <v>0</v>
      </c>
      <c r="F21" s="801">
        <f>COUNTIF('UG Map L4-L6'!J3:J52, "Pengfei")</f>
        <v>3</v>
      </c>
      <c r="G21" s="793">
        <f>COUNTIF('PG Delivery &amp; Map (15 Credits)'!J3:J18, "Pengfei")</f>
        <v>2</v>
      </c>
      <c r="H21" s="433"/>
      <c r="I21" s="428">
        <f>COUNTIF('PG Delivery &amp; Map (15 Credits)'!J3:J18, "Warren")</f>
        <v>1</v>
      </c>
      <c r="J21" s="29">
        <f>COUNTIF('PG MAIDS'!H3:H7, "Pengfei")+COUNTIF('PG MAIDS'!I3:I7, "Pengfei")</f>
        <v>0</v>
      </c>
      <c r="K21" s="812">
        <f>SUM(C21+E21+G21+I21)</f>
        <v>3</v>
      </c>
      <c r="L21" s="813">
        <f>SUM(D21+F21+H21+J21)</f>
        <v>3</v>
      </c>
      <c r="M21" s="628"/>
      <c r="N21" s="677" t="s">
        <v>270</v>
      </c>
      <c r="O21" s="673" t="s">
        <v>270</v>
      </c>
      <c r="P21" s="628"/>
      <c r="Q21" s="629">
        <f>SUM('Super Staff Cover'!H17)</f>
        <v>17</v>
      </c>
      <c r="R21" s="649"/>
      <c r="S21" s="437"/>
      <c r="T21" s="437"/>
      <c r="U21" s="437"/>
      <c r="V21" s="437"/>
      <c r="W21" s="437"/>
      <c r="X21" s="437">
        <v>1</v>
      </c>
      <c r="Y21" s="437"/>
      <c r="Z21" s="39"/>
    </row>
    <row r="22" spans="1:26">
      <c r="A22" s="13">
        <v>20</v>
      </c>
      <c r="B22" s="724" t="s">
        <v>240</v>
      </c>
      <c r="C22" s="31">
        <f>COUNTIF(Foundation!G2:G7, "Raza")</f>
        <v>0</v>
      </c>
      <c r="D22" s="423"/>
      <c r="E22" s="420">
        <f>COUNTIF('UG Map L4-L6'!I2:I52, "Raza")</f>
        <v>0</v>
      </c>
      <c r="F22" s="801">
        <f>COUNTIF('UG Map L4-L6'!K2:K51, "Raza")</f>
        <v>0</v>
      </c>
      <c r="G22" s="796">
        <f>COUNTIF('PG Delivery &amp; Map (15 Credits)'!J3:J18, "Raza")</f>
        <v>0</v>
      </c>
      <c r="H22" s="285"/>
      <c r="I22" s="428">
        <f>COUNTIF('PG MAIDS'!G2:G6, "Raza")</f>
        <v>0</v>
      </c>
      <c r="J22" s="663">
        <f>COUNTIF('PG MAIDS'!H2:H6, "Raza")+COUNTIF('PG MAIDS'!I2:I6, "Raza")</f>
        <v>1</v>
      </c>
      <c r="K22" s="812">
        <f>SUM(C22+E22+G22+I22)</f>
        <v>0</v>
      </c>
      <c r="L22" s="815">
        <f>SUM(D22+F22+H22+J22)</f>
        <v>1</v>
      </c>
      <c r="M22" s="628"/>
      <c r="N22" s="676"/>
      <c r="O22" s="673"/>
      <c r="P22" s="628"/>
      <c r="Q22" s="629">
        <f>SUM('Super Staff Cover'!H19)</f>
        <v>6</v>
      </c>
      <c r="R22" s="649"/>
      <c r="S22" s="437"/>
      <c r="T22" s="437"/>
      <c r="U22" s="437"/>
      <c r="V22" s="437"/>
      <c r="W22" s="437">
        <v>1</v>
      </c>
      <c r="X22" s="437"/>
      <c r="Y22" s="437"/>
      <c r="Z22" s="39"/>
    </row>
    <row r="23" spans="1:26">
      <c r="A23" s="13">
        <v>21</v>
      </c>
      <c r="B23" s="17" t="s">
        <v>78</v>
      </c>
      <c r="C23" s="31">
        <f>COUNTIF(Foundation!G3:G8, "Shakeel")</f>
        <v>0</v>
      </c>
      <c r="D23" s="423"/>
      <c r="E23" s="420">
        <f>COUNTIF('UG Map L4-L6'!I3:I53, "Shakeel")</f>
        <v>1</v>
      </c>
      <c r="F23" s="801">
        <f>COUNTIF('UG Map L4-L6'!J3:J52, "Shakeel")</f>
        <v>0</v>
      </c>
      <c r="G23" s="796">
        <f>COUNTIF('PG Delivery &amp; Map (15 Credits)'!J3:J18, "Shakeel")</f>
        <v>0</v>
      </c>
      <c r="H23" s="285"/>
      <c r="I23" s="428">
        <f>COUNTIF('PG MAIDS'!G3:G7, "Shakeel")</f>
        <v>1</v>
      </c>
      <c r="J23" s="29">
        <f>COUNTIF('PG MAIDS'!H3:H7, "Shakeel")+COUNTIF('PG MAIDS'!I3:I7, "Shakeel")</f>
        <v>0</v>
      </c>
      <c r="K23" s="812">
        <f>SUM(C23+E23+G23+I23)</f>
        <v>2</v>
      </c>
      <c r="L23" s="813">
        <f>SUM(D23+F23+H23+J23)</f>
        <v>0</v>
      </c>
      <c r="M23" s="628"/>
      <c r="N23" s="677" t="s">
        <v>270</v>
      </c>
      <c r="O23" s="673" t="s">
        <v>270</v>
      </c>
      <c r="P23" s="628"/>
      <c r="Q23" s="629">
        <f>SUM('Super Staff Cover'!H22)</f>
        <v>0</v>
      </c>
      <c r="R23" s="649"/>
      <c r="S23" s="438">
        <v>1</v>
      </c>
      <c r="T23" s="438">
        <v>1</v>
      </c>
      <c r="U23" s="438"/>
      <c r="V23" s="438"/>
      <c r="W23" s="438"/>
      <c r="X23" s="438"/>
      <c r="Y23" s="438"/>
      <c r="Z23" s="40"/>
    </row>
    <row r="24" spans="1:26">
      <c r="A24" s="13">
        <v>22</v>
      </c>
      <c r="B24" s="498" t="s">
        <v>277</v>
      </c>
      <c r="C24" s="31">
        <f>COUNTIF(Foundation!G3:G8, "Tomasz")</f>
        <v>0</v>
      </c>
      <c r="D24" s="423"/>
      <c r="E24" s="420">
        <f>COUNTIF('UG Map L4-L6'!I3:I53, "Tomasz")</f>
        <v>0</v>
      </c>
      <c r="F24" s="801">
        <f>COUNTIF('UG Map L4-L6'!J3:J52, "Tomasz")</f>
        <v>0</v>
      </c>
      <c r="G24" s="796">
        <f>COUNTIF('PG Delivery &amp; Map (15 Credits)'!J3:J18, "Tomasz")</f>
        <v>1</v>
      </c>
      <c r="H24" s="285"/>
      <c r="I24" s="428">
        <f>COUNTIF('PG MAIDS'!G3:G7, " ")</f>
        <v>0</v>
      </c>
      <c r="J24" s="29">
        <f>COUNTIF('PG MAIDS'!H3:H7, " ")+COUNTIF('PG MAIDS'!I3:I7, " ")</f>
        <v>0</v>
      </c>
      <c r="K24" s="812">
        <f>SUM(C24+E24+G24+I24)</f>
        <v>1</v>
      </c>
      <c r="L24" s="813">
        <f>SUM(D24+F24+H24+J24)</f>
        <v>0</v>
      </c>
      <c r="M24" s="628"/>
      <c r="N24" s="676"/>
      <c r="O24" s="673" t="s">
        <v>270</v>
      </c>
      <c r="P24" s="628"/>
      <c r="Q24" s="654" t="s">
        <v>112</v>
      </c>
      <c r="R24" s="649"/>
      <c r="S24" s="441"/>
      <c r="T24" s="441"/>
      <c r="U24" s="441"/>
      <c r="V24" s="441"/>
      <c r="W24" s="441"/>
      <c r="X24" s="441">
        <v>1</v>
      </c>
      <c r="Y24" s="441"/>
      <c r="Z24" s="286">
        <v>1</v>
      </c>
    </row>
    <row r="25" spans="1:26">
      <c r="A25" s="13">
        <v>23</v>
      </c>
      <c r="B25" s="282" t="s">
        <v>40</v>
      </c>
      <c r="C25" s="283">
        <f>COUNTIF(Foundation!G3:G8, "Warren")</f>
        <v>0</v>
      </c>
      <c r="D25" s="424"/>
      <c r="E25" s="420">
        <f>COUNTIF('UG Map L4-L6'!I3:I53, "Warren")</f>
        <v>6</v>
      </c>
      <c r="F25" s="801">
        <f>COUNTIF('UG Map L4-L6'!J3:J52, "Warren")</f>
        <v>1</v>
      </c>
      <c r="G25" s="797">
        <f>COUNTIF('PG Delivery &amp; Map (15 Credits)'!J3:J18, "Warren")</f>
        <v>1</v>
      </c>
      <c r="H25" s="434"/>
      <c r="I25" s="430">
        <f>COUNTIF('PG MAIDS'!G3:G7, " ")</f>
        <v>0</v>
      </c>
      <c r="J25" s="284">
        <f>COUNTIF('PG MAIDS'!H3:H7, " ")+COUNTIF('PG MAIDS'!I3:I7, " ")</f>
        <v>0</v>
      </c>
      <c r="K25" s="812">
        <f>SUM(C25+E25+G25+I25)</f>
        <v>7</v>
      </c>
      <c r="L25" s="813">
        <f>SUM(D25+F25+H25+J25)</f>
        <v>1</v>
      </c>
      <c r="M25" s="628"/>
      <c r="N25" s="677" t="s">
        <v>270</v>
      </c>
      <c r="O25" s="673"/>
      <c r="P25" s="628"/>
      <c r="Q25" s="629">
        <f>SUM('Super Staff Cover'!H23)</f>
        <v>0</v>
      </c>
      <c r="R25" s="649"/>
      <c r="S25" s="438"/>
      <c r="T25" s="438"/>
      <c r="U25" s="438"/>
      <c r="V25" s="438">
        <v>1</v>
      </c>
      <c r="W25" s="438"/>
      <c r="X25" s="438"/>
      <c r="Y25" s="438"/>
      <c r="Z25" s="40"/>
    </row>
    <row r="26" spans="1:26">
      <c r="A26" s="13">
        <v>25</v>
      </c>
      <c r="B26" s="672" t="s">
        <v>278</v>
      </c>
      <c r="C26" s="589">
        <f>COUNTIF(Foundation!G4:G9, "Craig")</f>
        <v>0</v>
      </c>
      <c r="D26" s="590"/>
      <c r="E26" s="591">
        <f>COUNTIF('UG Map L4-L6'!I4:I54, "Craig")</f>
        <v>2</v>
      </c>
      <c r="F26" s="804">
        <f>COUNTIF('UG Map L4-L6'!J4:J53, "Craig")+COUNTIF('UG Map L4-L6'!K4:JJ53, "Craig")</f>
        <v>1</v>
      </c>
      <c r="G26" s="798">
        <f>COUNTIF('PG Delivery &amp; Map (15 Credits)'!J3:J18, "Craig")</f>
        <v>0</v>
      </c>
      <c r="H26" s="592"/>
      <c r="I26" s="581">
        <f>COUNTIF('PG MAIDS'!G4:G8, "Craig")</f>
        <v>0</v>
      </c>
      <c r="J26" s="582">
        <f>COUNTIF('PG MAIDS'!H4:H8, "Craig")+COUNTIF('PG MAIDS'!I4:I8, "Craig")</f>
        <v>0</v>
      </c>
      <c r="K26" s="812">
        <f>SUM(C26+E26+G26+I26)</f>
        <v>2</v>
      </c>
      <c r="L26" s="813">
        <f>SUM(D26+F26+H26+J26)</f>
        <v>1</v>
      </c>
      <c r="M26" s="628"/>
      <c r="N26" s="676" t="s">
        <v>270</v>
      </c>
      <c r="O26" s="673"/>
      <c r="P26" s="628"/>
      <c r="Q26" s="629">
        <f>SUM('Super Staff Cover'!H23)</f>
        <v>0</v>
      </c>
      <c r="R26" s="649"/>
      <c r="S26" s="70"/>
      <c r="T26" s="70"/>
      <c r="U26" s="70"/>
      <c r="V26" s="70"/>
      <c r="W26" s="70"/>
      <c r="X26" s="302">
        <v>1</v>
      </c>
      <c r="Y26" s="70"/>
      <c r="Z26" s="142"/>
    </row>
    <row r="27" spans="1:26">
      <c r="A27" s="13">
        <v>26</v>
      </c>
      <c r="B27" s="626" t="s">
        <v>279</v>
      </c>
      <c r="C27" s="589">
        <f>COUNTIF(Foundation!G5:G10, "Armen")</f>
        <v>1</v>
      </c>
      <c r="D27" s="590"/>
      <c r="E27" s="591">
        <f>COUNTIF('UG Map L4-L6'!I5:I55, "Armen")</f>
        <v>1</v>
      </c>
      <c r="F27" s="804">
        <f>COUNTIF('UG Map L4-L6'!K5:K54, "Armen")</f>
        <v>0</v>
      </c>
      <c r="G27" s="798">
        <f>COUNTIF('PG Delivery &amp; Map (15 Credits)'!J3:J18, "Armen")</f>
        <v>0</v>
      </c>
      <c r="H27" s="592"/>
      <c r="I27" s="806">
        <f>COUNTIF('PG MAIDS'!G5:G9, "Armen")</f>
        <v>0</v>
      </c>
      <c r="J27" s="663">
        <f>COUNTIF('PG MAIDS'!H5:H9, "Armen")+COUNTIF('PG MAIDS'!I5:I9, "Armen")</f>
        <v>0</v>
      </c>
      <c r="K27" s="812">
        <f>SUM(C27+E27+G27+I27)</f>
        <v>2</v>
      </c>
      <c r="L27" s="813">
        <f>SUM(D27+F27+H27+J27)</f>
        <v>0</v>
      </c>
      <c r="M27" s="628"/>
      <c r="N27" s="678" t="s">
        <v>270</v>
      </c>
      <c r="O27" s="675" t="s">
        <v>270</v>
      </c>
      <c r="P27" s="628"/>
      <c r="Q27" s="629">
        <f>SUM('Super Staff Cover'!H34)</f>
        <v>0</v>
      </c>
      <c r="R27" s="649"/>
      <c r="S27" s="442"/>
      <c r="T27" s="442"/>
      <c r="U27" s="442"/>
      <c r="V27" s="442"/>
      <c r="W27" s="442"/>
      <c r="X27" s="301">
        <v>1</v>
      </c>
      <c r="Y27" s="442"/>
      <c r="Z27" s="289"/>
    </row>
    <row r="28" spans="1:26">
      <c r="A28" s="13">
        <v>24</v>
      </c>
      <c r="B28" s="185" t="s">
        <v>280</v>
      </c>
      <c r="C28" s="788">
        <f>COUNTIF(Foundation!G3:G8, "VACANT")</f>
        <v>0</v>
      </c>
      <c r="D28" s="790"/>
      <c r="E28" s="789">
        <f>COUNTIF('UG Map L4-L6'!I3:I53, "VACANT")</f>
        <v>0</v>
      </c>
      <c r="F28" s="805">
        <f>COUNTIF('UG Map L4-L6'!J3:J52, "VACANT")</f>
        <v>0</v>
      </c>
      <c r="G28" s="799">
        <f>COUNTIF('PG Delivery &amp; Map (15 Credits)'!J3:J18, "VACANT")</f>
        <v>0</v>
      </c>
      <c r="H28" s="808"/>
      <c r="I28" s="807">
        <f>COUNTIF('PG MAIDS'!G3:G7, "VACANT")</f>
        <v>0</v>
      </c>
      <c r="J28" s="809">
        <f>COUNTIF('PG MAIDS'!H3:H7, " ")+COUNTIF('PG MAIDS'!I3:I7, " ")</f>
        <v>0</v>
      </c>
      <c r="K28" s="816">
        <f>SUM(C28+E28+G28+I28)</f>
        <v>0</v>
      </c>
      <c r="L28" s="817">
        <f>SUM(D28+F28+H28+J28)</f>
        <v>0</v>
      </c>
      <c r="M28" s="628"/>
      <c r="N28" s="676"/>
      <c r="O28" s="673"/>
      <c r="P28" s="628"/>
      <c r="Q28" s="629"/>
      <c r="R28" s="649"/>
      <c r="S28" s="70"/>
      <c r="T28" s="70"/>
      <c r="U28" s="70"/>
      <c r="V28" s="70"/>
      <c r="W28" s="70"/>
      <c r="X28" s="70"/>
      <c r="Y28" s="70"/>
      <c r="Z28" s="142"/>
    </row>
    <row r="29" spans="1:26" ht="25.5" customHeight="1">
      <c r="A29" s="650" t="s">
        <v>281</v>
      </c>
      <c r="B29" s="651"/>
      <c r="C29" s="651"/>
      <c r="M29" s="11"/>
      <c r="N29" s="11"/>
      <c r="O29" s="11"/>
      <c r="P29" s="11"/>
      <c r="Q29" s="11"/>
      <c r="S29" s="443">
        <f>SUM(S3:S27)</f>
        <v>2</v>
      </c>
      <c r="T29" s="443">
        <f>SUM(T3:T27)</f>
        <v>3</v>
      </c>
      <c r="U29" s="443">
        <f>SUM(U3:U27)</f>
        <v>1.5</v>
      </c>
      <c r="V29" s="443">
        <f>SUM(V3:V27)</f>
        <v>4</v>
      </c>
      <c r="W29" s="443">
        <f>SUM(W4:W27)</f>
        <v>6.5</v>
      </c>
      <c r="X29" s="443">
        <f>SUM(X3:X27)</f>
        <v>5</v>
      </c>
      <c r="Y29" s="443">
        <f>SUM(Y3:Y27)</f>
        <v>1</v>
      </c>
      <c r="Z29" s="287">
        <f>SUM(Z3:Z27)</f>
        <v>3</v>
      </c>
    </row>
    <row r="30" spans="1:26">
      <c r="A30" s="645" t="s">
        <v>282</v>
      </c>
      <c r="B30" s="643"/>
      <c r="C30" s="643"/>
      <c r="D30" s="643"/>
      <c r="E30" s="643"/>
      <c r="F30" s="643"/>
      <c r="G30" s="644"/>
      <c r="H30" s="643" t="s">
        <v>283</v>
      </c>
      <c r="I30" s="643"/>
      <c r="J30" s="644"/>
      <c r="K30" s="574">
        <f>SUM(K3:K29)</f>
        <v>73</v>
      </c>
      <c r="S30" s="646"/>
      <c r="T30" s="646"/>
      <c r="U30" s="646"/>
      <c r="V30" s="646"/>
      <c r="W30" s="646"/>
      <c r="X30" s="646"/>
      <c r="Y30" s="646"/>
      <c r="Z30" s="646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42"/>
      <c r="V31" s="964" t="s">
        <v>284</v>
      </c>
      <c r="W31" s="965"/>
      <c r="X31" s="965"/>
      <c r="Y31" s="966"/>
      <c r="Z31" s="473">
        <f>SUM(S29:Z29)</f>
        <v>26</v>
      </c>
    </row>
    <row r="32" spans="1:26">
      <c r="H32" s="23"/>
      <c r="K32" s="616">
        <f>SUM(K25+K20+K16+K13+K12)</f>
        <v>36</v>
      </c>
      <c r="S32" s="11"/>
      <c r="T32" s="11"/>
      <c r="U32" s="11"/>
      <c r="V32" s="11"/>
      <c r="W32" s="11"/>
      <c r="X32" s="11"/>
      <c r="Y32" s="11"/>
      <c r="Z32" s="11"/>
    </row>
    <row r="33" spans="2:32">
      <c r="B33" s="573" t="s">
        <v>18</v>
      </c>
      <c r="V33" s="964" t="s">
        <v>285</v>
      </c>
      <c r="W33" s="965"/>
      <c r="X33" s="965"/>
      <c r="Y33" s="966"/>
      <c r="Z33" s="299">
        <f>SUM(Z31-Z29)</f>
        <v>23</v>
      </c>
    </row>
    <row r="37" spans="2:32">
      <c r="Z37" s="641"/>
      <c r="AA37" s="11"/>
      <c r="AB37" s="11"/>
      <c r="AC37" s="11"/>
      <c r="AD37" s="11"/>
      <c r="AE37" s="11"/>
      <c r="AF37" s="11"/>
    </row>
    <row r="62" spans="4:4">
      <c r="D62">
        <f>SUM(D3:D53)</f>
        <v>0</v>
      </c>
    </row>
  </sheetData>
  <sortState xmlns:xlrd2="http://schemas.microsoft.com/office/spreadsheetml/2017/richdata2" ref="A3:B25">
    <sortCondition ref="B3:B25"/>
  </sortState>
  <mergeCells count="11">
    <mergeCell ref="A1:B2"/>
    <mergeCell ref="E1:F1"/>
    <mergeCell ref="C1:D1"/>
    <mergeCell ref="G1:H1"/>
    <mergeCell ref="I1:J1"/>
    <mergeCell ref="V31:Y31"/>
    <mergeCell ref="V33:Y33"/>
    <mergeCell ref="S1:Z1"/>
    <mergeCell ref="N1:O1"/>
    <mergeCell ref="K1:L1"/>
    <mergeCell ref="Q1:Q2"/>
  </mergeCells>
  <conditionalFormatting sqref="K3:K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3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6"/>
  <sheetViews>
    <sheetView workbookViewId="0">
      <selection activeCell="D4" sqref="D4"/>
    </sheetView>
  </sheetViews>
  <sheetFormatPr defaultRowHeight="15.75" customHeight="1"/>
  <cols>
    <col min="1" max="1" width="22.375" customWidth="1"/>
    <col min="2" max="2" width="18" customWidth="1"/>
    <col min="3" max="3" width="26.625" customWidth="1"/>
    <col min="4" max="4" width="19" customWidth="1"/>
    <col min="5" max="5" width="18.87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66"/>
      <c r="B1" s="729" t="s">
        <v>286</v>
      </c>
      <c r="C1" s="736" t="s">
        <v>287</v>
      </c>
      <c r="D1" s="229" t="s">
        <v>288</v>
      </c>
      <c r="E1" s="598" t="s">
        <v>289</v>
      </c>
      <c r="F1" s="229" t="s">
        <v>290</v>
      </c>
      <c r="G1" s="229" t="s">
        <v>291</v>
      </c>
      <c r="H1" s="38" t="s">
        <v>292</v>
      </c>
      <c r="J1" s="229" t="s">
        <v>293</v>
      </c>
      <c r="K1" s="229" t="s">
        <v>294</v>
      </c>
      <c r="L1" s="229" t="s">
        <v>295</v>
      </c>
      <c r="M1" s="229" t="s">
        <v>296</v>
      </c>
      <c r="N1" s="38" t="s">
        <v>292</v>
      </c>
    </row>
    <row r="2" spans="1:14">
      <c r="A2" s="149" t="s">
        <v>115</v>
      </c>
      <c r="B2" s="731">
        <v>0</v>
      </c>
      <c r="C2" s="739"/>
      <c r="D2" s="594">
        <v>0</v>
      </c>
      <c r="E2" s="601">
        <f>SUM('COM726-Sep-23'!M8)</f>
        <v>6</v>
      </c>
      <c r="F2" s="828">
        <f>COUNTIF('COM616 - Oct 2023'!D3:D100, "Becha")</f>
        <v>0</v>
      </c>
      <c r="G2" s="828">
        <f>COUNTIF('COM726-Sep-23'!E3:E103, "Becha")</f>
        <v>0</v>
      </c>
      <c r="H2" s="787">
        <f>SUM(B2:G2)</f>
        <v>6</v>
      </c>
      <c r="J2" s="528"/>
      <c r="K2" s="528"/>
      <c r="L2" s="528"/>
      <c r="M2" s="528"/>
      <c r="N2" s="313">
        <f>SUM(J2:M2)</f>
        <v>0</v>
      </c>
    </row>
    <row r="3" spans="1:14">
      <c r="A3" s="155" t="s">
        <v>76</v>
      </c>
      <c r="B3" s="731">
        <f>COUNTIF('COM726 - May 23'!C3:C63, "Bobe")</f>
        <v>0</v>
      </c>
      <c r="C3" s="739"/>
      <c r="D3" s="594">
        <f>COUNTIF('MAA112 May 23'!C3:C12,"Bode")+COUNTIF('MAA112 May 23'!G3:G18,"Bode")+COUNTIF('MAA112 May 23'!K3:K22,"Bode")</f>
        <v>10</v>
      </c>
      <c r="E3" s="600"/>
      <c r="F3" s="594">
        <f>COUNTIF('COM616 - Oct 2023'!D3:D100, "Bobe")</f>
        <v>0</v>
      </c>
      <c r="G3" s="594">
        <f>COUNTIF('COM726-Sep-23'!E3:E103, "Bobe")</f>
        <v>0</v>
      </c>
      <c r="H3" s="786">
        <f>SUM(B3:G3)</f>
        <v>10</v>
      </c>
      <c r="J3" s="302"/>
      <c r="K3" s="302"/>
      <c r="L3" s="302"/>
      <c r="M3" s="302"/>
      <c r="N3" s="552">
        <f t="shared" ref="N3" si="0">SUM(J3:M3)</f>
        <v>0</v>
      </c>
    </row>
    <row r="4" spans="1:14">
      <c r="A4" s="149" t="s">
        <v>297</v>
      </c>
      <c r="B4" s="730">
        <f>COUNTIF('COM726 - May 23'!C3:C63, "Anthony")</f>
        <v>0</v>
      </c>
      <c r="C4" s="738"/>
      <c r="D4" s="595">
        <f>COUNTIF('MAA112 May 23'!C3:C12,"Anthony")+COUNTIF('MAA112 May 23'!G3:G18,"Anthony")+COUNTIF('MAA112 May 23'!K3:K22,"Anthony")</f>
        <v>10</v>
      </c>
      <c r="E4" s="601"/>
      <c r="F4" s="595">
        <f>COUNTIF('COM616 - Oct 2023'!D3:D100, "Anthony")</f>
        <v>0</v>
      </c>
      <c r="G4" s="595">
        <f>COUNTIF('COM726-Sep-23'!E3:E103, "Anthony")</f>
        <v>0</v>
      </c>
      <c r="H4" s="786">
        <f>SUM(B4:G4)</f>
        <v>10</v>
      </c>
      <c r="J4" s="302"/>
      <c r="K4" s="302"/>
      <c r="L4" s="302"/>
      <c r="M4" s="302"/>
      <c r="N4" s="552">
        <f t="shared" ref="N4" si="1">SUM(J4:M4)</f>
        <v>0</v>
      </c>
    </row>
    <row r="5" spans="1:14" ht="12.75" customHeight="1">
      <c r="A5" s="149" t="s">
        <v>8</v>
      </c>
      <c r="B5" s="730">
        <f>COUNTIF('COM726 - May 23'!C3:C63, "Darren")</f>
        <v>0</v>
      </c>
      <c r="C5" s="740">
        <f>COUNTIF('COM625 May 23'!D3:D8,"Darren")</f>
        <v>0</v>
      </c>
      <c r="D5" s="595">
        <f>COUNTIF('MAA112 May 23'!C3:C12,"Darren")+COUNTIF('MAA112 May 23'!G3:G18,"Anthony")+COUNTIF('MAA112 May 23'!K3:K22,"Anthony")</f>
        <v>0</v>
      </c>
      <c r="E5" s="600">
        <f>COUNTIF('COM726-Sep-23'!E3:E115, "Darren")</f>
        <v>0</v>
      </c>
      <c r="F5" s="595">
        <f>COUNTIF('COM616 - Oct 2023'!D3:D100, "Darren")</f>
        <v>0</v>
      </c>
      <c r="G5" s="595">
        <f>COUNTIF('COM726-Sep-23'!E3:E103, "Darren")</f>
        <v>0</v>
      </c>
      <c r="H5" s="786">
        <f>SUM(B5:G5)</f>
        <v>0</v>
      </c>
      <c r="J5" s="302"/>
      <c r="K5" s="302"/>
      <c r="L5" s="302"/>
      <c r="M5" s="302"/>
      <c r="N5" s="552">
        <f t="shared" ref="N5" si="2">SUM(J5:M5)</f>
        <v>0</v>
      </c>
    </row>
    <row r="6" spans="1:14">
      <c r="A6" s="149" t="s">
        <v>89</v>
      </c>
      <c r="B6" s="732">
        <f>COUNTIF('COM726 - May 23'!C3:C63, "Drishty")</f>
        <v>6</v>
      </c>
      <c r="C6" s="741">
        <v>2</v>
      </c>
      <c r="D6" s="595">
        <f>COUNTIF('MAA112 May 23'!C3:C12,"Drishty")+COUNTIF('MAA112 May 23'!G3:G18,"Drishty")+COUNTIF('MAA112 May 23'!K3:K22,"Drishty")</f>
        <v>0</v>
      </c>
      <c r="E6" s="600">
        <f>SUM('COM726-Sep-23'!M3)</f>
        <v>4</v>
      </c>
      <c r="F6" s="595">
        <f>COUNTIF('COM616 - Oct 2023'!D3:D100, "Drishty")</f>
        <v>0</v>
      </c>
      <c r="G6" s="595">
        <f>COUNTIF('COM726-Sep-23'!E3:E103, "Drishty")</f>
        <v>0</v>
      </c>
      <c r="H6" s="786">
        <f>SUM(B6:G6)</f>
        <v>12</v>
      </c>
      <c r="J6" s="302"/>
      <c r="K6" s="302"/>
      <c r="L6" s="302"/>
      <c r="M6" s="302"/>
      <c r="N6" s="552">
        <f t="shared" ref="N6" si="3">SUM(J6:M6)</f>
        <v>0</v>
      </c>
    </row>
    <row r="7" spans="1:14">
      <c r="A7" s="867" t="s">
        <v>298</v>
      </c>
      <c r="B7" s="730"/>
      <c r="C7" s="740"/>
      <c r="D7" s="595"/>
      <c r="E7" s="600">
        <f>SUM('COM726-Sep-23'!M22)</f>
        <v>8</v>
      </c>
      <c r="F7" s="595">
        <f>COUNTIF('COM616 - Oct 2023'!D3:D104, "Ade")</f>
        <v>0</v>
      </c>
      <c r="G7" s="595"/>
      <c r="H7" s="786">
        <f>SUM(B7:G7)</f>
        <v>8</v>
      </c>
      <c r="J7" s="302"/>
      <c r="K7" s="302"/>
      <c r="L7" s="302"/>
      <c r="M7" s="302"/>
      <c r="N7" s="552">
        <f t="shared" ref="N7" si="4">SUM(J7:M7)</f>
        <v>0</v>
      </c>
    </row>
    <row r="8" spans="1:14">
      <c r="A8" s="149" t="s">
        <v>54</v>
      </c>
      <c r="B8" s="730">
        <f>COUNTIF('COM726 - May 23'!C3:C63, "Jarutas")</f>
        <v>8</v>
      </c>
      <c r="C8" s="738"/>
      <c r="D8" s="595">
        <f>COUNTIF('MAA112 May 23'!C3:C12,"Jarutas")+COUNTIF('MAA112 May 23'!G3:G18,"Jarutas")+COUNTIF('MAA112 May 23'!K3:K22,"Jarutas")</f>
        <v>0</v>
      </c>
      <c r="E8" s="600">
        <f>SUM('COM726-Sep-23'!M5)</f>
        <v>4</v>
      </c>
      <c r="F8" s="595">
        <f>COUNTIF('COM616 - Oct 2023'!D3:D100, "Jarutas")</f>
        <v>0</v>
      </c>
      <c r="G8" s="595">
        <f>COUNTIF('COM726-Sep-23'!E3:E103, "Jarutas")</f>
        <v>0</v>
      </c>
      <c r="H8" s="786">
        <f>SUM(B8:G8)</f>
        <v>12</v>
      </c>
      <c r="J8" s="302"/>
      <c r="K8" s="302"/>
      <c r="L8" s="302"/>
      <c r="M8" s="302"/>
      <c r="N8" s="552">
        <f t="shared" ref="N8" si="5">SUM(J8:M8)</f>
        <v>0</v>
      </c>
    </row>
    <row r="9" spans="1:14">
      <c r="A9" s="149" t="s">
        <v>12</v>
      </c>
      <c r="B9" s="730">
        <f>COUNTIF('COM726 - May 23'!C3:C63, "Kalin")</f>
        <v>0</v>
      </c>
      <c r="C9" s="738"/>
      <c r="D9" s="595">
        <f>COUNTIF('MAA112 May 23'!C3:C12,"Kalin")+COUNTIF('MAA112 May 23'!G3:G18,"Kalin")+COUNTIF('MAA112 May 23'!K3:K22,"Kalin")</f>
        <v>4</v>
      </c>
      <c r="E9" s="600"/>
      <c r="F9" s="595">
        <f>COUNTIF('COM616 - Oct 2023'!D3:D100, "Kalin")</f>
        <v>0</v>
      </c>
      <c r="G9" s="595">
        <f>COUNTIF('COM726-Sep-23'!E3:E103, "Kalin")</f>
        <v>0</v>
      </c>
      <c r="H9" s="786">
        <f>SUM(B9:G9)</f>
        <v>4</v>
      </c>
      <c r="J9" s="302"/>
      <c r="K9" s="302"/>
      <c r="L9" s="302"/>
      <c r="M9" s="302"/>
      <c r="N9" s="552">
        <f t="shared" ref="N9" si="6">SUM(J9:M9)</f>
        <v>0</v>
      </c>
    </row>
    <row r="10" spans="1:14">
      <c r="A10" s="149" t="s">
        <v>152</v>
      </c>
      <c r="B10" s="733">
        <f>COUNTIF('COM726 - May 23'!C3:C63, "Kashif")</f>
        <v>4</v>
      </c>
      <c r="C10" s="742"/>
      <c r="D10" s="596">
        <f>COUNTIF('MAA112 May 23'!C3:C12,"Kashif")+COUNTIF('MAA112 May 23'!G3:G18,"Kashif")+COUNTIF('MAA112 May 23'!K3:K22,"Kashif")</f>
        <v>0</v>
      </c>
      <c r="E10" s="602">
        <f>SUM('COM726-Sep-23'!M6)</f>
        <v>4</v>
      </c>
      <c r="F10" s="596">
        <f>COUNTIF('COM616 - Oct 2023'!D3:D100, "Kashif")</f>
        <v>0</v>
      </c>
      <c r="G10" s="596">
        <f>COUNTIF('COM726-Sep-23'!E3:E103, "Kashif")</f>
        <v>0</v>
      </c>
      <c r="H10" s="786">
        <f>SUM(B10:G10)</f>
        <v>8</v>
      </c>
      <c r="J10" s="302"/>
      <c r="K10" s="302"/>
      <c r="L10" s="302"/>
      <c r="M10" s="302"/>
      <c r="N10" s="552">
        <f t="shared" ref="N10" si="7">SUM(J10:M10)</f>
        <v>0</v>
      </c>
    </row>
    <row r="11" spans="1:14">
      <c r="A11" s="149" t="s">
        <v>272</v>
      </c>
      <c r="B11" s="730">
        <f>COUNTIF('COM726 - May 23'!C3:C63, "Kenton")</f>
        <v>0</v>
      </c>
      <c r="C11" s="740">
        <f>COUNTIF('COM625 May 23'!C3:C8,"Kenton")</f>
        <v>2</v>
      </c>
      <c r="D11" s="595">
        <f>COUNTIF('MAA112 May 23'!C3:C12,"Kenton")+COUNTIF('MAA112 May 23'!G3:G18,"Kenton")+COUNTIF('MAA112 May 23'!K3:K22,"Kenton")</f>
        <v>0</v>
      </c>
      <c r="E11" s="600"/>
      <c r="F11" s="595">
        <f>COUNTIF('COM616 - Oct 2023'!D3:D100, "Kenton")</f>
        <v>0</v>
      </c>
      <c r="G11" s="595">
        <f>COUNTIF('COM726-Sep-23'!E3:E103, "Kenton")</f>
        <v>0</v>
      </c>
      <c r="H11" s="786">
        <f>SUM(B11:G11)</f>
        <v>2</v>
      </c>
      <c r="J11" s="302"/>
      <c r="K11" s="302"/>
      <c r="L11" s="302"/>
      <c r="M11" s="302"/>
      <c r="N11" s="552">
        <f t="shared" ref="N11" si="8">SUM(J11:M11)</f>
        <v>0</v>
      </c>
    </row>
    <row r="12" spans="1:14">
      <c r="A12" s="134" t="s">
        <v>274</v>
      </c>
      <c r="B12" s="730">
        <f>COUNTIF('COM726 - May 23'!C4:C64, "Marc")</f>
        <v>0</v>
      </c>
      <c r="C12" s="738"/>
      <c r="D12" s="595">
        <f>COUNTIF('MAA112 May 23'!C3:C12,"Marc")+COUNTIF('MAA112 May 23'!G3:G18,"Marc")+COUNTIF('MAA112 May 23'!K3:K22,"Marc")</f>
        <v>10</v>
      </c>
      <c r="E12" s="600"/>
      <c r="F12" s="595">
        <f>COUNTIF('COM616 - Oct 2023'!D3:D100, "Marc")</f>
        <v>0</v>
      </c>
      <c r="G12" s="595">
        <f>COUNTIF('COM726-Sep-23'!E3:E103, "Marc")</f>
        <v>0</v>
      </c>
      <c r="H12" s="786">
        <f>SUM(B12:G12)</f>
        <v>10</v>
      </c>
      <c r="J12" s="302"/>
      <c r="K12" s="302"/>
      <c r="L12" s="302"/>
      <c r="M12" s="302"/>
      <c r="N12" s="552">
        <f t="shared" ref="N12" si="9">SUM(J12:M12)</f>
        <v>0</v>
      </c>
    </row>
    <row r="13" spans="1:14">
      <c r="A13" s="149" t="s">
        <v>10</v>
      </c>
      <c r="B13" s="731">
        <f>COUNTIF('COM726 - May 23'!C3:C63, "Martin")</f>
        <v>0</v>
      </c>
      <c r="C13" s="739"/>
      <c r="D13" s="594">
        <f>COUNTIF('MAA112 May 23'!C3:C12,"Martin")+COUNTIF('MAA112 May 23'!G3:G18,"Martin")+COUNTIF('MAA112 May 23'!K3:K22,"Martin")</f>
        <v>0</v>
      </c>
      <c r="E13" s="601"/>
      <c r="F13" s="594">
        <f>COUNTIF('COM616 - Oct 2023'!D3:D100, "Martin")</f>
        <v>5</v>
      </c>
      <c r="G13" s="594">
        <f>COUNTIF('COM726-Sep-23'!E3:E103, "Martin")</f>
        <v>0</v>
      </c>
      <c r="H13" s="786">
        <f>SUM(B13:G13)</f>
        <v>5</v>
      </c>
      <c r="J13" s="302"/>
      <c r="K13" s="302"/>
      <c r="L13" s="302"/>
      <c r="M13" s="302"/>
      <c r="N13" s="552">
        <f t="shared" ref="N13" si="10">SUM(J13:M13)</f>
        <v>0</v>
      </c>
    </row>
    <row r="14" spans="1:14">
      <c r="A14" s="185" t="s">
        <v>299</v>
      </c>
      <c r="B14" s="730">
        <f>COUNTIF('COM726 - May 23'!C3:C63, "Muntasir")</f>
        <v>9</v>
      </c>
      <c r="C14" s="738"/>
      <c r="D14" s="595">
        <f>COUNTIF('MAA112 May 23'!C3:C12,"Muntasir")+COUNTIF('MAA112 May 23'!G3:G18,"Muntasir")+COUNTIF('MAA112 May 23'!K3:K22,"Muntasir")</f>
        <v>0</v>
      </c>
      <c r="E14" s="600"/>
      <c r="F14" s="595">
        <f>COUNTIF('COM616 - Oct 2023'!D3:D100, "Muntasir")</f>
        <v>0</v>
      </c>
      <c r="G14" s="595">
        <f>COUNTIF('COM726-Sep-23'!E3:E103, "Muntasir")</f>
        <v>0</v>
      </c>
      <c r="H14" s="786">
        <f>SUM(B14:G14)</f>
        <v>9</v>
      </c>
      <c r="J14" s="302"/>
      <c r="K14" s="302"/>
      <c r="L14" s="302"/>
      <c r="M14" s="302"/>
      <c r="N14" s="552">
        <f t="shared" ref="N14" si="11">SUM(J14:M14)</f>
        <v>0</v>
      </c>
    </row>
    <row r="15" spans="1:14">
      <c r="A15" s="149" t="s">
        <v>59</v>
      </c>
      <c r="B15" s="730">
        <f>COUNTIF('COM726 - May 23'!C3:C63, "Nick")</f>
        <v>0</v>
      </c>
      <c r="C15" s="738"/>
      <c r="D15" s="595">
        <f>COUNTIF('MAA112 May 23'!C3:C12,"Nick")+COUNTIF('MAA112 May 23'!G3:G18,"Nick")+COUNTIF('MAA112 May 23'!K3:K22,"Nick")+COUNTIF('MAA112 May 23'!C13,"Nick")</f>
        <v>4</v>
      </c>
      <c r="E15" s="600"/>
      <c r="F15" s="595">
        <f>COUNTIF('COM616 - Oct 2023'!D3:D100, "Nick")</f>
        <v>0</v>
      </c>
      <c r="G15" s="595">
        <f>COUNTIF('COM726-Sep-23'!E3:E103, "Nick")</f>
        <v>0</v>
      </c>
      <c r="H15" s="786">
        <f>SUM(B15:G15)</f>
        <v>4</v>
      </c>
      <c r="J15" s="302"/>
      <c r="K15" s="302"/>
      <c r="L15" s="302"/>
      <c r="M15" s="302"/>
      <c r="N15" s="552">
        <f t="shared" ref="N15" si="12">SUM(J15:M15)</f>
        <v>0</v>
      </c>
    </row>
    <row r="16" spans="1:14">
      <c r="A16" s="149" t="s">
        <v>300</v>
      </c>
      <c r="B16" s="730">
        <f>COUNTIF('COM726 - May 23'!C3:C63, "Neville")</f>
        <v>0</v>
      </c>
      <c r="C16" s="738"/>
      <c r="D16" s="595">
        <f>COUNTIF('MAA112 May 23'!C3:C12,"Neville")+COUNTIF('MAA112 May 23'!G3:G18,"Neville")+COUNTIF('MAA112 May 23'!K3:K22,"Neville")</f>
        <v>0</v>
      </c>
      <c r="E16" s="600"/>
      <c r="F16" s="595">
        <f>COUNTIF('COM616 - Oct 2023'!D3:D100, "Neville")</f>
        <v>0</v>
      </c>
      <c r="G16" s="595">
        <f>COUNTIF('COM726-Sep-23'!E3:E103, "Neville")</f>
        <v>0</v>
      </c>
      <c r="H16" s="786">
        <f>SUM(B16:G16)</f>
        <v>0</v>
      </c>
      <c r="J16" s="302"/>
      <c r="K16" s="302"/>
      <c r="L16" s="302"/>
      <c r="M16" s="302"/>
      <c r="N16" s="552">
        <f t="shared" ref="N16" si="13">SUM(J16:M16)</f>
        <v>0</v>
      </c>
    </row>
    <row r="17" spans="1:14">
      <c r="A17" s="149" t="s">
        <v>276</v>
      </c>
      <c r="B17" s="730">
        <f>COUNTIF('COM726 - May 23'!C3:C63, "Pengfei")</f>
        <v>3</v>
      </c>
      <c r="C17" s="738"/>
      <c r="D17" s="595">
        <f>COUNTIF('MAA112 May 23'!C3:C12,"Pengfei")+COUNTIF('MAA112 May 23'!G3:G18,"Pengfei")+COUNTIF('MAA112 May 23'!K3:K22,"Pengfei")</f>
        <v>8</v>
      </c>
      <c r="E17" s="600">
        <f>SUM('COM726-Sep-23'!M7)</f>
        <v>6</v>
      </c>
      <c r="F17" s="595">
        <f>COUNTIF('COM616 - Oct 2023'!D3:D100, "Pengfei")</f>
        <v>0</v>
      </c>
      <c r="G17" s="595">
        <f>COUNTIF('COM726-Sep-23'!E3:E103, "Pengfei")</f>
        <v>0</v>
      </c>
      <c r="H17" s="786">
        <f>SUM(B17:G17)</f>
        <v>17</v>
      </c>
      <c r="J17" s="302"/>
      <c r="K17" s="302"/>
      <c r="L17" s="302"/>
      <c r="M17" s="302"/>
      <c r="N17" s="552">
        <f t="shared" ref="N17" si="14">SUM(J17:M17)</f>
        <v>0</v>
      </c>
    </row>
    <row r="18" spans="1:14">
      <c r="A18" s="149" t="s">
        <v>301</v>
      </c>
      <c r="B18" s="730">
        <f>COUNTIF('COM726 - May 23'!C3:C63, "Peyman")</f>
        <v>9</v>
      </c>
      <c r="C18" s="738"/>
      <c r="D18" s="595">
        <f>COUNTIF('MAA112 May 23'!C3:C12,"Peyman")+COUNTIF('MAA112 May 23'!G3:G18,"Peyman")+COUNTIF('MAA112 May 23'!K3:K22,"Peyman")</f>
        <v>0</v>
      </c>
      <c r="E18" s="600">
        <f>SUM('COM726-Sep-23'!M23)</f>
        <v>8</v>
      </c>
      <c r="F18" s="595">
        <f>COUNTIF('COM616 - Oct 2023'!D3:D100, "Peyman")</f>
        <v>0</v>
      </c>
      <c r="G18" s="595">
        <f>COUNTIF('COM726-Sep-23'!E3:E103, "Peyman")</f>
        <v>0</v>
      </c>
      <c r="H18" s="786">
        <f>SUM(B18:G18)</f>
        <v>17</v>
      </c>
      <c r="J18" s="302"/>
      <c r="K18" s="302"/>
      <c r="L18" s="302"/>
      <c r="M18" s="302"/>
      <c r="N18" s="552">
        <f t="shared" ref="N18" si="15">SUM(J18:M18)</f>
        <v>0</v>
      </c>
    </row>
    <row r="19" spans="1:14">
      <c r="A19" s="662" t="s">
        <v>240</v>
      </c>
      <c r="B19" s="734">
        <v>0</v>
      </c>
      <c r="C19" s="743"/>
      <c r="D19" s="593">
        <v>0</v>
      </c>
      <c r="E19" s="599">
        <f>SUM('COM726-Sep-23'!M9)</f>
        <v>6</v>
      </c>
      <c r="F19" s="597">
        <f>COUNTIF('COM616 - Oct 2023'!D3:D100, "Raza")</f>
        <v>0</v>
      </c>
      <c r="G19" s="597">
        <f>COUNTIF('COM726-Sep-23'!E3:E103, "Raza")</f>
        <v>0</v>
      </c>
      <c r="H19" s="786">
        <f>SUM(B19:G19)</f>
        <v>6</v>
      </c>
      <c r="J19" s="302"/>
      <c r="K19" s="302"/>
      <c r="L19" s="302"/>
      <c r="M19" s="302"/>
      <c r="N19" s="552">
        <f t="shared" ref="N19" si="16">SUM(J19:M19)</f>
        <v>0</v>
      </c>
    </row>
    <row r="20" spans="1:14">
      <c r="A20" s="300" t="s">
        <v>78</v>
      </c>
      <c r="B20" s="733">
        <f>COUNTIF('COM726 - May 23'!C3:C63, "Shakeel")</f>
        <v>4</v>
      </c>
      <c r="C20" s="742"/>
      <c r="D20" s="596">
        <f>COUNTIF('MAA112 May 23'!C3:C12,"Shakeel")+COUNTIF('MAA112 May 23'!G3:G18,"Shakeel")+COUNTIF('MAA112 May 23'!K3:K22,"Shakeel")</f>
        <v>0</v>
      </c>
      <c r="E20" s="602">
        <f>SUM('COM726-Sep-23'!M4)</f>
        <v>2</v>
      </c>
      <c r="F20" s="596">
        <f>COUNTIF('COM616 - Oct 2023'!D3:D100, "Shakeel")</f>
        <v>0</v>
      </c>
      <c r="G20" s="596">
        <f>COUNTIF('COM726-Sep-23'!E3:E103, "Shakeel")</f>
        <v>0</v>
      </c>
      <c r="H20" s="786">
        <f>SUM(B20:G20)</f>
        <v>6</v>
      </c>
      <c r="J20" s="302"/>
      <c r="K20" s="302"/>
      <c r="L20" s="302"/>
      <c r="M20" s="302"/>
      <c r="N20" s="552">
        <f t="shared" ref="N20:N21" si="17">SUM(J20:M20)</f>
        <v>0</v>
      </c>
    </row>
    <row r="21" spans="1:14">
      <c r="A21" s="300" t="s">
        <v>80</v>
      </c>
      <c r="B21" s="730">
        <f>COUNTIF('COM726 - May 23'!C2:C62, "Taiwo")</f>
        <v>0</v>
      </c>
      <c r="C21" s="740">
        <f>COUNTIF('COM625 May 23'!C2:C7,"Taiwo")</f>
        <v>0</v>
      </c>
      <c r="D21" s="595">
        <f>COUNTIF('MAA112 May 23'!C2:C11,"Taiwo")+COUNTIF('MAA112 May 23'!G2:G17,"Taiwo")+COUNTIF('MAA112 May 23'!K2:K21,"Taiwo")</f>
        <v>0</v>
      </c>
      <c r="E21" s="600">
        <f>SUM('COM726-Sep-23'!M10)</f>
        <v>2</v>
      </c>
      <c r="F21" s="595">
        <f>COUNTIF('COM616 - Oct 2023'!D3:D99, "Taiwo")</f>
        <v>0</v>
      </c>
      <c r="G21" s="595">
        <f>COUNTIF('COM726-Sep-23'!E2:E102, "Taiwo")</f>
        <v>0</v>
      </c>
      <c r="H21" s="786">
        <f>SUM(B21:G21)</f>
        <v>2</v>
      </c>
      <c r="J21" s="302"/>
      <c r="K21" s="302"/>
      <c r="L21" s="302"/>
      <c r="M21" s="302"/>
      <c r="N21" s="552">
        <f t="shared" si="17"/>
        <v>0</v>
      </c>
    </row>
    <row r="22" spans="1:14">
      <c r="A22" s="149" t="s">
        <v>40</v>
      </c>
      <c r="B22" s="730">
        <f>COUNTIF('COM726 - May 23'!C3:C63, "Warren")</f>
        <v>0</v>
      </c>
      <c r="C22" s="740">
        <f>COUNTIF('COM625 May 23'!C3:C8,"Warren")</f>
        <v>0</v>
      </c>
      <c r="D22" s="595">
        <f>COUNTIF('MAA112 May 23'!C3:C12,"Warren")+COUNTIF('MAA112 May 23'!G3:G18,"Warren")+COUNTIF('MAA112 May 23'!K3:K22,"Warren")</f>
        <v>0</v>
      </c>
      <c r="E22" s="600"/>
      <c r="F22" s="595">
        <f>COUNTIF('COM616 - Oct 2023'!D3:D100, "Warren")</f>
        <v>0</v>
      </c>
      <c r="G22" s="595">
        <f>COUNTIF('COM726-Sep-23'!E3:E103, "Warren")</f>
        <v>0</v>
      </c>
      <c r="H22" s="552">
        <f>SUM(B22:F22)</f>
        <v>0</v>
      </c>
      <c r="J22" s="580"/>
      <c r="K22" s="580"/>
      <c r="L22" s="580"/>
      <c r="M22" s="580"/>
      <c r="N22" s="579">
        <f t="shared" ref="N22" si="18">SUM(J22:M22)</f>
        <v>0</v>
      </c>
    </row>
    <row r="23" spans="1:14">
      <c r="A23" s="300" t="s">
        <v>278</v>
      </c>
      <c r="B23" s="733">
        <f>COUNTIF('COM726 - May 23'!C4:C64, "Craig")</f>
        <v>0</v>
      </c>
      <c r="C23" s="744">
        <f>COUNTIF('COM625 May 23'!C4:C9,"Craig")</f>
        <v>0</v>
      </c>
      <c r="D23" s="596">
        <f>COUNTIF('MAA112 May 23'!C4:C13,"Craig")+COUNTIF('MAA112 May 23'!G4:G19,"Craig")+COUNTIF('MAA112 May 23'!K4:K23,"Craig")</f>
        <v>0</v>
      </c>
      <c r="E23" s="602"/>
      <c r="F23" s="596">
        <f>COUNTIF('COM616 - Oct 2023'!D3:D101, "Craig")</f>
        <v>0</v>
      </c>
      <c r="G23" s="596">
        <f>COUNTIF('COM726-Sep-23'!E4:E104, "Craig")</f>
        <v>0</v>
      </c>
      <c r="H23" s="786">
        <f>SUM(B23:G23)</f>
        <v>0</v>
      </c>
      <c r="J23" s="302"/>
      <c r="K23" s="302"/>
      <c r="L23" s="302"/>
      <c r="M23" s="302"/>
      <c r="N23" s="552">
        <f t="shared" ref="N23" si="19">SUM(J23:M23)</f>
        <v>0</v>
      </c>
    </row>
    <row r="24" spans="1:14">
      <c r="A24" s="300" t="s">
        <v>279</v>
      </c>
      <c r="B24" s="730">
        <f>COUNTIF('COM726 - May 23'!C5:C65, "Armen")</f>
        <v>0</v>
      </c>
      <c r="C24" s="740">
        <f>COUNTIF('COM625 May 23'!C5:C10,"Armen")</f>
        <v>0</v>
      </c>
      <c r="D24" s="595">
        <f>COUNTIF('MAA112 May 23'!C5:C14,"Armen")+COUNTIF('MAA112 May 23'!G5:G20,"Armen")+COUNTIF('MAA112 May 23'!K5:K24,"Armen")</f>
        <v>0</v>
      </c>
      <c r="E24" s="600"/>
      <c r="F24" s="595">
        <f>COUNTIF('COM616 - Oct 2023'!D3:D102, "Armen")</f>
        <v>0</v>
      </c>
      <c r="G24" s="595">
        <f>COUNTIF('COM726-Sep-23'!E5:E105, "Armen")</f>
        <v>0</v>
      </c>
      <c r="H24" s="786">
        <f t="shared" ref="H24:H31" si="20">SUM(B24:G24)</f>
        <v>0</v>
      </c>
      <c r="J24" s="302"/>
      <c r="K24" s="302"/>
      <c r="L24" s="302"/>
      <c r="M24" s="302"/>
      <c r="N24" s="552"/>
    </row>
    <row r="25" spans="1:14" ht="16.5">
      <c r="A25" s="785" t="s">
        <v>302</v>
      </c>
      <c r="B25" s="730">
        <f>COUNTIF('COM726 - May 23'!C6:C66, "Matloob")</f>
        <v>0</v>
      </c>
      <c r="C25" s="740">
        <f>COUNTIF('COM625 May 23'!C6:C11,"Matloob")</f>
        <v>0</v>
      </c>
      <c r="D25" s="595">
        <f>COUNTIF('MAA112 May 23'!C6:C15,"Matloob")+COUNTIF('MAA112 May 23'!G6:G21,"Matloob")+COUNTIF('MAA112 May 23'!K6:K25,"Matloob")</f>
        <v>0</v>
      </c>
      <c r="E25" s="786">
        <f>SUM('COM726-Sep-23'!M17)</f>
        <v>8</v>
      </c>
      <c r="F25" s="595">
        <f>COUNTIF('COM616 - Oct 2023'!D3:D103, "Matloob")</f>
        <v>0</v>
      </c>
      <c r="G25" s="595">
        <f>COUNTIF('COM726-Sep-23'!E6:E106, "Matloob")</f>
        <v>0</v>
      </c>
      <c r="H25" s="786">
        <f t="shared" si="20"/>
        <v>8</v>
      </c>
      <c r="J25" s="302"/>
      <c r="K25" s="302"/>
      <c r="L25" s="302"/>
      <c r="M25" s="302"/>
      <c r="N25" s="552"/>
    </row>
    <row r="26" spans="1:14" ht="16.5">
      <c r="A26" s="785" t="s">
        <v>303</v>
      </c>
      <c r="B26" s="730">
        <f>COUNTIF('COM726 - May 23'!C7:C67, "Ryan")</f>
        <v>0</v>
      </c>
      <c r="C26" s="740">
        <f>COUNTIF('COM625 May 23'!C7:C12,"Ryan")</f>
        <v>0</v>
      </c>
      <c r="D26" s="595">
        <f>COUNTIF('MAA112 May 23'!C7:C16,"Ryan")+COUNTIF('MAA112 May 23'!G7:G22,"Ryan")+COUNTIF('MAA112 May 23'!K7:K26,"Ryan")</f>
        <v>0</v>
      </c>
      <c r="E26" s="786">
        <f>SUM('COM726-Sep-23'!M18)</f>
        <v>8</v>
      </c>
      <c r="F26" s="595">
        <f>COUNTIF('COM616 - Oct 2023'!D3:D104, "Ryan")</f>
        <v>0</v>
      </c>
      <c r="G26" s="595">
        <f>COUNTIF('COM726-Sep-23'!E7:E107, "Ryan")</f>
        <v>0</v>
      </c>
      <c r="H26" s="786">
        <f t="shared" si="20"/>
        <v>8</v>
      </c>
      <c r="J26" s="302"/>
      <c r="K26" s="302"/>
      <c r="L26" s="302"/>
      <c r="M26" s="302"/>
      <c r="N26" s="552"/>
    </row>
    <row r="27" spans="1:14" ht="16.5" customHeight="1">
      <c r="A27" s="785" t="s">
        <v>304</v>
      </c>
      <c r="B27" s="784"/>
      <c r="C27" s="740"/>
      <c r="D27" s="595"/>
      <c r="E27" s="786">
        <f>SUM('COM726-Sep-23'!M19)</f>
        <v>8</v>
      </c>
      <c r="F27" s="595">
        <f>COUNTIF('COM616 - Oct 2023'!D3:D104, "Mujeeb")</f>
        <v>0</v>
      </c>
      <c r="G27" s="595"/>
      <c r="H27" s="786">
        <f t="shared" si="20"/>
        <v>8</v>
      </c>
      <c r="J27" s="302"/>
      <c r="K27" s="302"/>
      <c r="L27" s="302"/>
      <c r="M27" s="302"/>
      <c r="N27" s="552"/>
    </row>
    <row r="28" spans="1:14" ht="16.5">
      <c r="A28" s="785" t="s">
        <v>305</v>
      </c>
      <c r="B28" s="784"/>
      <c r="C28" s="740"/>
      <c r="D28" s="595"/>
      <c r="E28" s="786">
        <f>SUM('COM726-Sep-23'!M20)</f>
        <v>8</v>
      </c>
      <c r="F28" s="595">
        <f>COUNTIF('COM616 - Oct 2023'!D3:D104, "Zahaib")</f>
        <v>0</v>
      </c>
      <c r="G28" s="595"/>
      <c r="H28" s="786">
        <f t="shared" si="20"/>
        <v>8</v>
      </c>
      <c r="J28" s="302"/>
      <c r="K28" s="302"/>
      <c r="L28" s="302"/>
      <c r="M28" s="302"/>
      <c r="N28" s="552"/>
    </row>
    <row r="29" spans="1:14" ht="16.5">
      <c r="A29" s="785" t="s">
        <v>306</v>
      </c>
      <c r="B29" s="784"/>
      <c r="C29" s="740"/>
      <c r="D29" s="595"/>
      <c r="E29" s="786">
        <f>SUM('COM726-Sep-23'!M24)</f>
        <v>8</v>
      </c>
      <c r="F29" s="595">
        <f>COUNTIF('COM616 - Oct 2023'!D3:D104, "Zuhaib")</f>
        <v>0</v>
      </c>
      <c r="G29" s="595"/>
      <c r="H29" s="786">
        <f t="shared" si="20"/>
        <v>8</v>
      </c>
      <c r="J29" s="302"/>
      <c r="K29" s="302"/>
      <c r="L29" s="302"/>
      <c r="M29" s="302"/>
      <c r="N29" s="552"/>
    </row>
    <row r="30" spans="1:14" ht="16.5">
      <c r="A30" s="785" t="s">
        <v>307</v>
      </c>
      <c r="B30" s="784"/>
      <c r="C30" s="740"/>
      <c r="D30" s="595"/>
      <c r="E30" s="786">
        <f>SUM('COM726-Sep-23'!M25)</f>
        <v>8</v>
      </c>
      <c r="F30" s="595">
        <f>COUNTIF('COM616 - Oct 2023'!D3:D104, "Ade")</f>
        <v>0</v>
      </c>
      <c r="G30" s="595"/>
      <c r="H30" s="786">
        <f t="shared" si="20"/>
        <v>8</v>
      </c>
      <c r="J30" s="302"/>
      <c r="K30" s="302"/>
      <c r="L30" s="302"/>
      <c r="M30" s="302"/>
      <c r="N30" s="552"/>
    </row>
    <row r="31" spans="1:14">
      <c r="A31" s="827" t="s">
        <v>308</v>
      </c>
      <c r="B31" s="730"/>
      <c r="C31" s="740"/>
      <c r="D31" s="595"/>
      <c r="E31" s="786">
        <f>SUM('COM726-Sep-23'!M21)</f>
        <v>8</v>
      </c>
      <c r="F31" s="595">
        <f>COUNTIF('COM616 - Oct 2023'!D3:D104, "Ade")</f>
        <v>0</v>
      </c>
      <c r="G31" s="595"/>
      <c r="H31" s="786">
        <f t="shared" si="20"/>
        <v>8</v>
      </c>
      <c r="J31" s="302"/>
      <c r="K31" s="302"/>
      <c r="L31" s="302"/>
      <c r="M31" s="302"/>
      <c r="N31" s="552"/>
    </row>
    <row r="32" spans="1:14">
      <c r="B32" s="735">
        <f>SUM(B2:B22)</f>
        <v>43</v>
      </c>
      <c r="C32" s="745">
        <f>SUM(C2:C23)</f>
        <v>4</v>
      </c>
      <c r="D32" s="489">
        <f>SUM(D2:D22)</f>
        <v>46</v>
      </c>
      <c r="E32" s="863">
        <f>SUM(E2:E31)</f>
        <v>106</v>
      </c>
      <c r="F32" s="864">
        <f>SUM(F2:F31)</f>
        <v>5</v>
      </c>
      <c r="G32" s="865">
        <f>SUM(G2:G31)</f>
        <v>0</v>
      </c>
      <c r="H32" s="866">
        <f>SUM(H2:H31)</f>
        <v>204</v>
      </c>
      <c r="J32" s="152">
        <f>SUM(J2:J23)</f>
        <v>0</v>
      </c>
      <c r="K32" s="152">
        <f>SUM(K2:K23)</f>
        <v>0</v>
      </c>
      <c r="L32" s="152">
        <f>SUM(L2:L23)</f>
        <v>0</v>
      </c>
      <c r="M32" s="152">
        <f>SUM(M2:M23)</f>
        <v>0</v>
      </c>
      <c r="N32" s="746"/>
    </row>
    <row r="33" spans="2:14">
      <c r="B33" s="735" t="s">
        <v>309</v>
      </c>
      <c r="C33" s="737" t="s">
        <v>309</v>
      </c>
      <c r="D33" s="229" t="s">
        <v>309</v>
      </c>
      <c r="E33" s="229" t="s">
        <v>309</v>
      </c>
      <c r="F33" s="266"/>
      <c r="G33" s="71"/>
      <c r="H33" s="604"/>
      <c r="J33" s="603"/>
      <c r="K33" s="603"/>
      <c r="L33" s="603"/>
      <c r="M33" s="603"/>
      <c r="N33" s="604"/>
    </row>
    <row r="36" spans="2:14">
      <c r="B36" s="573" t="s">
        <v>18</v>
      </c>
      <c r="C36" s="573"/>
    </row>
  </sheetData>
  <sortState xmlns:xlrd2="http://schemas.microsoft.com/office/spreadsheetml/2017/richdata2" ref="A3:A18">
    <sortCondition ref="A3:A18"/>
  </sortState>
  <conditionalFormatting sqref="B20:C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6 B8:C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8:D1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1 D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31 D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 B29:C31 B7:C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6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1000" t="s">
        <v>310</v>
      </c>
      <c r="B2" s="1001"/>
      <c r="D2" s="1000" t="s">
        <v>311</v>
      </c>
      <c r="E2" s="1001"/>
      <c r="G2" s="997" t="s">
        <v>312</v>
      </c>
      <c r="H2" s="993" t="s">
        <v>313</v>
      </c>
      <c r="I2" s="995" t="s">
        <v>314</v>
      </c>
      <c r="J2" s="91"/>
      <c r="K2" s="985" t="s">
        <v>315</v>
      </c>
      <c r="L2" s="986"/>
      <c r="M2" s="887"/>
    </row>
    <row r="3" spans="1:16" ht="15.75" customHeight="1">
      <c r="A3" s="67" t="s">
        <v>316</v>
      </c>
      <c r="B3" s="68">
        <v>61</v>
      </c>
      <c r="D3" s="67" t="s">
        <v>316</v>
      </c>
      <c r="E3" s="63">
        <v>46</v>
      </c>
      <c r="G3" s="998"/>
      <c r="H3" s="994"/>
      <c r="I3" s="996"/>
      <c r="J3" s="91"/>
      <c r="K3" s="987"/>
      <c r="L3" s="988"/>
      <c r="M3" s="989"/>
      <c r="N3" s="999"/>
      <c r="O3" s="999"/>
      <c r="P3" s="999"/>
    </row>
    <row r="4" spans="1:16" ht="15">
      <c r="A4" s="69" t="s">
        <v>317</v>
      </c>
      <c r="B4" s="44">
        <f>SUM(B3*6)</f>
        <v>366</v>
      </c>
      <c r="D4" s="71" t="s">
        <v>317</v>
      </c>
      <c r="E4" s="46">
        <f>SUM(E3*6)</f>
        <v>276</v>
      </c>
      <c r="G4" s="94">
        <f>SUM(B4+E4)</f>
        <v>642</v>
      </c>
      <c r="H4" s="95">
        <f>SUM(B3+E3)</f>
        <v>107</v>
      </c>
      <c r="I4" s="97">
        <f>SUM(H4/2/18)</f>
        <v>2.9722222222222223</v>
      </c>
      <c r="J4" s="1"/>
      <c r="K4" s="987"/>
      <c r="L4" s="988"/>
      <c r="M4" s="989"/>
      <c r="N4" s="999"/>
      <c r="O4" s="999"/>
      <c r="P4" s="999"/>
    </row>
    <row r="5" spans="1:16">
      <c r="K5" s="987"/>
      <c r="L5" s="988"/>
      <c r="M5" s="989"/>
      <c r="N5" s="999"/>
      <c r="O5" s="999"/>
      <c r="P5" s="999"/>
    </row>
    <row r="6" spans="1:16" ht="15.75" customHeight="1">
      <c r="A6" s="1005" t="s">
        <v>318</v>
      </c>
      <c r="B6" s="1002"/>
      <c r="G6" s="997" t="s">
        <v>312</v>
      </c>
      <c r="H6" s="993" t="s">
        <v>313</v>
      </c>
      <c r="I6" s="995" t="s">
        <v>314</v>
      </c>
      <c r="J6" s="91"/>
      <c r="K6" s="987"/>
      <c r="L6" s="988"/>
      <c r="M6" s="989"/>
      <c r="N6" s="999"/>
      <c r="O6" s="999"/>
      <c r="P6" s="999"/>
    </row>
    <row r="7" spans="1:16" ht="15.75" customHeight="1">
      <c r="A7" s="67" t="s">
        <v>316</v>
      </c>
      <c r="B7" s="68">
        <v>6</v>
      </c>
      <c r="G7" s="998"/>
      <c r="H7" s="994"/>
      <c r="I7" s="996"/>
      <c r="J7" s="91"/>
      <c r="K7" s="987"/>
      <c r="L7" s="988"/>
      <c r="M7" s="989"/>
      <c r="N7" s="999"/>
      <c r="O7" s="999"/>
      <c r="P7" s="999"/>
    </row>
    <row r="8" spans="1:16">
      <c r="A8" s="69" t="s">
        <v>317</v>
      </c>
      <c r="B8" s="44">
        <f>SUM(B7*6)</f>
        <v>36</v>
      </c>
      <c r="G8" s="94">
        <f>SUM(B8+E8)</f>
        <v>36</v>
      </c>
      <c r="H8" s="95">
        <f>SUM(B7+E7)</f>
        <v>6</v>
      </c>
      <c r="I8" s="97">
        <f>SUM(H8/2/18)</f>
        <v>0.16666666666666666</v>
      </c>
      <c r="J8" s="1"/>
      <c r="K8" s="990"/>
      <c r="L8" s="991"/>
      <c r="M8" s="992"/>
      <c r="N8" s="999"/>
      <c r="O8" s="999"/>
      <c r="P8" s="999"/>
    </row>
    <row r="9" spans="1:16">
      <c r="N9" s="999"/>
      <c r="O9" s="999"/>
      <c r="P9" s="999"/>
    </row>
    <row r="10" spans="1:16">
      <c r="A10" s="1000" t="s">
        <v>319</v>
      </c>
      <c r="B10" s="1002"/>
      <c r="D10" s="1000" t="s">
        <v>320</v>
      </c>
      <c r="E10" s="1002"/>
      <c r="G10" s="997" t="s">
        <v>312</v>
      </c>
      <c r="H10" s="993" t="s">
        <v>313</v>
      </c>
      <c r="I10" s="995" t="s">
        <v>321</v>
      </c>
      <c r="J10" s="91"/>
    </row>
    <row r="11" spans="1:16">
      <c r="A11" s="67" t="s">
        <v>316</v>
      </c>
      <c r="B11" s="68">
        <v>110</v>
      </c>
      <c r="D11" s="67" t="s">
        <v>316</v>
      </c>
      <c r="E11" s="63"/>
      <c r="G11" s="998"/>
      <c r="H11" s="994"/>
      <c r="I11" s="996"/>
      <c r="J11" s="91"/>
    </row>
    <row r="12" spans="1:16">
      <c r="A12" s="69" t="s">
        <v>317</v>
      </c>
      <c r="B12" s="44">
        <f>SUM(B11*6)</f>
        <v>660</v>
      </c>
      <c r="D12" s="71" t="s">
        <v>317</v>
      </c>
      <c r="E12" s="46">
        <f>SUM(E11*6)</f>
        <v>0</v>
      </c>
      <c r="G12" s="94">
        <f>SUM(B12+E12)</f>
        <v>660</v>
      </c>
      <c r="H12" s="95">
        <f>SUM(B11+E11)</f>
        <v>110</v>
      </c>
      <c r="I12" s="97">
        <f>SUM(H12/2/18)</f>
        <v>3.0555555555555554</v>
      </c>
      <c r="J12" s="92"/>
    </row>
    <row r="14" spans="1:16" ht="15.75" customHeight="1">
      <c r="A14" s="1005" t="s">
        <v>322</v>
      </c>
      <c r="B14" s="1002"/>
      <c r="D14" s="1005"/>
      <c r="E14" s="1002"/>
      <c r="G14" s="997" t="s">
        <v>312</v>
      </c>
      <c r="H14" s="993" t="s">
        <v>313</v>
      </c>
      <c r="I14" s="995" t="s">
        <v>321</v>
      </c>
    </row>
    <row r="15" spans="1:16" ht="15.75" customHeight="1">
      <c r="A15" s="67" t="s">
        <v>316</v>
      </c>
      <c r="B15" s="68">
        <f>SUM('COM616 - Oct 2023'!H2)</f>
        <v>59</v>
      </c>
      <c r="D15" s="67"/>
      <c r="E15" s="68"/>
      <c r="G15" s="998"/>
      <c r="H15" s="994"/>
      <c r="I15" s="996"/>
    </row>
    <row r="16" spans="1:16" ht="15" customHeight="1">
      <c r="A16" s="69" t="s">
        <v>317</v>
      </c>
      <c r="B16" s="44">
        <f>SUM(B15*6)</f>
        <v>354</v>
      </c>
      <c r="D16" s="69"/>
      <c r="E16" s="44"/>
      <c r="G16" s="41">
        <f>SUM(B16+E16)</f>
        <v>354</v>
      </c>
      <c r="H16" s="22">
        <f>SUM(B15+E15)</f>
        <v>59</v>
      </c>
      <c r="I16" s="93">
        <f>SUM(H16/2/18)</f>
        <v>1.6388888888888888</v>
      </c>
    </row>
    <row r="18" spans="1:9" ht="15.75" customHeight="1">
      <c r="A18" s="1003" t="s">
        <v>323</v>
      </c>
      <c r="B18" s="1004"/>
      <c r="D18" s="1000"/>
      <c r="E18" s="1002"/>
      <c r="G18" s="997" t="s">
        <v>312</v>
      </c>
      <c r="H18" s="993" t="s">
        <v>313</v>
      </c>
      <c r="I18" s="995" t="s">
        <v>314</v>
      </c>
    </row>
    <row r="19" spans="1:9" ht="15.75" customHeight="1">
      <c r="A19" s="70" t="s">
        <v>316</v>
      </c>
      <c r="B19" s="63">
        <v>0</v>
      </c>
      <c r="D19" s="67"/>
      <c r="E19" s="63"/>
      <c r="G19" s="998"/>
      <c r="H19" s="994"/>
      <c r="I19" s="996"/>
    </row>
    <row r="20" spans="1:9" ht="15.75" customHeight="1">
      <c r="A20" s="69" t="s">
        <v>317</v>
      </c>
      <c r="B20" s="44">
        <f>SUM(B19*6)</f>
        <v>0</v>
      </c>
      <c r="D20" s="71"/>
      <c r="E20" s="46"/>
      <c r="G20" s="94">
        <f>SUM(B20+E20)</f>
        <v>0</v>
      </c>
      <c r="H20" s="95"/>
      <c r="I20" s="96">
        <f>SUM(G20/2/18)</f>
        <v>0</v>
      </c>
    </row>
    <row r="22" spans="1:9" ht="15.75" customHeight="1">
      <c r="A22" s="1005" t="s">
        <v>324</v>
      </c>
      <c r="B22" s="1002"/>
      <c r="G22" s="997" t="s">
        <v>312</v>
      </c>
      <c r="H22" s="993" t="s">
        <v>313</v>
      </c>
      <c r="I22" s="995" t="s">
        <v>314</v>
      </c>
    </row>
    <row r="23" spans="1:9" ht="15.75" customHeight="1">
      <c r="A23" s="67" t="s">
        <v>316</v>
      </c>
      <c r="B23" s="68"/>
      <c r="G23" s="998"/>
      <c r="H23" s="994"/>
      <c r="I23" s="996"/>
    </row>
    <row r="24" spans="1:9" ht="15.75" customHeight="1">
      <c r="A24" s="69" t="s">
        <v>317</v>
      </c>
      <c r="B24" s="44"/>
      <c r="G24" s="94">
        <f>SUM(B24+E24)</f>
        <v>0</v>
      </c>
      <c r="H24" s="95">
        <f>SUM(B23+E23)</f>
        <v>0</v>
      </c>
      <c r="I24" s="97">
        <f>SUM(H24/2/18)</f>
        <v>0</v>
      </c>
    </row>
  </sheetData>
  <mergeCells count="30">
    <mergeCell ref="A6:B6"/>
    <mergeCell ref="G6:G7"/>
    <mergeCell ref="H6:H7"/>
    <mergeCell ref="I6:I7"/>
    <mergeCell ref="A22:B22"/>
    <mergeCell ref="G22:G23"/>
    <mergeCell ref="H22:H23"/>
    <mergeCell ref="I22:I23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K2:M8"/>
    <mergeCell ref="H10:H11"/>
    <mergeCell ref="I10:I11"/>
    <mergeCell ref="G14:G15"/>
    <mergeCell ref="H14:H15"/>
    <mergeCell ref="I14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06" t="s">
        <v>132</v>
      </c>
      <c r="B1" s="107"/>
      <c r="C1" s="416" t="s">
        <v>325</v>
      </c>
      <c r="E1" s="112" t="s">
        <v>326</v>
      </c>
      <c r="F1" s="113"/>
      <c r="G1" s="121" t="s">
        <v>325</v>
      </c>
      <c r="I1" s="106" t="s">
        <v>327</v>
      </c>
      <c r="J1" s="107"/>
      <c r="K1" s="416" t="s">
        <v>325</v>
      </c>
    </row>
    <row r="2" spans="1:11">
      <c r="A2" s="21"/>
      <c r="B2" s="98" t="s">
        <v>328</v>
      </c>
      <c r="C2" s="108" t="s">
        <v>6</v>
      </c>
      <c r="E2" s="21"/>
      <c r="F2" s="98" t="s">
        <v>328</v>
      </c>
      <c r="G2" s="108" t="s">
        <v>6</v>
      </c>
      <c r="I2" s="21"/>
      <c r="J2" s="98" t="s">
        <v>328</v>
      </c>
      <c r="K2" s="108" t="s">
        <v>6</v>
      </c>
    </row>
    <row r="3" spans="1:11" ht="15.75">
      <c r="A3" s="114">
        <v>1</v>
      </c>
      <c r="B3" s="101" t="s">
        <v>329</v>
      </c>
      <c r="C3" s="109" t="s">
        <v>84</v>
      </c>
      <c r="D3" s="102"/>
      <c r="E3" s="114">
        <v>1</v>
      </c>
      <c r="F3" s="103" t="s">
        <v>330</v>
      </c>
      <c r="G3" s="115" t="s">
        <v>59</v>
      </c>
      <c r="I3" s="120">
        <v>1</v>
      </c>
      <c r="J3" s="99" t="s">
        <v>331</v>
      </c>
      <c r="K3" s="63" t="s">
        <v>76</v>
      </c>
    </row>
    <row r="4" spans="1:11" ht="15.75">
      <c r="A4" s="114">
        <v>2</v>
      </c>
      <c r="B4" s="104" t="s">
        <v>332</v>
      </c>
      <c r="C4" s="109" t="s">
        <v>84</v>
      </c>
      <c r="D4" s="102"/>
      <c r="E4" s="114">
        <v>2</v>
      </c>
      <c r="F4" s="103" t="s">
        <v>333</v>
      </c>
      <c r="G4" s="115" t="s">
        <v>90</v>
      </c>
      <c r="I4" s="120">
        <v>2</v>
      </c>
      <c r="J4" s="99" t="s">
        <v>334</v>
      </c>
      <c r="K4" s="63" t="s">
        <v>76</v>
      </c>
    </row>
    <row r="5" spans="1:11" ht="15.75">
      <c r="A5" s="114">
        <v>3</v>
      </c>
      <c r="B5" s="104" t="s">
        <v>335</v>
      </c>
      <c r="C5" s="109" t="s">
        <v>84</v>
      </c>
      <c r="D5" s="102"/>
      <c r="E5" s="114">
        <v>3</v>
      </c>
      <c r="F5" s="103" t="s">
        <v>336</v>
      </c>
      <c r="G5" s="115" t="s">
        <v>76</v>
      </c>
      <c r="I5" s="120">
        <v>3</v>
      </c>
      <c r="J5" s="99" t="s">
        <v>337</v>
      </c>
      <c r="K5" s="63" t="s">
        <v>76</v>
      </c>
    </row>
    <row r="6" spans="1:11" ht="15.75">
      <c r="A6" s="114">
        <v>4</v>
      </c>
      <c r="B6" s="104" t="s">
        <v>338</v>
      </c>
      <c r="C6" s="109" t="s">
        <v>84</v>
      </c>
      <c r="D6" s="102"/>
      <c r="E6" s="114">
        <v>4</v>
      </c>
      <c r="F6" s="103" t="s">
        <v>339</v>
      </c>
      <c r="G6" s="63" t="s">
        <v>274</v>
      </c>
      <c r="I6" s="120">
        <v>4</v>
      </c>
      <c r="J6" s="99" t="s">
        <v>340</v>
      </c>
      <c r="K6" s="63" t="s">
        <v>76</v>
      </c>
    </row>
    <row r="7" spans="1:11" ht="15.75">
      <c r="A7" s="114">
        <v>5</v>
      </c>
      <c r="B7" s="104" t="s">
        <v>341</v>
      </c>
      <c r="C7" s="109" t="s">
        <v>84</v>
      </c>
      <c r="D7" s="102"/>
      <c r="E7" s="114">
        <v>5</v>
      </c>
      <c r="F7" s="103" t="s">
        <v>342</v>
      </c>
      <c r="G7" s="115" t="s">
        <v>90</v>
      </c>
      <c r="I7" s="120">
        <v>5</v>
      </c>
      <c r="J7" s="99" t="s">
        <v>343</v>
      </c>
      <c r="K7" s="63" t="s">
        <v>76</v>
      </c>
    </row>
    <row r="8" spans="1:11" ht="15.75">
      <c r="A8" s="114">
        <v>6</v>
      </c>
      <c r="B8" s="104" t="s">
        <v>344</v>
      </c>
      <c r="C8" s="109" t="s">
        <v>84</v>
      </c>
      <c r="D8" s="102"/>
      <c r="E8" s="114">
        <v>6</v>
      </c>
      <c r="F8" s="103" t="s">
        <v>345</v>
      </c>
      <c r="G8" s="115" t="s">
        <v>90</v>
      </c>
      <c r="I8" s="120">
        <v>6</v>
      </c>
      <c r="J8" s="99" t="s">
        <v>346</v>
      </c>
      <c r="K8" s="63" t="s">
        <v>274</v>
      </c>
    </row>
    <row r="9" spans="1:11" ht="15.75">
      <c r="A9" s="114">
        <v>7</v>
      </c>
      <c r="B9" s="104" t="s">
        <v>347</v>
      </c>
      <c r="C9" s="109" t="s">
        <v>84</v>
      </c>
      <c r="D9" s="102"/>
      <c r="E9" s="114">
        <v>7</v>
      </c>
      <c r="F9" s="103" t="s">
        <v>348</v>
      </c>
      <c r="G9" s="115" t="s">
        <v>59</v>
      </c>
      <c r="I9" s="120">
        <v>7</v>
      </c>
      <c r="J9" s="99" t="s">
        <v>349</v>
      </c>
      <c r="K9" s="63" t="s">
        <v>274</v>
      </c>
    </row>
    <row r="10" spans="1:11" ht="23.25">
      <c r="A10" s="114">
        <v>8</v>
      </c>
      <c r="B10" s="104" t="s">
        <v>350</v>
      </c>
      <c r="C10" s="109" t="s">
        <v>84</v>
      </c>
      <c r="D10" s="102"/>
      <c r="E10" s="114">
        <v>8</v>
      </c>
      <c r="F10" s="103" t="s">
        <v>351</v>
      </c>
      <c r="G10" s="115" t="s">
        <v>59</v>
      </c>
      <c r="I10" s="120">
        <v>8</v>
      </c>
      <c r="J10" s="99" t="s">
        <v>352</v>
      </c>
      <c r="K10" s="63" t="s">
        <v>12</v>
      </c>
    </row>
    <row r="11" spans="1:11" ht="15.75">
      <c r="A11" s="114">
        <v>9</v>
      </c>
      <c r="B11" s="104" t="s">
        <v>353</v>
      </c>
      <c r="C11" s="109" t="s">
        <v>84</v>
      </c>
      <c r="D11" s="102"/>
      <c r="E11" s="114">
        <v>9</v>
      </c>
      <c r="F11" s="103" t="s">
        <v>354</v>
      </c>
      <c r="G11" s="115" t="s">
        <v>90</v>
      </c>
      <c r="I11" s="120">
        <v>9</v>
      </c>
      <c r="J11" s="99" t="s">
        <v>355</v>
      </c>
      <c r="K11" s="63" t="s">
        <v>12</v>
      </c>
    </row>
    <row r="12" spans="1:11" ht="15.75">
      <c r="A12" s="116">
        <v>10</v>
      </c>
      <c r="B12" s="110" t="s">
        <v>356</v>
      </c>
      <c r="C12" s="111" t="s">
        <v>84</v>
      </c>
      <c r="D12" s="102"/>
      <c r="E12" s="114">
        <v>10</v>
      </c>
      <c r="F12" s="103" t="s">
        <v>357</v>
      </c>
      <c r="G12" s="63" t="s">
        <v>274</v>
      </c>
      <c r="I12" s="120">
        <v>10</v>
      </c>
      <c r="J12" s="99" t="s">
        <v>358</v>
      </c>
      <c r="K12" s="63" t="s">
        <v>274</v>
      </c>
    </row>
    <row r="13" spans="1:11" ht="15.75">
      <c r="A13" s="116">
        <v>11</v>
      </c>
      <c r="B13" s="265" t="s">
        <v>359</v>
      </c>
      <c r="C13" s="119" t="s">
        <v>59</v>
      </c>
      <c r="D13" s="102"/>
      <c r="E13" s="114">
        <v>11</v>
      </c>
      <c r="F13" s="105" t="s">
        <v>360</v>
      </c>
      <c r="G13" s="63" t="s">
        <v>274</v>
      </c>
      <c r="I13" s="120">
        <v>11</v>
      </c>
      <c r="J13" s="100" t="s">
        <v>361</v>
      </c>
      <c r="K13" s="63" t="s">
        <v>274</v>
      </c>
    </row>
    <row r="14" spans="1:11" ht="15.75">
      <c r="A14" s="102"/>
      <c r="B14" s="102"/>
      <c r="C14" s="102"/>
      <c r="D14" s="102"/>
      <c r="E14" s="114">
        <v>12</v>
      </c>
      <c r="F14" s="103" t="s">
        <v>362</v>
      </c>
      <c r="G14" s="115" t="s">
        <v>274</v>
      </c>
      <c r="I14" s="120">
        <v>12</v>
      </c>
      <c r="J14" s="99" t="s">
        <v>363</v>
      </c>
      <c r="K14" s="63" t="s">
        <v>274</v>
      </c>
    </row>
    <row r="15" spans="1:11" ht="15.75">
      <c r="A15" s="1008" t="s">
        <v>364</v>
      </c>
      <c r="B15" s="1009"/>
      <c r="C15" s="1010"/>
      <c r="D15" s="102"/>
      <c r="E15" s="114">
        <v>13</v>
      </c>
      <c r="F15" s="103" t="s">
        <v>365</v>
      </c>
      <c r="G15" s="115" t="s">
        <v>90</v>
      </c>
      <c r="I15" s="120">
        <v>13</v>
      </c>
      <c r="J15" s="99" t="s">
        <v>366</v>
      </c>
      <c r="K15" s="63" t="s">
        <v>76</v>
      </c>
    </row>
    <row r="16" spans="1:11" ht="15.75">
      <c r="A16" s="1011">
        <f>SUM('Supervision Load'!E3)</f>
        <v>46</v>
      </c>
      <c r="B16" s="1012"/>
      <c r="C16" s="1013"/>
      <c r="D16" s="102"/>
      <c r="E16" s="114">
        <v>14</v>
      </c>
      <c r="F16" s="103" t="s">
        <v>367</v>
      </c>
      <c r="G16" s="115" t="s">
        <v>90</v>
      </c>
      <c r="I16" s="120">
        <v>14</v>
      </c>
      <c r="J16" s="99" t="s">
        <v>368</v>
      </c>
      <c r="K16" s="63" t="s">
        <v>76</v>
      </c>
    </row>
    <row r="17" spans="1:11" ht="15.75">
      <c r="A17" s="1011"/>
      <c r="B17" s="1012"/>
      <c r="C17" s="1013"/>
      <c r="D17" s="102"/>
      <c r="E17" s="114">
        <v>15</v>
      </c>
      <c r="F17" s="103" t="s">
        <v>369</v>
      </c>
      <c r="G17" s="115" t="s">
        <v>90</v>
      </c>
      <c r="I17" s="120">
        <v>15</v>
      </c>
      <c r="J17" s="99" t="s">
        <v>370</v>
      </c>
      <c r="K17" s="63" t="s">
        <v>76</v>
      </c>
    </row>
    <row r="18" spans="1:11" ht="15.75">
      <c r="A18" s="1014"/>
      <c r="B18" s="1015"/>
      <c r="C18" s="1016"/>
      <c r="D18" s="102"/>
      <c r="E18" s="116">
        <v>16</v>
      </c>
      <c r="F18" s="117" t="s">
        <v>371</v>
      </c>
      <c r="G18" s="118" t="s">
        <v>90</v>
      </c>
      <c r="I18" s="120">
        <v>16</v>
      </c>
      <c r="J18" s="99" t="s">
        <v>372</v>
      </c>
      <c r="K18" s="63" t="s">
        <v>274</v>
      </c>
    </row>
    <row r="19" spans="1:11">
      <c r="I19" s="120">
        <v>17</v>
      </c>
      <c r="J19" s="99" t="s">
        <v>373</v>
      </c>
      <c r="K19" s="63" t="s">
        <v>12</v>
      </c>
    </row>
    <row r="20" spans="1:11" ht="15.75">
      <c r="B20" s="134"/>
      <c r="I20" s="120">
        <v>18</v>
      </c>
      <c r="J20" s="99" t="s">
        <v>374</v>
      </c>
      <c r="K20" s="63" t="s">
        <v>76</v>
      </c>
    </row>
    <row r="21" spans="1:11">
      <c r="I21" s="120">
        <v>19</v>
      </c>
      <c r="J21" s="99" t="s">
        <v>375</v>
      </c>
      <c r="K21" s="63" t="s">
        <v>12</v>
      </c>
    </row>
    <row r="22" spans="1:11">
      <c r="I22" s="116"/>
      <c r="J22" s="265"/>
      <c r="K22" s="119"/>
    </row>
    <row r="24" spans="1:11">
      <c r="E24" s="10"/>
      <c r="F24" s="98" t="s">
        <v>376</v>
      </c>
      <c r="G24" s="9" t="s">
        <v>377</v>
      </c>
      <c r="H24" s="98" t="s">
        <v>378</v>
      </c>
      <c r="I24" s="98"/>
      <c r="J24" s="218" t="s">
        <v>379</v>
      </c>
      <c r="K24" s="220" t="s">
        <v>380</v>
      </c>
    </row>
    <row r="25" spans="1:11">
      <c r="E25" s="58">
        <v>1</v>
      </c>
      <c r="F25" s="10" t="s">
        <v>274</v>
      </c>
      <c r="G25" s="12">
        <v>10</v>
      </c>
      <c r="H25" s="1017" t="s">
        <v>381</v>
      </c>
      <c r="I25" s="1018"/>
      <c r="J25" s="218">
        <f>COUNTIF(G3:G18:K3:K21, "Marc")</f>
        <v>10</v>
      </c>
      <c r="K25" s="220">
        <f>SUM(G25-J25)</f>
        <v>0</v>
      </c>
    </row>
    <row r="26" spans="1:11">
      <c r="E26" s="156">
        <v>2</v>
      </c>
      <c r="F26" s="10" t="s">
        <v>382</v>
      </c>
      <c r="G26" s="12">
        <v>0</v>
      </c>
      <c r="H26" s="1006" t="s">
        <v>270</v>
      </c>
      <c r="I26" s="1006"/>
      <c r="J26" s="219">
        <f>COUNTIF(G3:G18:K3:K21, "Andy")</f>
        <v>0</v>
      </c>
      <c r="K26" s="220">
        <f>SUM(G26-J26)</f>
        <v>0</v>
      </c>
    </row>
    <row r="27" spans="1:11">
      <c r="E27" s="12">
        <v>3</v>
      </c>
      <c r="F27" s="10" t="s">
        <v>76</v>
      </c>
      <c r="G27" s="12">
        <v>10</v>
      </c>
      <c r="H27" s="1006" t="s">
        <v>270</v>
      </c>
      <c r="I27" s="1006"/>
      <c r="J27" s="472">
        <f>COUNTIF(G3:G18:K3:K21, "Bode")</f>
        <v>10</v>
      </c>
      <c r="K27" s="220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06" t="s">
        <v>270</v>
      </c>
      <c r="I28" s="1006"/>
      <c r="J28" s="219">
        <f>COUNTIF(G3:G18:K3:K21, "Kalin")</f>
        <v>4</v>
      </c>
      <c r="K28" s="220">
        <f>SUM(G28-J28)</f>
        <v>0</v>
      </c>
    </row>
    <row r="29" spans="1:11">
      <c r="E29" s="12">
        <v>5</v>
      </c>
      <c r="F29" s="10" t="s">
        <v>84</v>
      </c>
      <c r="G29" s="12">
        <v>10</v>
      </c>
      <c r="H29" s="1006" t="s">
        <v>270</v>
      </c>
      <c r="I29" s="1006"/>
      <c r="J29" s="219">
        <f>COUNTIF(G3:G18:K3:K21:C3:C12, "Anthony")</f>
        <v>10</v>
      </c>
      <c r="K29" s="220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1006" t="s">
        <v>270</v>
      </c>
      <c r="I30" s="1006"/>
      <c r="J30" s="219">
        <f>COUNTIF(G3:G18:C3:K13, "Nick")</f>
        <v>4</v>
      </c>
      <c r="K30" s="220">
        <f>SUM(G30-J30)</f>
        <v>0</v>
      </c>
    </row>
    <row r="31" spans="1:11">
      <c r="E31" s="12">
        <v>7</v>
      </c>
      <c r="F31" s="10" t="s">
        <v>90</v>
      </c>
      <c r="G31" s="12">
        <v>8</v>
      </c>
      <c r="H31" s="1006" t="s">
        <v>270</v>
      </c>
      <c r="I31" s="1006"/>
      <c r="J31" s="219">
        <f>COUNTIF(G4:G19:K4:K22, "Pengfei")</f>
        <v>8</v>
      </c>
      <c r="K31" s="220">
        <f>SUM(G31-J31)</f>
        <v>0</v>
      </c>
    </row>
    <row r="32" spans="1:11">
      <c r="E32" s="217"/>
      <c r="F32" s="217"/>
      <c r="G32" s="217"/>
      <c r="H32" s="1007"/>
      <c r="I32" s="1007"/>
    </row>
    <row r="34" spans="7:12">
      <c r="G34" s="473">
        <f>SUM(G25:G31)</f>
        <v>46</v>
      </c>
      <c r="J34" s="280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2023-09-19T14:30:47Z</dcterms:modified>
  <cp:category/>
  <cp:contentStatus/>
</cp:coreProperties>
</file>