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7504" documentId="8_{F910275D-011D-4B9B-94BD-9ED687CDE8E9}" xr6:coauthVersionLast="47" xr6:coauthVersionMax="47" xr10:uidLastSave="{F38B585C-0304-4A51-AC0F-0AE6E7E8EFD1}"/>
  <bookViews>
    <workbookView xWindow="2835" yWindow="1605" windowWidth="22560" windowHeight="13920" firstSheet="13" activeTab="6" xr2:uid="{E69C05BD-5864-2041-BCC3-203BAAF63D0E}"/>
  </bookViews>
  <sheets>
    <sheet name="Foundation" sheetId="6" r:id="rId1"/>
    <sheet name="UG Map L4-L6" sheetId="1" r:id="rId2"/>
    <sheet name="UG Delivery" sheetId="13" r:id="rId3"/>
    <sheet name="PG Delivery &amp; Map (15 Credits)" sheetId="5" r:id="rId4"/>
    <sheet name="PG MAIDS" sheetId="3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625 May 23" sheetId="17" r:id="rId10"/>
    <sheet name="COM726 - Sept 23" sheetId="11" r:id="rId11"/>
    <sheet name="COM726 - May 23" sheetId="9" r:id="rId12"/>
    <sheet name="COM616 - Oct 2023" sheetId="14" r:id="rId13"/>
    <sheet name="COM726-Sep-23" sheetId="16" r:id="rId14"/>
  </sheets>
  <definedNames>
    <definedName name="_xlnm._FilterDatabase" localSheetId="11" hidden="1">'COM726 - May 23'!$C$1:$C$63</definedName>
    <definedName name="_xlnm._FilterDatabase" localSheetId="3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F71" i="1"/>
  <c r="G71" i="1"/>
  <c r="H71" i="1"/>
  <c r="D71" i="1"/>
  <c r="J12" i="7"/>
  <c r="F28" i="15"/>
  <c r="F29" i="15"/>
  <c r="F30" i="15"/>
  <c r="F31" i="15"/>
  <c r="F32" i="15"/>
  <c r="F27" i="15"/>
  <c r="F26" i="15"/>
  <c r="F25" i="15"/>
  <c r="F24" i="15"/>
  <c r="F23" i="15"/>
  <c r="F21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G26" i="15"/>
  <c r="E26" i="15"/>
  <c r="H26" i="15"/>
  <c r="H27" i="15"/>
  <c r="H28" i="15"/>
  <c r="H29" i="15"/>
  <c r="H30" i="15"/>
  <c r="H31" i="15"/>
  <c r="H32" i="15"/>
  <c r="G25" i="15"/>
  <c r="E25" i="15"/>
  <c r="H25" i="15" s="1"/>
  <c r="G24" i="15"/>
  <c r="E24" i="15"/>
  <c r="H24" i="15" s="1"/>
  <c r="M17" i="16"/>
  <c r="M18" i="16"/>
  <c r="M19" i="16"/>
  <c r="K27" i="16"/>
  <c r="L27" i="16"/>
  <c r="G23" i="15"/>
  <c r="E23" i="15"/>
  <c r="H23" i="15"/>
  <c r="J27" i="7"/>
  <c r="I27" i="7"/>
  <c r="G27" i="7"/>
  <c r="F27" i="7"/>
  <c r="C27" i="7"/>
  <c r="J24" i="7"/>
  <c r="J26" i="7"/>
  <c r="I26" i="7"/>
  <c r="G26" i="7"/>
  <c r="C26" i="7"/>
  <c r="N20" i="14"/>
  <c r="Q27" i="7"/>
  <c r="J10" i="7"/>
  <c r="E10" i="7"/>
  <c r="G21" i="15"/>
  <c r="E21" i="15"/>
  <c r="H21" i="15"/>
  <c r="N21" i="15"/>
  <c r="Q10" i="7"/>
  <c r="N19" i="14"/>
  <c r="N10" i="14"/>
  <c r="N9" i="14"/>
  <c r="C10" i="7"/>
  <c r="F10" i="7"/>
  <c r="G10" i="7"/>
  <c r="I10" i="7"/>
  <c r="J7" i="7"/>
  <c r="L27" i="7"/>
  <c r="J6" i="7"/>
  <c r="I6" i="7"/>
  <c r="G6" i="7"/>
  <c r="F6" i="7"/>
  <c r="E6" i="7"/>
  <c r="C6" i="7"/>
  <c r="J22" i="7"/>
  <c r="I22" i="7"/>
  <c r="G22" i="7"/>
  <c r="F22" i="7"/>
  <c r="E22" i="7"/>
  <c r="C22" i="7"/>
  <c r="L22" i="7"/>
  <c r="K22" i="7"/>
  <c r="C11" i="15"/>
  <c r="C5" i="15"/>
  <c r="C33" i="15" s="1"/>
  <c r="F3" i="17"/>
  <c r="H24" i="8"/>
  <c r="I24" i="8" s="1"/>
  <c r="G24" i="8"/>
  <c r="H8" i="8"/>
  <c r="I8" i="8" s="1"/>
  <c r="G8" i="8"/>
  <c r="B8" i="8"/>
  <c r="G5" i="7"/>
  <c r="C8" i="7"/>
  <c r="L24" i="14"/>
  <c r="J28" i="7"/>
  <c r="J25" i="7"/>
  <c r="J20" i="7"/>
  <c r="J19" i="7"/>
  <c r="J18" i="7"/>
  <c r="J17" i="7"/>
  <c r="J16" i="7"/>
  <c r="J15" i="7"/>
  <c r="J13" i="7"/>
  <c r="J8" i="7"/>
  <c r="J5" i="7"/>
  <c r="J4" i="7"/>
  <c r="J3" i="7"/>
  <c r="K10" i="9"/>
  <c r="J10" i="9"/>
  <c r="K33" i="15"/>
  <c r="L33" i="15"/>
  <c r="M33" i="15"/>
  <c r="J33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2" i="15"/>
  <c r="N23" i="15"/>
  <c r="N2" i="15"/>
  <c r="I28" i="7"/>
  <c r="G28" i="7"/>
  <c r="F28" i="7"/>
  <c r="E28" i="7"/>
  <c r="C28" i="7"/>
  <c r="L25" i="11"/>
  <c r="L24" i="11"/>
  <c r="L23" i="11"/>
  <c r="L22" i="11"/>
  <c r="L21" i="11"/>
  <c r="L20" i="11"/>
  <c r="M21" i="11"/>
  <c r="M22" i="11"/>
  <c r="M23" i="11"/>
  <c r="M24" i="11"/>
  <c r="M25" i="11"/>
  <c r="L17" i="7"/>
  <c r="V18" i="1"/>
  <c r="V17" i="1"/>
  <c r="K17" i="7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4" i="1"/>
  <c r="V13" i="1"/>
  <c r="V16" i="1"/>
  <c r="V15" i="1"/>
  <c r="V19" i="1"/>
  <c r="V3" i="1"/>
  <c r="J25" i="10"/>
  <c r="N23" i="14"/>
  <c r="N22" i="14"/>
  <c r="N21" i="14"/>
  <c r="N18" i="14"/>
  <c r="N17" i="14"/>
  <c r="N16" i="14"/>
  <c r="N15" i="14"/>
  <c r="N14" i="14"/>
  <c r="N13" i="14"/>
  <c r="N11" i="14"/>
  <c r="N8" i="14"/>
  <c r="N7" i="14"/>
  <c r="N6" i="14"/>
  <c r="N5" i="14"/>
  <c r="N4" i="14"/>
  <c r="N3" i="14"/>
  <c r="N2" i="14"/>
  <c r="N12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D12" i="15"/>
  <c r="L34" i="10"/>
  <c r="G34" i="10"/>
  <c r="K18" i="9"/>
  <c r="K8" i="9"/>
  <c r="K7" i="9"/>
  <c r="K4" i="9"/>
  <c r="K16" i="9"/>
  <c r="L9" i="9"/>
  <c r="K3" i="9"/>
  <c r="F12" i="15"/>
  <c r="G12" i="15"/>
  <c r="E12" i="15"/>
  <c r="D11" i="15"/>
  <c r="B12" i="15"/>
  <c r="H12" i="15" s="1"/>
  <c r="Q17" i="7"/>
  <c r="B11" i="15"/>
  <c r="D10" i="15"/>
  <c r="K25" i="10"/>
  <c r="D15" i="15"/>
  <c r="J30" i="10"/>
  <c r="G22" i="15"/>
  <c r="G20" i="15"/>
  <c r="G19" i="15"/>
  <c r="G18" i="15"/>
  <c r="G17" i="15"/>
  <c r="G16" i="15"/>
  <c r="G15" i="15"/>
  <c r="G14" i="15"/>
  <c r="G13" i="15"/>
  <c r="G11" i="15"/>
  <c r="G10" i="15"/>
  <c r="G9" i="15"/>
  <c r="G8" i="15"/>
  <c r="G7" i="15"/>
  <c r="G6" i="15"/>
  <c r="G5" i="15"/>
  <c r="G4" i="15"/>
  <c r="G3" i="15"/>
  <c r="G2" i="15"/>
  <c r="B3" i="15"/>
  <c r="B4" i="15"/>
  <c r="B5" i="15"/>
  <c r="B6" i="15"/>
  <c r="B7" i="15"/>
  <c r="B8" i="15"/>
  <c r="B9" i="15"/>
  <c r="B10" i="15"/>
  <c r="B13" i="15"/>
  <c r="B14" i="15"/>
  <c r="B15" i="15"/>
  <c r="B16" i="15"/>
  <c r="B17" i="15"/>
  <c r="B18" i="15"/>
  <c r="B20" i="15"/>
  <c r="F22" i="15"/>
  <c r="F20" i="15"/>
  <c r="F19" i="15"/>
  <c r="F18" i="15"/>
  <c r="F17" i="15"/>
  <c r="F16" i="15"/>
  <c r="F15" i="15"/>
  <c r="F14" i="15"/>
  <c r="F13" i="15"/>
  <c r="F11" i="15"/>
  <c r="F10" i="15"/>
  <c r="F9" i="15"/>
  <c r="F8" i="15"/>
  <c r="F7" i="15"/>
  <c r="F6" i="15"/>
  <c r="F5" i="15"/>
  <c r="F4" i="15"/>
  <c r="F3" i="15"/>
  <c r="F2" i="15"/>
  <c r="E22" i="15"/>
  <c r="G33" i="15"/>
  <c r="F33" i="15"/>
  <c r="H2" i="14"/>
  <c r="E20" i="15"/>
  <c r="E19" i="15"/>
  <c r="H19" i="15" s="1"/>
  <c r="Q22" i="7"/>
  <c r="E18" i="15"/>
  <c r="E17" i="15"/>
  <c r="E16" i="15"/>
  <c r="E15" i="15"/>
  <c r="E14" i="15"/>
  <c r="E13" i="15"/>
  <c r="E11" i="15"/>
  <c r="E10" i="15"/>
  <c r="E9" i="15"/>
  <c r="E8" i="15"/>
  <c r="E7" i="15"/>
  <c r="E6" i="15"/>
  <c r="E4" i="15"/>
  <c r="E3" i="15"/>
  <c r="E2" i="15"/>
  <c r="H2" i="15" s="1"/>
  <c r="Q6" i="7"/>
  <c r="E5" i="15"/>
  <c r="A16" i="10"/>
  <c r="E3" i="9"/>
  <c r="L17" i="11"/>
  <c r="M17" i="11"/>
  <c r="L18" i="11"/>
  <c r="M18" i="11"/>
  <c r="L19" i="11"/>
  <c r="M19" i="11"/>
  <c r="M20" i="11"/>
  <c r="K26" i="11"/>
  <c r="L26" i="11"/>
  <c r="L29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K14" i="11"/>
  <c r="K27" i="11"/>
  <c r="L14" i="11"/>
  <c r="M29" i="11"/>
  <c r="D20" i="15"/>
  <c r="D18" i="15"/>
  <c r="D17" i="15"/>
  <c r="D16" i="15"/>
  <c r="D14" i="15"/>
  <c r="D13" i="15"/>
  <c r="D9" i="15"/>
  <c r="D8" i="15"/>
  <c r="D7" i="15"/>
  <c r="D6" i="15"/>
  <c r="D5" i="15"/>
  <c r="D3" i="15"/>
  <c r="D4" i="15"/>
  <c r="F11" i="7"/>
  <c r="L30" i="16"/>
  <c r="M10" i="16"/>
  <c r="M9" i="16"/>
  <c r="M12" i="16"/>
  <c r="M11" i="16"/>
  <c r="M20" i="16"/>
  <c r="L13" i="16"/>
  <c r="M13" i="16"/>
  <c r="M8" i="16"/>
  <c r="K19" i="9"/>
  <c r="K17" i="9"/>
  <c r="K6" i="9"/>
  <c r="K5" i="9"/>
  <c r="Z29" i="7"/>
  <c r="Y29" i="7"/>
  <c r="X29" i="7"/>
  <c r="W29" i="7"/>
  <c r="V29" i="7"/>
  <c r="U29" i="7"/>
  <c r="T29" i="7"/>
  <c r="S29" i="7"/>
  <c r="Z31" i="7"/>
  <c r="Z33" i="7" s="1"/>
  <c r="I21" i="7"/>
  <c r="L28" i="7"/>
  <c r="E25" i="7"/>
  <c r="E24" i="7"/>
  <c r="E23" i="7"/>
  <c r="E21" i="7"/>
  <c r="E19" i="7"/>
  <c r="E18" i="7"/>
  <c r="E16" i="7"/>
  <c r="E15" i="7"/>
  <c r="E14" i="7"/>
  <c r="E13" i="7"/>
  <c r="E11" i="7"/>
  <c r="K28" i="7"/>
  <c r="I25" i="7"/>
  <c r="I24" i="7"/>
  <c r="I20" i="7"/>
  <c r="I19" i="7"/>
  <c r="I18" i="7"/>
  <c r="I16" i="7"/>
  <c r="I15" i="7"/>
  <c r="I13" i="7"/>
  <c r="I12" i="7"/>
  <c r="I8" i="7"/>
  <c r="I7" i="7"/>
  <c r="I5" i="7"/>
  <c r="I4" i="7"/>
  <c r="I3" i="7"/>
  <c r="I9" i="7"/>
  <c r="C3" i="7"/>
  <c r="L19" i="9"/>
  <c r="L8" i="9"/>
  <c r="J20" i="9"/>
  <c r="J9" i="7"/>
  <c r="J11" i="7"/>
  <c r="J21" i="7"/>
  <c r="J23" i="7"/>
  <c r="J14" i="7"/>
  <c r="I14" i="7"/>
  <c r="I11" i="7"/>
  <c r="G14" i="7"/>
  <c r="F14" i="7"/>
  <c r="L14" i="7"/>
  <c r="K14" i="7"/>
  <c r="K14" i="16"/>
  <c r="M7" i="16"/>
  <c r="M6" i="16"/>
  <c r="M5" i="16"/>
  <c r="M4" i="16"/>
  <c r="K30" i="10"/>
  <c r="L6" i="9"/>
  <c r="K20" i="9"/>
  <c r="L3" i="9"/>
  <c r="J26" i="10"/>
  <c r="J31" i="10"/>
  <c r="K31" i="10"/>
  <c r="J29" i="10"/>
  <c r="K29" i="10"/>
  <c r="J28" i="10"/>
  <c r="K28" i="10"/>
  <c r="J27" i="10"/>
  <c r="K27" i="10"/>
  <c r="K26" i="10"/>
  <c r="E20" i="7"/>
  <c r="E12" i="7"/>
  <c r="E9" i="7"/>
  <c r="E8" i="7"/>
  <c r="E5" i="7"/>
  <c r="E4" i="7"/>
  <c r="E3" i="7"/>
  <c r="H7" i="7"/>
  <c r="G7" i="7"/>
  <c r="F7" i="7"/>
  <c r="L7" i="7"/>
  <c r="E7" i="7"/>
  <c r="K7" i="7"/>
  <c r="B4" i="8"/>
  <c r="E4" i="8"/>
  <c r="G4" i="8"/>
  <c r="H4" i="8"/>
  <c r="I4" i="8"/>
  <c r="B12" i="8"/>
  <c r="E12" i="8"/>
  <c r="G12" i="8"/>
  <c r="H12" i="8"/>
  <c r="I12" i="8"/>
  <c r="B20" i="8"/>
  <c r="G20" i="8"/>
  <c r="I20" i="8"/>
  <c r="F54" i="1"/>
  <c r="H15" i="7"/>
  <c r="G3" i="7"/>
  <c r="G4" i="7"/>
  <c r="G8" i="7"/>
  <c r="G9" i="7"/>
  <c r="G11" i="7"/>
  <c r="G12" i="7"/>
  <c r="G13" i="7"/>
  <c r="G15" i="7"/>
  <c r="G16" i="7"/>
  <c r="G18" i="7"/>
  <c r="G19" i="7"/>
  <c r="G20" i="7"/>
  <c r="G21" i="7"/>
  <c r="G23" i="7"/>
  <c r="G24" i="7"/>
  <c r="G25" i="7"/>
  <c r="C5" i="7"/>
  <c r="C9" i="7"/>
  <c r="C11" i="7"/>
  <c r="C12" i="7"/>
  <c r="C13" i="7"/>
  <c r="C18" i="7"/>
  <c r="C19" i="7"/>
  <c r="C20" i="7"/>
  <c r="C21" i="7"/>
  <c r="C23" i="7"/>
  <c r="C25" i="7"/>
  <c r="C24" i="7"/>
  <c r="C15" i="7"/>
  <c r="C16" i="7"/>
  <c r="C4" i="7"/>
  <c r="F25" i="7"/>
  <c r="L25" i="7"/>
  <c r="F24" i="7"/>
  <c r="L24" i="7"/>
  <c r="F23" i="7"/>
  <c r="L23" i="7"/>
  <c r="F21" i="7"/>
  <c r="L21" i="7"/>
  <c r="F20" i="7"/>
  <c r="L20" i="7"/>
  <c r="F19" i="7"/>
  <c r="L19" i="7"/>
  <c r="F18" i="7"/>
  <c r="L18" i="7"/>
  <c r="F16" i="7"/>
  <c r="L16" i="7"/>
  <c r="F15" i="7"/>
  <c r="L15" i="7"/>
  <c r="F13" i="7"/>
  <c r="L13" i="7"/>
  <c r="F12" i="7"/>
  <c r="L12" i="7"/>
  <c r="L6" i="7"/>
  <c r="L11" i="7"/>
  <c r="L10" i="7"/>
  <c r="F9" i="7"/>
  <c r="L9" i="7"/>
  <c r="F8" i="7"/>
  <c r="L8" i="7"/>
  <c r="F5" i="7"/>
  <c r="L5" i="7"/>
  <c r="F4" i="7"/>
  <c r="L4" i="7"/>
  <c r="F3" i="7"/>
  <c r="L3" i="7"/>
  <c r="D62" i="7"/>
  <c r="I23" i="7"/>
  <c r="K25" i="7"/>
  <c r="K3" i="7"/>
  <c r="K4" i="7"/>
  <c r="K5" i="7"/>
  <c r="K8" i="7"/>
  <c r="K9" i="7"/>
  <c r="K10" i="7"/>
  <c r="K11" i="7"/>
  <c r="K6" i="7"/>
  <c r="K12" i="7"/>
  <c r="K13" i="7"/>
  <c r="K24" i="7"/>
  <c r="K15" i="7"/>
  <c r="K16" i="7"/>
  <c r="K18" i="7"/>
  <c r="K19" i="7"/>
  <c r="K20" i="7"/>
  <c r="K21" i="7"/>
  <c r="K23" i="7"/>
  <c r="K32" i="7"/>
  <c r="O24" i="14"/>
  <c r="N24" i="14"/>
  <c r="J34" i="10"/>
  <c r="B33" i="15"/>
  <c r="H22" i="15"/>
  <c r="Q23" i="7" s="1"/>
  <c r="K28" i="16"/>
  <c r="E33" i="15"/>
  <c r="M3" i="16"/>
  <c r="L14" i="16"/>
  <c r="K23" i="9"/>
  <c r="L7" i="9"/>
  <c r="L4" i="9"/>
  <c r="L5" i="9"/>
  <c r="L16" i="9"/>
  <c r="L17" i="9"/>
  <c r="L18" i="9"/>
  <c r="D33" i="15"/>
  <c r="L20" i="9"/>
  <c r="L10" i="9"/>
  <c r="L23" i="9"/>
  <c r="M30" i="16"/>
  <c r="H5" i="15" l="1"/>
  <c r="Q8" i="7" s="1"/>
  <c r="H3" i="15"/>
  <c r="Q7" i="7" s="1"/>
  <c r="H4" i="15"/>
  <c r="Q5" i="7" s="1"/>
  <c r="H6" i="15"/>
  <c r="Q9" i="7" s="1"/>
  <c r="H7" i="15"/>
  <c r="H20" i="15"/>
  <c r="H18" i="15"/>
  <c r="H17" i="15"/>
  <c r="Q21" i="7" s="1"/>
  <c r="H16" i="15"/>
  <c r="Q19" i="7" s="1"/>
  <c r="H15" i="15"/>
  <c r="Q20" i="7" s="1"/>
  <c r="H14" i="15"/>
  <c r="H13" i="15"/>
  <c r="Q16" i="7" s="1"/>
  <c r="H10" i="15"/>
  <c r="Q14" i="7" s="1"/>
  <c r="H9" i="15"/>
  <c r="Q12" i="7" s="1"/>
  <c r="H8" i="15"/>
  <c r="H11" i="15"/>
  <c r="Q13" i="7" s="1"/>
  <c r="Q25" i="7"/>
  <c r="Q26" i="7"/>
  <c r="F26" i="7"/>
  <c r="L26" i="7" s="1"/>
  <c r="E26" i="7"/>
  <c r="E27" i="7"/>
  <c r="Q4" i="7"/>
  <c r="H33" i="15"/>
  <c r="K27" i="7"/>
  <c r="K26" i="7"/>
  <c r="K30" i="7" s="1"/>
  <c r="F11" i="14"/>
  <c r="B15" i="8"/>
  <c r="Q11" i="7"/>
  <c r="H16" i="8" l="1"/>
  <c r="I16" i="8" s="1"/>
  <c r="B16" i="8"/>
  <c r="G16" i="8" s="1"/>
</calcChain>
</file>

<file path=xl/sharedStrings.xml><?xml version="1.0" encoding="utf-8"?>
<sst xmlns="http://schemas.openxmlformats.org/spreadsheetml/2006/main" count="1665" uniqueCount="615">
  <si>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</si>
  <si>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</si>
  <si>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</si>
  <si>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</si>
  <si>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</si>
  <si>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</si>
  <si>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</si>
  <si>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</si>
  <si>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</si>
  <si>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</si>
  <si>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</si>
  <si>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</si>
  <si>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</si>
  <si>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</si>
  <si>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</si>
  <si>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</si>
  <si>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 WAS ANDY</t>
  </si>
  <si>
    <t>Armen</t>
  </si>
  <si>
    <t>Staff List</t>
  </si>
  <si>
    <t>Under Grad</t>
  </si>
  <si>
    <t>Delivery Semester</t>
  </si>
  <si>
    <t>Expected Num Students</t>
  </si>
  <si>
    <t>Groups 2023-24</t>
  </si>
  <si>
    <t>Tutor or 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</si>
  <si>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</si>
  <si>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</si>
  <si>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</si>
  <si>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</si>
  <si>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</si>
  <si>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</si>
  <si>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</si>
  <si>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</si>
  <si>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</si>
  <si>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</si>
  <si>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</si>
  <si>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</si>
  <si>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</si>
  <si>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</si>
  <si>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X</t>
  </si>
  <si>
    <t>COM412 Intro to Networks and Security</t>
  </si>
  <si>
    <t>Warren</t>
  </si>
  <si>
    <t>Mike</t>
  </si>
  <si>
    <t>COM413 Network Applications</t>
  </si>
  <si>
    <t>Neville</t>
  </si>
  <si>
    <t>COM414 Routing and Switching (Num of groups for sem 2 is 2, Sem 3 is for apprent)</t>
  </si>
  <si>
    <t>2&amp;3</t>
  </si>
  <si>
    <t xml:space="preserve">Bode </t>
  </si>
  <si>
    <t>Warren (sem 2)</t>
  </si>
  <si>
    <t>Mike (sem 3)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</si>
  <si>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</si>
  <si>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</si>
  <si>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</si>
  <si>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</si>
  <si>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</si>
  <si>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</si>
  <si>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</si>
  <si>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</si>
  <si>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</si>
  <si>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</si>
  <si>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</si>
  <si>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</si>
  <si>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</si>
  <si>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</si>
  <si>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>2 &amp; 3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</si>
  <si>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</si>
  <si>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</si>
  <si>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</si>
  <si>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Cyber Security Standards CTE403 HTQ</t>
  </si>
  <si>
    <t>VACANT but does not run until 2024</t>
  </si>
  <si>
    <t xml:space="preserve">COM511 Network Systems Automation </t>
  </si>
  <si>
    <t>Venkat</t>
  </si>
  <si>
    <t>COM512 Network Security</t>
  </si>
  <si>
    <t>COM513 Network Engineering</t>
  </si>
  <si>
    <t>COM514 Research Methods Project  WAS JOE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</si>
  <si>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</si>
  <si>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</si>
  <si>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</si>
  <si>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</si>
  <si>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</si>
  <si>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</si>
  <si>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</si>
  <si>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 WAS JOE</t>
  </si>
  <si>
    <t>COM520 Human Computer Interaction</t>
  </si>
  <si>
    <t>Anthony</t>
  </si>
  <si>
    <t>COM521 Ethical Hacking and Pen Testing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</si>
  <si>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</si>
  <si>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</si>
  <si>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</si>
  <si>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</si>
  <si>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</si>
  <si>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</si>
  <si>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</si>
  <si>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</si>
  <si>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</si>
  <si>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</si>
  <si>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</si>
  <si>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</si>
  <si>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</si>
  <si>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</si>
  <si>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</si>
  <si>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</si>
  <si>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Craig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</si>
  <si>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</si>
  <si>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</si>
  <si>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</si>
  <si>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</si>
  <si>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</si>
  <si>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 (Core: SE, App SE &amp; Option Computing)</t>
  </si>
  <si>
    <t>COM620 Immersive Technologies (UG Option) NOT RUNNING</t>
  </si>
  <si>
    <t>COM621 UX Strategies (Option Digital Design &amp; Web)</t>
  </si>
  <si>
    <t>COM622 Cyber crime (UG Option)  NOT RUNNING as no staff available</t>
  </si>
  <si>
    <t>n/a</t>
  </si>
  <si>
    <t>COM623 Contemporary Web Apps (UG Option Computing &amp; core Digi Design) WAS JOE - 2023 LAST RUN</t>
  </si>
  <si>
    <t>Taiwo/NEW STAFF/Nick Instead of COM626</t>
  </si>
  <si>
    <t>COM624 Machine Learning (UG OPTION SE) WAS FEMI</t>
  </si>
  <si>
    <t>Bacha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</si>
  <si>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</si>
  <si>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</si>
  <si>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</si>
  <si>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</si>
  <si>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</si>
  <si>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</si>
  <si>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</si>
  <si>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Expected Number of Students Per Course Per Level</t>
  </si>
  <si>
    <t>L3</t>
  </si>
  <si>
    <t>L4</t>
  </si>
  <si>
    <t>L5</t>
  </si>
  <si>
    <t>L6</t>
  </si>
  <si>
    <t>L7</t>
  </si>
  <si>
    <t>Foundation</t>
  </si>
  <si>
    <t>?</t>
  </si>
  <si>
    <t>CSNE</t>
  </si>
  <si>
    <t>CSM</t>
  </si>
  <si>
    <t>Computing</t>
  </si>
  <si>
    <t>SE</t>
  </si>
  <si>
    <t>Apprentices</t>
  </si>
  <si>
    <t>HTQs</t>
  </si>
  <si>
    <t>MAIDS</t>
  </si>
  <si>
    <t>MSc Cyber</t>
  </si>
  <si>
    <t>MSc ComEng</t>
  </si>
  <si>
    <t>MSc DD</t>
  </si>
  <si>
    <t>Level 3</t>
  </si>
  <si>
    <t>Level 4 HNC (HTQs)</t>
  </si>
  <si>
    <t>Level 4 Apprenticeship</t>
  </si>
  <si>
    <t>Under Graduate</t>
  </si>
  <si>
    <t>Degree Apprenticeship OLD STANDARD (Running out)</t>
  </si>
  <si>
    <t xml:space="preserve">Degree Apprenticeship </t>
  </si>
  <si>
    <t>NEW STANDARD 2023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</si>
  <si>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</si>
  <si>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</si>
  <si>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</si>
  <si>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</si>
  <si>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</si>
  <si>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</si>
  <si>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</si>
  <si>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</si>
  <si>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</si>
  <si>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</si>
  <si>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</si>
  <si>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</si>
  <si>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</si>
  <si>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</si>
  <si>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</si>
  <si>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COM307 Foundation Mathematics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</si>
  <si>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</si>
  <si>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</si>
  <si>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</si>
  <si>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</si>
  <si>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</si>
  <si>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COM414 Routing and Switching</t>
  </si>
  <si>
    <t>COM423 - Systems Analysis &amp; Design</t>
  </si>
  <si>
    <t>COM418 Data Analysis, Tools and Application</t>
  </si>
  <si>
    <t>Level 4 - Year 2</t>
  </si>
  <si>
    <t>COM423 - Systems Analysis &amp; Design (App ONLY)</t>
  </si>
  <si>
    <t>COM425 Introduction to Cybersecurity (0 Credit)</t>
  </si>
  <si>
    <t>Level 5</t>
  </si>
  <si>
    <t>COM421 - Data Structures, Algorithms &amp; Maths (Repeat Delivery)</t>
  </si>
  <si>
    <t>COM414 Routing and Switching (Repeat Delivery)</t>
  </si>
  <si>
    <t>COM519 Advanced Database Systems</t>
  </si>
  <si>
    <t>COM526 - Introduction to AI</t>
  </si>
  <si>
    <t>COM515 - Enterprise Networks</t>
  </si>
  <si>
    <t>COM521 Ethical Hacking &amp; Pen Testing</t>
  </si>
  <si>
    <t>COM511 Network Systems Automation</t>
  </si>
  <si>
    <t>COM426 Computing Project</t>
  </si>
  <si>
    <t>COM514 Research Methods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</si>
  <si>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</si>
  <si>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</si>
  <si>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</si>
  <si>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</si>
  <si>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</si>
  <si>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</si>
  <si>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 (App ONLY)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</si>
  <si>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</si>
  <si>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</si>
  <si>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</si>
  <si>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 (App ONLY)</t>
  </si>
  <si>
    <t>a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</si>
  <si>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</si>
  <si>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t>COM619 DevOps</t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</si>
  <si>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 xml:space="preserve">(OPTION)  </t>
    </r>
    <r>
      <rPr>
        <b/>
        <sz val="11"/>
        <color rgb="FFFF0000"/>
        <rFont val="Calibri"/>
      </rPr>
      <t>NOT RUNNING 23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</si>
  <si>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FF0000"/>
        <rFont val="Calibri"/>
      </rPr>
      <t>(NOT RUNNING 23)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</si>
  <si>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</si>
  <si>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</si>
  <si>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</si>
  <si>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</si>
  <si>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</si>
  <si>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</si>
  <si>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</si>
  <si>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 xml:space="preserve">(OPTION) </t>
    </r>
    <r>
      <rPr>
        <b/>
        <sz val="11"/>
        <color rgb="FFFF0000"/>
        <rFont val="Calibri"/>
      </rPr>
      <t>NOT RUNNING 23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</si>
  <si>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</si>
  <si>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</si>
  <si>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</si>
  <si>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</si>
  <si>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</si>
  <si>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 (App Only)</t>
  </si>
  <si>
    <t>COM6XX - Gateway (Zero Credit Module EPA Prep) - NEW</t>
  </si>
  <si>
    <t>Oct- Jan</t>
  </si>
  <si>
    <t>Oct- Jan  (App ONLY)</t>
  </si>
  <si>
    <t>COM6XX EPA (40 Credits) - NEW</t>
  </si>
  <si>
    <t>COM6XX EPA (40 Credits)  - NEW</t>
  </si>
  <si>
    <t>3x Repeat Delivery - COM421, COM526 &amp; COM618</t>
  </si>
  <si>
    <t>2x Repeat Delivery - COM414 &amp; COM614</t>
  </si>
  <si>
    <t>Post Grad</t>
  </si>
  <si>
    <t>Digital Design</t>
  </si>
  <si>
    <t>Comp Eng</t>
  </si>
  <si>
    <t>Level 7 Masters Delivery (15 Credit)</t>
  </si>
  <si>
    <t>COM700 Professional Issues &amp; Practice</t>
  </si>
  <si>
    <t>COM709 Computer Fundamentals</t>
  </si>
  <si>
    <t>MSc Computing Engineer</t>
  </si>
  <si>
    <t>MSc Digital Design</t>
  </si>
  <si>
    <t>COM710 Web Technologies</t>
  </si>
  <si>
    <t>COM711 Databases</t>
  </si>
  <si>
    <t>COM712 Networking</t>
  </si>
  <si>
    <t>Bode+Michael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</si>
  <si>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</si>
  <si>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</si>
  <si>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</si>
  <si>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</si>
  <si>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</si>
  <si>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</si>
  <si>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</si>
  <si>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</si>
  <si>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Tomasz</t>
  </si>
  <si>
    <t xml:space="preserve">COM722 Digital Design Management </t>
  </si>
  <si>
    <t>COM723 Usability &amp; UX Design</t>
  </si>
  <si>
    <t>COM713 Cyber Security Application</t>
  </si>
  <si>
    <t>COM722 Digital Design Management</t>
  </si>
  <si>
    <t>COM726 (in place of MAA111/112)</t>
  </si>
  <si>
    <t>Kashif</t>
  </si>
  <si>
    <t xml:space="preserve">COM726 - Dissertation </t>
  </si>
  <si>
    <t>MSc Applied AI &amp; Data Sci Sep &amp; Jan starts</t>
  </si>
  <si>
    <t>Sem</t>
  </si>
  <si>
    <t>COM724 - Applied AI in Business</t>
  </si>
  <si>
    <t>2+3</t>
  </si>
  <si>
    <t>COM725 - Data Analytics and Visualisation</t>
  </si>
  <si>
    <t>Raza</t>
  </si>
  <si>
    <t>3+1</t>
  </si>
  <si>
    <t>COM727 - Introduction to AI</t>
  </si>
  <si>
    <t>1+2</t>
  </si>
  <si>
    <t>COM728 - Programming for Problem Solving</t>
  </si>
  <si>
    <t>DO NOT EDIT THIS SHEET</t>
  </si>
  <si>
    <t>TOTALS</t>
  </si>
  <si>
    <t>Teaching</t>
  </si>
  <si>
    <t>Supervision</t>
  </si>
  <si>
    <t>STAFF ROLES</t>
  </si>
  <si>
    <t>ML</t>
  </si>
  <si>
    <t>Tutor/TI</t>
  </si>
  <si>
    <t>UG</t>
  </si>
  <si>
    <t>PG</t>
  </si>
  <si>
    <t>Ass. Prof</t>
  </si>
  <si>
    <t>CL</t>
  </si>
  <si>
    <t>SL8</t>
  </si>
  <si>
    <t>SL7</t>
  </si>
  <si>
    <t>L</t>
  </si>
  <si>
    <t>AL</t>
  </si>
  <si>
    <t>TI</t>
  </si>
  <si>
    <t>Outside Dept</t>
  </si>
  <si>
    <t>Ajab*</t>
  </si>
  <si>
    <t>YES</t>
  </si>
  <si>
    <t>NEW JOE Sept-23</t>
  </si>
  <si>
    <t>Taiwo NEW STARTER</t>
  </si>
  <si>
    <t>Kenton (AL)</t>
  </si>
  <si>
    <t>Louise*</t>
  </si>
  <si>
    <t>Marc</t>
  </si>
  <si>
    <t>Mike (TI)</t>
  </si>
  <si>
    <t>Pengfei (AL)</t>
  </si>
  <si>
    <t>Tomasz*</t>
  </si>
  <si>
    <t>Craig (AL)</t>
  </si>
  <si>
    <t>Armen (AL)</t>
  </si>
  <si>
    <t>VACANT MODULES</t>
  </si>
  <si>
    <t>*Outside Dept</t>
  </si>
  <si>
    <t>THIS SHEET UPDATES ITSELF BASED ON INPUT ON OTHER SHEETS</t>
  </si>
  <si>
    <t>Total Modules</t>
  </si>
  <si>
    <t>Total Staff</t>
  </si>
  <si>
    <t>Computing Staff Only</t>
  </si>
  <si>
    <t>COM726 - May 23</t>
  </si>
  <si>
    <t>COM625 (Apprentice)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</si>
  <si>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</si>
  <si>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</si>
  <si>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</si>
  <si>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</si>
  <si>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</si>
  <si>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</si>
  <si>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</si>
  <si>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</si>
  <si>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</si>
  <si>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Anthony (0.5)</t>
  </si>
  <si>
    <t>Hamid (External)</t>
  </si>
  <si>
    <t>Muntasir (External) QUIT</t>
  </si>
  <si>
    <t>Neville (0.5)</t>
  </si>
  <si>
    <t>Peyman (External)</t>
  </si>
  <si>
    <t>Matloob (External)</t>
  </si>
  <si>
    <t>Saeed (External)</t>
  </si>
  <si>
    <t>Mujeeb (External)</t>
  </si>
  <si>
    <t>Vahid (External)</t>
  </si>
  <si>
    <t>Zuhaib (External)</t>
  </si>
  <si>
    <t>Ade (External)</t>
  </si>
  <si>
    <t>Hany (External)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</si>
  <si>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</si>
  <si>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</si>
  <si>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</si>
  <si>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</si>
  <si>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</si>
  <si>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</si>
  <si>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</si>
  <si>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</si>
  <si>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</si>
  <si>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t>COM625 Synoptic Project (Apprentices) May- Sept 23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</si>
  <si>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</si>
  <si>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</si>
  <si>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</si>
  <si>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</si>
  <si>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</si>
  <si>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COM625 Synoptic Project (Apprentices) May- Sept 24</t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</si>
  <si>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</si>
  <si>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</si>
  <si>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</si>
  <si>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</si>
  <si>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</si>
  <si>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</si>
  <si>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</si>
  <si>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</si>
  <si>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</si>
  <si>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</si>
  <si>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</si>
  <si>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</si>
  <si>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</si>
  <si>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</si>
  <si>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</si>
  <si>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</si>
  <si>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</si>
  <si>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</si>
  <si>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</si>
  <si>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</si>
  <si>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</si>
  <si>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</si>
  <si>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</si>
  <si>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</si>
  <si>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</si>
  <si>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</si>
  <si>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</si>
  <si>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</si>
  <si>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</si>
  <si>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</si>
  <si>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</si>
  <si>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</si>
  <si>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</si>
  <si>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</si>
  <si>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</si>
  <si>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</si>
  <si>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</si>
  <si>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</si>
  <si>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</si>
  <si>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</si>
  <si>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</si>
  <si>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</si>
  <si>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</si>
  <si>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</si>
  <si>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</si>
  <si>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</si>
  <si>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</si>
  <si>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</si>
  <si>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</si>
  <si>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</si>
  <si>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</si>
  <si>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</si>
  <si>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</si>
  <si>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</si>
  <si>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</si>
  <si>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</si>
  <si>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</si>
  <si>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Andy</t>
  </si>
  <si>
    <t>BDATS Apprentices</t>
  </si>
  <si>
    <t>COM625</t>
  </si>
  <si>
    <t>Ryan Gaudion</t>
  </si>
  <si>
    <t>Steven Hawkins</t>
  </si>
  <si>
    <t>Todd Murrant</t>
  </si>
  <si>
    <t>Sean Pollard</t>
  </si>
  <si>
    <t>Benjamin Saunders</t>
  </si>
  <si>
    <t>Warren ?</t>
  </si>
  <si>
    <t>Filip Zdebel</t>
  </si>
  <si>
    <t>Warren?</t>
  </si>
  <si>
    <t>MAIDS COURSES COM726</t>
  </si>
  <si>
    <t>Course</t>
  </si>
  <si>
    <t>Sept 2023 - Jan 24</t>
  </si>
  <si>
    <t>Possible Tutors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</si>
  <si>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</si>
  <si>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</si>
  <si>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</si>
  <si>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</si>
  <si>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</si>
  <si>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</si>
  <si>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Sort Allocation (22/9/2023)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</si>
  <si>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</si>
  <si>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</si>
  <si>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</si>
  <si>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</si>
  <si>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</si>
  <si>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</si>
  <si>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</si>
  <si>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</si>
  <si>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Externals</t>
  </si>
  <si>
    <t>BUKOLA ADJIKPE</t>
  </si>
  <si>
    <t>Muntasir</t>
  </si>
  <si>
    <t>CAREN CHERUTO</t>
  </si>
  <si>
    <t>Hamid</t>
  </si>
  <si>
    <t>Chamali Wijayawickrama</t>
  </si>
  <si>
    <t>Peyman</t>
  </si>
  <si>
    <t>Darshankumar Sorthiya</t>
  </si>
  <si>
    <t xml:space="preserve">Matloob </t>
  </si>
  <si>
    <t>Dhaval Dineshbhai Sheladiya</t>
  </si>
  <si>
    <t xml:space="preserve">Ryan </t>
  </si>
  <si>
    <t>Emmanuel Ugwumsinachi Francis</t>
  </si>
  <si>
    <t xml:space="preserve">Mujeeb Ur </t>
  </si>
  <si>
    <t>Esther Kusi</t>
  </si>
  <si>
    <t>Vahid</t>
  </si>
  <si>
    <t>Etido Dem</t>
  </si>
  <si>
    <t xml:space="preserve">Zuhaib </t>
  </si>
  <si>
    <t>Ezeh Ochulor</t>
  </si>
  <si>
    <t>Ade</t>
  </si>
  <si>
    <t>GAURIKA WALIA</t>
  </si>
  <si>
    <t>Gbenga Aderibigbe</t>
  </si>
  <si>
    <t>Possible Total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</si>
  <si>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</si>
  <si>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</si>
  <si>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</si>
  <si>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</si>
  <si>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</si>
  <si>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</si>
  <si>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</si>
  <si>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</si>
  <si>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</si>
  <si>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</si>
  <si>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</si>
  <si>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</si>
  <si>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</si>
  <si>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</si>
  <si>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</si>
  <si>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</si>
  <si>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</si>
  <si>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</si>
  <si>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</si>
  <si>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</si>
  <si>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</si>
  <si>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</si>
  <si>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</si>
  <si>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</si>
  <si>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</si>
  <si>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</si>
  <si>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</si>
  <si>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</si>
  <si>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</si>
  <si>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</si>
  <si>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</si>
  <si>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</si>
  <si>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</si>
  <si>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</si>
  <si>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</si>
  <si>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</si>
  <si>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</si>
  <si>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</si>
  <si>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</si>
  <si>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</si>
  <si>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</si>
  <si>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</si>
  <si>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</si>
  <si>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</si>
  <si>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</si>
  <si>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</si>
  <si>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</si>
  <si>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</si>
  <si>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</si>
  <si>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</si>
  <si>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</si>
  <si>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</si>
  <si>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</si>
  <si>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</si>
  <si>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</si>
  <si>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</si>
  <si>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</si>
  <si>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</si>
  <si>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</si>
  <si>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</si>
  <si>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</si>
  <si>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</si>
  <si>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</si>
  <si>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</si>
  <si>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</si>
  <si>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</si>
  <si>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</si>
  <si>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</si>
  <si>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</si>
  <si>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</si>
  <si>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</si>
  <si>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</si>
  <si>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</si>
  <si>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</si>
  <si>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</si>
  <si>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</si>
  <si>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</si>
  <si>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</si>
  <si>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</si>
  <si>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</si>
  <si>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</si>
  <si>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</si>
  <si>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</si>
  <si>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</si>
  <si>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COM726</t>
  </si>
  <si>
    <t>Ademayowa Adeogun</t>
  </si>
  <si>
    <t>Femi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</si>
  <si>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</si>
  <si>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</si>
  <si>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</si>
  <si>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</si>
  <si>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</si>
  <si>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</si>
  <si>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</si>
  <si>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</si>
  <si>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</si>
  <si>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</si>
  <si>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Absentee</t>
  </si>
  <si>
    <t>Callum Grant</t>
  </si>
  <si>
    <t>need checking -student not showing up</t>
  </si>
  <si>
    <t>Chinnu Mariam Shaji</t>
  </si>
  <si>
    <t>Cinwonsoko Akanya</t>
  </si>
  <si>
    <t>Edafeoghene Etejere</t>
  </si>
  <si>
    <t>Ekaette Archibong</t>
  </si>
  <si>
    <t>Emmanuel Ughoo</t>
  </si>
  <si>
    <t>Emmanuel Chenemi Aduku</t>
  </si>
  <si>
    <t>Changed to 10 Students</t>
  </si>
  <si>
    <t>Felinson Onomakpome</t>
  </si>
  <si>
    <t>Fredrick Alli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</si>
  <si>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</si>
  <si>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</si>
  <si>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</si>
  <si>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</si>
  <si>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</si>
  <si>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</si>
  <si>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</si>
  <si>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</si>
  <si>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</si>
  <si>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</si>
  <si>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</si>
  <si>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</si>
  <si>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</si>
  <si>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</si>
  <si>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</si>
  <si>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</si>
  <si>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</si>
  <si>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</si>
  <si>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</si>
  <si>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</si>
  <si>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</si>
  <si>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</si>
  <si>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</si>
  <si>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</si>
  <si>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</si>
  <si>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</si>
  <si>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</si>
  <si>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</si>
  <si>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</si>
  <si>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</si>
  <si>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</si>
  <si>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</si>
  <si>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</si>
  <si>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</si>
  <si>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</si>
  <si>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</si>
  <si>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</si>
  <si>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</si>
  <si>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</si>
  <si>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</si>
  <si>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</si>
  <si>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</si>
  <si>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</si>
  <si>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</si>
  <si>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</si>
  <si>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</si>
  <si>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</si>
  <si>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BSc Comp Sys Network</t>
  </si>
  <si>
    <t>BSc Cyber</t>
  </si>
  <si>
    <t>BSc Digital Design &amp; Web</t>
  </si>
  <si>
    <t>BSc Soft Eng</t>
  </si>
  <si>
    <t>Oct 2023 - May 2024</t>
  </si>
  <si>
    <t>To Allocate</t>
  </si>
  <si>
    <t>Sep 2023 to Jan 2024</t>
  </si>
  <si>
    <t>Khushi Matloob</t>
  </si>
  <si>
    <t>Saeed Sharif</t>
  </si>
  <si>
    <t xml:space="preserve">Mujeeb Ur Rehman, </t>
  </si>
  <si>
    <t>Vahid Rafe</t>
  </si>
  <si>
    <t>Hany Atlam</t>
  </si>
  <si>
    <t>Hamidreza Soltani</t>
  </si>
  <si>
    <t>Peyman Heydarian</t>
  </si>
  <si>
    <t>Zuhaib Khan</t>
  </si>
  <si>
    <t>Ade Shonola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</si>
</sst>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5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2"/>
      <color rgb="FF000000"/>
      <name val="Calibri"/>
      <scheme val="minor"/>
    </font>
    <font>
      <b/>
      <sz val="18"/>
      <color rgb="FFFF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theme="1"/>
      <name val="Calibri"/>
      <scheme val="minor"/>
    </font>
    <font>
      <sz val="10"/>
      <color rgb="FF000000"/>
      <name val="Calibri"/>
      <charset val="1"/>
    </font>
    <font>
      <b/>
      <sz val="12"/>
      <color theme="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07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0" borderId="36" xfId="0" applyFont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6" borderId="55" xfId="0" applyFill="1" applyBorder="1"/>
    <xf numFmtId="0" fontId="0" fillId="12" borderId="55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3" borderId="87" xfId="0" applyFont="1" applyFill="1" applyBorder="1" applyAlignment="1">
      <alignment horizontal="center" vertical="center"/>
    </xf>
    <xf numFmtId="0" fontId="13" fillId="9" borderId="88" xfId="0" applyFont="1" applyFill="1" applyBorder="1" applyAlignment="1">
      <alignment horizontal="center" vertical="center"/>
    </xf>
    <xf numFmtId="0" fontId="13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" fontId="13" fillId="3" borderId="50" xfId="0" applyNumberFormat="1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7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6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5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7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0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3" xfId="0" applyFont="1" applyBorder="1"/>
    <xf numFmtId="0" fontId="0" fillId="7" borderId="19" xfId="0" applyFill="1" applyBorder="1"/>
    <xf numFmtId="0" fontId="0" fillId="0" borderId="19" xfId="0" applyBorder="1"/>
    <xf numFmtId="0" fontId="20" fillId="0" borderId="18" xfId="0" applyFont="1" applyBorder="1"/>
    <xf numFmtId="0" fontId="0" fillId="0" borderId="53" xfId="0" applyBorder="1"/>
    <xf numFmtId="0" fontId="1" fillId="0" borderId="1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6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1" fillId="0" borderId="83" xfId="0" applyFont="1" applyBorder="1"/>
    <xf numFmtId="0" fontId="1" fillId="13" borderId="58" xfId="0" applyFont="1" applyFill="1" applyBorder="1"/>
    <xf numFmtId="0" fontId="26" fillId="13" borderId="58" xfId="0" applyFont="1" applyFill="1" applyBorder="1"/>
    <xf numFmtId="0" fontId="0" fillId="0" borderId="58" xfId="0" applyBorder="1"/>
    <xf numFmtId="0" fontId="12" fillId="17" borderId="58" xfId="0" applyFont="1" applyFill="1" applyBorder="1"/>
    <xf numFmtId="0" fontId="26" fillId="9" borderId="58" xfId="0" applyFont="1" applyFill="1" applyBorder="1"/>
    <xf numFmtId="0" fontId="26" fillId="9" borderId="85" xfId="0" applyFont="1" applyFill="1" applyBorder="1"/>
    <xf numFmtId="0" fontId="27" fillId="17" borderId="5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26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6" fillId="0" borderId="58" xfId="0" applyFont="1" applyBorder="1"/>
    <xf numFmtId="0" fontId="26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6" fillId="4" borderId="58" xfId="0" applyFont="1" applyFill="1" applyBorder="1"/>
    <xf numFmtId="0" fontId="26" fillId="4" borderId="85" xfId="0" applyFont="1" applyFill="1" applyBorder="1"/>
    <xf numFmtId="0" fontId="27" fillId="0" borderId="58" xfId="0" applyFont="1" applyBorder="1"/>
    <xf numFmtId="0" fontId="1" fillId="0" borderId="58" xfId="0" applyFont="1" applyBorder="1"/>
    <xf numFmtId="0" fontId="12" fillId="17" borderId="59" xfId="0" applyFont="1" applyFill="1" applyBorder="1"/>
    <xf numFmtId="0" fontId="27" fillId="0" borderId="57" xfId="0" applyFont="1" applyBorder="1"/>
    <xf numFmtId="0" fontId="27" fillId="13" borderId="58" xfId="0" applyFont="1" applyFill="1" applyBorder="1" applyAlignment="1">
      <alignment wrapText="1"/>
    </xf>
    <xf numFmtId="0" fontId="27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7" fillId="13" borderId="58" xfId="0" applyFont="1" applyFill="1" applyBorder="1" applyAlignment="1">
      <alignment vertical="center" wrapText="1"/>
    </xf>
    <xf numFmtId="0" fontId="11" fillId="7" borderId="57" xfId="0" applyFont="1" applyFill="1" applyBorder="1"/>
    <xf numFmtId="0" fontId="25" fillId="18" borderId="101" xfId="0" applyFont="1" applyFill="1" applyBorder="1"/>
    <xf numFmtId="0" fontId="24" fillId="18" borderId="61" xfId="0" applyFont="1" applyFill="1" applyBorder="1"/>
    <xf numFmtId="0" fontId="25" fillId="19" borderId="101" xfId="0" applyFont="1" applyFill="1" applyBorder="1"/>
    <xf numFmtId="0" fontId="24" fillId="19" borderId="61" xfId="0" applyFont="1" applyFill="1" applyBorder="1"/>
    <xf numFmtId="0" fontId="25" fillId="15" borderId="101" xfId="0" applyFont="1" applyFill="1" applyBorder="1"/>
    <xf numFmtId="0" fontId="24" fillId="15" borderId="61" xfId="0" applyFont="1" applyFill="1" applyBorder="1"/>
    <xf numFmtId="0" fontId="25" fillId="20" borderId="101" xfId="0" applyFont="1" applyFill="1" applyBorder="1" applyAlignment="1">
      <alignment wrapText="1"/>
    </xf>
    <xf numFmtId="0" fontId="24" fillId="20" borderId="61" xfId="0" applyFont="1" applyFill="1" applyBorder="1"/>
    <xf numFmtId="0" fontId="25" fillId="21" borderId="101" xfId="0" applyFont="1" applyFill="1" applyBorder="1"/>
    <xf numFmtId="0" fontId="24" fillId="21" borderId="61" xfId="0" applyFont="1" applyFill="1" applyBorder="1"/>
    <xf numFmtId="0" fontId="29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3" fillId="0" borderId="16" xfId="0" applyFont="1" applyBorder="1"/>
    <xf numFmtId="0" fontId="23" fillId="0" borderId="11" xfId="0" applyFont="1" applyBorder="1"/>
    <xf numFmtId="0" fontId="29" fillId="23" borderId="101" xfId="0" applyFont="1" applyFill="1" applyBorder="1"/>
    <xf numFmtId="0" fontId="0" fillId="23" borderId="61" xfId="0" applyFill="1" applyBorder="1"/>
    <xf numFmtId="0" fontId="11" fillId="0" borderId="57" xfId="0" applyFont="1" applyBorder="1"/>
    <xf numFmtId="0" fontId="11" fillId="0" borderId="94" xfId="0" applyFont="1" applyBorder="1"/>
    <xf numFmtId="0" fontId="11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3" fillId="0" borderId="66" xfId="0" applyFont="1" applyBorder="1"/>
    <xf numFmtId="0" fontId="0" fillId="0" borderId="54" xfId="0" applyBorder="1"/>
    <xf numFmtId="0" fontId="23" fillId="0" borderId="70" xfId="0" applyFont="1" applyBorder="1"/>
    <xf numFmtId="0" fontId="23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3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3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3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1" fillId="0" borderId="55" xfId="0" applyFont="1" applyBorder="1"/>
    <xf numFmtId="0" fontId="31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3" fillId="8" borderId="21" xfId="0" applyFont="1" applyFill="1" applyBorder="1"/>
    <xf numFmtId="0" fontId="32" fillId="0" borderId="0" xfId="0" applyFont="1"/>
    <xf numFmtId="0" fontId="0" fillId="25" borderId="11" xfId="0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25" borderId="18" xfId="0" applyFill="1" applyBorder="1" applyAlignment="1">
      <alignment horizontal="center" vertical="center"/>
    </xf>
    <xf numFmtId="0" fontId="0" fillId="0" borderId="28" xfId="0" applyBorder="1"/>
    <xf numFmtId="0" fontId="0" fillId="25" borderId="11" xfId="0" applyFill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0" borderId="35" xfId="0" applyFont="1" applyBorder="1"/>
    <xf numFmtId="0" fontId="0" fillId="0" borderId="23" xfId="0" applyBorder="1"/>
    <xf numFmtId="0" fontId="1" fillId="25" borderId="36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 vertical="center"/>
    </xf>
    <xf numFmtId="0" fontId="0" fillId="25" borderId="21" xfId="0" applyFill="1" applyBorder="1" applyAlignment="1">
      <alignment horizontal="center" vertical="center"/>
    </xf>
    <xf numFmtId="0" fontId="31" fillId="0" borderId="11" xfId="0" applyFont="1" applyBorder="1"/>
    <xf numFmtId="0" fontId="20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3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6" fillId="26" borderId="33" xfId="0" applyFont="1" applyFill="1" applyBorder="1"/>
    <xf numFmtId="0" fontId="33" fillId="0" borderId="0" xfId="0" applyFont="1" applyAlignment="1">
      <alignment horizontal="center" vertical="center"/>
    </xf>
    <xf numFmtId="0" fontId="29" fillId="0" borderId="0" xfId="0" applyFont="1"/>
    <xf numFmtId="0" fontId="11" fillId="0" borderId="0" xfId="0" applyFont="1"/>
    <xf numFmtId="0" fontId="29" fillId="27" borderId="101" xfId="0" applyFont="1" applyFill="1" applyBorder="1"/>
    <xf numFmtId="0" fontId="0" fillId="27" borderId="61" xfId="0" applyFill="1" applyBorder="1"/>
    <xf numFmtId="0" fontId="29" fillId="28" borderId="101" xfId="0" applyFont="1" applyFill="1" applyBorder="1"/>
    <xf numFmtId="0" fontId="0" fillId="28" borderId="61" xfId="0" applyFill="1" applyBorder="1"/>
    <xf numFmtId="0" fontId="29" fillId="26" borderId="0" xfId="0" applyFont="1" applyFill="1"/>
    <xf numFmtId="0" fontId="11" fillId="26" borderId="0" xfId="0" applyFont="1" applyFill="1"/>
    <xf numFmtId="0" fontId="26" fillId="26" borderId="0" xfId="0" applyFont="1" applyFill="1"/>
    <xf numFmtId="0" fontId="0" fillId="26" borderId="63" xfId="0" applyFill="1" applyBorder="1"/>
    <xf numFmtId="0" fontId="11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6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6" fillId="9" borderId="58" xfId="0" applyFont="1" applyFill="1" applyBorder="1" applyAlignment="1">
      <alignment horizontal="left" vertical="center"/>
    </xf>
    <xf numFmtId="0" fontId="26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29" fillId="29" borderId="101" xfId="0" applyFont="1" applyFill="1" applyBorder="1"/>
    <xf numFmtId="0" fontId="0" fillId="29" borderId="61" xfId="0" applyFill="1" applyBorder="1"/>
    <xf numFmtId="0" fontId="29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0" borderId="87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34" fillId="0" borderId="11" xfId="0" applyFont="1" applyBorder="1"/>
    <xf numFmtId="0" fontId="1" fillId="0" borderId="37" xfId="0" applyFont="1" applyBorder="1" applyAlignment="1">
      <alignment horizontal="center"/>
    </xf>
    <xf numFmtId="0" fontId="1" fillId="3" borderId="56" xfId="0" applyFont="1" applyFill="1" applyBorder="1" applyAlignment="1">
      <alignment horizontal="center" vertical="center"/>
    </xf>
    <xf numFmtId="0" fontId="1" fillId="0" borderId="50" xfId="0" applyFont="1" applyBorder="1"/>
    <xf numFmtId="0" fontId="1" fillId="0" borderId="20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0" fillId="22" borderId="47" xfId="0" applyFont="1" applyFill="1" applyBorder="1"/>
    <xf numFmtId="0" fontId="20" fillId="0" borderId="48" xfId="0" applyFont="1" applyBorder="1"/>
    <xf numFmtId="0" fontId="20" fillId="22" borderId="48" xfId="0" applyFont="1" applyFill="1" applyBorder="1"/>
    <xf numFmtId="0" fontId="20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20" xfId="0" applyFont="1" applyBorder="1"/>
    <xf numFmtId="0" fontId="31" fillId="0" borderId="19" xfId="0" applyFont="1" applyBorder="1"/>
    <xf numFmtId="0" fontId="0" fillId="7" borderId="52" xfId="0" applyFill="1" applyBorder="1"/>
    <xf numFmtId="0" fontId="0" fillId="0" borderId="26" xfId="0" applyBorder="1" applyAlignment="1">
      <alignment horizontal="left" vertical="top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0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38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3" fillId="8" borderId="29" xfId="0" applyFont="1" applyFill="1" applyBorder="1"/>
    <xf numFmtId="0" fontId="23" fillId="8" borderId="16" xfId="0" applyFont="1" applyFill="1" applyBorder="1"/>
    <xf numFmtId="0" fontId="23" fillId="8" borderId="20" xfId="0" applyFont="1" applyFill="1" applyBorder="1"/>
    <xf numFmtId="0" fontId="23" fillId="0" borderId="99" xfId="0" applyFont="1" applyBorder="1"/>
    <xf numFmtId="0" fontId="23" fillId="0" borderId="16" xfId="0" applyFont="1" applyBorder="1"/>
    <xf numFmtId="0" fontId="23" fillId="0" borderId="30" xfId="0" applyFont="1" applyBorder="1"/>
    <xf numFmtId="0" fontId="23" fillId="8" borderId="30" xfId="0" applyFont="1" applyFill="1" applyBorder="1"/>
    <xf numFmtId="0" fontId="23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39" fillId="9" borderId="58" xfId="0" applyFont="1" applyFill="1" applyBorder="1"/>
    <xf numFmtId="3" fontId="40" fillId="0" borderId="0" xfId="0" applyNumberFormat="1" applyFont="1"/>
    <xf numFmtId="0" fontId="3" fillId="8" borderId="16" xfId="0" applyFont="1" applyFill="1" applyBorder="1"/>
    <xf numFmtId="0" fontId="0" fillId="0" borderId="112" xfId="0" applyBorder="1" applyAlignment="1">
      <alignment horizontal="center" vertical="center"/>
    </xf>
    <xf numFmtId="0" fontId="41" fillId="2" borderId="3" xfId="1" applyFill="1" applyBorder="1"/>
    <xf numFmtId="0" fontId="41" fillId="0" borderId="3" xfId="1" applyBorder="1"/>
    <xf numFmtId="0" fontId="41" fillId="0" borderId="69" xfId="1" applyBorder="1"/>
    <xf numFmtId="0" fontId="41" fillId="0" borderId="17" xfId="1" applyBorder="1"/>
    <xf numFmtId="0" fontId="41" fillId="2" borderId="17" xfId="1" applyFill="1" applyBorder="1"/>
    <xf numFmtId="0" fontId="41" fillId="2" borderId="77" xfId="1" applyFill="1" applyBorder="1"/>
    <xf numFmtId="0" fontId="41" fillId="0" borderId="97" xfId="1" applyBorder="1"/>
    <xf numFmtId="0" fontId="41" fillId="0" borderId="67" xfId="1" applyBorder="1"/>
    <xf numFmtId="0" fontId="41" fillId="0" borderId="15" xfId="1" applyBorder="1"/>
    <xf numFmtId="0" fontId="41" fillId="2" borderId="4" xfId="1" applyFill="1" applyBorder="1"/>
    <xf numFmtId="0" fontId="41" fillId="0" borderId="4" xfId="1" applyBorder="1"/>
    <xf numFmtId="0" fontId="41" fillId="0" borderId="14" xfId="1" applyBorder="1"/>
    <xf numFmtId="0" fontId="41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41" fillId="17" borderId="58" xfId="1" applyFill="1" applyBorder="1"/>
    <xf numFmtId="0" fontId="41" fillId="17" borderId="85" xfId="1" applyFill="1" applyBorder="1"/>
    <xf numFmtId="0" fontId="41" fillId="9" borderId="58" xfId="1" applyFill="1" applyBorder="1"/>
    <xf numFmtId="0" fontId="41" fillId="28" borderId="85" xfId="1" applyFill="1" applyBorder="1"/>
    <xf numFmtId="0" fontId="41" fillId="9" borderId="85" xfId="1" applyFill="1" applyBorder="1"/>
    <xf numFmtId="0" fontId="41" fillId="2" borderId="69" xfId="1" applyFill="1" applyBorder="1"/>
    <xf numFmtId="0" fontId="41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1" fillId="3" borderId="17" xfId="1" applyFill="1" applyBorder="1"/>
    <xf numFmtId="0" fontId="41" fillId="3" borderId="4" xfId="1" applyFill="1" applyBorder="1"/>
    <xf numFmtId="0" fontId="41" fillId="3" borderId="3" xfId="1" applyFill="1" applyBorder="1"/>
    <xf numFmtId="0" fontId="0" fillId="25" borderId="11" xfId="0" applyFill="1" applyBorder="1" applyAlignment="1">
      <alignment horizontal="center"/>
    </xf>
    <xf numFmtId="0" fontId="1" fillId="0" borderId="42" xfId="0" applyFont="1" applyBorder="1"/>
    <xf numFmtId="0" fontId="1" fillId="0" borderId="91" xfId="0" applyFont="1" applyBorder="1" applyAlignment="1">
      <alignment horizontal="center" vertical="center"/>
    </xf>
    <xf numFmtId="0" fontId="0" fillId="25" borderId="91" xfId="0" applyFill="1" applyBorder="1" applyAlignment="1">
      <alignment horizontal="center" vertical="center" wrapText="1"/>
    </xf>
    <xf numFmtId="0" fontId="1" fillId="4" borderId="80" xfId="0" applyFont="1" applyFill="1" applyBorder="1"/>
    <xf numFmtId="0" fontId="0" fillId="0" borderId="22" xfId="0" applyBorder="1"/>
    <xf numFmtId="0" fontId="0" fillId="0" borderId="66" xfId="0" applyBorder="1" applyAlignment="1">
      <alignment horizontal="center"/>
    </xf>
    <xf numFmtId="0" fontId="0" fillId="25" borderId="66" xfId="0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25" borderId="70" xfId="0" applyFill="1" applyBorder="1" applyAlignment="1">
      <alignment horizontal="center"/>
    </xf>
    <xf numFmtId="0" fontId="1" fillId="4" borderId="71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36" fillId="2" borderId="34" xfId="0" applyFont="1" applyFill="1" applyBorder="1" applyAlignment="1">
      <alignment horizontal="center" vertical="center"/>
    </xf>
    <xf numFmtId="0" fontId="30" fillId="22" borderId="49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69" xfId="0" applyFont="1" applyFill="1" applyBorder="1" applyAlignment="1">
      <alignment horizontal="center"/>
    </xf>
    <xf numFmtId="0" fontId="0" fillId="25" borderId="66" xfId="0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5" borderId="70" xfId="0" applyFill="1" applyBorder="1" applyAlignment="1">
      <alignment horizontal="center" vertical="center"/>
    </xf>
    <xf numFmtId="0" fontId="1" fillId="4" borderId="102" xfId="0" applyFont="1" applyFill="1" applyBorder="1" applyAlignment="1">
      <alignment horizontal="center" vertical="center"/>
    </xf>
    <xf numFmtId="0" fontId="1" fillId="25" borderId="91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/>
    </xf>
    <xf numFmtId="0" fontId="1" fillId="25" borderId="65" xfId="0" applyFont="1" applyFill="1" applyBorder="1" applyAlignment="1">
      <alignment horizontal="center" vertical="center"/>
    </xf>
    <xf numFmtId="0" fontId="35" fillId="0" borderId="11" xfId="0" applyFont="1" applyBorder="1"/>
    <xf numFmtId="0" fontId="20" fillId="0" borderId="29" xfId="0" applyFont="1" applyBorder="1"/>
    <xf numFmtId="0" fontId="0" fillId="0" borderId="21" xfId="0" applyBorder="1"/>
    <xf numFmtId="0" fontId="0" fillId="4" borderId="55" xfId="0" applyFill="1" applyBorder="1"/>
    <xf numFmtId="0" fontId="0" fillId="3" borderId="3" xfId="0" applyFill="1" applyBorder="1"/>
    <xf numFmtId="0" fontId="27" fillId="32" borderId="16" xfId="0" applyFont="1" applyFill="1" applyBorder="1"/>
    <xf numFmtId="0" fontId="11" fillId="7" borderId="94" xfId="0" applyFont="1" applyFill="1" applyBorder="1"/>
    <xf numFmtId="0" fontId="0" fillId="26" borderId="94" xfId="0" applyFill="1" applyBorder="1"/>
    <xf numFmtId="0" fontId="37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/>
    </xf>
    <xf numFmtId="0" fontId="1" fillId="3" borderId="16" xfId="0" applyFont="1" applyFill="1" applyBorder="1"/>
    <xf numFmtId="0" fontId="12" fillId="3" borderId="16" xfId="0" applyFont="1" applyFill="1" applyBorder="1"/>
    <xf numFmtId="164" fontId="10" fillId="0" borderId="0" xfId="0" applyNumberFormat="1" applyFont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0" fontId="3" fillId="0" borderId="0" xfId="0" applyFont="1"/>
    <xf numFmtId="0" fontId="0" fillId="14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9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6" borderId="11" xfId="0" applyFill="1" applyBorder="1"/>
    <xf numFmtId="0" fontId="0" fillId="12" borderId="11" xfId="0" applyFill="1" applyBorder="1"/>
    <xf numFmtId="0" fontId="0" fillId="15" borderId="16" xfId="0" applyFill="1" applyBorder="1"/>
    <xf numFmtId="0" fontId="0" fillId="9" borderId="16" xfId="0" applyFill="1" applyBorder="1"/>
    <xf numFmtId="0" fontId="0" fillId="9" borderId="30" xfId="0" applyFill="1" applyBorder="1"/>
    <xf numFmtId="164" fontId="0" fillId="0" borderId="0" xfId="0" applyNumberFormat="1" applyAlignment="1">
      <alignment horizontal="center"/>
    </xf>
    <xf numFmtId="0" fontId="0" fillId="0" borderId="62" xfId="0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0" fillId="7" borderId="0" xfId="0" applyFill="1"/>
    <xf numFmtId="0" fontId="1" fillId="7" borderId="62" xfId="0" applyFont="1" applyFill="1" applyBorder="1"/>
    <xf numFmtId="0" fontId="6" fillId="0" borderId="64" xfId="0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0" fontId="3" fillId="7" borderId="62" xfId="0" applyFont="1" applyFill="1" applyBorder="1"/>
    <xf numFmtId="164" fontId="6" fillId="9" borderId="34" xfId="0" applyNumberFormat="1" applyFont="1" applyFill="1" applyBorder="1" applyAlignment="1">
      <alignment horizontal="center" vertical="center"/>
    </xf>
    <xf numFmtId="164" fontId="6" fillId="9" borderId="29" xfId="0" applyNumberFormat="1" applyFont="1" applyFill="1" applyBorder="1" applyAlignment="1">
      <alignment horizontal="center" vertical="center"/>
    </xf>
    <xf numFmtId="164" fontId="6" fillId="10" borderId="26" xfId="0" applyNumberFormat="1" applyFont="1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6" fillId="12" borderId="34" xfId="0" applyNumberFormat="1" applyFont="1" applyFill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12" borderId="16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0" fillId="3" borderId="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39" fillId="4" borderId="85" xfId="0" applyFont="1" applyFill="1" applyBorder="1"/>
    <xf numFmtId="0" fontId="28" fillId="4" borderId="58" xfId="0" applyFont="1" applyFill="1" applyBorder="1"/>
    <xf numFmtId="0" fontId="39" fillId="4" borderId="58" xfId="0" applyFont="1" applyFill="1" applyBorder="1"/>
    <xf numFmtId="0" fontId="7" fillId="3" borderId="16" xfId="0" applyFont="1" applyFill="1" applyBorder="1"/>
    <xf numFmtId="164" fontId="10" fillId="36" borderId="58" xfId="0" applyNumberFormat="1" applyFont="1" applyFill="1" applyBorder="1" applyAlignment="1">
      <alignment horizontal="center" vertical="center"/>
    </xf>
    <xf numFmtId="164" fontId="6" fillId="36" borderId="58" xfId="0" applyNumberFormat="1" applyFont="1" applyFill="1" applyBorder="1" applyAlignment="1">
      <alignment horizontal="center" vertical="center"/>
    </xf>
    <xf numFmtId="164" fontId="10" fillId="36" borderId="85" xfId="0" applyNumberFormat="1" applyFont="1" applyFill="1" applyBorder="1" applyAlignment="1">
      <alignment horizontal="center" vertical="center"/>
    </xf>
    <xf numFmtId="164" fontId="10" fillId="35" borderId="24" xfId="0" applyNumberFormat="1" applyFont="1" applyFill="1" applyBorder="1" applyAlignment="1">
      <alignment horizontal="center" vertical="center"/>
    </xf>
    <xf numFmtId="164" fontId="10" fillId="35" borderId="34" xfId="0" applyNumberFormat="1" applyFont="1" applyFill="1" applyBorder="1" applyAlignment="1">
      <alignment horizontal="center" vertical="center"/>
    </xf>
    <xf numFmtId="164" fontId="10" fillId="35" borderId="31" xfId="0" applyNumberFormat="1" applyFont="1" applyFill="1" applyBorder="1" applyAlignment="1">
      <alignment horizontal="center" vertical="center"/>
    </xf>
    <xf numFmtId="164" fontId="10" fillId="36" borderId="5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5" borderId="63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8" borderId="6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41" fillId="37" borderId="85" xfId="1" applyFill="1" applyBorder="1"/>
    <xf numFmtId="0" fontId="36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6" fillId="3" borderId="6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25" fillId="21" borderId="94" xfId="0" applyFont="1" applyFill="1" applyBorder="1"/>
    <xf numFmtId="0" fontId="29" fillId="23" borderId="94" xfId="0" applyFont="1" applyFill="1" applyBorder="1"/>
    <xf numFmtId="0" fontId="29" fillId="3" borderId="94" xfId="0" applyFont="1" applyFill="1" applyBorder="1"/>
    <xf numFmtId="0" fontId="29" fillId="30" borderId="94" xfId="0" applyFont="1" applyFill="1" applyBorder="1"/>
    <xf numFmtId="0" fontId="12" fillId="24" borderId="85" xfId="0" applyFont="1" applyFill="1" applyBorder="1"/>
    <xf numFmtId="0" fontId="47" fillId="4" borderId="85" xfId="0" applyFont="1" applyFill="1" applyBorder="1"/>
    <xf numFmtId="0" fontId="33" fillId="2" borderId="38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vertical="center"/>
    </xf>
    <xf numFmtId="0" fontId="48" fillId="0" borderId="16" xfId="0" applyFont="1" applyBorder="1"/>
    <xf numFmtId="0" fontId="4" fillId="8" borderId="16" xfId="0" applyFont="1" applyFill="1" applyBorder="1"/>
    <xf numFmtId="0" fontId="8" fillId="0" borderId="16" xfId="0" applyFont="1" applyBorder="1"/>
    <xf numFmtId="0" fontId="4" fillId="0" borderId="16" xfId="0" applyFont="1" applyBorder="1"/>
    <xf numFmtId="0" fontId="3" fillId="0" borderId="24" xfId="0" applyFont="1" applyBorder="1" applyAlignment="1">
      <alignment horizontal="center"/>
    </xf>
    <xf numFmtId="0" fontId="3" fillId="2" borderId="78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/>
    </xf>
    <xf numFmtId="164" fontId="0" fillId="8" borderId="57" xfId="0" applyNumberForma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/>
    </xf>
    <xf numFmtId="164" fontId="0" fillId="8" borderId="94" xfId="0" applyNumberForma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/>
    </xf>
    <xf numFmtId="164" fontId="1" fillId="34" borderId="77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 wrapText="1"/>
    </xf>
    <xf numFmtId="164" fontId="1" fillId="34" borderId="97" xfId="0" applyNumberFormat="1" applyFont="1" applyFill="1" applyBorder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8" borderId="97" xfId="0" applyNumberFormat="1" applyFont="1" applyFill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1" xfId="0" applyFont="1" applyBorder="1"/>
    <xf numFmtId="0" fontId="41" fillId="3" borderId="0" xfId="1" applyFill="1"/>
    <xf numFmtId="0" fontId="0" fillId="0" borderId="96" xfId="0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41" fillId="2" borderId="34" xfId="1" applyFill="1" applyBorder="1"/>
    <xf numFmtId="0" fontId="41" fillId="0" borderId="24" xfId="1" applyBorder="1"/>
    <xf numFmtId="0" fontId="41" fillId="2" borderId="24" xfId="1" applyFill="1" applyBorder="1"/>
    <xf numFmtId="0" fontId="41" fillId="0" borderId="24" xfId="1" applyFill="1" applyBorder="1"/>
    <xf numFmtId="0" fontId="41" fillId="8" borderId="24" xfId="1" applyFill="1" applyBorder="1"/>
    <xf numFmtId="0" fontId="41" fillId="0" borderId="25" xfId="1" applyFill="1" applyBorder="1"/>
    <xf numFmtId="0" fontId="41" fillId="8" borderId="25" xfId="1" applyFill="1" applyBorder="1"/>
    <xf numFmtId="0" fontId="41" fillId="8" borderId="63" xfId="1" applyFill="1" applyBorder="1"/>
    <xf numFmtId="0" fontId="0" fillId="13" borderId="11" xfId="0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22" xfId="0" applyFont="1" applyBorder="1"/>
    <xf numFmtId="0" fontId="1" fillId="0" borderId="66" xfId="0" applyFont="1" applyBorder="1" applyAlignment="1">
      <alignment horizontal="center" vertical="center"/>
    </xf>
    <xf numFmtId="0" fontId="1" fillId="4" borderId="54" xfId="0" applyFont="1" applyFill="1" applyBorder="1"/>
    <xf numFmtId="0" fontId="1" fillId="0" borderId="27" xfId="0" applyFont="1" applyBorder="1"/>
    <xf numFmtId="0" fontId="1" fillId="3" borderId="70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25" borderId="82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49" fillId="2" borderId="38" xfId="0" applyFont="1" applyFill="1" applyBorder="1" applyAlignment="1">
      <alignment horizontal="left" vertical="center"/>
    </xf>
    <xf numFmtId="0" fontId="49" fillId="2" borderId="64" xfId="0" applyFont="1" applyFill="1" applyBorder="1" applyAlignment="1">
      <alignment horizontal="left" vertical="center"/>
    </xf>
    <xf numFmtId="0" fontId="49" fillId="2" borderId="38" xfId="0" applyFont="1" applyFill="1" applyBorder="1" applyAlignment="1">
      <alignment horizontal="right" vertical="center"/>
    </xf>
    <xf numFmtId="0" fontId="49" fillId="2" borderId="64" xfId="0" applyFont="1" applyFill="1" applyBorder="1" applyAlignment="1">
      <alignment horizontal="right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33" fillId="2" borderId="38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33" fillId="26" borderId="101" xfId="0" applyFont="1" applyFill="1" applyBorder="1" applyAlignment="1">
      <alignment horizontal="center" vertical="center"/>
    </xf>
    <xf numFmtId="0" fontId="33" fillId="26" borderId="61" xfId="0" applyFont="1" applyFill="1" applyBorder="1" applyAlignment="1">
      <alignment horizontal="center" vertical="center"/>
    </xf>
    <xf numFmtId="0" fontId="33" fillId="26" borderId="37" xfId="0" applyFont="1" applyFill="1" applyBorder="1" applyAlignment="1">
      <alignment horizontal="center" vertical="center"/>
    </xf>
    <xf numFmtId="0" fontId="33" fillId="26" borderId="38" xfId="0" applyFont="1" applyFill="1" applyBorder="1" applyAlignment="1">
      <alignment horizontal="center" vertical="center"/>
    </xf>
    <xf numFmtId="0" fontId="33" fillId="26" borderId="39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33" fillId="26" borderId="6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5" fillId="32" borderId="0" xfId="0" applyFont="1" applyFill="1" applyAlignment="1">
      <alignment horizontal="center" vertical="center" wrapText="1"/>
    </xf>
    <xf numFmtId="0" fontId="45" fillId="32" borderId="77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3" borderId="57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2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2" fillId="3" borderId="3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3" borderId="63" xfId="0" applyFont="1" applyFill="1" applyBorder="1" applyAlignment="1">
      <alignment horizontal="center" vertical="center"/>
    </xf>
    <xf numFmtId="0" fontId="22" fillId="3" borderId="64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5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left"/>
    </xf>
    <xf numFmtId="0" fontId="16" fillId="0" borderId="113" xfId="0" applyFont="1" applyBorder="1" applyAlignment="1">
      <alignment horizontal="left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9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73" xfId="0" applyFont="1" applyFill="1" applyBorder="1" applyAlignment="1">
      <alignment horizontal="center" vertical="center"/>
    </xf>
    <xf numFmtId="0" fontId="21" fillId="3" borderId="93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6" fillId="0" borderId="34" xfId="0" applyFont="1" applyBorder="1" applyAlignment="1">
      <alignment horizontal="left"/>
    </xf>
    <xf numFmtId="0" fontId="16" fillId="0" borderId="77" xfId="0" applyFont="1" applyBorder="1" applyAlignment="1">
      <alignment horizontal="left"/>
    </xf>
    <xf numFmtId="0" fontId="16" fillId="0" borderId="52" xfId="0" applyFont="1" applyBorder="1" applyAlignment="1">
      <alignment horizontal="left"/>
    </xf>
    <xf numFmtId="0" fontId="1" fillId="0" borderId="5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3" fillId="25" borderId="101" xfId="0" applyFont="1" applyFill="1" applyBorder="1" applyAlignment="1">
      <alignment horizontal="center" vertical="center"/>
    </xf>
    <xf numFmtId="0" fontId="43" fillId="25" borderId="94" xfId="0" applyFont="1" applyFill="1" applyBorder="1" applyAlignment="1">
      <alignment horizontal="center" vertical="center"/>
    </xf>
    <xf numFmtId="0" fontId="43" fillId="25" borderId="61" xfId="0" applyFont="1" applyFill="1" applyBorder="1" applyAlignment="1">
      <alignment horizontal="center" vertical="center"/>
    </xf>
    <xf numFmtId="0" fontId="44" fillId="4" borderId="94" xfId="0" applyFont="1" applyFill="1" applyBorder="1" applyAlignment="1">
      <alignment horizontal="center" vertical="center"/>
    </xf>
    <xf numFmtId="0" fontId="44" fillId="4" borderId="6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93" xfId="0" applyFont="1" applyBorder="1" applyAlignment="1">
      <alignment horizontal="left"/>
    </xf>
    <xf numFmtId="0" fontId="21" fillId="3" borderId="25" xfId="0" applyFont="1" applyFill="1" applyBorder="1" applyAlignment="1">
      <alignment horizontal="center" vertical="center"/>
    </xf>
    <xf numFmtId="0" fontId="21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  <xf numFmtId="164" fontId="0" fillId="8" borderId="76" xfId="0" applyNumberFormat="1" applyFill="1" applyBorder="1" applyAlignment="1">
      <alignment horizontal="center" vertical="center"/>
    </xf>
    <xf numFmtId="0" fontId="50" fillId="7" borderId="11" xfId="0" applyFont="1" applyFill="1" applyBorder="1" applyAlignment="1">
      <alignment wrapText="1"/>
    </xf>
    <xf numFmtId="0" fontId="51" fillId="0" borderId="16" xfId="0" applyFont="1" applyBorder="1"/>
    <xf numFmtId="164" fontId="1" fillId="3" borderId="58" xfId="0" applyNumberFormat="1" applyFont="1" applyFill="1" applyBorder="1" applyAlignment="1">
      <alignment horizontal="center" vertical="center"/>
    </xf>
    <xf numFmtId="164" fontId="1" fillId="3" borderId="57" xfId="0" applyNumberFormat="1" applyFont="1" applyFill="1" applyBorder="1" applyAlignment="1">
      <alignment horizontal="center" vertical="center"/>
    </xf>
    <xf numFmtId="0" fontId="48" fillId="7" borderId="11" xfId="0" applyFont="1" applyFill="1" applyBorder="1" applyAlignment="1">
      <alignment wrapText="1"/>
    </xf>
    <xf numFmtId="0" fontId="0" fillId="0" borderId="0" xfId="0" applyBorder="1"/>
    <xf numFmtId="0" fontId="48" fillId="7" borderId="0" xfId="0" applyFont="1" applyFill="1" applyBorder="1" applyAlignment="1">
      <alignment wrapText="1"/>
    </xf>
    <xf numFmtId="0" fontId="52" fillId="0" borderId="0" xfId="0" applyFont="1"/>
    <xf numFmtId="164" fontId="3" fillId="9" borderId="27" xfId="0" applyNumberFormat="1" applyFont="1" applyFill="1" applyBorder="1" applyAlignment="1">
      <alignment horizontal="center" vertical="center"/>
    </xf>
    <xf numFmtId="0" fontId="45" fillId="32" borderId="0" xfId="0" applyFont="1" applyFill="1" applyBorder="1" applyAlignment="1">
      <alignment horizontal="center" vertical="center" wrapText="1"/>
    </xf>
    <xf numFmtId="0" fontId="1" fillId="10" borderId="51" xfId="0" applyFont="1" applyFill="1" applyBorder="1" applyAlignment="1">
      <alignment horizontal="center"/>
    </xf>
    <xf numFmtId="164" fontId="3" fillId="10" borderId="27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/>
    </xf>
    <xf numFmtId="164" fontId="3" fillId="9" borderId="30" xfId="0" applyNumberFormat="1" applyFont="1" applyFill="1" applyBorder="1"/>
    <xf numFmtId="0" fontId="1" fillId="11" borderId="51" xfId="0" applyFont="1" applyFill="1" applyBorder="1" applyAlignment="1">
      <alignment horizontal="center" vertical="center"/>
    </xf>
    <xf numFmtId="164" fontId="9" fillId="11" borderId="34" xfId="0" applyNumberFormat="1" applyFont="1" applyFill="1" applyBorder="1" applyAlignment="1">
      <alignment horizontal="center" vertical="center"/>
    </xf>
    <xf numFmtId="164" fontId="9" fillId="11" borderId="24" xfId="0" applyNumberFormat="1" applyFont="1" applyFill="1" applyBorder="1" applyAlignment="1">
      <alignment horizontal="center" vertical="center"/>
    </xf>
    <xf numFmtId="164" fontId="9" fillId="11" borderId="25" xfId="0" applyNumberFormat="1" applyFont="1" applyFill="1" applyBorder="1" applyAlignment="1">
      <alignment horizontal="center" vertical="center"/>
    </xf>
    <xf numFmtId="164" fontId="0" fillId="11" borderId="26" xfId="0" applyNumberFormat="1" applyFill="1" applyBorder="1"/>
    <xf numFmtId="164" fontId="6" fillId="11" borderId="34" xfId="0" applyNumberFormat="1" applyFont="1" applyFill="1" applyBorder="1" applyAlignment="1">
      <alignment horizontal="center" vertical="center"/>
    </xf>
    <xf numFmtId="164" fontId="9" fillId="11" borderId="26" xfId="0" applyNumberFormat="1" applyFont="1" applyFill="1" applyBorder="1" applyAlignment="1">
      <alignment horizontal="center" vertical="center"/>
    </xf>
    <xf numFmtId="164" fontId="9" fillId="11" borderId="33" xfId="0" applyNumberFormat="1" applyFont="1" applyFill="1" applyBorder="1" applyAlignment="1">
      <alignment horizontal="center" vertical="center"/>
    </xf>
    <xf numFmtId="164" fontId="3" fillId="11" borderId="26" xfId="0" applyNumberFormat="1" applyFon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9" fillId="10" borderId="99" xfId="0" applyNumberFormat="1" applyFont="1" applyFill="1" applyBorder="1" applyAlignment="1">
      <alignment horizontal="center" vertical="center"/>
    </xf>
    <xf numFmtId="164" fontId="9" fillId="10" borderId="16" xfId="0" applyNumberFormat="1" applyFont="1" applyFill="1" applyBorder="1" applyAlignment="1">
      <alignment horizontal="center" vertical="center"/>
    </xf>
    <xf numFmtId="164" fontId="0" fillId="10" borderId="16" xfId="0" applyNumberFormat="1" applyFill="1" applyBorder="1"/>
    <xf numFmtId="164" fontId="6" fillId="10" borderId="16" xfId="0" applyNumberFormat="1" applyFont="1" applyFill="1" applyBorder="1" applyAlignment="1">
      <alignment horizontal="center" vertical="center"/>
    </xf>
    <xf numFmtId="164" fontId="3" fillId="10" borderId="16" xfId="0" applyNumberFormat="1" applyFont="1" applyFill="1" applyBorder="1" applyAlignment="1">
      <alignment horizontal="center" vertical="center"/>
    </xf>
    <xf numFmtId="164" fontId="3" fillId="10" borderId="30" xfId="0" applyNumberFormat="1" applyFont="1" applyFill="1" applyBorder="1" applyAlignment="1">
      <alignment horizontal="center" vertical="center"/>
    </xf>
    <xf numFmtId="0" fontId="1" fillId="12" borderId="51" xfId="0" applyFont="1" applyFill="1" applyBorder="1" applyAlignment="1">
      <alignment horizontal="center"/>
    </xf>
    <xf numFmtId="164" fontId="6" fillId="12" borderId="26" xfId="0" applyNumberFormat="1" applyFont="1" applyFill="1" applyBorder="1" applyAlignment="1">
      <alignment horizontal="center" vertical="center"/>
    </xf>
    <xf numFmtId="164" fontId="6" fillId="12" borderId="31" xfId="0" applyNumberFormat="1" applyFont="1" applyFill="1" applyBorder="1" applyAlignment="1">
      <alignment horizontal="center" vertical="center"/>
    </xf>
    <xf numFmtId="164" fontId="3" fillId="11" borderId="30" xfId="0" applyNumberFormat="1" applyFont="1" applyFill="1" applyBorder="1"/>
    <xf numFmtId="164" fontId="6" fillId="12" borderId="3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164" fontId="10" fillId="3" borderId="26" xfId="0" applyNumberFormat="1" applyFont="1" applyFill="1" applyBorder="1" applyAlignment="1">
      <alignment horizontal="center" vertical="center"/>
    </xf>
    <xf numFmtId="164" fontId="10" fillId="3" borderId="55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55" xfId="0" applyNumberFormat="1" applyFont="1" applyFill="1" applyBorder="1" applyAlignment="1">
      <alignment horizontal="center" vertical="center"/>
    </xf>
    <xf numFmtId="164" fontId="10" fillId="3" borderId="27" xfId="0" applyNumberFormat="1" applyFont="1" applyFill="1" applyBorder="1" applyAlignment="1">
      <alignment horizontal="center" vertical="center"/>
    </xf>
    <xf numFmtId="164" fontId="10" fillId="3" borderId="71" xfId="0" applyNumberFormat="1" applyFont="1" applyFill="1" applyBorder="1" applyAlignment="1">
      <alignment horizontal="center" vertical="center"/>
    </xf>
    <xf numFmtId="0" fontId="1" fillId="3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9" fillId="2" borderId="76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0" fillId="8" borderId="65" xfId="0" applyFill="1" applyBorder="1" applyAlignment="1">
      <alignment horizontal="center" vertical="center"/>
    </xf>
    <xf numFmtId="0" fontId="53" fillId="0" borderId="29" xfId="0" applyFont="1" applyBorder="1"/>
    <xf numFmtId="164" fontId="0" fillId="0" borderId="3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FC95"/>
      <color rgb="FF8AE9FF"/>
      <color rgb="FF63BE7B"/>
      <color rgb="FF70AD47"/>
      <color rgb="FFF5A4ED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20" TargetMode="External"/><Relationship Id="rId47" Type="http://schemas.openxmlformats.org/officeDocument/2006/relationships/hyperlink" Target="http://learn.solent.ac.uk/course/search.php?search=COM625" TargetMode="External"/><Relationship Id="rId50" Type="http://schemas.openxmlformats.org/officeDocument/2006/relationships/hyperlink" Target="http://learn.solent.ac.uk/course/search.php?search=COM428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3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earn.solent.ac.uk/course/search.php?search=COM415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2" TargetMode="External"/><Relationship Id="rId52" Type="http://schemas.openxmlformats.org/officeDocument/2006/relationships/hyperlink" Target="https://learn.solent.ac.uk/course/search.php?q=COM619&amp;areaids=core_course-course" TargetMode="External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1" TargetMode="External"/><Relationship Id="rId48" Type="http://schemas.openxmlformats.org/officeDocument/2006/relationships/hyperlink" Target="http://learn.solent.ac.uk/course/search.php?search=COM626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s://learn.solent.ac.uk/course/view.php?id=22663&#167;ion=1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4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42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0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6" TargetMode="External"/><Relationship Id="rId3" Type="http://schemas.openxmlformats.org/officeDocument/2006/relationships/hyperlink" Target="http://learn.solent.ac.uk/course/search.php?search=MAA103" TargetMode="External"/><Relationship Id="rId21" Type="http://schemas.openxmlformats.org/officeDocument/2006/relationships/hyperlink" Target="http://learn.solent.ac.uk/course/search.php?search=COM720" TargetMode="External"/><Relationship Id="rId7" Type="http://schemas.openxmlformats.org/officeDocument/2006/relationships/hyperlink" Target="http://learn.solent.ac.uk/course/search.php?search=COM709" TargetMode="External"/><Relationship Id="rId12" Type="http://schemas.openxmlformats.org/officeDocument/2006/relationships/hyperlink" Target="http://learn.solent.ac.uk/course/search.php?search=COM700" TargetMode="External"/><Relationship Id="rId17" Type="http://schemas.openxmlformats.org/officeDocument/2006/relationships/hyperlink" Target="http://learn.solent.ac.uk/course/search.php?search=COM726" TargetMode="External"/><Relationship Id="rId25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26" TargetMode="External"/><Relationship Id="rId20" Type="http://schemas.openxmlformats.org/officeDocument/2006/relationships/hyperlink" Target="http://learn.solent.ac.uk/course/search.php?search=COM722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MAA103" TargetMode="External"/><Relationship Id="rId11" Type="http://schemas.openxmlformats.org/officeDocument/2006/relationships/hyperlink" Target="http://learn.solent.ac.uk/course/search.php?search=COM713" TargetMode="External"/><Relationship Id="rId24" Type="http://schemas.openxmlformats.org/officeDocument/2006/relationships/hyperlink" Target="http://learn.solent.ac.uk/course/search.php?search=COM714" TargetMode="External"/><Relationship Id="rId5" Type="http://schemas.openxmlformats.org/officeDocument/2006/relationships/hyperlink" Target="http://learn.solent.ac.uk/course/search.php?search=COM712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1" TargetMode="External"/><Relationship Id="rId28" Type="http://schemas.openxmlformats.org/officeDocument/2006/relationships/hyperlink" Target="http://learn.solent.ac.uk/course/search.php?search=COM713" TargetMode="External"/><Relationship Id="rId10" Type="http://schemas.openxmlformats.org/officeDocument/2006/relationships/hyperlink" Target="http://learn.solent.ac.uk/course/search.php?search=COM710" TargetMode="External"/><Relationship Id="rId19" Type="http://schemas.openxmlformats.org/officeDocument/2006/relationships/hyperlink" Target="http://learn.solent.ac.uk/course/search.php?search=COM715" TargetMode="External"/><Relationship Id="rId4" Type="http://schemas.openxmlformats.org/officeDocument/2006/relationships/hyperlink" Target="http://learn.solent.ac.uk/course/search.php?search=COM709" TargetMode="External"/><Relationship Id="rId9" Type="http://schemas.openxmlformats.org/officeDocument/2006/relationships/hyperlink" Target="http://learn.solent.ac.uk/course/search.php?search=COM700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3" TargetMode="External"/><Relationship Id="rId27" Type="http://schemas.openxmlformats.org/officeDocument/2006/relationships/hyperlink" Target="http://learn.solent.ac.uk/course/search.php?search=COM71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726" TargetMode="External"/><Relationship Id="rId2" Type="http://schemas.openxmlformats.org/officeDocument/2006/relationships/hyperlink" Target="http://learn.solent.ac.uk/course/search.php?search=COM725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5" Type="http://schemas.openxmlformats.org/officeDocument/2006/relationships/hyperlink" Target="http://learn.solent.ac.uk/course/search.php?search=COM728" TargetMode="External"/><Relationship Id="rId4" Type="http://schemas.openxmlformats.org/officeDocument/2006/relationships/hyperlink" Target="http://learn.solent.ac.uk/course/search.php?search=COM72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1"/>
  <sheetViews>
    <sheetView workbookViewId="0">
      <selection activeCell="G5" sqref="G5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36" t="s">
        <v>0</v>
      </c>
      <c r="B1" s="837"/>
      <c r="C1" s="844" t="s">
        <v>1</v>
      </c>
      <c r="D1" s="846" t="s">
        <v>2</v>
      </c>
      <c r="E1" s="848" t="s">
        <v>3</v>
      </c>
      <c r="F1" s="850" t="s">
        <v>4</v>
      </c>
      <c r="G1" s="840" t="s">
        <v>5</v>
      </c>
      <c r="H1" s="842" t="s">
        <v>6</v>
      </c>
    </row>
    <row r="2" spans="1:8" ht="29.1" customHeight="1">
      <c r="A2" s="838"/>
      <c r="B2" s="839"/>
      <c r="C2" s="845"/>
      <c r="D2" s="847"/>
      <c r="E2" s="849"/>
      <c r="F2" s="851"/>
      <c r="G2" s="841"/>
      <c r="H2" s="843"/>
    </row>
    <row r="3" spans="1:8" ht="15">
      <c r="A3" s="38">
        <v>1</v>
      </c>
      <c r="B3" s="527" t="s">
        <v>7</v>
      </c>
      <c r="C3" s="86">
        <v>2</v>
      </c>
      <c r="D3" s="51"/>
      <c r="E3" s="85"/>
      <c r="F3" s="20">
        <v>2</v>
      </c>
      <c r="G3" s="63" t="s">
        <v>8</v>
      </c>
      <c r="H3" s="52"/>
    </row>
    <row r="4" spans="1:8" ht="15">
      <c r="A4" s="37">
        <v>2</v>
      </c>
      <c r="B4" s="528" t="s">
        <v>9</v>
      </c>
      <c r="C4" s="86">
        <v>2</v>
      </c>
      <c r="D4" s="51"/>
      <c r="E4" s="85"/>
      <c r="F4" s="92">
        <v>1</v>
      </c>
      <c r="G4" s="50" t="s">
        <v>10</v>
      </c>
      <c r="H4" s="53"/>
    </row>
    <row r="5" spans="1:8" ht="15">
      <c r="A5" s="38">
        <v>3</v>
      </c>
      <c r="B5" s="527" t="s">
        <v>11</v>
      </c>
      <c r="C5" s="86">
        <v>2</v>
      </c>
      <c r="D5" s="51"/>
      <c r="E5" s="85"/>
      <c r="F5" s="20">
        <v>1</v>
      </c>
      <c r="G5" s="49" t="s">
        <v>12</v>
      </c>
      <c r="H5" s="52"/>
    </row>
    <row r="6" spans="1:8" ht="15">
      <c r="A6" s="37">
        <v>4</v>
      </c>
      <c r="B6" s="528" t="s">
        <v>13</v>
      </c>
      <c r="C6" s="86">
        <v>2</v>
      </c>
      <c r="D6" s="51"/>
      <c r="E6" s="85"/>
      <c r="F6" s="92">
        <v>2</v>
      </c>
      <c r="G6" s="50" t="s">
        <v>12</v>
      </c>
      <c r="H6" s="53"/>
    </row>
    <row r="7" spans="1:8" ht="15">
      <c r="A7" s="38">
        <v>5</v>
      </c>
      <c r="B7" s="527" t="s">
        <v>14</v>
      </c>
      <c r="C7" s="86">
        <v>2</v>
      </c>
      <c r="D7" s="51"/>
      <c r="E7" s="85"/>
      <c r="F7" s="20">
        <v>2</v>
      </c>
      <c r="G7" s="49" t="s">
        <v>15</v>
      </c>
      <c r="H7" s="52"/>
    </row>
    <row r="8" spans="1:8" ht="16.5">
      <c r="A8" s="54">
        <v>6</v>
      </c>
      <c r="B8" s="529" t="s">
        <v>16</v>
      </c>
      <c r="C8" s="90">
        <v>2</v>
      </c>
      <c r="D8" s="55"/>
      <c r="E8" s="91"/>
      <c r="F8" s="93">
        <v>1</v>
      </c>
      <c r="G8" s="666" t="s">
        <v>17</v>
      </c>
      <c r="H8" s="56"/>
    </row>
    <row r="10" spans="1:8" ht="15.75" customHeight="1">
      <c r="B10" s="600" t="s">
        <v>18</v>
      </c>
    </row>
    <row r="11" spans="1:8" ht="15.75" customHeight="1">
      <c r="B11" s="141"/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28D-0DCF-4498-97C8-0494A4C7FCE2}">
  <sheetPr>
    <tabColor rgb="FF8AE9FF"/>
  </sheetPr>
  <dimension ref="A1:H8"/>
  <sheetViews>
    <sheetView workbookViewId="0">
      <selection activeCell="D13" sqref="D13"/>
    </sheetView>
  </sheetViews>
  <sheetFormatPr defaultRowHeight="15.75"/>
  <cols>
    <col min="2" max="2" width="32.125" customWidth="1"/>
    <col min="3" max="3" width="10.125" customWidth="1"/>
    <col min="4" max="4" width="11.875" customWidth="1"/>
    <col min="5" max="5" width="13.375" customWidth="1"/>
  </cols>
  <sheetData>
    <row r="1" spans="1:8" ht="18.75">
      <c r="A1" s="984" t="s">
        <v>392</v>
      </c>
      <c r="B1" s="985"/>
      <c r="C1" s="986" t="s">
        <v>393</v>
      </c>
      <c r="D1" s="987"/>
      <c r="E1" s="138"/>
      <c r="F1" s="138"/>
      <c r="G1" s="138"/>
    </row>
    <row r="2" spans="1:8">
      <c r="B2" s="140" t="s">
        <v>337</v>
      </c>
      <c r="C2" s="757" t="s">
        <v>6</v>
      </c>
      <c r="D2" s="9"/>
      <c r="F2" s="967" t="s">
        <v>373</v>
      </c>
      <c r="G2" s="968"/>
      <c r="H2" s="969"/>
    </row>
    <row r="3" spans="1:8">
      <c r="A3" s="18">
        <v>1</v>
      </c>
      <c r="B3" s="239" t="s">
        <v>394</v>
      </c>
      <c r="C3" s="130" t="s">
        <v>8</v>
      </c>
      <c r="D3" s="10"/>
      <c r="F3" s="978">
        <f>SUM('Supervision Load'!B7)</f>
        <v>6</v>
      </c>
      <c r="G3" s="979"/>
      <c r="H3" s="980"/>
    </row>
    <row r="4" spans="1:8">
      <c r="A4" s="126">
        <v>2</v>
      </c>
      <c r="B4" s="239" t="s">
        <v>395</v>
      </c>
      <c r="C4" s="130" t="s">
        <v>8</v>
      </c>
      <c r="D4" s="10"/>
      <c r="F4" s="978"/>
      <c r="G4" s="979"/>
      <c r="H4" s="980"/>
    </row>
    <row r="5" spans="1:8">
      <c r="A5" s="12">
        <v>3</v>
      </c>
      <c r="B5" s="239" t="s">
        <v>396</v>
      </c>
      <c r="C5" s="130" t="s">
        <v>52</v>
      </c>
      <c r="D5" s="126"/>
      <c r="F5" s="981"/>
      <c r="G5" s="982"/>
      <c r="H5" s="983"/>
    </row>
    <row r="6" spans="1:8">
      <c r="A6" s="126">
        <v>4</v>
      </c>
      <c r="B6" s="239" t="s">
        <v>397</v>
      </c>
      <c r="C6" s="130" t="s">
        <v>52</v>
      </c>
      <c r="D6" s="126"/>
    </row>
    <row r="7" spans="1:8">
      <c r="A7" s="12">
        <v>5</v>
      </c>
      <c r="B7" s="239" t="s">
        <v>398</v>
      </c>
      <c r="C7" s="758" t="s">
        <v>399</v>
      </c>
      <c r="D7" s="759"/>
    </row>
    <row r="8" spans="1:8">
      <c r="A8" s="126">
        <v>6</v>
      </c>
      <c r="B8" s="239" t="s">
        <v>400</v>
      </c>
      <c r="C8" s="130" t="s">
        <v>401</v>
      </c>
      <c r="D8" s="126"/>
    </row>
  </sheetData>
  <mergeCells count="4">
    <mergeCell ref="F2:H2"/>
    <mergeCell ref="F3:H5"/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sheetPr>
    <tabColor rgb="FF8AE9FF"/>
  </sheetPr>
  <dimension ref="A1:M111"/>
  <sheetViews>
    <sheetView workbookViewId="0">
      <selection activeCell="M13" sqref="M13"/>
    </sheetView>
  </sheetViews>
  <sheetFormatPr defaultRowHeight="15"/>
  <cols>
    <col min="1" max="1" width="4.375" customWidth="1"/>
    <col min="2" max="2" width="36.5" customWidth="1"/>
    <col min="3" max="3" width="18.875" customWidth="1"/>
    <col min="4" max="4" width="22.375" customWidth="1"/>
    <col min="5" max="5" width="3.75" customWidth="1"/>
    <col min="9" max="9" width="5.375" customWidth="1"/>
    <col min="10" max="10" width="13.375" customWidth="1"/>
    <col min="11" max="11" width="11.25" customWidth="1"/>
    <col min="12" max="12" width="11.125" customWidth="1"/>
    <col min="13" max="13" width="12.375" customWidth="1"/>
  </cols>
  <sheetData>
    <row r="1" spans="1:13" ht="18.75" customHeight="1">
      <c r="A1" s="998" t="s">
        <v>402</v>
      </c>
      <c r="B1" s="999"/>
      <c r="C1" s="999"/>
      <c r="D1" s="1000"/>
      <c r="E1" s="137"/>
      <c r="F1" s="137"/>
    </row>
    <row r="2" spans="1:13" ht="15.75" customHeight="1">
      <c r="A2" s="129"/>
      <c r="B2" s="156" t="s">
        <v>337</v>
      </c>
      <c r="C2" s="101" t="s">
        <v>403</v>
      </c>
      <c r="D2" s="132" t="s">
        <v>6</v>
      </c>
      <c r="F2" s="996" t="s">
        <v>404</v>
      </c>
      <c r="G2" s="997"/>
      <c r="H2" s="948"/>
      <c r="J2" s="233" t="s">
        <v>405</v>
      </c>
      <c r="K2" s="25" t="s">
        <v>386</v>
      </c>
      <c r="L2" s="235" t="s">
        <v>388</v>
      </c>
      <c r="M2" s="236" t="s">
        <v>389</v>
      </c>
    </row>
    <row r="3" spans="1:13" ht="15.75" customHeight="1">
      <c r="A3" s="130">
        <v>1</v>
      </c>
      <c r="B3" s="239" t="s">
        <v>406</v>
      </c>
      <c r="C3" s="10"/>
      <c r="D3" s="133"/>
      <c r="F3" s="988">
        <v>109</v>
      </c>
      <c r="G3" s="989"/>
      <c r="H3" s="990"/>
      <c r="I3">
        <v>1</v>
      </c>
      <c r="J3" s="234" t="s">
        <v>88</v>
      </c>
      <c r="K3" s="312">
        <v>8</v>
      </c>
      <c r="L3" s="237">
        <f>COUNTIF(D3:D112, "Drishty")</f>
        <v>0</v>
      </c>
      <c r="M3" s="310">
        <f>SUM(K3-L3)</f>
        <v>8</v>
      </c>
    </row>
    <row r="4" spans="1:13" ht="15.75" customHeight="1">
      <c r="A4" s="131">
        <v>2</v>
      </c>
      <c r="B4" s="239" t="s">
        <v>407</v>
      </c>
      <c r="C4" s="10"/>
      <c r="D4" s="133"/>
      <c r="F4" s="991"/>
      <c r="G4" s="979"/>
      <c r="H4" s="992"/>
      <c r="I4">
        <v>2</v>
      </c>
      <c r="J4" s="70" t="s">
        <v>77</v>
      </c>
      <c r="K4" s="47">
        <v>4</v>
      </c>
      <c r="L4" s="225">
        <f>COUNTIF(D3:D112, "Shakeel")</f>
        <v>0</v>
      </c>
      <c r="M4" s="311">
        <f>SUM(K4-L4)</f>
        <v>4</v>
      </c>
    </row>
    <row r="5" spans="1:13" ht="15.75" customHeight="1">
      <c r="A5" s="130">
        <v>3</v>
      </c>
      <c r="B5" s="239" t="s">
        <v>408</v>
      </c>
      <c r="C5" s="10"/>
      <c r="D5" s="133"/>
      <c r="F5" s="993"/>
      <c r="G5" s="994"/>
      <c r="H5" s="995"/>
      <c r="I5">
        <v>3</v>
      </c>
      <c r="J5" s="70" t="s">
        <v>54</v>
      </c>
      <c r="K5" s="47">
        <v>8</v>
      </c>
      <c r="L5" s="225">
        <f>COUNTIF(D3:D112, "Jarutas")</f>
        <v>0</v>
      </c>
      <c r="M5" s="311">
        <f>SUM(K5-L5)</f>
        <v>8</v>
      </c>
    </row>
    <row r="6" spans="1:13">
      <c r="A6" s="131">
        <v>4</v>
      </c>
      <c r="B6" s="239" t="s">
        <v>409</v>
      </c>
      <c r="C6" s="10"/>
      <c r="D6" s="133"/>
      <c r="I6">
        <v>4</v>
      </c>
      <c r="J6" s="70" t="s">
        <v>283</v>
      </c>
      <c r="K6" s="47"/>
      <c r="L6" s="225">
        <f>COUNTIF(D3:D112, " ")</f>
        <v>0</v>
      </c>
      <c r="M6" s="311">
        <f>SUM(K6-L6)</f>
        <v>0</v>
      </c>
    </row>
    <row r="7" spans="1:13">
      <c r="A7" s="130">
        <v>5</v>
      </c>
      <c r="B7" s="239" t="s">
        <v>410</v>
      </c>
      <c r="C7" s="10"/>
      <c r="D7" s="133"/>
      <c r="I7">
        <v>5</v>
      </c>
      <c r="J7" s="70" t="s">
        <v>248</v>
      </c>
      <c r="K7" s="47">
        <v>4</v>
      </c>
      <c r="L7" s="225">
        <f>COUNTIF(D2:D112, "Kashif")</f>
        <v>0</v>
      </c>
      <c r="M7" s="311">
        <f>SUM(K7-L7)</f>
        <v>4</v>
      </c>
    </row>
    <row r="8" spans="1:13">
      <c r="A8" s="131">
        <v>6</v>
      </c>
      <c r="B8" s="239" t="s">
        <v>411</v>
      </c>
      <c r="C8" s="10"/>
      <c r="D8" s="133"/>
      <c r="F8" s="941" t="s">
        <v>412</v>
      </c>
      <c r="G8" s="1001"/>
      <c r="H8" s="942"/>
      <c r="I8">
        <v>6</v>
      </c>
      <c r="J8" s="70" t="s">
        <v>89</v>
      </c>
      <c r="K8" s="47">
        <v>10</v>
      </c>
      <c r="L8" s="225">
        <f>COUNTIF(D2:D112, "Pengfei")</f>
        <v>0</v>
      </c>
      <c r="M8" s="311">
        <f>SUM(K8-L8)</f>
        <v>10</v>
      </c>
    </row>
    <row r="9" spans="1:13">
      <c r="A9" s="130">
        <v>7</v>
      </c>
      <c r="B9" s="239" t="s">
        <v>413</v>
      </c>
      <c r="C9" s="10"/>
      <c r="D9" s="133"/>
      <c r="I9">
        <v>7</v>
      </c>
      <c r="J9" s="70" t="s">
        <v>115</v>
      </c>
      <c r="K9" s="47">
        <v>10</v>
      </c>
      <c r="L9" s="225">
        <f>COUNTIF(D2:D112, "Bacha")</f>
        <v>0</v>
      </c>
      <c r="M9" s="311">
        <f>SUM(K9-L9)</f>
        <v>10</v>
      </c>
    </row>
    <row r="10" spans="1:13">
      <c r="A10" s="131">
        <v>8</v>
      </c>
      <c r="B10" s="239" t="s">
        <v>414</v>
      </c>
      <c r="C10" s="10"/>
      <c r="D10" s="133"/>
      <c r="I10">
        <v>8</v>
      </c>
      <c r="J10" s="230" t="s">
        <v>255</v>
      </c>
      <c r="K10" s="309">
        <v>10</v>
      </c>
      <c r="L10" s="225">
        <f>COUNTIF(D2:D112, "Raza")</f>
        <v>0</v>
      </c>
      <c r="M10" s="311">
        <f>SUM(K10-L10)</f>
        <v>10</v>
      </c>
    </row>
    <row r="11" spans="1:13">
      <c r="A11" s="130">
        <v>9</v>
      </c>
      <c r="B11" s="239" t="s">
        <v>415</v>
      </c>
      <c r="C11" s="10"/>
      <c r="D11" s="133"/>
      <c r="I11">
        <v>9</v>
      </c>
      <c r="J11" s="70"/>
      <c r="K11" s="17"/>
      <c r="L11" s="225">
        <f>COUNTIF(D2:D112, " ")</f>
        <v>0</v>
      </c>
      <c r="M11" s="311">
        <f>SUM(K11-L11)</f>
        <v>0</v>
      </c>
    </row>
    <row r="12" spans="1:13">
      <c r="A12" s="131">
        <v>10</v>
      </c>
      <c r="B12" s="239" t="s">
        <v>416</v>
      </c>
      <c r="C12" s="10"/>
      <c r="D12" s="133"/>
      <c r="I12">
        <v>10</v>
      </c>
      <c r="J12" s="70"/>
      <c r="K12" s="17"/>
      <c r="L12" s="225">
        <f>COUNTIF(D2:D112, " ")</f>
        <v>0</v>
      </c>
      <c r="M12" s="311">
        <f>SUM(K12-L12)</f>
        <v>0</v>
      </c>
    </row>
    <row r="13" spans="1:13">
      <c r="A13" s="130">
        <v>11</v>
      </c>
      <c r="B13" s="239" t="s">
        <v>417</v>
      </c>
      <c r="C13" s="10"/>
      <c r="D13" s="133"/>
      <c r="I13">
        <v>11</v>
      </c>
      <c r="J13" s="282"/>
      <c r="K13" s="5"/>
      <c r="L13" s="229">
        <f>COUNTIF(D2:D112, " ")</f>
        <v>0</v>
      </c>
      <c r="M13" s="311">
        <f>SUM(K13-L13)</f>
        <v>0</v>
      </c>
    </row>
    <row r="14" spans="1:13">
      <c r="A14" s="131">
        <v>12</v>
      </c>
      <c r="B14" s="239" t="s">
        <v>418</v>
      </c>
      <c r="C14" s="10"/>
      <c r="D14" s="133"/>
      <c r="K14" s="296">
        <f>SUM(K3:K13)</f>
        <v>54</v>
      </c>
      <c r="L14" s="314">
        <f>SUM(L3:L13)</f>
        <v>0</v>
      </c>
    </row>
    <row r="15" spans="1:13">
      <c r="A15" s="130">
        <v>13</v>
      </c>
      <c r="B15" s="239" t="s">
        <v>419</v>
      </c>
      <c r="C15" s="10"/>
      <c r="D15" s="133"/>
    </row>
    <row r="16" spans="1:13">
      <c r="A16" s="131">
        <v>14</v>
      </c>
      <c r="B16" s="239" t="s">
        <v>420</v>
      </c>
      <c r="C16" s="10"/>
      <c r="D16" s="133"/>
      <c r="J16" s="606" t="s">
        <v>421</v>
      </c>
      <c r="K16" s="607"/>
      <c r="L16" s="608"/>
      <c r="M16" s="609"/>
    </row>
    <row r="17" spans="1:13">
      <c r="A17" s="130">
        <v>15</v>
      </c>
      <c r="B17" s="239" t="s">
        <v>422</v>
      </c>
      <c r="C17" s="10"/>
      <c r="D17" s="133"/>
      <c r="I17">
        <v>1</v>
      </c>
      <c r="J17" s="610" t="s">
        <v>423</v>
      </c>
      <c r="K17" s="611">
        <v>10</v>
      </c>
      <c r="L17" s="612">
        <f>COUNTIF(D3:D112, "Muntasir")</f>
        <v>0</v>
      </c>
      <c r="M17" s="613">
        <f>SUM(K17-L17)</f>
        <v>10</v>
      </c>
    </row>
    <row r="18" spans="1:13">
      <c r="A18" s="131">
        <v>16</v>
      </c>
      <c r="B18" s="239" t="s">
        <v>424</v>
      </c>
      <c r="C18" s="10"/>
      <c r="D18" s="133"/>
      <c r="I18">
        <v>2</v>
      </c>
      <c r="J18" s="70" t="s">
        <v>425</v>
      </c>
      <c r="K18" s="60">
        <v>10</v>
      </c>
      <c r="L18" s="231">
        <f>COUNTIF(D3:D112, "Hamid")</f>
        <v>0</v>
      </c>
      <c r="M18" s="232">
        <f>SUM(K18-L18)</f>
        <v>10</v>
      </c>
    </row>
    <row r="19" spans="1:13" ht="15.75">
      <c r="A19" s="130">
        <v>17</v>
      </c>
      <c r="B19" s="239" t="s">
        <v>426</v>
      </c>
      <c r="C19" s="10"/>
      <c r="D19" s="133"/>
      <c r="I19">
        <v>3</v>
      </c>
      <c r="J19" s="70" t="s">
        <v>427</v>
      </c>
      <c r="K19" s="60">
        <v>10</v>
      </c>
      <c r="L19" s="231">
        <f>COUNTIF(D3:D112, "Peyman")</f>
        <v>0</v>
      </c>
      <c r="M19" s="232">
        <f>SUM(K19-L19)</f>
        <v>10</v>
      </c>
    </row>
    <row r="20" spans="1:13" ht="16.5">
      <c r="A20" s="131">
        <v>18</v>
      </c>
      <c r="B20" s="239" t="s">
        <v>428</v>
      </c>
      <c r="C20" s="10"/>
      <c r="D20" s="133"/>
      <c r="I20">
        <v>4</v>
      </c>
      <c r="J20" s="1021" t="s">
        <v>429</v>
      </c>
      <c r="K20" s="60"/>
      <c r="L20" s="605">
        <f>COUNTIF(D2:D112, " ")</f>
        <v>0</v>
      </c>
      <c r="M20" s="232">
        <f>SUM(K20-L20)</f>
        <v>0</v>
      </c>
    </row>
    <row r="21" spans="1:13" ht="16.5">
      <c r="A21" s="130">
        <v>19</v>
      </c>
      <c r="B21" s="239" t="s">
        <v>430</v>
      </c>
      <c r="C21" s="10"/>
      <c r="D21" s="133"/>
      <c r="I21">
        <v>5</v>
      </c>
      <c r="J21" s="1021" t="s">
        <v>431</v>
      </c>
      <c r="K21" s="60"/>
      <c r="L21" s="605">
        <f>COUNTIF(D3:D113, " ")</f>
        <v>0</v>
      </c>
      <c r="M21" s="232">
        <f t="shared" ref="M21:M25" si="0">SUM(K21-L21)</f>
        <v>0</v>
      </c>
    </row>
    <row r="22" spans="1:13" ht="16.5">
      <c r="A22" s="131">
        <v>20</v>
      </c>
      <c r="B22" s="239" t="s">
        <v>432</v>
      </c>
      <c r="C22" s="10"/>
      <c r="D22" s="133"/>
      <c r="I22">
        <v>6</v>
      </c>
      <c r="J22" s="1021" t="s">
        <v>433</v>
      </c>
      <c r="K22" s="60"/>
      <c r="L22" s="605">
        <f>COUNTIF(D4:D114, " ")</f>
        <v>0</v>
      </c>
      <c r="M22" s="232">
        <f t="shared" si="0"/>
        <v>0</v>
      </c>
    </row>
    <row r="23" spans="1:13" ht="16.5">
      <c r="A23" s="130">
        <v>21</v>
      </c>
      <c r="B23" s="239" t="s">
        <v>434</v>
      </c>
      <c r="C23" s="10"/>
      <c r="D23" s="133"/>
      <c r="I23">
        <v>7</v>
      </c>
      <c r="J23" s="1021" t="s">
        <v>435</v>
      </c>
      <c r="K23" s="60"/>
      <c r="L23" s="605">
        <f>COUNTIF(D5:D115, " ")</f>
        <v>0</v>
      </c>
      <c r="M23" s="232">
        <f t="shared" si="0"/>
        <v>0</v>
      </c>
    </row>
    <row r="24" spans="1:13" ht="16.5">
      <c r="A24" s="131">
        <v>22</v>
      </c>
      <c r="B24" s="239" t="s">
        <v>436</v>
      </c>
      <c r="C24" s="10"/>
      <c r="D24" s="133"/>
      <c r="I24">
        <v>8</v>
      </c>
      <c r="J24" s="1021" t="s">
        <v>437</v>
      </c>
      <c r="K24" s="60"/>
      <c r="L24" s="605">
        <f>COUNTIF(D6:D116, " ")</f>
        <v>0</v>
      </c>
      <c r="M24" s="232">
        <f t="shared" si="0"/>
        <v>0</v>
      </c>
    </row>
    <row r="25" spans="1:13" ht="16.5">
      <c r="A25" s="130">
        <v>23</v>
      </c>
      <c r="B25" s="239" t="s">
        <v>438</v>
      </c>
      <c r="C25" s="10"/>
      <c r="D25" s="133"/>
      <c r="I25">
        <v>9</v>
      </c>
      <c r="J25" s="1021" t="s">
        <v>439</v>
      </c>
      <c r="K25" s="614"/>
      <c r="L25" s="615">
        <f>COUNTIF(D7:D117, " ")</f>
        <v>0</v>
      </c>
      <c r="M25" s="616">
        <f t="shared" si="0"/>
        <v>0</v>
      </c>
    </row>
    <row r="26" spans="1:13" ht="15.75">
      <c r="A26" s="131">
        <v>24</v>
      </c>
      <c r="B26" s="239" t="s">
        <v>440</v>
      </c>
      <c r="C26" s="10"/>
      <c r="D26" s="133"/>
      <c r="K26" s="320">
        <f>SUM(K17:K19)</f>
        <v>30</v>
      </c>
      <c r="L26" s="297">
        <f>SUM(L16:L20)</f>
        <v>0</v>
      </c>
    </row>
    <row r="27" spans="1:13">
      <c r="A27" s="130">
        <v>25</v>
      </c>
      <c r="B27" s="239" t="s">
        <v>441</v>
      </c>
      <c r="C27" s="10"/>
      <c r="D27" s="133"/>
      <c r="J27" s="322" t="s">
        <v>442</v>
      </c>
      <c r="K27" s="321">
        <f>SUM(K14+K26)</f>
        <v>84</v>
      </c>
    </row>
    <row r="28" spans="1:13">
      <c r="A28" s="131">
        <v>26</v>
      </c>
      <c r="B28" s="239" t="s">
        <v>443</v>
      </c>
      <c r="C28" s="10"/>
      <c r="D28" s="133"/>
      <c r="L28" s="317" t="s">
        <v>389</v>
      </c>
      <c r="M28" s="318" t="s">
        <v>388</v>
      </c>
    </row>
    <row r="29" spans="1:13">
      <c r="A29" s="130">
        <v>27</v>
      </c>
      <c r="B29" s="239" t="s">
        <v>444</v>
      </c>
      <c r="C29" s="10"/>
      <c r="D29" s="133"/>
      <c r="L29" s="308">
        <f>SUM(F3)</f>
        <v>109</v>
      </c>
      <c r="M29" s="295">
        <f>SUM(L14+L26)</f>
        <v>0</v>
      </c>
    </row>
    <row r="30" spans="1:13">
      <c r="A30" s="131">
        <v>28</v>
      </c>
      <c r="B30" s="239" t="s">
        <v>445</v>
      </c>
      <c r="C30" s="10"/>
      <c r="D30" s="133"/>
    </row>
    <row r="31" spans="1:13">
      <c r="A31" s="130">
        <v>29</v>
      </c>
      <c r="B31" s="239" t="s">
        <v>446</v>
      </c>
      <c r="C31" s="10"/>
      <c r="D31" s="133"/>
    </row>
    <row r="32" spans="1:13">
      <c r="A32" s="131">
        <v>30</v>
      </c>
      <c r="B32" s="239" t="s">
        <v>447</v>
      </c>
      <c r="C32" s="10"/>
      <c r="D32" s="133"/>
    </row>
    <row r="33" spans="1:12">
      <c r="A33" s="130">
        <v>31</v>
      </c>
      <c r="B33" s="239" t="s">
        <v>448</v>
      </c>
      <c r="C33" s="10"/>
      <c r="D33" s="133"/>
    </row>
    <row r="34" spans="1:12">
      <c r="A34" s="131">
        <v>32</v>
      </c>
      <c r="B34" s="239" t="s">
        <v>449</v>
      </c>
      <c r="C34" s="10"/>
      <c r="D34" s="133"/>
      <c r="I34" s="1022"/>
      <c r="J34" s="1022"/>
      <c r="K34" s="1022"/>
      <c r="L34" s="1022"/>
    </row>
    <row r="35" spans="1:12" ht="15.75">
      <c r="A35" s="130">
        <v>33</v>
      </c>
      <c r="B35" s="239" t="s">
        <v>450</v>
      </c>
      <c r="C35" s="10"/>
      <c r="D35" s="133"/>
      <c r="I35" s="1022"/>
      <c r="J35" s="1023"/>
      <c r="K35" s="1022"/>
      <c r="L35" s="1022"/>
    </row>
    <row r="36" spans="1:12" ht="15.75">
      <c r="A36" s="131">
        <v>34</v>
      </c>
      <c r="B36" s="239" t="s">
        <v>451</v>
      </c>
      <c r="C36" s="10"/>
      <c r="D36" s="133"/>
      <c r="I36" s="1022"/>
      <c r="J36" s="1023"/>
      <c r="K36" s="1022"/>
      <c r="L36" s="1022"/>
    </row>
    <row r="37" spans="1:12" ht="15.75">
      <c r="A37" s="130">
        <v>35</v>
      </c>
      <c r="B37" s="239" t="s">
        <v>452</v>
      </c>
      <c r="C37" s="10"/>
      <c r="D37" s="133"/>
      <c r="I37" s="1022"/>
      <c r="J37" s="1023"/>
      <c r="K37" s="1022"/>
      <c r="L37" s="1022"/>
    </row>
    <row r="38" spans="1:12" ht="15.75">
      <c r="A38" s="131">
        <v>36</v>
      </c>
      <c r="B38" s="239" t="s">
        <v>453</v>
      </c>
      <c r="C38" s="10"/>
      <c r="D38" s="133"/>
      <c r="I38" s="1022"/>
      <c r="J38" s="1023"/>
      <c r="K38" s="1022"/>
      <c r="L38" s="1022"/>
    </row>
    <row r="39" spans="1:12" ht="15.75">
      <c r="A39" s="130">
        <v>37</v>
      </c>
      <c r="B39" s="239" t="s">
        <v>454</v>
      </c>
      <c r="C39" s="10"/>
      <c r="D39" s="133"/>
      <c r="I39" s="1022"/>
      <c r="J39" s="1023"/>
      <c r="K39" s="1022"/>
      <c r="L39" s="1022"/>
    </row>
    <row r="40" spans="1:12" ht="15.75">
      <c r="A40" s="131">
        <v>38</v>
      </c>
      <c r="B40" s="239" t="s">
        <v>455</v>
      </c>
      <c r="C40" s="10"/>
      <c r="D40" s="133"/>
      <c r="I40" s="1022"/>
      <c r="J40" s="1023"/>
      <c r="K40" s="1022"/>
      <c r="L40" s="1022"/>
    </row>
    <row r="41" spans="1:12">
      <c r="A41" s="130">
        <v>39</v>
      </c>
      <c r="B41" s="239" t="s">
        <v>456</v>
      </c>
      <c r="C41" s="10"/>
      <c r="D41" s="133"/>
      <c r="I41" s="1022"/>
      <c r="J41" s="1022"/>
      <c r="K41" s="1022"/>
      <c r="L41" s="1022"/>
    </row>
    <row r="42" spans="1:12">
      <c r="A42" s="131">
        <v>40</v>
      </c>
      <c r="B42" s="239" t="s">
        <v>457</v>
      </c>
      <c r="C42" s="10"/>
      <c r="D42" s="133"/>
      <c r="I42" s="1022"/>
      <c r="J42" s="1022"/>
      <c r="K42" s="1022"/>
      <c r="L42" s="1022"/>
    </row>
    <row r="43" spans="1:12">
      <c r="A43" s="130">
        <v>41</v>
      </c>
      <c r="B43" s="239" t="s">
        <v>458</v>
      </c>
      <c r="C43" s="10"/>
      <c r="D43" s="134"/>
      <c r="I43" s="1022"/>
      <c r="J43" s="1022"/>
      <c r="K43" s="1022"/>
      <c r="L43" s="1022"/>
    </row>
    <row r="44" spans="1:12">
      <c r="A44" s="131">
        <v>42</v>
      </c>
      <c r="B44" s="239" t="s">
        <v>459</v>
      </c>
      <c r="C44" s="10"/>
      <c r="D44" s="134"/>
      <c r="I44" s="1022"/>
      <c r="J44" s="1022"/>
      <c r="K44" s="1022"/>
      <c r="L44" s="1022"/>
    </row>
    <row r="45" spans="1:12">
      <c r="A45" s="130">
        <v>43</v>
      </c>
      <c r="B45" s="239" t="s">
        <v>460</v>
      </c>
      <c r="C45" s="10"/>
      <c r="D45" s="134"/>
      <c r="I45" s="1022"/>
      <c r="J45" s="1022"/>
      <c r="K45" s="1022"/>
      <c r="L45" s="1022"/>
    </row>
    <row r="46" spans="1:12">
      <c r="A46" s="131">
        <v>44</v>
      </c>
      <c r="B46" s="239" t="s">
        <v>461</v>
      </c>
      <c r="C46" s="10"/>
      <c r="D46" s="134"/>
    </row>
    <row r="47" spans="1:12">
      <c r="A47" s="130">
        <v>45</v>
      </c>
      <c r="B47" s="239" t="s">
        <v>462</v>
      </c>
      <c r="C47" s="10"/>
      <c r="D47" s="134"/>
    </row>
    <row r="48" spans="1:12">
      <c r="A48" s="131">
        <v>46</v>
      </c>
      <c r="B48" s="239" t="s">
        <v>463</v>
      </c>
      <c r="C48" s="10"/>
      <c r="D48" s="134"/>
    </row>
    <row r="49" spans="1:7">
      <c r="A49" s="130">
        <v>47</v>
      </c>
      <c r="B49" s="239" t="s">
        <v>464</v>
      </c>
      <c r="C49" s="10"/>
      <c r="D49" s="134"/>
    </row>
    <row r="50" spans="1:7">
      <c r="A50" s="131">
        <v>48</v>
      </c>
      <c r="B50" s="239" t="s">
        <v>465</v>
      </c>
      <c r="C50" s="10"/>
      <c r="D50" s="134"/>
    </row>
    <row r="51" spans="1:7">
      <c r="A51" s="130">
        <v>49</v>
      </c>
      <c r="B51" s="239" t="s">
        <v>466</v>
      </c>
      <c r="C51" s="10"/>
      <c r="D51" s="134"/>
    </row>
    <row r="52" spans="1:7">
      <c r="A52" s="131">
        <v>50</v>
      </c>
      <c r="B52" s="239" t="s">
        <v>467</v>
      </c>
      <c r="C52" s="10"/>
      <c r="D52" s="134"/>
    </row>
    <row r="53" spans="1:7">
      <c r="A53" s="130">
        <v>51</v>
      </c>
      <c r="B53" s="239" t="s">
        <v>468</v>
      </c>
      <c r="C53" s="10"/>
      <c r="D53" s="134"/>
      <c r="G53" s="600"/>
    </row>
    <row r="54" spans="1:7">
      <c r="A54" s="131">
        <v>52</v>
      </c>
      <c r="B54" s="239" t="s">
        <v>469</v>
      </c>
      <c r="C54" s="10"/>
      <c r="D54" s="134"/>
    </row>
    <row r="55" spans="1:7">
      <c r="A55" s="130">
        <v>53</v>
      </c>
      <c r="B55" s="239" t="s">
        <v>470</v>
      </c>
      <c r="C55" s="10"/>
      <c r="D55" s="134"/>
    </row>
    <row r="56" spans="1:7">
      <c r="A56" s="131">
        <v>54</v>
      </c>
      <c r="B56" s="239" t="s">
        <v>471</v>
      </c>
      <c r="C56" s="10"/>
      <c r="D56" s="134"/>
    </row>
    <row r="57" spans="1:7">
      <c r="A57" s="130">
        <v>55</v>
      </c>
      <c r="B57" s="239" t="s">
        <v>472</v>
      </c>
      <c r="C57" s="10"/>
      <c r="D57" s="134"/>
    </row>
    <row r="58" spans="1:7">
      <c r="A58" s="131">
        <v>56</v>
      </c>
      <c r="B58" s="239" t="s">
        <v>473</v>
      </c>
      <c r="C58" s="10"/>
      <c r="D58" s="134"/>
    </row>
    <row r="59" spans="1:7">
      <c r="A59" s="130">
        <v>57</v>
      </c>
      <c r="B59" s="338" t="s">
        <v>474</v>
      </c>
      <c r="C59" s="10"/>
      <c r="D59" s="136"/>
    </row>
    <row r="60" spans="1:7">
      <c r="A60" s="131">
        <v>58</v>
      </c>
      <c r="B60" s="239" t="s">
        <v>475</v>
      </c>
      <c r="C60" s="10"/>
      <c r="D60" s="134"/>
    </row>
    <row r="61" spans="1:7">
      <c r="A61" s="130">
        <v>59</v>
      </c>
      <c r="B61" s="239" t="s">
        <v>476</v>
      </c>
      <c r="C61" s="10"/>
      <c r="D61" s="134"/>
    </row>
    <row r="62" spans="1:7">
      <c r="A62" s="131">
        <v>60</v>
      </c>
      <c r="B62" s="239" t="s">
        <v>477</v>
      </c>
      <c r="C62" s="10"/>
      <c r="D62" s="134"/>
    </row>
    <row r="63" spans="1:7">
      <c r="A63" s="130">
        <v>61</v>
      </c>
      <c r="B63" s="239" t="s">
        <v>478</v>
      </c>
      <c r="C63" s="10"/>
      <c r="D63" s="134"/>
    </row>
    <row r="64" spans="1:7">
      <c r="A64" s="131">
        <v>62</v>
      </c>
      <c r="B64" s="239" t="s">
        <v>479</v>
      </c>
      <c r="C64" s="10"/>
      <c r="D64" s="134"/>
    </row>
    <row r="65" spans="1:4">
      <c r="A65" s="130">
        <v>63</v>
      </c>
      <c r="B65" s="239" t="s">
        <v>480</v>
      </c>
      <c r="C65" s="10"/>
      <c r="D65" s="134"/>
    </row>
    <row r="66" spans="1:4">
      <c r="A66" s="131">
        <v>64</v>
      </c>
      <c r="B66" s="239" t="s">
        <v>481</v>
      </c>
      <c r="C66" s="10"/>
      <c r="D66" s="134"/>
    </row>
    <row r="67" spans="1:4">
      <c r="A67" s="130">
        <v>65</v>
      </c>
      <c r="B67" s="239" t="s">
        <v>482</v>
      </c>
      <c r="C67" s="10"/>
      <c r="D67" s="134"/>
    </row>
    <row r="68" spans="1:4">
      <c r="A68" s="131">
        <v>66</v>
      </c>
      <c r="B68" s="239" t="s">
        <v>483</v>
      </c>
      <c r="C68" s="10"/>
      <c r="D68" s="134"/>
    </row>
    <row r="69" spans="1:4">
      <c r="A69" s="130">
        <v>67</v>
      </c>
      <c r="B69" s="239" t="s">
        <v>484</v>
      </c>
      <c r="C69" s="10"/>
      <c r="D69" s="134"/>
    </row>
    <row r="70" spans="1:4">
      <c r="A70" s="131">
        <v>68</v>
      </c>
      <c r="B70" s="239" t="s">
        <v>485</v>
      </c>
      <c r="C70" s="10"/>
      <c r="D70" s="134"/>
    </row>
    <row r="71" spans="1:4">
      <c r="A71" s="130">
        <v>69</v>
      </c>
      <c r="B71" s="239" t="s">
        <v>486</v>
      </c>
      <c r="C71" s="10"/>
      <c r="D71" s="134"/>
    </row>
    <row r="72" spans="1:4">
      <c r="A72" s="131">
        <v>70</v>
      </c>
      <c r="B72" s="239" t="s">
        <v>487</v>
      </c>
      <c r="C72" s="10"/>
      <c r="D72" s="134"/>
    </row>
    <row r="73" spans="1:4">
      <c r="A73" s="130">
        <v>71</v>
      </c>
      <c r="B73" s="239" t="s">
        <v>488</v>
      </c>
      <c r="C73" s="10"/>
      <c r="D73" s="134"/>
    </row>
    <row r="74" spans="1:4">
      <c r="A74" s="131">
        <v>72</v>
      </c>
      <c r="B74" s="239" t="s">
        <v>489</v>
      </c>
      <c r="C74" s="10"/>
      <c r="D74" s="134"/>
    </row>
    <row r="75" spans="1:4">
      <c r="A75" s="130">
        <v>73</v>
      </c>
      <c r="B75" s="239" t="s">
        <v>490</v>
      </c>
      <c r="C75" s="10"/>
      <c r="D75" s="134"/>
    </row>
    <row r="76" spans="1:4">
      <c r="A76" s="131">
        <v>74</v>
      </c>
      <c r="B76" s="239" t="s">
        <v>491</v>
      </c>
      <c r="C76" s="10"/>
      <c r="D76" s="134"/>
    </row>
    <row r="77" spans="1:4">
      <c r="A77" s="130">
        <v>75</v>
      </c>
      <c r="B77" s="239" t="s">
        <v>492</v>
      </c>
      <c r="C77" s="10"/>
      <c r="D77" s="134"/>
    </row>
    <row r="78" spans="1:4">
      <c r="A78" s="131">
        <v>76</v>
      </c>
      <c r="B78" s="239" t="s">
        <v>493</v>
      </c>
      <c r="C78" s="10"/>
      <c r="D78" s="134"/>
    </row>
    <row r="79" spans="1:4">
      <c r="A79" s="130">
        <v>77</v>
      </c>
      <c r="B79" s="239" t="s">
        <v>494</v>
      </c>
      <c r="C79" s="10"/>
      <c r="D79" s="134"/>
    </row>
    <row r="80" spans="1:4">
      <c r="A80" s="131">
        <v>78</v>
      </c>
      <c r="B80" s="239" t="s">
        <v>495</v>
      </c>
      <c r="C80" s="10"/>
      <c r="D80" s="134"/>
    </row>
    <row r="81" spans="1:4">
      <c r="A81" s="130">
        <v>79</v>
      </c>
      <c r="B81" s="239" t="s">
        <v>496</v>
      </c>
      <c r="C81" s="10"/>
      <c r="D81" s="134"/>
    </row>
    <row r="82" spans="1:4">
      <c r="A82" s="131">
        <v>80</v>
      </c>
      <c r="B82" s="239" t="s">
        <v>497</v>
      </c>
      <c r="C82" s="10"/>
      <c r="D82" s="134"/>
    </row>
    <row r="83" spans="1:4">
      <c r="A83" s="130">
        <v>81</v>
      </c>
      <c r="B83" s="239" t="s">
        <v>498</v>
      </c>
      <c r="C83" s="10"/>
      <c r="D83" s="134"/>
    </row>
    <row r="84" spans="1:4">
      <c r="A84" s="131">
        <v>82</v>
      </c>
      <c r="B84" s="239" t="s">
        <v>499</v>
      </c>
      <c r="C84" s="10"/>
      <c r="D84" s="134"/>
    </row>
    <row r="85" spans="1:4">
      <c r="A85" s="130">
        <v>83</v>
      </c>
      <c r="B85" s="239" t="s">
        <v>500</v>
      </c>
      <c r="C85" s="10"/>
      <c r="D85" s="134"/>
    </row>
    <row r="86" spans="1:4">
      <c r="A86" s="131">
        <v>84</v>
      </c>
      <c r="B86" s="239" t="s">
        <v>501</v>
      </c>
      <c r="C86" s="10"/>
      <c r="D86" s="134"/>
    </row>
    <row r="87" spans="1:4">
      <c r="A87" s="130">
        <v>85</v>
      </c>
      <c r="B87" s="239" t="s">
        <v>502</v>
      </c>
      <c r="C87" s="10"/>
      <c r="D87" s="134"/>
    </row>
    <row r="88" spans="1:4">
      <c r="A88" s="131">
        <v>86</v>
      </c>
      <c r="B88" s="239" t="s">
        <v>503</v>
      </c>
      <c r="C88" s="10"/>
      <c r="D88" s="134"/>
    </row>
    <row r="89" spans="1:4">
      <c r="A89" s="130">
        <v>87</v>
      </c>
      <c r="B89" s="239" t="s">
        <v>504</v>
      </c>
      <c r="C89" s="10"/>
      <c r="D89" s="134"/>
    </row>
    <row r="90" spans="1:4">
      <c r="A90" s="131">
        <v>88</v>
      </c>
      <c r="B90" s="239" t="s">
        <v>505</v>
      </c>
      <c r="C90" s="10"/>
      <c r="D90" s="134"/>
    </row>
    <row r="91" spans="1:4">
      <c r="A91" s="130">
        <v>89</v>
      </c>
      <c r="B91" s="239" t="s">
        <v>506</v>
      </c>
      <c r="C91" s="10"/>
      <c r="D91" s="134"/>
    </row>
    <row r="92" spans="1:4">
      <c r="A92" s="131">
        <v>90</v>
      </c>
      <c r="B92" s="239" t="s">
        <v>507</v>
      </c>
      <c r="C92" s="10"/>
      <c r="D92" s="134"/>
    </row>
    <row r="93" spans="1:4">
      <c r="A93" s="130">
        <v>91</v>
      </c>
      <c r="B93" s="239" t="s">
        <v>508</v>
      </c>
      <c r="C93" s="10"/>
      <c r="D93" s="134"/>
    </row>
    <row r="94" spans="1:4">
      <c r="A94" s="131">
        <v>92</v>
      </c>
      <c r="B94" s="239" t="s">
        <v>509</v>
      </c>
      <c r="C94" s="10"/>
      <c r="D94" s="134"/>
    </row>
    <row r="95" spans="1:4">
      <c r="A95" s="130">
        <v>93</v>
      </c>
      <c r="B95" s="239" t="s">
        <v>510</v>
      </c>
      <c r="C95" s="10"/>
      <c r="D95" s="134"/>
    </row>
    <row r="96" spans="1:4">
      <c r="A96" s="131">
        <v>94</v>
      </c>
      <c r="B96" s="239" t="s">
        <v>511</v>
      </c>
      <c r="C96" s="10"/>
      <c r="D96" s="134"/>
    </row>
    <row r="97" spans="1:4">
      <c r="A97" s="130">
        <v>95</v>
      </c>
      <c r="B97" s="239" t="s">
        <v>512</v>
      </c>
      <c r="C97" s="10"/>
      <c r="D97" s="134"/>
    </row>
    <row r="98" spans="1:4">
      <c r="A98" s="131">
        <v>96</v>
      </c>
      <c r="B98" s="239" t="s">
        <v>513</v>
      </c>
      <c r="C98" s="10"/>
      <c r="D98" s="134"/>
    </row>
    <row r="99" spans="1:4">
      <c r="A99" s="130">
        <v>97</v>
      </c>
      <c r="B99" s="239" t="s">
        <v>514</v>
      </c>
      <c r="C99" s="10"/>
      <c r="D99" s="134"/>
    </row>
    <row r="100" spans="1:4">
      <c r="A100" s="131">
        <v>98</v>
      </c>
      <c r="B100" s="239" t="s">
        <v>515</v>
      </c>
      <c r="C100" s="10"/>
      <c r="D100" s="134"/>
    </row>
    <row r="101" spans="1:4">
      <c r="A101" s="130">
        <v>99</v>
      </c>
      <c r="B101" s="239" t="s">
        <v>516</v>
      </c>
      <c r="C101" s="10"/>
      <c r="D101" s="134"/>
    </row>
    <row r="102" spans="1:4">
      <c r="A102" s="131">
        <v>100</v>
      </c>
      <c r="B102" s="239" t="s">
        <v>517</v>
      </c>
      <c r="C102" s="10"/>
      <c r="D102" s="134"/>
    </row>
    <row r="103" spans="1:4">
      <c r="A103" s="130">
        <v>101</v>
      </c>
      <c r="B103" s="239" t="s">
        <v>518</v>
      </c>
      <c r="C103" s="10"/>
      <c r="D103" s="134"/>
    </row>
    <row r="104" spans="1:4">
      <c r="A104" s="131">
        <v>102</v>
      </c>
      <c r="B104" s="239" t="s">
        <v>519</v>
      </c>
      <c r="C104" s="10"/>
      <c r="D104" s="134"/>
    </row>
    <row r="105" spans="1:4">
      <c r="A105" s="130">
        <v>103</v>
      </c>
      <c r="B105" s="239" t="s">
        <v>520</v>
      </c>
      <c r="C105" s="10"/>
      <c r="D105" s="134"/>
    </row>
    <row r="106" spans="1:4">
      <c r="A106" s="131">
        <v>104</v>
      </c>
      <c r="B106" s="239" t="s">
        <v>521</v>
      </c>
      <c r="C106" s="10"/>
      <c r="D106" s="134"/>
    </row>
    <row r="107" spans="1:4">
      <c r="A107" s="130">
        <v>105</v>
      </c>
      <c r="B107" s="239" t="s">
        <v>522</v>
      </c>
      <c r="C107" s="10"/>
      <c r="D107" s="134"/>
    </row>
    <row r="108" spans="1:4">
      <c r="A108" s="131">
        <v>106</v>
      </c>
      <c r="B108" s="239" t="s">
        <v>523</v>
      </c>
      <c r="C108" s="10"/>
      <c r="D108" s="134"/>
    </row>
    <row r="109" spans="1:4">
      <c r="A109" s="130">
        <v>107</v>
      </c>
      <c r="B109" s="239" t="s">
        <v>524</v>
      </c>
      <c r="C109" s="10"/>
      <c r="D109" s="134"/>
    </row>
    <row r="110" spans="1:4">
      <c r="A110" s="131">
        <v>108</v>
      </c>
      <c r="B110" s="239" t="s">
        <v>525</v>
      </c>
      <c r="C110" s="10"/>
      <c r="D110" s="134"/>
    </row>
    <row r="111" spans="1:4">
      <c r="A111" s="130">
        <v>109</v>
      </c>
      <c r="B111" s="239" t="s">
        <v>526</v>
      </c>
      <c r="C111" s="10"/>
      <c r="D111" s="134"/>
    </row>
  </sheetData>
  <mergeCells count="4">
    <mergeCell ref="F3:H5"/>
    <mergeCell ref="F2:H2"/>
    <mergeCell ref="A1:D1"/>
    <mergeCell ref="F8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F19" sqref="F19"/>
    </sheetView>
  </sheetViews>
  <sheetFormatPr defaultRowHeight="1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15" t="s">
        <v>137</v>
      </c>
      <c r="B1" s="139"/>
      <c r="C1" s="9" t="s">
        <v>527</v>
      </c>
      <c r="D1" s="138"/>
      <c r="E1" s="138"/>
      <c r="F1" s="138"/>
    </row>
    <row r="2" spans="1:16">
      <c r="B2" s="128" t="s">
        <v>337</v>
      </c>
      <c r="C2" s="140" t="s">
        <v>6</v>
      </c>
      <c r="E2" s="967" t="s">
        <v>373</v>
      </c>
      <c r="F2" s="968"/>
      <c r="G2" s="969"/>
      <c r="I2" s="483" t="s">
        <v>405</v>
      </c>
      <c r="J2" s="40" t="s">
        <v>386</v>
      </c>
      <c r="K2" s="486" t="s">
        <v>388</v>
      </c>
      <c r="L2" s="481" t="s">
        <v>389</v>
      </c>
    </row>
    <row r="3" spans="1:16">
      <c r="A3" s="18">
        <v>1</v>
      </c>
      <c r="B3" s="239" t="s">
        <v>528</v>
      </c>
      <c r="C3" s="125" t="s">
        <v>529</v>
      </c>
      <c r="E3" s="978">
        <f>SUM('Supervision Load'!B3)</f>
        <v>61</v>
      </c>
      <c r="F3" s="979"/>
      <c r="G3" s="980"/>
      <c r="H3">
        <v>1</v>
      </c>
      <c r="I3" s="484" t="s">
        <v>88</v>
      </c>
      <c r="J3" s="326">
        <v>6</v>
      </c>
      <c r="K3" s="487">
        <f>COUNTIF(C3:C63, "Drishty")</f>
        <v>6</v>
      </c>
      <c r="L3" s="310">
        <f>SUM(J3-K3)</f>
        <v>0</v>
      </c>
      <c r="M3" t="s">
        <v>530</v>
      </c>
    </row>
    <row r="4" spans="1:16">
      <c r="A4" s="126">
        <v>2</v>
      </c>
      <c r="B4" s="239" t="s">
        <v>531</v>
      </c>
      <c r="C4" s="125" t="s">
        <v>88</v>
      </c>
      <c r="E4" s="978"/>
      <c r="F4" s="979"/>
      <c r="G4" s="980"/>
      <c r="H4">
        <v>2</v>
      </c>
      <c r="I4" s="73" t="s">
        <v>77</v>
      </c>
      <c r="J4" s="78">
        <v>4</v>
      </c>
      <c r="K4" s="487">
        <f>COUNTIF(C3:C64, "Shakeel")</f>
        <v>4</v>
      </c>
      <c r="L4" s="311">
        <f t="shared" ref="L4:L5" si="0">SUM(J4-K4)</f>
        <v>0</v>
      </c>
      <c r="M4" t="s">
        <v>532</v>
      </c>
    </row>
    <row r="5" spans="1:16">
      <c r="A5" s="12">
        <v>3</v>
      </c>
      <c r="B5" s="239" t="s">
        <v>533</v>
      </c>
      <c r="C5" s="125" t="s">
        <v>248</v>
      </c>
      <c r="E5" s="981"/>
      <c r="F5" s="982"/>
      <c r="G5" s="983"/>
      <c r="H5">
        <v>3</v>
      </c>
      <c r="I5" s="73" t="s">
        <v>54</v>
      </c>
      <c r="J5" s="78">
        <v>8</v>
      </c>
      <c r="K5" s="488">
        <f>COUNTIF(C3:C63, "Jarutas")</f>
        <v>8</v>
      </c>
      <c r="L5" s="311">
        <f t="shared" si="0"/>
        <v>0</v>
      </c>
    </row>
    <row r="6" spans="1:16">
      <c r="A6" s="126">
        <v>4</v>
      </c>
      <c r="B6" s="239" t="s">
        <v>534</v>
      </c>
      <c r="C6" s="125" t="s">
        <v>54</v>
      </c>
      <c r="H6">
        <v>4</v>
      </c>
      <c r="I6" s="485" t="s">
        <v>248</v>
      </c>
      <c r="J6" s="327">
        <v>4</v>
      </c>
      <c r="K6" s="487">
        <f>COUNTIF(C3:C63, "Kashif")</f>
        <v>4</v>
      </c>
      <c r="L6" s="311">
        <f>SUM(J6-K6)</f>
        <v>0</v>
      </c>
      <c r="M6" s="1002" t="s">
        <v>535</v>
      </c>
      <c r="N6" s="1003"/>
      <c r="O6" s="1003"/>
      <c r="P6" s="1003"/>
    </row>
    <row r="7" spans="1:16">
      <c r="A7" s="12">
        <v>5</v>
      </c>
      <c r="B7" s="239" t="s">
        <v>536</v>
      </c>
      <c r="C7" s="238" t="s">
        <v>77</v>
      </c>
      <c r="H7">
        <v>5</v>
      </c>
      <c r="I7" s="485" t="s">
        <v>89</v>
      </c>
      <c r="J7" s="327">
        <v>3</v>
      </c>
      <c r="K7" s="487">
        <f>COUNTIF(C3:C67, "Pengfei")</f>
        <v>3</v>
      </c>
      <c r="L7" s="311">
        <f>SUM(J7-K7)</f>
        <v>0</v>
      </c>
      <c r="M7" t="s">
        <v>537</v>
      </c>
    </row>
    <row r="8" spans="1:16">
      <c r="A8" s="126">
        <v>6</v>
      </c>
      <c r="B8" s="239" t="s">
        <v>538</v>
      </c>
      <c r="C8" s="125" t="s">
        <v>54</v>
      </c>
      <c r="H8">
        <v>6</v>
      </c>
      <c r="I8" s="485" t="s">
        <v>283</v>
      </c>
      <c r="J8" s="327">
        <v>0</v>
      </c>
      <c r="K8" s="487">
        <f>COUNTIF(C3:C68, "Marc")</f>
        <v>0</v>
      </c>
      <c r="L8" s="482">
        <f>SUM(J8-K8)</f>
        <v>0</v>
      </c>
    </row>
    <row r="9" spans="1:16">
      <c r="A9" s="12">
        <v>7</v>
      </c>
      <c r="B9" s="239" t="s">
        <v>539</v>
      </c>
      <c r="C9" s="125" t="s">
        <v>425</v>
      </c>
      <c r="H9">
        <v>7</v>
      </c>
      <c r="I9" s="478" t="s">
        <v>540</v>
      </c>
      <c r="J9" s="495">
        <v>2</v>
      </c>
      <c r="K9" s="496">
        <v>0</v>
      </c>
      <c r="L9" s="497">
        <f>SUM(J9-K9)</f>
        <v>2</v>
      </c>
    </row>
    <row r="10" spans="1:16">
      <c r="A10" s="126">
        <v>8</v>
      </c>
      <c r="B10" s="442" t="s">
        <v>541</v>
      </c>
      <c r="C10" s="498" t="s">
        <v>540</v>
      </c>
      <c r="D10" t="s">
        <v>542</v>
      </c>
      <c r="J10" s="476">
        <f>SUM(J3:J9)</f>
        <v>27</v>
      </c>
      <c r="K10" s="477">
        <f>SUM(K3:K9)</f>
        <v>25</v>
      </c>
      <c r="L10" s="236">
        <f>SUM(L3:L9)</f>
        <v>2</v>
      </c>
    </row>
    <row r="11" spans="1:16">
      <c r="A11" s="12">
        <v>9</v>
      </c>
      <c r="B11" s="239" t="s">
        <v>543</v>
      </c>
      <c r="C11" s="125" t="s">
        <v>425</v>
      </c>
    </row>
    <row r="12" spans="1:16">
      <c r="A12" s="126">
        <v>10</v>
      </c>
      <c r="B12" s="239" t="s">
        <v>544</v>
      </c>
      <c r="C12" s="238" t="s">
        <v>423</v>
      </c>
      <c r="J12" s="5"/>
      <c r="K12" s="11"/>
    </row>
    <row r="13" spans="1:16">
      <c r="A13" s="12">
        <v>11</v>
      </c>
      <c r="B13" s="239" t="s">
        <v>545</v>
      </c>
      <c r="C13" s="125" t="s">
        <v>425</v>
      </c>
    </row>
    <row r="14" spans="1:16">
      <c r="A14" s="126">
        <v>12</v>
      </c>
      <c r="B14" s="239" t="s">
        <v>546</v>
      </c>
      <c r="C14" s="125" t="s">
        <v>423</v>
      </c>
    </row>
    <row r="15" spans="1:16">
      <c r="A15" s="12">
        <v>13</v>
      </c>
      <c r="B15" s="239" t="s">
        <v>547</v>
      </c>
      <c r="C15" s="125" t="s">
        <v>88</v>
      </c>
      <c r="I15" s="489" t="s">
        <v>421</v>
      </c>
      <c r="J15" s="244" t="s">
        <v>386</v>
      </c>
      <c r="K15" s="491" t="s">
        <v>388</v>
      </c>
      <c r="L15" s="479" t="s">
        <v>389</v>
      </c>
    </row>
    <row r="16" spans="1:16">
      <c r="A16" s="126">
        <v>14</v>
      </c>
      <c r="B16" s="239" t="s">
        <v>548</v>
      </c>
      <c r="C16" s="125" t="s">
        <v>54</v>
      </c>
      <c r="H16">
        <v>1</v>
      </c>
      <c r="I16" s="73" t="s">
        <v>423</v>
      </c>
      <c r="J16" s="334">
        <v>9</v>
      </c>
      <c r="K16" s="492">
        <f>COUNTIF(C3:C76, "Muntasir")</f>
        <v>9</v>
      </c>
      <c r="L16" s="480">
        <f>SUM(J16-K16)</f>
        <v>0</v>
      </c>
      <c r="M16" t="s">
        <v>549</v>
      </c>
    </row>
    <row r="17" spans="1:13">
      <c r="A17" s="12">
        <v>15</v>
      </c>
      <c r="B17" s="239" t="s">
        <v>550</v>
      </c>
      <c r="C17" s="238" t="s">
        <v>425</v>
      </c>
      <c r="H17">
        <v>2</v>
      </c>
      <c r="I17" s="73" t="s">
        <v>425</v>
      </c>
      <c r="J17" s="334">
        <v>8</v>
      </c>
      <c r="K17" s="493">
        <f>COUNTIF(C3:C63, "Hamid")</f>
        <v>8</v>
      </c>
      <c r="L17" s="480">
        <f>SUM(J17-K17)</f>
        <v>0</v>
      </c>
    </row>
    <row r="18" spans="1:13">
      <c r="A18" s="126">
        <v>16</v>
      </c>
      <c r="B18" s="239" t="s">
        <v>551</v>
      </c>
      <c r="C18" s="125" t="s">
        <v>423</v>
      </c>
      <c r="H18">
        <v>3</v>
      </c>
      <c r="I18" s="73" t="s">
        <v>427</v>
      </c>
      <c r="J18" s="334">
        <v>9</v>
      </c>
      <c r="K18" s="492">
        <f>COUNTIF(C3:C78, "Peyman")</f>
        <v>9</v>
      </c>
      <c r="L18" s="480">
        <f>SUM(J18-K18)</f>
        <v>0</v>
      </c>
      <c r="M18" t="s">
        <v>552</v>
      </c>
    </row>
    <row r="19" spans="1:13">
      <c r="A19" s="12">
        <v>17</v>
      </c>
      <c r="B19" s="239" t="s">
        <v>553</v>
      </c>
      <c r="C19" s="238" t="s">
        <v>427</v>
      </c>
      <c r="H19">
        <v>4</v>
      </c>
      <c r="I19" s="72" t="s">
        <v>529</v>
      </c>
      <c r="J19" s="342">
        <v>8</v>
      </c>
      <c r="K19" s="494">
        <f>COUNTIF(C3:C63, "Femi")</f>
        <v>8</v>
      </c>
      <c r="L19" s="490">
        <f>SUM(J19-K19)</f>
        <v>0</v>
      </c>
    </row>
    <row r="20" spans="1:13">
      <c r="A20" s="126">
        <v>18</v>
      </c>
      <c r="B20" s="239" t="s">
        <v>554</v>
      </c>
      <c r="C20" s="125" t="s">
        <v>77</v>
      </c>
      <c r="J20" s="293">
        <f>SUM(J16:J19)</f>
        <v>34</v>
      </c>
      <c r="K20" s="313">
        <f>SUM(K16:K19)</f>
        <v>34</v>
      </c>
      <c r="L20" s="475">
        <f>SUM(L16:L19)</f>
        <v>0</v>
      </c>
    </row>
    <row r="21" spans="1:13">
      <c r="A21" s="12">
        <v>19</v>
      </c>
      <c r="B21" s="663" t="s">
        <v>555</v>
      </c>
      <c r="C21" s="498" t="s">
        <v>540</v>
      </c>
      <c r="D21" t="s">
        <v>556</v>
      </c>
    </row>
    <row r="22" spans="1:13">
      <c r="A22" s="126">
        <v>20</v>
      </c>
      <c r="B22" s="239" t="s">
        <v>557</v>
      </c>
      <c r="C22" s="125" t="s">
        <v>427</v>
      </c>
      <c r="K22" s="316" t="s">
        <v>388</v>
      </c>
      <c r="L22" s="315" t="s">
        <v>389</v>
      </c>
    </row>
    <row r="23" spans="1:13">
      <c r="A23" s="12">
        <v>21</v>
      </c>
      <c r="B23" s="239" t="s">
        <v>558</v>
      </c>
      <c r="C23" s="125" t="s">
        <v>529</v>
      </c>
      <c r="K23" s="295">
        <f>SUM(K10,K20)</f>
        <v>59</v>
      </c>
      <c r="L23" s="294">
        <f>SUM(L10+L20)</f>
        <v>2</v>
      </c>
    </row>
    <row r="24" spans="1:13">
      <c r="A24" s="126">
        <v>22</v>
      </c>
      <c r="B24" s="239" t="s">
        <v>559</v>
      </c>
      <c r="C24" s="238" t="s">
        <v>54</v>
      </c>
    </row>
    <row r="25" spans="1:13">
      <c r="A25" s="12">
        <v>23</v>
      </c>
      <c r="B25" s="239" t="s">
        <v>560</v>
      </c>
      <c r="C25" s="125" t="s">
        <v>88</v>
      </c>
    </row>
    <row r="26" spans="1:13">
      <c r="A26" s="126">
        <v>24</v>
      </c>
      <c r="B26" s="239" t="s">
        <v>561</v>
      </c>
      <c r="C26" s="238" t="s">
        <v>427</v>
      </c>
    </row>
    <row r="27" spans="1:13">
      <c r="A27" s="12">
        <v>25</v>
      </c>
      <c r="B27" s="239" t="s">
        <v>562</v>
      </c>
      <c r="C27" s="125" t="s">
        <v>529</v>
      </c>
    </row>
    <row r="28" spans="1:13">
      <c r="A28" s="126">
        <v>26</v>
      </c>
      <c r="B28" s="239" t="s">
        <v>563</v>
      </c>
      <c r="C28" s="125" t="s">
        <v>423</v>
      </c>
    </row>
    <row r="29" spans="1:13">
      <c r="A29" s="12">
        <v>27</v>
      </c>
      <c r="B29" s="239" t="s">
        <v>564</v>
      </c>
      <c r="C29" s="238" t="s">
        <v>427</v>
      </c>
    </row>
    <row r="30" spans="1:13">
      <c r="A30" s="126">
        <v>28</v>
      </c>
      <c r="B30" s="239" t="s">
        <v>565</v>
      </c>
      <c r="C30" s="125" t="s">
        <v>88</v>
      </c>
    </row>
    <row r="31" spans="1:13">
      <c r="A31" s="12">
        <v>29</v>
      </c>
      <c r="B31" s="239" t="s">
        <v>566</v>
      </c>
      <c r="C31" s="238" t="s">
        <v>54</v>
      </c>
    </row>
    <row r="32" spans="1:13">
      <c r="A32" s="126">
        <v>30</v>
      </c>
      <c r="B32" s="127" t="s">
        <v>567</v>
      </c>
      <c r="C32" s="240" t="s">
        <v>427</v>
      </c>
    </row>
    <row r="33" spans="1:3">
      <c r="A33" s="12">
        <v>31</v>
      </c>
      <c r="B33" s="127" t="s">
        <v>568</v>
      </c>
      <c r="C33" s="125" t="s">
        <v>89</v>
      </c>
    </row>
    <row r="34" spans="1:3">
      <c r="A34" s="126">
        <v>32</v>
      </c>
      <c r="B34" s="127" t="s">
        <v>569</v>
      </c>
      <c r="C34" s="125" t="s">
        <v>425</v>
      </c>
    </row>
    <row r="35" spans="1:3">
      <c r="A35" s="12">
        <v>33</v>
      </c>
      <c r="B35" s="127" t="s">
        <v>570</v>
      </c>
      <c r="C35" s="125" t="s">
        <v>54</v>
      </c>
    </row>
    <row r="36" spans="1:3">
      <c r="A36" s="126">
        <v>34</v>
      </c>
      <c r="B36" s="127" t="s">
        <v>571</v>
      </c>
      <c r="C36" s="125" t="s">
        <v>423</v>
      </c>
    </row>
    <row r="37" spans="1:3">
      <c r="A37" s="12">
        <v>35</v>
      </c>
      <c r="B37" s="127" t="s">
        <v>572</v>
      </c>
      <c r="C37" s="125" t="s">
        <v>88</v>
      </c>
    </row>
    <row r="38" spans="1:3">
      <c r="A38" s="126">
        <v>36</v>
      </c>
      <c r="B38" s="127" t="s">
        <v>573</v>
      </c>
      <c r="C38" s="125" t="s">
        <v>89</v>
      </c>
    </row>
    <row r="39" spans="1:3">
      <c r="A39" s="12">
        <v>37</v>
      </c>
      <c r="B39" s="127" t="s">
        <v>574</v>
      </c>
      <c r="C39" s="125" t="s">
        <v>423</v>
      </c>
    </row>
    <row r="40" spans="1:3">
      <c r="A40" s="126">
        <v>38</v>
      </c>
      <c r="B40" s="127" t="s">
        <v>575</v>
      </c>
      <c r="C40" s="125" t="s">
        <v>425</v>
      </c>
    </row>
    <row r="41" spans="1:3">
      <c r="A41" s="12">
        <v>39</v>
      </c>
      <c r="B41" s="127" t="s">
        <v>576</v>
      </c>
      <c r="C41" s="125" t="s">
        <v>248</v>
      </c>
    </row>
    <row r="42" spans="1:3">
      <c r="A42" s="126">
        <v>40</v>
      </c>
      <c r="B42" s="127" t="s">
        <v>577</v>
      </c>
      <c r="C42" s="125" t="s">
        <v>423</v>
      </c>
    </row>
    <row r="43" spans="1:3">
      <c r="A43" s="12">
        <v>41</v>
      </c>
      <c r="B43" s="127" t="s">
        <v>578</v>
      </c>
      <c r="C43" s="10" t="s">
        <v>248</v>
      </c>
    </row>
    <row r="44" spans="1:3">
      <c r="A44" s="126">
        <v>42</v>
      </c>
      <c r="B44" s="127" t="s">
        <v>579</v>
      </c>
      <c r="C44" s="10" t="s">
        <v>529</v>
      </c>
    </row>
    <row r="45" spans="1:3">
      <c r="A45" s="12">
        <v>43</v>
      </c>
      <c r="B45" s="127" t="s">
        <v>580</v>
      </c>
      <c r="C45" s="10" t="s">
        <v>529</v>
      </c>
    </row>
    <row r="46" spans="1:3">
      <c r="A46" s="126">
        <v>44</v>
      </c>
      <c r="B46" s="127" t="s">
        <v>581</v>
      </c>
      <c r="C46" s="10" t="s">
        <v>54</v>
      </c>
    </row>
    <row r="47" spans="1:3">
      <c r="A47" s="12">
        <v>45</v>
      </c>
      <c r="B47" s="127" t="s">
        <v>582</v>
      </c>
      <c r="C47" s="10" t="s">
        <v>248</v>
      </c>
    </row>
    <row r="48" spans="1:3">
      <c r="A48" s="126">
        <v>46</v>
      </c>
      <c r="B48" s="127" t="s">
        <v>583</v>
      </c>
      <c r="C48" s="10" t="s">
        <v>529</v>
      </c>
    </row>
    <row r="49" spans="1:3">
      <c r="A49" s="12">
        <v>47</v>
      </c>
      <c r="B49" s="127" t="s">
        <v>584</v>
      </c>
      <c r="C49" s="10" t="s">
        <v>88</v>
      </c>
    </row>
    <row r="50" spans="1:3">
      <c r="A50" s="126">
        <v>48</v>
      </c>
      <c r="B50" s="127" t="s">
        <v>585</v>
      </c>
      <c r="C50" s="10" t="s">
        <v>54</v>
      </c>
    </row>
    <row r="51" spans="1:3">
      <c r="A51" s="12">
        <v>49</v>
      </c>
      <c r="B51" s="127" t="s">
        <v>586</v>
      </c>
      <c r="C51" s="10" t="s">
        <v>427</v>
      </c>
    </row>
    <row r="52" spans="1:3">
      <c r="A52" s="126">
        <v>50</v>
      </c>
      <c r="B52" s="127" t="s">
        <v>587</v>
      </c>
      <c r="C52" s="10" t="s">
        <v>423</v>
      </c>
    </row>
    <row r="53" spans="1:3">
      <c r="A53" s="12">
        <v>51</v>
      </c>
      <c r="B53" s="127" t="s">
        <v>588</v>
      </c>
      <c r="C53" s="10" t="s">
        <v>529</v>
      </c>
    </row>
    <row r="54" spans="1:3">
      <c r="A54" s="126">
        <v>52</v>
      </c>
      <c r="B54" s="127" t="s">
        <v>589</v>
      </c>
      <c r="C54" s="10" t="s">
        <v>425</v>
      </c>
    </row>
    <row r="55" spans="1:3">
      <c r="A55" s="12">
        <v>53</v>
      </c>
      <c r="B55" s="127" t="s">
        <v>590</v>
      </c>
      <c r="C55" s="10" t="s">
        <v>427</v>
      </c>
    </row>
    <row r="56" spans="1:3">
      <c r="A56" s="126">
        <v>54</v>
      </c>
      <c r="B56" s="127" t="s">
        <v>591</v>
      </c>
      <c r="C56" s="10" t="s">
        <v>427</v>
      </c>
    </row>
    <row r="57" spans="1:3">
      <c r="A57" s="12">
        <v>55</v>
      </c>
      <c r="B57" s="127" t="s">
        <v>592</v>
      </c>
      <c r="C57" s="10" t="s">
        <v>423</v>
      </c>
    </row>
    <row r="58" spans="1:3">
      <c r="A58" s="126">
        <v>56</v>
      </c>
      <c r="B58" s="127" t="s">
        <v>593</v>
      </c>
      <c r="C58" s="10" t="s">
        <v>427</v>
      </c>
    </row>
    <row r="59" spans="1:3">
      <c r="A59" s="12">
        <v>57</v>
      </c>
      <c r="B59" s="127" t="s">
        <v>594</v>
      </c>
      <c r="C59" s="10" t="s">
        <v>529</v>
      </c>
    </row>
    <row r="60" spans="1:3">
      <c r="A60" s="126">
        <v>58</v>
      </c>
      <c r="B60" s="135" t="s">
        <v>595</v>
      </c>
      <c r="C60" s="202" t="s">
        <v>425</v>
      </c>
    </row>
    <row r="61" spans="1:3">
      <c r="A61" s="18">
        <v>59</v>
      </c>
      <c r="B61" s="298" t="s">
        <v>596</v>
      </c>
      <c r="C61" s="298" t="s">
        <v>77</v>
      </c>
    </row>
    <row r="62" spans="1:3">
      <c r="A62" s="12">
        <v>60</v>
      </c>
      <c r="B62" s="307" t="s">
        <v>597</v>
      </c>
      <c r="C62" s="307" t="s">
        <v>77</v>
      </c>
    </row>
    <row r="63" spans="1:3">
      <c r="A63" s="131">
        <v>61</v>
      </c>
      <c r="B63" s="319" t="s">
        <v>598</v>
      </c>
      <c r="C63" s="134" t="s">
        <v>89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topLeftCell="A22" workbookViewId="0">
      <selection activeCell="F38" sqref="F38"/>
    </sheetView>
  </sheetViews>
  <sheetFormatPr defaultRowHeight="1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81" t="s">
        <v>403</v>
      </c>
      <c r="C1" s="281" t="s">
        <v>337</v>
      </c>
      <c r="D1" s="332" t="s">
        <v>6</v>
      </c>
      <c r="K1" s="101" t="s">
        <v>385</v>
      </c>
      <c r="L1" s="510" t="s">
        <v>386</v>
      </c>
      <c r="M1" s="513" t="s">
        <v>387</v>
      </c>
      <c r="N1" s="511" t="s">
        <v>388</v>
      </c>
      <c r="O1" s="512" t="s">
        <v>389</v>
      </c>
    </row>
    <row r="2" spans="1:15" ht="15.75">
      <c r="A2" s="208">
        <v>1</v>
      </c>
      <c r="B2" s="223" t="s">
        <v>152</v>
      </c>
      <c r="C2" s="501"/>
      <c r="D2" s="217"/>
      <c r="F2" s="328" t="s">
        <v>152</v>
      </c>
      <c r="G2" s="645">
        <v>11</v>
      </c>
      <c r="H2" s="1004">
        <f>SUM(G2:G6)</f>
        <v>59</v>
      </c>
      <c r="J2" s="131">
        <v>1</v>
      </c>
      <c r="K2" s="17" t="s">
        <v>115</v>
      </c>
      <c r="L2" s="12"/>
      <c r="M2" s="12"/>
      <c r="N2" s="515">
        <f>COUNTIF(D2:D65, "Bacha")</f>
        <v>0</v>
      </c>
      <c r="O2" s="514">
        <f>SUM(L2-N2)</f>
        <v>0</v>
      </c>
    </row>
    <row r="3" spans="1:15" ht="15.75">
      <c r="A3" s="209">
        <v>2</v>
      </c>
      <c r="B3" s="210" t="s">
        <v>152</v>
      </c>
      <c r="C3" s="502"/>
      <c r="D3" s="65"/>
      <c r="F3" s="329" t="s">
        <v>599</v>
      </c>
      <c r="G3" s="646">
        <v>8</v>
      </c>
      <c r="H3" s="1005"/>
      <c r="J3" s="131">
        <v>2</v>
      </c>
      <c r="K3" s="17" t="s">
        <v>241</v>
      </c>
      <c r="L3" s="12"/>
      <c r="M3" s="12"/>
      <c r="N3" s="515">
        <f>COUNTIF(D2:D65, "Bode")</f>
        <v>0</v>
      </c>
      <c r="O3" s="514">
        <f>SUM(L3-N3)</f>
        <v>0</v>
      </c>
    </row>
    <row r="4" spans="1:15" ht="15.75">
      <c r="A4" s="209">
        <v>3</v>
      </c>
      <c r="B4" s="210" t="s">
        <v>152</v>
      </c>
      <c r="C4" s="502"/>
      <c r="D4" s="65"/>
      <c r="F4" s="330" t="s">
        <v>600</v>
      </c>
      <c r="G4" s="647">
        <v>10</v>
      </c>
      <c r="H4" s="1005"/>
      <c r="J4" s="131">
        <v>3</v>
      </c>
      <c r="K4" s="17" t="s">
        <v>306</v>
      </c>
      <c r="L4" s="12"/>
      <c r="M4" s="12"/>
      <c r="N4" s="515">
        <f>COUNTIF(D2:D65, "Anthony")</f>
        <v>0</v>
      </c>
      <c r="O4" s="514">
        <f>SUM(L4-N4)</f>
        <v>0</v>
      </c>
    </row>
    <row r="5" spans="1:15" ht="15.75">
      <c r="A5" s="209">
        <v>4</v>
      </c>
      <c r="B5" s="210" t="s">
        <v>152</v>
      </c>
      <c r="C5" s="502"/>
      <c r="D5" s="65"/>
      <c r="F5" s="329" t="s">
        <v>601</v>
      </c>
      <c r="G5" s="646">
        <v>5</v>
      </c>
      <c r="H5" s="1005"/>
      <c r="J5" s="131">
        <v>4</v>
      </c>
      <c r="K5" s="17" t="s">
        <v>8</v>
      </c>
      <c r="L5" s="12"/>
      <c r="M5" s="12"/>
      <c r="N5" s="515">
        <f>COUNTIF(D2:D65, "Darren")</f>
        <v>0</v>
      </c>
      <c r="O5" s="514">
        <f>SUM(L5-N5)</f>
        <v>0</v>
      </c>
    </row>
    <row r="6" spans="1:15" ht="15.75">
      <c r="A6" s="209">
        <v>5</v>
      </c>
      <c r="B6" s="210" t="s">
        <v>152</v>
      </c>
      <c r="C6" s="502"/>
      <c r="D6" s="65"/>
      <c r="F6" s="331" t="s">
        <v>602</v>
      </c>
      <c r="G6" s="648">
        <v>25</v>
      </c>
      <c r="H6" s="1006"/>
      <c r="J6" s="131">
        <v>5</v>
      </c>
      <c r="K6" s="17" t="s">
        <v>88</v>
      </c>
      <c r="L6" s="12"/>
      <c r="M6" s="12"/>
      <c r="N6" s="515">
        <f>COUNTIF(D2:D65, "Drishty")</f>
        <v>0</v>
      </c>
      <c r="O6" s="514">
        <f>SUM(L6-N6)</f>
        <v>0</v>
      </c>
    </row>
    <row r="7" spans="1:15" ht="15.75">
      <c r="A7" s="209">
        <v>6</v>
      </c>
      <c r="B7" s="210" t="s">
        <v>152</v>
      </c>
      <c r="C7" s="502"/>
      <c r="D7" s="65"/>
      <c r="J7" s="131">
        <v>6</v>
      </c>
      <c r="K7" s="17" t="s">
        <v>54</v>
      </c>
      <c r="L7" s="12"/>
      <c r="M7" s="12"/>
      <c r="N7" s="515">
        <f>COUNTIF(D2:D65, "Jarutas")</f>
        <v>0</v>
      </c>
      <c r="O7" s="514">
        <f>SUM(L7-N7)</f>
        <v>0</v>
      </c>
    </row>
    <row r="8" spans="1:15" ht="15.75">
      <c r="A8" s="209">
        <v>7</v>
      </c>
      <c r="B8" s="210" t="s">
        <v>152</v>
      </c>
      <c r="C8" s="502"/>
      <c r="D8" s="65"/>
      <c r="G8" s="5"/>
      <c r="J8" s="131">
        <v>7</v>
      </c>
      <c r="K8" s="17" t="s">
        <v>12</v>
      </c>
      <c r="L8" s="12"/>
      <c r="M8" s="12"/>
      <c r="N8" s="515">
        <f>COUNTIF(D2:D65, "Kalin")</f>
        <v>0</v>
      </c>
      <c r="O8" s="514">
        <f>SUM(L8-N8)</f>
        <v>0</v>
      </c>
    </row>
    <row r="9" spans="1:15" ht="15.75">
      <c r="A9" s="209">
        <v>8</v>
      </c>
      <c r="B9" s="210" t="s">
        <v>152</v>
      </c>
      <c r="C9" s="502"/>
      <c r="D9" s="65"/>
      <c r="F9" s="479" t="s">
        <v>603</v>
      </c>
      <c r="J9" s="131">
        <v>8</v>
      </c>
      <c r="K9" s="17" t="s">
        <v>248</v>
      </c>
      <c r="L9" s="12"/>
      <c r="M9" s="12"/>
      <c r="N9" s="515">
        <f>COUNTIF(D11:D74, "Kashif")</f>
        <v>0</v>
      </c>
      <c r="O9" s="514">
        <f>SUM(L9-N9)</f>
        <v>0</v>
      </c>
    </row>
    <row r="10" spans="1:15" ht="15.75" customHeight="1">
      <c r="A10" s="209">
        <v>9</v>
      </c>
      <c r="B10" s="210" t="s">
        <v>152</v>
      </c>
      <c r="C10" s="502"/>
      <c r="D10" s="65"/>
      <c r="F10" s="671" t="s">
        <v>604</v>
      </c>
      <c r="J10" s="131">
        <v>9</v>
      </c>
      <c r="K10" s="17" t="s">
        <v>281</v>
      </c>
      <c r="L10" s="12"/>
      <c r="M10" s="12"/>
      <c r="N10" s="515">
        <f>COUNTIF(D2:D65, "Kenton")</f>
        <v>0</v>
      </c>
      <c r="O10" s="514">
        <f>SUM(L10-N10)</f>
        <v>0</v>
      </c>
    </row>
    <row r="11" spans="1:15" ht="15.75" customHeight="1">
      <c r="A11" s="209">
        <v>10</v>
      </c>
      <c r="B11" s="210" t="s">
        <v>152</v>
      </c>
      <c r="C11" s="502"/>
      <c r="D11" s="65"/>
      <c r="F11" s="1007">
        <f>SUM(H2-N24)</f>
        <v>54</v>
      </c>
      <c r="J11" s="131">
        <v>10</v>
      </c>
      <c r="K11" s="17" t="s">
        <v>283</v>
      </c>
      <c r="L11" s="12"/>
      <c r="M11" s="12"/>
      <c r="N11" s="515">
        <f>COUNTIF(D2:D65, "Marc")</f>
        <v>0</v>
      </c>
      <c r="O11" s="514">
        <f>SUM(L11-N11)</f>
        <v>0</v>
      </c>
    </row>
    <row r="12" spans="1:15" ht="15.75" customHeight="1">
      <c r="A12" s="221">
        <v>11</v>
      </c>
      <c r="B12" s="215" t="s">
        <v>152</v>
      </c>
      <c r="C12" s="503"/>
      <c r="D12" s="222"/>
      <c r="F12" s="1008"/>
      <c r="J12" s="131">
        <v>11</v>
      </c>
      <c r="K12" s="17" t="s">
        <v>10</v>
      </c>
      <c r="L12" s="12">
        <v>5</v>
      </c>
      <c r="M12" s="12" t="s">
        <v>278</v>
      </c>
      <c r="N12" s="515">
        <f>COUNTIF(D2:D65, "Martin")</f>
        <v>5</v>
      </c>
      <c r="O12" s="514">
        <f>SUM(L12-N12)</f>
        <v>0</v>
      </c>
    </row>
    <row r="13" spans="1:15" ht="15.75">
      <c r="A13" s="203">
        <v>12</v>
      </c>
      <c r="B13" s="204" t="s">
        <v>599</v>
      </c>
      <c r="C13" s="504"/>
      <c r="D13" s="205"/>
      <c r="J13" s="131">
        <v>12</v>
      </c>
      <c r="K13" s="17" t="s">
        <v>59</v>
      </c>
      <c r="L13" s="12"/>
      <c r="M13" s="12"/>
      <c r="N13" s="515">
        <f>COUNTIF(D2:D65, "Nick")</f>
        <v>0</v>
      </c>
      <c r="O13" s="514">
        <f>SUM(L13-N13)</f>
        <v>0</v>
      </c>
    </row>
    <row r="14" spans="1:15" ht="15.75">
      <c r="A14" s="117">
        <v>13</v>
      </c>
      <c r="B14" s="193" t="s">
        <v>599</v>
      </c>
      <c r="C14" s="505"/>
      <c r="D14" s="66"/>
      <c r="J14" s="131">
        <v>13</v>
      </c>
      <c r="K14" s="17" t="s">
        <v>309</v>
      </c>
      <c r="L14" s="12"/>
      <c r="M14" s="12"/>
      <c r="N14" s="515">
        <f>COUNTIF(D2:D65, "Neville")</f>
        <v>0</v>
      </c>
      <c r="O14" s="514">
        <f>SUM(L14-N14)</f>
        <v>0</v>
      </c>
    </row>
    <row r="15" spans="1:15" ht="15.75">
      <c r="A15" s="117">
        <v>14</v>
      </c>
      <c r="B15" s="193" t="s">
        <v>599</v>
      </c>
      <c r="C15" s="505"/>
      <c r="D15" s="66"/>
      <c r="J15" s="131">
        <v>14</v>
      </c>
      <c r="K15" s="17" t="s">
        <v>285</v>
      </c>
      <c r="L15" s="12"/>
      <c r="M15" s="12"/>
      <c r="N15" s="515">
        <f>COUNTIF(D2:D65, "Pengfei")</f>
        <v>0</v>
      </c>
      <c r="O15" s="514">
        <f>SUM(L15-N15)</f>
        <v>0</v>
      </c>
    </row>
    <row r="16" spans="1:15" ht="15.75">
      <c r="A16" s="117">
        <v>15</v>
      </c>
      <c r="B16" s="193" t="s">
        <v>599</v>
      </c>
      <c r="C16" s="505"/>
      <c r="D16" s="66"/>
      <c r="J16" s="131">
        <v>15</v>
      </c>
      <c r="K16" s="774" t="s">
        <v>255</v>
      </c>
      <c r="L16" s="12"/>
      <c r="M16" s="12"/>
      <c r="N16" s="515">
        <f>COUNTIF(D2:D65, "Raza")</f>
        <v>0</v>
      </c>
      <c r="O16" s="514">
        <f>SUM(L16-N16)</f>
        <v>0</v>
      </c>
    </row>
    <row r="17" spans="1:15" ht="15.75">
      <c r="A17" s="117">
        <v>16</v>
      </c>
      <c r="B17" s="193" t="s">
        <v>599</v>
      </c>
      <c r="C17" s="505"/>
      <c r="D17" s="66"/>
      <c r="J17" s="131">
        <v>16</v>
      </c>
      <c r="K17" s="17" t="s">
        <v>77</v>
      </c>
      <c r="L17" s="12"/>
      <c r="M17" s="12"/>
      <c r="N17" s="515">
        <f>COUNTIF(D2:D65, "Shakeel")</f>
        <v>0</v>
      </c>
      <c r="O17" s="514">
        <f>SUM(L17-N17)</f>
        <v>0</v>
      </c>
    </row>
    <row r="18" spans="1:15" ht="15.75">
      <c r="A18" s="117">
        <v>17</v>
      </c>
      <c r="B18" s="193" t="s">
        <v>599</v>
      </c>
      <c r="C18" s="505"/>
      <c r="D18" s="66"/>
      <c r="J18" s="131">
        <v>17</v>
      </c>
      <c r="K18" s="17" t="s">
        <v>40</v>
      </c>
      <c r="L18" s="12"/>
      <c r="M18" s="12"/>
      <c r="N18" s="515">
        <f>COUNTIF(D2:D65, "Warren")</f>
        <v>0</v>
      </c>
      <c r="O18" s="514">
        <f>SUM(L18-N18)</f>
        <v>0</v>
      </c>
    </row>
    <row r="19" spans="1:15" ht="15.75">
      <c r="A19" s="117">
        <v>18</v>
      </c>
      <c r="B19" s="193" t="s">
        <v>599</v>
      </c>
      <c r="C19" s="505"/>
      <c r="D19" s="66"/>
      <c r="J19" s="131">
        <v>18</v>
      </c>
      <c r="K19" s="17" t="s">
        <v>79</v>
      </c>
      <c r="L19" s="12"/>
      <c r="M19" s="12"/>
      <c r="N19" s="515">
        <f>COUNTIF(D2:D65, "Taiwo")</f>
        <v>0</v>
      </c>
      <c r="O19" s="514">
        <f t="shared" ref="O19:O23" si="0">SUM(L19-N19)</f>
        <v>0</v>
      </c>
    </row>
    <row r="20" spans="1:15" ht="15.75">
      <c r="A20" s="119">
        <v>19</v>
      </c>
      <c r="B20" s="206" t="s">
        <v>599</v>
      </c>
      <c r="C20" s="506"/>
      <c r="D20" s="122"/>
      <c r="J20" s="131">
        <v>19</v>
      </c>
      <c r="K20" s="17" t="s">
        <v>101</v>
      </c>
      <c r="L20" s="12">
        <v>4</v>
      </c>
      <c r="M20" s="12"/>
      <c r="N20" s="515">
        <f>COUNTIF(D2:D65, "Craig")</f>
        <v>0</v>
      </c>
      <c r="O20" s="514">
        <f t="shared" si="0"/>
        <v>4</v>
      </c>
    </row>
    <row r="21" spans="1:15" ht="15.75">
      <c r="A21" s="216">
        <v>20</v>
      </c>
      <c r="B21" s="223" t="s">
        <v>600</v>
      </c>
      <c r="C21" s="501"/>
      <c r="D21" s="217"/>
      <c r="J21" s="131">
        <v>20</v>
      </c>
      <c r="K21" s="17"/>
      <c r="L21" s="12"/>
      <c r="M21" s="12"/>
      <c r="N21" s="515">
        <f>COUNTIF(D2:D65, " ")</f>
        <v>0</v>
      </c>
      <c r="O21" s="514">
        <f t="shared" si="0"/>
        <v>0</v>
      </c>
    </row>
    <row r="22" spans="1:15" ht="15.75">
      <c r="A22" s="209">
        <v>21</v>
      </c>
      <c r="B22" s="210" t="s">
        <v>600</v>
      </c>
      <c r="C22" s="502"/>
      <c r="D22" s="65"/>
      <c r="J22" s="129">
        <v>21</v>
      </c>
      <c r="K22" s="17"/>
      <c r="L22" s="12"/>
      <c r="M22" s="12"/>
      <c r="N22" s="515">
        <f>COUNTIF(D2:D65, " ")</f>
        <v>0</v>
      </c>
      <c r="O22" s="514">
        <f t="shared" si="0"/>
        <v>0</v>
      </c>
    </row>
    <row r="23" spans="1:15" ht="15.75">
      <c r="A23" s="209">
        <v>22</v>
      </c>
      <c r="B23" s="210" t="s">
        <v>600</v>
      </c>
      <c r="C23" s="502"/>
      <c r="D23" s="65"/>
      <c r="J23" s="12">
        <v>22</v>
      </c>
      <c r="K23" s="424"/>
      <c r="L23" s="18"/>
      <c r="M23" s="12"/>
      <c r="N23" s="669">
        <f>COUNTIF(D2:D65, " ")</f>
        <v>0</v>
      </c>
      <c r="O23" s="670">
        <f t="shared" si="0"/>
        <v>0</v>
      </c>
    </row>
    <row r="24" spans="1:15" ht="15.75">
      <c r="A24" s="209">
        <v>23</v>
      </c>
      <c r="B24" s="210" t="s">
        <v>600</v>
      </c>
      <c r="C24" s="502"/>
      <c r="D24" s="65"/>
      <c r="J24" s="5"/>
      <c r="L24" s="40">
        <f>SUM(L2:L23)</f>
        <v>9</v>
      </c>
      <c r="N24" s="668">
        <f>SUM(N2:N23)</f>
        <v>5</v>
      </c>
      <c r="O24" s="479">
        <f>SUM(O2:O23)</f>
        <v>4</v>
      </c>
    </row>
    <row r="25" spans="1:15" ht="15.75">
      <c r="A25" s="209">
        <v>24</v>
      </c>
      <c r="B25" s="210" t="s">
        <v>600</v>
      </c>
      <c r="C25" s="502"/>
      <c r="D25" s="65"/>
      <c r="J25" s="5"/>
    </row>
    <row r="26" spans="1:15" ht="15.75">
      <c r="A26" s="209">
        <v>25</v>
      </c>
      <c r="B26" s="210" t="s">
        <v>600</v>
      </c>
      <c r="C26" s="502"/>
      <c r="D26" s="65"/>
    </row>
    <row r="27" spans="1:15" ht="15.75">
      <c r="A27" s="209">
        <v>26</v>
      </c>
      <c r="B27" s="210" t="s">
        <v>600</v>
      </c>
      <c r="C27" s="502"/>
      <c r="D27" s="65"/>
    </row>
    <row r="28" spans="1:15">
      <c r="A28" s="209">
        <v>27</v>
      </c>
      <c r="B28" s="210" t="s">
        <v>600</v>
      </c>
      <c r="C28" s="502"/>
      <c r="D28" s="65"/>
    </row>
    <row r="29" spans="1:15">
      <c r="A29" s="209">
        <v>28</v>
      </c>
      <c r="B29" s="210" t="s">
        <v>600</v>
      </c>
      <c r="C29" s="502"/>
      <c r="D29" s="65"/>
    </row>
    <row r="30" spans="1:15">
      <c r="A30" s="211">
        <v>29</v>
      </c>
      <c r="B30" s="212" t="s">
        <v>600</v>
      </c>
      <c r="C30" s="507"/>
      <c r="D30" s="69"/>
    </row>
    <row r="31" spans="1:15">
      <c r="A31" s="220">
        <v>30</v>
      </c>
      <c r="B31" s="207" t="s">
        <v>601</v>
      </c>
      <c r="C31" s="508"/>
      <c r="D31" s="161" t="s">
        <v>10</v>
      </c>
    </row>
    <row r="32" spans="1:15">
      <c r="A32" s="117">
        <v>31</v>
      </c>
      <c r="B32" s="193" t="s">
        <v>601</v>
      </c>
      <c r="C32" s="505"/>
      <c r="D32" s="218" t="s">
        <v>10</v>
      </c>
    </row>
    <row r="33" spans="1:4">
      <c r="A33" s="117">
        <v>32</v>
      </c>
      <c r="B33" s="193" t="s">
        <v>601</v>
      </c>
      <c r="C33" s="505"/>
      <c r="D33" s="218" t="s">
        <v>10</v>
      </c>
    </row>
    <row r="34" spans="1:4">
      <c r="A34" s="117">
        <v>33</v>
      </c>
      <c r="B34" s="193" t="s">
        <v>601</v>
      </c>
      <c r="C34" s="505"/>
      <c r="D34" s="218" t="s">
        <v>10</v>
      </c>
    </row>
    <row r="35" spans="1:4">
      <c r="A35" s="119">
        <v>34</v>
      </c>
      <c r="B35" s="206" t="s">
        <v>601</v>
      </c>
      <c r="C35" s="506"/>
      <c r="D35" s="219" t="s">
        <v>10</v>
      </c>
    </row>
    <row r="36" spans="1:4">
      <c r="A36" s="216">
        <v>35</v>
      </c>
      <c r="B36" s="214" t="s">
        <v>602</v>
      </c>
      <c r="C36" s="509"/>
      <c r="D36" s="217"/>
    </row>
    <row r="37" spans="1:4">
      <c r="A37" s="209">
        <v>36</v>
      </c>
      <c r="B37" s="213" t="s">
        <v>602</v>
      </c>
      <c r="C37" s="19"/>
      <c r="D37" s="65"/>
    </row>
    <row r="38" spans="1:4">
      <c r="A38" s="209">
        <v>37</v>
      </c>
      <c r="B38" s="213" t="s">
        <v>602</v>
      </c>
      <c r="C38" s="19"/>
      <c r="D38" s="65"/>
    </row>
    <row r="39" spans="1:4">
      <c r="A39" s="209">
        <v>38</v>
      </c>
      <c r="B39" s="213" t="s">
        <v>602</v>
      </c>
      <c r="C39" s="19"/>
      <c r="D39" s="65"/>
    </row>
    <row r="40" spans="1:4">
      <c r="A40" s="209">
        <v>39</v>
      </c>
      <c r="B40" s="213" t="s">
        <v>602</v>
      </c>
      <c r="C40" s="19"/>
      <c r="D40" s="65"/>
    </row>
    <row r="41" spans="1:4">
      <c r="A41" s="209">
        <v>40</v>
      </c>
      <c r="B41" s="213" t="s">
        <v>602</v>
      </c>
      <c r="C41" s="19"/>
      <c r="D41" s="65"/>
    </row>
    <row r="42" spans="1:4">
      <c r="A42" s="209">
        <v>41</v>
      </c>
      <c r="B42" s="213" t="s">
        <v>602</v>
      </c>
      <c r="C42" s="19"/>
      <c r="D42" s="65"/>
    </row>
    <row r="43" spans="1:4">
      <c r="A43" s="209">
        <v>42</v>
      </c>
      <c r="B43" s="213" t="s">
        <v>602</v>
      </c>
      <c r="C43" s="19"/>
      <c r="D43" s="65"/>
    </row>
    <row r="44" spans="1:4">
      <c r="A44" s="209">
        <v>43</v>
      </c>
      <c r="B44" s="213" t="s">
        <v>602</v>
      </c>
      <c r="C44" s="19"/>
      <c r="D44" s="65"/>
    </row>
    <row r="45" spans="1:4">
      <c r="A45" s="209">
        <v>44</v>
      </c>
      <c r="B45" s="213" t="s">
        <v>602</v>
      </c>
      <c r="C45" s="19"/>
      <c r="D45" s="65"/>
    </row>
    <row r="46" spans="1:4">
      <c r="A46" s="209">
        <v>45</v>
      </c>
      <c r="B46" s="213" t="s">
        <v>602</v>
      </c>
      <c r="C46" s="19"/>
      <c r="D46" s="65"/>
    </row>
    <row r="47" spans="1:4">
      <c r="A47" s="209">
        <v>46</v>
      </c>
      <c r="B47" s="213" t="s">
        <v>602</v>
      </c>
      <c r="C47" s="19"/>
      <c r="D47" s="65"/>
    </row>
    <row r="48" spans="1:4">
      <c r="A48" s="209">
        <v>47</v>
      </c>
      <c r="B48" s="213" t="s">
        <v>602</v>
      </c>
      <c r="C48" s="19"/>
      <c r="D48" s="65"/>
    </row>
    <row r="49" spans="1:4">
      <c r="A49" s="209">
        <v>48</v>
      </c>
      <c r="B49" s="213" t="s">
        <v>602</v>
      </c>
      <c r="C49" s="19"/>
      <c r="D49" s="65"/>
    </row>
    <row r="50" spans="1:4">
      <c r="A50" s="209">
        <v>49</v>
      </c>
      <c r="B50" s="213" t="s">
        <v>602</v>
      </c>
      <c r="C50" s="19"/>
      <c r="D50" s="65"/>
    </row>
    <row r="51" spans="1:4">
      <c r="A51" s="209">
        <v>50</v>
      </c>
      <c r="B51" s="213" t="s">
        <v>602</v>
      </c>
      <c r="C51" s="19"/>
      <c r="D51" s="65"/>
    </row>
    <row r="52" spans="1:4">
      <c r="A52" s="209">
        <v>51</v>
      </c>
      <c r="B52" s="213" t="s">
        <v>602</v>
      </c>
      <c r="C52" s="19"/>
      <c r="D52" s="65"/>
    </row>
    <row r="53" spans="1:4">
      <c r="A53" s="209">
        <v>52</v>
      </c>
      <c r="B53" s="213" t="s">
        <v>602</v>
      </c>
      <c r="C53" s="19"/>
      <c r="D53" s="65"/>
    </row>
    <row r="54" spans="1:4">
      <c r="A54" s="209">
        <v>53</v>
      </c>
      <c r="B54" s="213" t="s">
        <v>602</v>
      </c>
      <c r="C54" s="19"/>
      <c r="D54" s="65"/>
    </row>
    <row r="55" spans="1:4">
      <c r="A55" s="209">
        <v>54</v>
      </c>
      <c r="B55" s="213" t="s">
        <v>602</v>
      </c>
      <c r="C55" s="19"/>
      <c r="D55" s="65"/>
    </row>
    <row r="56" spans="1:4">
      <c r="A56" s="209">
        <v>55</v>
      </c>
      <c r="B56" s="213" t="s">
        <v>602</v>
      </c>
      <c r="C56" s="19"/>
      <c r="D56" s="65"/>
    </row>
    <row r="57" spans="1:4">
      <c r="A57" s="209">
        <v>56</v>
      </c>
      <c r="B57" s="213" t="s">
        <v>602</v>
      </c>
      <c r="C57" s="19"/>
      <c r="D57" s="65"/>
    </row>
    <row r="58" spans="1:4">
      <c r="A58" s="209">
        <v>57</v>
      </c>
      <c r="B58" s="213" t="s">
        <v>602</v>
      </c>
      <c r="C58" s="19"/>
      <c r="D58" s="65"/>
    </row>
    <row r="59" spans="1:4">
      <c r="A59" s="209">
        <v>58</v>
      </c>
      <c r="B59" s="213" t="s">
        <v>602</v>
      </c>
      <c r="C59" s="19"/>
      <c r="D59" s="65"/>
    </row>
    <row r="60" spans="1:4">
      <c r="A60" s="211">
        <v>59</v>
      </c>
      <c r="B60" s="155" t="s">
        <v>602</v>
      </c>
      <c r="C60" s="274"/>
      <c r="D60" s="69"/>
    </row>
  </sheetData>
  <mergeCells count="2">
    <mergeCell ref="H2:H6"/>
    <mergeCell ref="F11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M115"/>
  <sheetViews>
    <sheetView workbookViewId="0">
      <selection activeCell="I32" sqref="I32"/>
    </sheetView>
  </sheetViews>
  <sheetFormatPr defaultRowHeight="15"/>
  <cols>
    <col min="1" max="1" width="7" customWidth="1"/>
    <col min="2" max="2" width="30" customWidth="1"/>
    <col min="3" max="3" width="18.875" customWidth="1"/>
    <col min="4" max="4" width="19.375" customWidth="1"/>
    <col min="9" max="9" width="9.375" customWidth="1"/>
    <col min="10" max="10" width="23.875" customWidth="1"/>
    <col min="11" max="11" width="9.125" customWidth="1"/>
    <col min="12" max="12" width="10.5" customWidth="1"/>
    <col min="13" max="13" width="11.75" customWidth="1"/>
  </cols>
  <sheetData>
    <row r="1" spans="1:13" ht="18.75">
      <c r="A1" s="998" t="s">
        <v>402</v>
      </c>
      <c r="B1" s="1009"/>
      <c r="C1" s="1009"/>
      <c r="D1" s="1010"/>
      <c r="E1" s="138"/>
      <c r="F1" s="138"/>
    </row>
    <row r="2" spans="1:13" ht="15.75" customHeight="1">
      <c r="A2" s="129"/>
      <c r="B2" s="101" t="s">
        <v>337</v>
      </c>
      <c r="C2" s="658" t="s">
        <v>403</v>
      </c>
      <c r="D2" s="101" t="s">
        <v>6</v>
      </c>
      <c r="F2" s="1013" t="s">
        <v>605</v>
      </c>
      <c r="G2" s="1014"/>
      <c r="H2" s="1015"/>
      <c r="J2" s="606" t="s">
        <v>405</v>
      </c>
      <c r="K2" s="607" t="s">
        <v>386</v>
      </c>
      <c r="L2" s="654" t="s">
        <v>388</v>
      </c>
      <c r="M2" s="655" t="s">
        <v>389</v>
      </c>
    </row>
    <row r="3" spans="1:13" ht="15.75">
      <c r="A3" s="126">
        <v>1</v>
      </c>
      <c r="B3" s="659"/>
      <c r="C3" s="660"/>
      <c r="D3" s="340"/>
      <c r="F3" s="1011">
        <v>108</v>
      </c>
      <c r="G3" s="989"/>
      <c r="H3" s="1012"/>
      <c r="I3">
        <v>1</v>
      </c>
      <c r="J3" s="610" t="s">
        <v>88</v>
      </c>
      <c r="K3" s="572">
        <v>4</v>
      </c>
      <c r="L3" s="649">
        <v>0</v>
      </c>
      <c r="M3" s="650">
        <f>SUM(K3-L3)</f>
        <v>4</v>
      </c>
    </row>
    <row r="4" spans="1:13" ht="15.75">
      <c r="A4" s="12">
        <v>2</v>
      </c>
      <c r="B4" s="239"/>
      <c r="C4" s="10"/>
      <c r="D4" s="133"/>
      <c r="F4" s="981"/>
      <c r="G4" s="982"/>
      <c r="H4" s="983"/>
      <c r="I4">
        <v>2</v>
      </c>
      <c r="J4" s="70" t="s">
        <v>77</v>
      </c>
      <c r="K4" s="47">
        <v>4</v>
      </c>
      <c r="L4" s="649">
        <v>0</v>
      </c>
      <c r="M4" s="311">
        <f t="shared" ref="M4:M7" si="0">SUM(K4-L4)</f>
        <v>4</v>
      </c>
    </row>
    <row r="5" spans="1:13" ht="18" customHeight="1">
      <c r="A5" s="126">
        <v>3</v>
      </c>
      <c r="B5" s="239"/>
      <c r="C5" s="10"/>
      <c r="D5" s="133"/>
      <c r="F5" s="337"/>
      <c r="G5" s="337"/>
      <c r="H5" s="337"/>
      <c r="I5">
        <v>3</v>
      </c>
      <c r="J5" s="341" t="s">
        <v>54</v>
      </c>
      <c r="K5" s="47">
        <v>4</v>
      </c>
      <c r="L5" s="649">
        <v>0</v>
      </c>
      <c r="M5" s="311">
        <f t="shared" si="0"/>
        <v>4</v>
      </c>
    </row>
    <row r="6" spans="1:13" ht="15.75">
      <c r="A6" s="12">
        <v>4</v>
      </c>
      <c r="B6" s="239"/>
      <c r="C6" s="10"/>
      <c r="D6" s="133"/>
      <c r="I6">
        <v>4</v>
      </c>
      <c r="J6" s="70" t="s">
        <v>248</v>
      </c>
      <c r="K6" s="47">
        <v>4</v>
      </c>
      <c r="L6" s="649">
        <v>0</v>
      </c>
      <c r="M6" s="311">
        <f t="shared" si="0"/>
        <v>4</v>
      </c>
    </row>
    <row r="7" spans="1:13" ht="15.75">
      <c r="A7" s="126">
        <v>5</v>
      </c>
      <c r="B7" s="239"/>
      <c r="C7" s="10"/>
      <c r="D7" s="339"/>
      <c r="I7">
        <v>5</v>
      </c>
      <c r="J7" s="70" t="s">
        <v>89</v>
      </c>
      <c r="K7" s="47">
        <v>6</v>
      </c>
      <c r="L7" s="649">
        <v>0</v>
      </c>
      <c r="M7" s="311">
        <f>SUM(K7-L7)</f>
        <v>6</v>
      </c>
    </row>
    <row r="8" spans="1:13" ht="15.75">
      <c r="A8" s="12">
        <v>6</v>
      </c>
      <c r="B8" s="239"/>
      <c r="C8" s="10"/>
      <c r="D8" s="133"/>
      <c r="I8">
        <v>6</v>
      </c>
      <c r="J8" s="70" t="s">
        <v>115</v>
      </c>
      <c r="K8" s="47">
        <v>6</v>
      </c>
      <c r="L8" s="649">
        <v>0</v>
      </c>
      <c r="M8" s="311">
        <f>SUM(K8-L8)</f>
        <v>6</v>
      </c>
    </row>
    <row r="9" spans="1:13" ht="15.75">
      <c r="A9" s="126">
        <v>7</v>
      </c>
      <c r="B9" s="239"/>
      <c r="C9" s="10"/>
      <c r="D9" s="133"/>
      <c r="I9">
        <v>7</v>
      </c>
      <c r="J9" s="230" t="s">
        <v>255</v>
      </c>
      <c r="K9" s="47">
        <v>8</v>
      </c>
      <c r="L9" s="649">
        <v>0</v>
      </c>
      <c r="M9" s="311">
        <f>SUM(K9-L9)</f>
        <v>8</v>
      </c>
    </row>
    <row r="10" spans="1:13" ht="15.75">
      <c r="A10" s="12">
        <v>8</v>
      </c>
      <c r="B10" s="239"/>
      <c r="C10" s="10"/>
      <c r="D10" s="133"/>
      <c r="I10">
        <v>8</v>
      </c>
      <c r="J10" s="230" t="s">
        <v>79</v>
      </c>
      <c r="K10" s="309">
        <v>2</v>
      </c>
      <c r="L10" s="649">
        <v>0</v>
      </c>
      <c r="M10" s="311">
        <f>SUM(K10-L10)</f>
        <v>2</v>
      </c>
    </row>
    <row r="11" spans="1:13" ht="15.75">
      <c r="A11" s="126">
        <v>9</v>
      </c>
      <c r="B11" s="239"/>
      <c r="C11" s="10"/>
      <c r="D11" s="133"/>
      <c r="I11">
        <v>9</v>
      </c>
      <c r="J11" s="70"/>
      <c r="K11" s="17"/>
      <c r="L11" s="649">
        <v>0</v>
      </c>
      <c r="M11" s="311">
        <f>SUM(K11-L11)</f>
        <v>0</v>
      </c>
    </row>
    <row r="12" spans="1:13" ht="15.75">
      <c r="A12" s="12">
        <v>10</v>
      </c>
      <c r="B12" s="239"/>
      <c r="C12" s="10"/>
      <c r="D12" s="339"/>
      <c r="I12">
        <v>10</v>
      </c>
      <c r="J12" s="70"/>
      <c r="K12" s="17"/>
      <c r="L12" s="649">
        <v>0</v>
      </c>
      <c r="M12" s="311">
        <f>SUM(K12-L12)</f>
        <v>0</v>
      </c>
    </row>
    <row r="13" spans="1:13" ht="15.75">
      <c r="A13" s="126">
        <v>11</v>
      </c>
      <c r="B13" s="239"/>
      <c r="C13" s="10"/>
      <c r="D13" s="133"/>
      <c r="F13" s="524"/>
      <c r="I13">
        <v>11</v>
      </c>
      <c r="J13" s="282"/>
      <c r="K13" s="651"/>
      <c r="L13" s="652">
        <f>COUNTIF(D2:D115, " ")</f>
        <v>0</v>
      </c>
      <c r="M13" s="653">
        <f>SUM(K13-L13)</f>
        <v>0</v>
      </c>
    </row>
    <row r="14" spans="1:13">
      <c r="A14" s="12">
        <v>12</v>
      </c>
      <c r="B14" s="239"/>
      <c r="C14" s="10"/>
      <c r="D14" s="133"/>
      <c r="K14" s="656">
        <f>SUM(K3:K13)</f>
        <v>38</v>
      </c>
      <c r="L14" s="657">
        <f>SUM(L3:L13)</f>
        <v>0</v>
      </c>
    </row>
    <row r="15" spans="1:13" ht="15.75">
      <c r="A15" s="126">
        <v>13</v>
      </c>
      <c r="B15" s="239"/>
      <c r="C15" s="10"/>
      <c r="D15" s="133"/>
    </row>
    <row r="16" spans="1:13" ht="15.75">
      <c r="A16" s="12">
        <v>14</v>
      </c>
      <c r="B16" s="239"/>
      <c r="C16" s="10"/>
      <c r="D16" s="133"/>
      <c r="J16" s="829" t="s">
        <v>421</v>
      </c>
      <c r="K16" s="830"/>
      <c r="L16" s="612"/>
      <c r="M16" s="831"/>
    </row>
    <row r="17" spans="1:13" ht="15.75">
      <c r="A17" s="126">
        <v>15</v>
      </c>
      <c r="B17" s="239"/>
      <c r="C17" s="10"/>
      <c r="D17" s="339"/>
      <c r="I17">
        <v>1</v>
      </c>
      <c r="J17" s="70" t="s">
        <v>606</v>
      </c>
      <c r="K17" s="60">
        <v>8</v>
      </c>
      <c r="L17" s="231">
        <v>0</v>
      </c>
      <c r="M17" s="232">
        <f>SUM(K17-L17)</f>
        <v>8</v>
      </c>
    </row>
    <row r="18" spans="1:13" ht="15.75">
      <c r="A18" s="126">
        <v>16</v>
      </c>
      <c r="B18" s="239"/>
      <c r="C18" s="10"/>
      <c r="D18" s="133"/>
      <c r="I18">
        <v>2</v>
      </c>
      <c r="J18" s="70" t="s">
        <v>607</v>
      </c>
      <c r="K18" s="60">
        <v>8</v>
      </c>
      <c r="L18" s="231">
        <v>0</v>
      </c>
      <c r="M18" s="232">
        <f>SUM(K18-L18)</f>
        <v>8</v>
      </c>
    </row>
    <row r="19" spans="1:13" ht="15.75">
      <c r="A19" s="12">
        <v>17</v>
      </c>
      <c r="B19" s="239"/>
      <c r="C19" s="10"/>
      <c r="D19" s="339"/>
      <c r="I19">
        <v>3</v>
      </c>
      <c r="J19" s="70" t="s">
        <v>608</v>
      </c>
      <c r="K19" s="60">
        <v>8</v>
      </c>
      <c r="L19" s="231">
        <v>0</v>
      </c>
      <c r="M19" s="232">
        <f>SUM(K19-L19)</f>
        <v>8</v>
      </c>
    </row>
    <row r="20" spans="1:13" ht="15.75">
      <c r="A20" s="126">
        <v>18</v>
      </c>
      <c r="B20" s="239"/>
      <c r="C20" s="10"/>
      <c r="D20" s="133"/>
      <c r="I20">
        <v>4</v>
      </c>
      <c r="J20" s="70" t="s">
        <v>609</v>
      </c>
      <c r="K20" s="60">
        <v>8</v>
      </c>
      <c r="L20" s="605">
        <v>0</v>
      </c>
      <c r="M20" s="232">
        <f>SUM(K20-L20)</f>
        <v>8</v>
      </c>
    </row>
    <row r="21" spans="1:13" ht="15.75">
      <c r="A21" s="12">
        <v>19</v>
      </c>
      <c r="B21" s="239"/>
      <c r="C21" s="10"/>
      <c r="D21" s="133"/>
      <c r="I21">
        <v>5</v>
      </c>
      <c r="J21" s="70" t="s">
        <v>610</v>
      </c>
      <c r="K21" s="60">
        <v>8</v>
      </c>
      <c r="L21" s="605">
        <v>0</v>
      </c>
      <c r="M21" s="661"/>
    </row>
    <row r="22" spans="1:13" ht="15.75">
      <c r="A22" s="126">
        <v>20</v>
      </c>
      <c r="B22" s="239"/>
      <c r="C22" s="10"/>
      <c r="D22" s="133"/>
      <c r="I22">
        <v>6</v>
      </c>
      <c r="J22" s="70" t="s">
        <v>611</v>
      </c>
      <c r="K22" s="60">
        <v>8</v>
      </c>
      <c r="L22" s="605">
        <v>0</v>
      </c>
      <c r="M22" s="661"/>
    </row>
    <row r="23" spans="1:13" ht="15.75">
      <c r="A23" s="126"/>
      <c r="B23" s="239"/>
      <c r="C23" s="10"/>
      <c r="D23" s="133"/>
      <c r="I23">
        <v>7</v>
      </c>
      <c r="J23" s="70" t="s">
        <v>612</v>
      </c>
      <c r="K23" s="60">
        <v>8</v>
      </c>
      <c r="L23" s="605">
        <v>0</v>
      </c>
      <c r="M23" s="661"/>
    </row>
    <row r="24" spans="1:13" ht="15.75">
      <c r="A24" s="126"/>
      <c r="B24" s="239"/>
      <c r="C24" s="10"/>
      <c r="D24" s="133"/>
      <c r="I24">
        <v>8</v>
      </c>
      <c r="J24" s="70" t="s">
        <v>613</v>
      </c>
      <c r="K24" s="60">
        <v>8</v>
      </c>
      <c r="L24" s="605">
        <v>0</v>
      </c>
      <c r="M24" s="661"/>
    </row>
    <row r="25" spans="1:13" ht="15.75">
      <c r="A25" s="12">
        <v>21</v>
      </c>
      <c r="B25" s="239"/>
      <c r="C25" s="10"/>
      <c r="D25" s="133"/>
      <c r="I25">
        <v>9</v>
      </c>
      <c r="J25" s="70" t="s">
        <v>614</v>
      </c>
      <c r="K25" s="60">
        <v>8</v>
      </c>
      <c r="L25" s="605">
        <v>0</v>
      </c>
      <c r="M25" s="661"/>
    </row>
    <row r="26" spans="1:13" ht="15.75">
      <c r="A26" s="12"/>
      <c r="B26" s="239"/>
      <c r="C26" s="10"/>
      <c r="D26" s="133"/>
      <c r="J26" s="1022"/>
      <c r="K26" s="60"/>
      <c r="L26" s="605"/>
      <c r="M26" s="661"/>
    </row>
    <row r="27" spans="1:13" ht="15.75">
      <c r="A27" s="126">
        <v>22</v>
      </c>
      <c r="B27" s="239"/>
      <c r="C27" s="10"/>
      <c r="D27" s="339"/>
      <c r="J27" s="1024"/>
      <c r="K27" s="828">
        <f>SUM(K17:K25)</f>
        <v>72</v>
      </c>
      <c r="L27" s="227">
        <f>SUM(L17:L25)</f>
        <v>0</v>
      </c>
      <c r="M27" s="66"/>
    </row>
    <row r="28" spans="1:13" ht="15.75">
      <c r="A28" s="12">
        <v>23</v>
      </c>
      <c r="B28" s="239"/>
      <c r="C28" s="10"/>
      <c r="D28" s="133"/>
      <c r="J28" s="832" t="s">
        <v>442</v>
      </c>
      <c r="K28" s="833">
        <f>SUM(K14+K27)</f>
        <v>110</v>
      </c>
      <c r="L28" s="280"/>
      <c r="M28" s="122"/>
    </row>
    <row r="29" spans="1:13" ht="15.75">
      <c r="A29" s="126">
        <v>24</v>
      </c>
      <c r="B29" s="239"/>
      <c r="C29" s="10"/>
      <c r="D29" s="339"/>
      <c r="L29" s="834" t="s">
        <v>389</v>
      </c>
      <c r="M29" s="835" t="s">
        <v>388</v>
      </c>
    </row>
    <row r="30" spans="1:13" ht="15.75">
      <c r="A30" s="12">
        <v>25</v>
      </c>
      <c r="B30" s="239"/>
      <c r="C30" s="10"/>
      <c r="D30" s="133"/>
      <c r="L30" s="308">
        <f>SUM(F3)</f>
        <v>108</v>
      </c>
      <c r="M30" s="295">
        <f>SUM(L14+L27)</f>
        <v>0</v>
      </c>
    </row>
    <row r="31" spans="1:13">
      <c r="A31" s="126">
        <v>26</v>
      </c>
      <c r="B31" s="239"/>
      <c r="C31" s="10"/>
      <c r="D31" s="133"/>
    </row>
    <row r="32" spans="1:13">
      <c r="A32" s="12">
        <v>27</v>
      </c>
      <c r="B32" s="239"/>
      <c r="C32" s="10"/>
      <c r="D32" s="339"/>
    </row>
    <row r="33" spans="1:4">
      <c r="A33" s="126">
        <v>28</v>
      </c>
      <c r="B33" s="239"/>
      <c r="C33" s="10"/>
      <c r="D33" s="133"/>
    </row>
    <row r="34" spans="1:4">
      <c r="A34" s="12">
        <v>29</v>
      </c>
      <c r="B34" s="239"/>
      <c r="C34" s="10"/>
      <c r="D34" s="339"/>
    </row>
    <row r="35" spans="1:4">
      <c r="A35" s="126">
        <v>30</v>
      </c>
      <c r="B35" s="239"/>
      <c r="C35" s="10"/>
      <c r="D35" s="340"/>
    </row>
    <row r="36" spans="1:4">
      <c r="A36" s="126">
        <v>31</v>
      </c>
      <c r="B36" s="239"/>
      <c r="C36" s="10"/>
      <c r="D36" s="133"/>
    </row>
    <row r="37" spans="1:4" ht="15.75">
      <c r="A37" s="12">
        <v>32</v>
      </c>
      <c r="B37" s="239"/>
      <c r="C37" s="10"/>
      <c r="D37" s="133"/>
    </row>
    <row r="38" spans="1:4" ht="15.75">
      <c r="A38" s="126">
        <v>33</v>
      </c>
      <c r="B38" s="239"/>
      <c r="C38" s="10"/>
      <c r="D38" s="133"/>
    </row>
    <row r="39" spans="1:4" ht="15.75">
      <c r="A39" s="12">
        <v>34</v>
      </c>
      <c r="B39" s="239"/>
      <c r="C39" s="10"/>
      <c r="D39" s="133"/>
    </row>
    <row r="40" spans="1:4" ht="15.75">
      <c r="A40" s="126">
        <v>35</v>
      </c>
      <c r="B40" s="239"/>
      <c r="C40" s="10"/>
      <c r="D40" s="133"/>
    </row>
    <row r="41" spans="1:4" ht="15.75">
      <c r="A41" s="12">
        <v>36</v>
      </c>
      <c r="B41" s="239"/>
      <c r="C41" s="10"/>
      <c r="D41" s="133"/>
    </row>
    <row r="42" spans="1:4" ht="15.75">
      <c r="A42" s="126">
        <v>37</v>
      </c>
      <c r="B42" s="239"/>
      <c r="C42" s="10"/>
      <c r="D42" s="133"/>
    </row>
    <row r="43" spans="1:4" ht="15.75">
      <c r="A43" s="12">
        <v>38</v>
      </c>
      <c r="B43" s="239"/>
      <c r="C43" s="10"/>
      <c r="D43" s="133"/>
    </row>
    <row r="44" spans="1:4" ht="15.75">
      <c r="A44" s="126">
        <v>39</v>
      </c>
      <c r="B44" s="239"/>
      <c r="C44" s="10"/>
      <c r="D44" s="133"/>
    </row>
    <row r="45" spans="1:4" ht="15.75">
      <c r="A45" s="12">
        <v>40</v>
      </c>
      <c r="B45" s="239"/>
      <c r="C45" s="10"/>
      <c r="D45" s="133"/>
    </row>
    <row r="46" spans="1:4">
      <c r="A46" s="126">
        <v>41</v>
      </c>
      <c r="B46" s="239"/>
      <c r="C46" s="10"/>
      <c r="D46" s="134"/>
    </row>
    <row r="47" spans="1:4">
      <c r="A47" s="12">
        <v>42</v>
      </c>
      <c r="B47" s="239"/>
      <c r="C47" s="10"/>
      <c r="D47" s="134"/>
    </row>
    <row r="48" spans="1:4">
      <c r="A48" s="126">
        <v>43</v>
      </c>
      <c r="B48" s="239"/>
      <c r="C48" s="10"/>
      <c r="D48" s="134"/>
    </row>
    <row r="49" spans="1:4">
      <c r="A49" s="12">
        <v>44</v>
      </c>
      <c r="B49" s="239"/>
      <c r="C49" s="10"/>
      <c r="D49" s="134"/>
    </row>
    <row r="50" spans="1:4">
      <c r="A50" s="126">
        <v>45</v>
      </c>
      <c r="B50" s="239"/>
      <c r="C50" s="10"/>
      <c r="D50" s="134"/>
    </row>
    <row r="51" spans="1:4">
      <c r="A51" s="126">
        <v>46</v>
      </c>
      <c r="B51" s="239"/>
      <c r="C51" s="10"/>
      <c r="D51" s="134"/>
    </row>
    <row r="52" spans="1:4">
      <c r="A52" s="12">
        <v>47</v>
      </c>
      <c r="B52" s="239"/>
      <c r="C52" s="10"/>
      <c r="D52" s="134"/>
    </row>
    <row r="53" spans="1:4">
      <c r="A53" s="126">
        <v>48</v>
      </c>
      <c r="B53" s="239"/>
      <c r="C53" s="10"/>
      <c r="D53" s="134"/>
    </row>
    <row r="54" spans="1:4">
      <c r="A54" s="12">
        <v>49</v>
      </c>
      <c r="B54" s="239"/>
      <c r="C54" s="10"/>
      <c r="D54" s="134"/>
    </row>
    <row r="55" spans="1:4">
      <c r="A55" s="126">
        <v>50</v>
      </c>
      <c r="B55" s="239"/>
      <c r="C55" s="10"/>
      <c r="D55" s="134"/>
    </row>
    <row r="56" spans="1:4">
      <c r="A56" s="12">
        <v>51</v>
      </c>
      <c r="B56" s="239"/>
      <c r="C56" s="10"/>
      <c r="D56" s="134"/>
    </row>
    <row r="57" spans="1:4">
      <c r="A57" s="126">
        <v>52</v>
      </c>
      <c r="B57" s="239"/>
      <c r="C57" s="10"/>
      <c r="D57" s="134"/>
    </row>
    <row r="58" spans="1:4">
      <c r="A58" s="12">
        <v>53</v>
      </c>
      <c r="B58" s="239"/>
      <c r="C58" s="10"/>
      <c r="D58" s="134"/>
    </row>
    <row r="59" spans="1:4">
      <c r="A59" s="126">
        <v>54</v>
      </c>
      <c r="B59" s="239"/>
      <c r="C59" s="10"/>
      <c r="D59" s="134"/>
    </row>
    <row r="60" spans="1:4">
      <c r="A60" s="12">
        <v>55</v>
      </c>
      <c r="B60" s="239"/>
      <c r="C60" s="10"/>
      <c r="D60" s="134"/>
    </row>
    <row r="61" spans="1:4">
      <c r="A61" s="126">
        <v>56</v>
      </c>
      <c r="B61" s="239"/>
      <c r="C61" s="10"/>
      <c r="D61" s="134"/>
    </row>
    <row r="62" spans="1:4">
      <c r="A62" s="12">
        <v>57</v>
      </c>
      <c r="B62" s="239"/>
      <c r="C62" s="10"/>
      <c r="D62" s="134"/>
    </row>
    <row r="63" spans="1:4">
      <c r="A63" s="126">
        <v>58</v>
      </c>
      <c r="B63" s="338"/>
      <c r="C63" s="10"/>
      <c r="D63" s="136"/>
    </row>
    <row r="64" spans="1:4">
      <c r="A64" s="12">
        <v>59</v>
      </c>
      <c r="B64" s="131"/>
      <c r="C64" s="10"/>
      <c r="D64" s="21"/>
    </row>
    <row r="65" spans="1:4">
      <c r="A65" s="126">
        <v>60</v>
      </c>
      <c r="B65" s="129"/>
      <c r="C65" s="10"/>
      <c r="D65" s="64"/>
    </row>
    <row r="66" spans="1:4">
      <c r="A66" s="130">
        <v>61</v>
      </c>
      <c r="B66" s="17"/>
      <c r="C66" s="10"/>
      <c r="D66" s="134"/>
    </row>
    <row r="67" spans="1:4">
      <c r="A67" s="131">
        <v>62</v>
      </c>
      <c r="B67" s="17"/>
      <c r="C67" s="10"/>
      <c r="D67" s="134"/>
    </row>
    <row r="68" spans="1:4">
      <c r="A68" s="130">
        <v>63</v>
      </c>
      <c r="B68" s="17"/>
      <c r="C68" s="10"/>
      <c r="D68" s="134"/>
    </row>
    <row r="69" spans="1:4">
      <c r="A69" s="131">
        <v>64</v>
      </c>
      <c r="B69" s="17"/>
      <c r="C69" s="10"/>
      <c r="D69" s="134"/>
    </row>
    <row r="70" spans="1:4">
      <c r="A70" s="130">
        <v>65</v>
      </c>
      <c r="B70" s="17"/>
      <c r="C70" s="10"/>
      <c r="D70" s="134"/>
    </row>
    <row r="71" spans="1:4">
      <c r="A71" s="131">
        <v>66</v>
      </c>
      <c r="B71" s="17"/>
      <c r="C71" s="10"/>
      <c r="D71" s="134"/>
    </row>
    <row r="72" spans="1:4">
      <c r="A72" s="130">
        <v>67</v>
      </c>
      <c r="B72" s="17"/>
      <c r="C72" s="10"/>
      <c r="D72" s="134"/>
    </row>
    <row r="73" spans="1:4">
      <c r="A73" s="131">
        <v>68</v>
      </c>
      <c r="B73" s="17"/>
      <c r="C73" s="10"/>
      <c r="D73" s="134"/>
    </row>
    <row r="74" spans="1:4">
      <c r="A74" s="130">
        <v>69</v>
      </c>
      <c r="B74" s="17"/>
      <c r="C74" s="10"/>
      <c r="D74" s="134"/>
    </row>
    <row r="75" spans="1:4">
      <c r="A75" s="131">
        <v>70</v>
      </c>
      <c r="B75" s="17"/>
      <c r="C75" s="10"/>
      <c r="D75" s="134"/>
    </row>
    <row r="76" spans="1:4">
      <c r="A76" s="130">
        <v>71</v>
      </c>
      <c r="B76" s="17"/>
      <c r="C76" s="10"/>
      <c r="D76" s="134"/>
    </row>
    <row r="77" spans="1:4">
      <c r="A77" s="131">
        <v>72</v>
      </c>
      <c r="B77" s="17"/>
      <c r="C77" s="10"/>
      <c r="D77" s="134"/>
    </row>
    <row r="78" spans="1:4">
      <c r="A78" s="130">
        <v>73</v>
      </c>
      <c r="B78" s="17"/>
      <c r="C78" s="10"/>
      <c r="D78" s="134"/>
    </row>
    <row r="79" spans="1:4">
      <c r="A79" s="131">
        <v>74</v>
      </c>
      <c r="B79" s="17"/>
      <c r="C79" s="10"/>
      <c r="D79" s="134"/>
    </row>
    <row r="80" spans="1:4">
      <c r="A80" s="130">
        <v>75</v>
      </c>
      <c r="B80" s="17"/>
      <c r="C80" s="10"/>
      <c r="D80" s="134"/>
    </row>
    <row r="81" spans="1:4">
      <c r="A81" s="130">
        <v>76</v>
      </c>
      <c r="B81" s="17"/>
      <c r="C81" s="10"/>
      <c r="D81" s="134"/>
    </row>
    <row r="82" spans="1:4">
      <c r="A82" s="131">
        <v>77</v>
      </c>
      <c r="B82" s="17"/>
      <c r="C82" s="10"/>
      <c r="D82" s="134"/>
    </row>
    <row r="83" spans="1:4">
      <c r="A83" s="130">
        <v>78</v>
      </c>
      <c r="B83" s="17"/>
      <c r="C83" s="10"/>
      <c r="D83" s="134"/>
    </row>
    <row r="84" spans="1:4">
      <c r="A84" s="131">
        <v>79</v>
      </c>
      <c r="B84" s="17"/>
      <c r="C84" s="10"/>
      <c r="D84" s="134"/>
    </row>
    <row r="85" spans="1:4">
      <c r="A85" s="130">
        <v>80</v>
      </c>
      <c r="B85" s="17"/>
      <c r="C85" s="10"/>
      <c r="D85" s="134"/>
    </row>
    <row r="86" spans="1:4">
      <c r="A86" s="131">
        <v>81</v>
      </c>
      <c r="B86" s="17"/>
      <c r="C86" s="10"/>
      <c r="D86" s="134"/>
    </row>
    <row r="87" spans="1:4">
      <c r="A87" s="130">
        <v>82</v>
      </c>
      <c r="B87" s="17"/>
      <c r="C87" s="10"/>
      <c r="D87" s="134"/>
    </row>
    <row r="88" spans="1:4">
      <c r="A88" s="131">
        <v>83</v>
      </c>
      <c r="B88" s="17"/>
      <c r="C88" s="10"/>
      <c r="D88" s="134"/>
    </row>
    <row r="89" spans="1:4">
      <c r="A89" s="130">
        <v>84</v>
      </c>
      <c r="B89" s="17"/>
      <c r="C89" s="10"/>
      <c r="D89" s="134"/>
    </row>
    <row r="90" spans="1:4">
      <c r="A90" s="131">
        <v>85</v>
      </c>
      <c r="B90" s="17"/>
      <c r="C90" s="10"/>
      <c r="D90" s="134"/>
    </row>
    <row r="91" spans="1:4">
      <c r="A91" s="130">
        <v>86</v>
      </c>
      <c r="B91" s="17"/>
      <c r="C91" s="10"/>
      <c r="D91" s="134"/>
    </row>
    <row r="92" spans="1:4">
      <c r="A92" s="131">
        <v>87</v>
      </c>
      <c r="B92" s="17"/>
      <c r="C92" s="10"/>
      <c r="D92" s="134"/>
    </row>
    <row r="93" spans="1:4">
      <c r="A93" s="130">
        <v>88</v>
      </c>
      <c r="B93" s="17"/>
      <c r="C93" s="10"/>
      <c r="D93" s="134"/>
    </row>
    <row r="94" spans="1:4">
      <c r="A94" s="131">
        <v>89</v>
      </c>
      <c r="B94" s="17"/>
      <c r="C94" s="10"/>
      <c r="D94" s="134"/>
    </row>
    <row r="95" spans="1:4">
      <c r="A95" s="130">
        <v>90</v>
      </c>
      <c r="B95" s="17"/>
      <c r="C95" s="10"/>
      <c r="D95" s="134"/>
    </row>
    <row r="96" spans="1:4">
      <c r="A96" s="130">
        <v>91</v>
      </c>
      <c r="B96" s="17"/>
      <c r="C96" s="10"/>
      <c r="D96" s="134"/>
    </row>
    <row r="97" spans="1:4">
      <c r="A97" s="131">
        <v>92</v>
      </c>
      <c r="B97" s="17"/>
      <c r="C97" s="10"/>
      <c r="D97" s="134"/>
    </row>
    <row r="98" spans="1:4">
      <c r="A98" s="130">
        <v>93</v>
      </c>
      <c r="B98" s="17"/>
      <c r="C98" s="10"/>
      <c r="D98" s="134"/>
    </row>
    <row r="99" spans="1:4">
      <c r="A99" s="131">
        <v>94</v>
      </c>
      <c r="B99" s="17"/>
      <c r="C99" s="10"/>
      <c r="D99" s="134"/>
    </row>
    <row r="100" spans="1:4">
      <c r="A100" s="130">
        <v>95</v>
      </c>
      <c r="B100" s="17"/>
      <c r="C100" s="10"/>
      <c r="D100" s="134"/>
    </row>
    <row r="101" spans="1:4">
      <c r="A101" s="131">
        <v>96</v>
      </c>
      <c r="B101" s="17"/>
      <c r="C101" s="10"/>
      <c r="D101" s="134"/>
    </row>
    <row r="102" spans="1:4">
      <c r="A102" s="130">
        <v>97</v>
      </c>
      <c r="B102" s="17"/>
      <c r="C102" s="10"/>
      <c r="D102" s="134"/>
    </row>
    <row r="103" spans="1:4">
      <c r="A103" s="131">
        <v>98</v>
      </c>
      <c r="B103" s="17"/>
      <c r="C103" s="10"/>
      <c r="D103" s="134"/>
    </row>
    <row r="104" spans="1:4">
      <c r="A104" s="130">
        <v>99</v>
      </c>
      <c r="B104" s="17"/>
      <c r="C104" s="10"/>
      <c r="D104" s="134"/>
    </row>
    <row r="105" spans="1:4">
      <c r="A105" s="131">
        <v>100</v>
      </c>
      <c r="B105" s="17"/>
      <c r="C105" s="10"/>
      <c r="D105" s="134"/>
    </row>
    <row r="106" spans="1:4">
      <c r="A106" s="130">
        <v>101</v>
      </c>
      <c r="B106" s="17"/>
      <c r="C106" s="10"/>
      <c r="D106" s="134"/>
    </row>
    <row r="107" spans="1:4">
      <c r="A107" s="131">
        <v>102</v>
      </c>
      <c r="B107" s="17"/>
      <c r="C107" s="10"/>
      <c r="D107" s="134"/>
    </row>
    <row r="108" spans="1:4">
      <c r="A108" s="130">
        <v>103</v>
      </c>
      <c r="B108" s="17"/>
      <c r="C108" s="10"/>
      <c r="D108" s="134"/>
    </row>
    <row r="109" spans="1:4">
      <c r="A109" s="131">
        <v>104</v>
      </c>
      <c r="B109" s="17"/>
      <c r="C109" s="10"/>
      <c r="D109" s="134"/>
    </row>
    <row r="110" spans="1:4">
      <c r="A110" s="130">
        <v>105</v>
      </c>
      <c r="B110" s="17"/>
      <c r="C110" s="10"/>
      <c r="D110" s="134"/>
    </row>
    <row r="111" spans="1:4">
      <c r="A111" s="130">
        <v>106</v>
      </c>
      <c r="B111" s="17"/>
      <c r="C111" s="10"/>
      <c r="D111" s="134"/>
    </row>
    <row r="112" spans="1:4">
      <c r="A112" s="131">
        <v>107</v>
      </c>
      <c r="B112" s="17"/>
      <c r="C112" s="10"/>
      <c r="D112" s="134"/>
    </row>
    <row r="113" spans="1:4">
      <c r="A113" s="130">
        <v>108</v>
      </c>
      <c r="B113" s="17"/>
      <c r="C113" s="10"/>
      <c r="D113" s="134"/>
    </row>
    <row r="114" spans="1:4">
      <c r="A114" s="131">
        <v>109</v>
      </c>
      <c r="B114" s="17"/>
      <c r="C114" s="10"/>
      <c r="D114" s="134"/>
    </row>
    <row r="115" spans="1:4">
      <c r="A115" s="130">
        <v>110</v>
      </c>
      <c r="B115" s="17"/>
      <c r="C115" s="10"/>
      <c r="D115" s="134"/>
    </row>
  </sheetData>
  <mergeCells count="3">
    <mergeCell ref="A1:D1"/>
    <mergeCell ref="F3:H4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V71"/>
  <sheetViews>
    <sheetView topLeftCell="A9" workbookViewId="0">
      <selection activeCell="I55" sqref="I55"/>
    </sheetView>
  </sheetViews>
  <sheetFormatPr defaultColWidth="11" defaultRowHeight="15.75" customHeight="1"/>
  <cols>
    <col min="1" max="1" width="6.125" customWidth="1"/>
    <col min="2" max="2" width="70.125" customWidth="1"/>
    <col min="3" max="3" width="11.5" customWidth="1"/>
    <col min="4" max="4" width="9.375" customWidth="1"/>
    <col min="5" max="5" width="9.25" customWidth="1"/>
    <col min="6" max="7" width="8.5" customWidth="1"/>
    <col min="8" max="8" width="6.75" customWidth="1"/>
    <col min="9" max="9" width="40.75" style="11" customWidth="1"/>
    <col min="10" max="10" width="16.875" style="11" customWidth="1"/>
    <col min="11" max="11" width="16.5" style="11" customWidth="1"/>
    <col min="12" max="12" width="12.125" customWidth="1"/>
    <col min="16" max="16" width="11.625" customWidth="1"/>
    <col min="17" max="17" width="13.5" customWidth="1"/>
    <col min="18" max="18" width="12.125" customWidth="1"/>
    <col min="22" max="22" width="12.625" customWidth="1"/>
  </cols>
  <sheetData>
    <row r="1" spans="1:22" ht="26.1" customHeight="1">
      <c r="A1" s="873" t="s">
        <v>19</v>
      </c>
      <c r="B1" s="874"/>
      <c r="C1" s="841" t="s">
        <v>20</v>
      </c>
      <c r="D1" s="882" t="s">
        <v>21</v>
      </c>
      <c r="E1" s="882" t="s">
        <v>22</v>
      </c>
      <c r="F1" s="877" t="s">
        <v>1</v>
      </c>
      <c r="G1" s="878" t="s">
        <v>2</v>
      </c>
      <c r="H1" s="880" t="s">
        <v>3</v>
      </c>
      <c r="I1" s="859" t="s">
        <v>5</v>
      </c>
      <c r="J1" s="863" t="s">
        <v>23</v>
      </c>
      <c r="K1" s="861" t="s">
        <v>23</v>
      </c>
      <c r="L1" s="870" t="s">
        <v>24</v>
      </c>
      <c r="M1" s="871"/>
      <c r="N1" s="871"/>
      <c r="O1" s="871"/>
      <c r="P1" s="872"/>
      <c r="Q1" s="855" t="s">
        <v>25</v>
      </c>
      <c r="R1" s="856"/>
      <c r="S1" s="867" t="s">
        <v>26</v>
      </c>
      <c r="T1" s="868"/>
      <c r="U1" s="869"/>
      <c r="V1" s="865" t="s">
        <v>27</v>
      </c>
    </row>
    <row r="2" spans="1:22" ht="42.75" customHeight="1">
      <c r="A2" s="875"/>
      <c r="B2" s="876"/>
      <c r="C2" s="841"/>
      <c r="D2" s="883"/>
      <c r="E2" s="883"/>
      <c r="F2" s="877"/>
      <c r="G2" s="879"/>
      <c r="H2" s="881"/>
      <c r="I2" s="860"/>
      <c r="J2" s="864"/>
      <c r="K2" s="862"/>
      <c r="L2" s="425" t="s">
        <v>28</v>
      </c>
      <c r="M2" s="333" t="s">
        <v>29</v>
      </c>
      <c r="N2" s="333" t="s">
        <v>30</v>
      </c>
      <c r="O2" s="335" t="s">
        <v>31</v>
      </c>
      <c r="P2" s="347" t="s">
        <v>32</v>
      </c>
      <c r="Q2" s="343" t="s">
        <v>33</v>
      </c>
      <c r="R2" s="344" t="s">
        <v>34</v>
      </c>
      <c r="S2" s="1" t="s">
        <v>31</v>
      </c>
      <c r="T2" s="516" t="s">
        <v>35</v>
      </c>
      <c r="U2" s="516" t="s">
        <v>36</v>
      </c>
      <c r="V2" s="866"/>
    </row>
    <row r="3" spans="1:22">
      <c r="A3" s="591">
        <v>1</v>
      </c>
      <c r="B3" s="812" t="s">
        <v>37</v>
      </c>
      <c r="C3" s="685">
        <v>1</v>
      </c>
      <c r="D3" s="685"/>
      <c r="E3" s="685"/>
      <c r="F3" s="820">
        <v>3</v>
      </c>
      <c r="G3" s="386"/>
      <c r="H3" s="357"/>
      <c r="I3" s="378" t="s">
        <v>8</v>
      </c>
      <c r="J3" s="779" t="s">
        <v>17</v>
      </c>
      <c r="K3" s="755"/>
      <c r="L3" s="550"/>
      <c r="M3" s="378" t="s">
        <v>38</v>
      </c>
      <c r="N3" s="378" t="s">
        <v>38</v>
      </c>
      <c r="O3" s="378" t="s">
        <v>38</v>
      </c>
      <c r="P3" s="378" t="s">
        <v>38</v>
      </c>
      <c r="Q3" s="345" t="s">
        <v>38</v>
      </c>
      <c r="R3" s="557" t="s">
        <v>38</v>
      </c>
      <c r="S3" s="556" t="s">
        <v>38</v>
      </c>
      <c r="T3" s="561" t="s">
        <v>38</v>
      </c>
      <c r="U3" s="572" t="s">
        <v>38</v>
      </c>
      <c r="V3" s="521">
        <f>COUNTIF(M3:U3, "X")</f>
        <v>9</v>
      </c>
    </row>
    <row r="4" spans="1:22">
      <c r="A4" s="586">
        <v>2</v>
      </c>
      <c r="B4" s="813" t="s">
        <v>39</v>
      </c>
      <c r="C4" s="12">
        <v>1</v>
      </c>
      <c r="D4" s="12"/>
      <c r="E4" s="12">
        <v>4</v>
      </c>
      <c r="F4" s="820">
        <v>2</v>
      </c>
      <c r="G4" s="57">
        <v>1</v>
      </c>
      <c r="H4" s="358">
        <v>1</v>
      </c>
      <c r="I4" s="325" t="s">
        <v>40</v>
      </c>
      <c r="J4" s="334" t="s">
        <v>41</v>
      </c>
      <c r="K4" s="377"/>
      <c r="L4" s="548"/>
      <c r="M4" s="325" t="s">
        <v>38</v>
      </c>
      <c r="N4" s="325" t="s">
        <v>38</v>
      </c>
      <c r="O4" s="325" t="s">
        <v>38</v>
      </c>
      <c r="P4" s="325" t="s">
        <v>38</v>
      </c>
      <c r="Q4" s="673" t="s">
        <v>38</v>
      </c>
      <c r="R4" s="131"/>
      <c r="S4" s="78" t="s">
        <v>38</v>
      </c>
      <c r="T4" s="552" t="s">
        <v>38</v>
      </c>
      <c r="U4" s="47"/>
      <c r="V4" s="336">
        <f t="shared" ref="V4:V37" si="0">COUNTIF(M4:U4, "X")</f>
        <v>7</v>
      </c>
    </row>
    <row r="5" spans="1:22">
      <c r="A5" s="587">
        <v>3</v>
      </c>
      <c r="B5" s="814" t="s">
        <v>42</v>
      </c>
      <c r="C5" s="685">
        <v>1</v>
      </c>
      <c r="D5" s="685"/>
      <c r="E5" s="685">
        <v>2</v>
      </c>
      <c r="F5" s="820">
        <v>2</v>
      </c>
      <c r="G5" s="57">
        <v>1</v>
      </c>
      <c r="H5" s="358">
        <v>1</v>
      </c>
      <c r="I5" s="379" t="s">
        <v>43</v>
      </c>
      <c r="J5" s="739" t="s">
        <v>41</v>
      </c>
      <c r="K5" s="377"/>
      <c r="L5" s="548"/>
      <c r="M5" s="379"/>
      <c r="N5" s="379"/>
      <c r="O5" s="379" t="s">
        <v>38</v>
      </c>
      <c r="P5" s="379" t="s">
        <v>38</v>
      </c>
      <c r="Q5" s="346"/>
      <c r="R5" s="558"/>
      <c r="S5" s="79" t="s">
        <v>38</v>
      </c>
      <c r="T5" s="562" t="s">
        <v>38</v>
      </c>
      <c r="U5" s="573"/>
      <c r="V5" s="336">
        <f t="shared" si="0"/>
        <v>4</v>
      </c>
    </row>
    <row r="6" spans="1:22">
      <c r="A6" s="586">
        <v>4</v>
      </c>
      <c r="B6" s="813" t="s">
        <v>44</v>
      </c>
      <c r="C6" s="12" t="s">
        <v>45</v>
      </c>
      <c r="D6" s="12"/>
      <c r="E6" s="12">
        <v>2</v>
      </c>
      <c r="F6" s="820">
        <v>2</v>
      </c>
      <c r="G6" s="57">
        <v>1</v>
      </c>
      <c r="H6" s="358">
        <v>1</v>
      </c>
      <c r="I6" s="325" t="s">
        <v>46</v>
      </c>
      <c r="J6" s="334" t="s">
        <v>47</v>
      </c>
      <c r="K6" s="377" t="s">
        <v>48</v>
      </c>
      <c r="L6" s="548"/>
      <c r="M6" s="325"/>
      <c r="N6" s="325"/>
      <c r="O6" s="325" t="s">
        <v>38</v>
      </c>
      <c r="P6" s="325" t="s">
        <v>38</v>
      </c>
      <c r="Q6" s="117" t="s">
        <v>38</v>
      </c>
      <c r="R6" s="131"/>
      <c r="S6" s="78" t="s">
        <v>38</v>
      </c>
      <c r="T6" s="552" t="s">
        <v>38</v>
      </c>
      <c r="U6" s="47"/>
      <c r="V6" s="336">
        <f t="shared" si="0"/>
        <v>5</v>
      </c>
    </row>
    <row r="7" spans="1:22">
      <c r="A7" s="587">
        <v>5</v>
      </c>
      <c r="B7" s="814" t="s">
        <v>49</v>
      </c>
      <c r="C7" s="685">
        <v>1</v>
      </c>
      <c r="D7" s="685"/>
      <c r="E7" s="685">
        <v>2</v>
      </c>
      <c r="F7" s="820">
        <v>2</v>
      </c>
      <c r="G7" s="57">
        <v>1</v>
      </c>
      <c r="H7" s="358">
        <v>1</v>
      </c>
      <c r="I7" s="379" t="s">
        <v>43</v>
      </c>
      <c r="J7" s="739"/>
      <c r="K7" s="377"/>
      <c r="L7" s="548"/>
      <c r="M7" s="379"/>
      <c r="N7" s="379"/>
      <c r="O7" s="379" t="s">
        <v>38</v>
      </c>
      <c r="P7" s="379" t="s">
        <v>38</v>
      </c>
      <c r="Q7" s="346" t="s">
        <v>38</v>
      </c>
      <c r="R7" s="558"/>
      <c r="S7" s="79" t="s">
        <v>38</v>
      </c>
      <c r="T7" s="562" t="s">
        <v>38</v>
      </c>
      <c r="U7" s="573"/>
      <c r="V7" s="336">
        <f t="shared" si="0"/>
        <v>5</v>
      </c>
    </row>
    <row r="8" spans="1:22">
      <c r="A8" s="586">
        <v>6</v>
      </c>
      <c r="B8" s="813" t="s">
        <v>50</v>
      </c>
      <c r="C8" s="12">
        <v>1</v>
      </c>
      <c r="D8" s="12"/>
      <c r="E8" s="12"/>
      <c r="F8" s="820">
        <v>3</v>
      </c>
      <c r="G8" s="57"/>
      <c r="H8" s="358"/>
      <c r="I8" s="325" t="s">
        <v>15</v>
      </c>
      <c r="J8" s="334"/>
      <c r="K8" s="377"/>
      <c r="L8" s="548"/>
      <c r="M8" s="325" t="s">
        <v>38</v>
      </c>
      <c r="N8" s="325"/>
      <c r="O8" s="325"/>
      <c r="P8" s="325"/>
      <c r="Q8" s="117"/>
      <c r="R8" s="131"/>
      <c r="S8" s="78"/>
      <c r="T8" s="552"/>
      <c r="U8" s="47"/>
      <c r="V8" s="336">
        <f t="shared" si="0"/>
        <v>1</v>
      </c>
    </row>
    <row r="9" spans="1:22">
      <c r="A9" s="587">
        <v>7</v>
      </c>
      <c r="B9" s="814" t="s">
        <v>51</v>
      </c>
      <c r="C9" s="685">
        <v>2</v>
      </c>
      <c r="D9" s="685"/>
      <c r="E9" s="685"/>
      <c r="F9" s="820"/>
      <c r="G9" s="57"/>
      <c r="H9" s="358"/>
      <c r="I9" s="379" t="s">
        <v>52</v>
      </c>
      <c r="J9" s="739"/>
      <c r="K9" s="377"/>
      <c r="L9" s="548"/>
      <c r="M9" s="379" t="s">
        <v>38</v>
      </c>
      <c r="N9" s="379" t="s">
        <v>38</v>
      </c>
      <c r="O9" s="379" t="s">
        <v>38</v>
      </c>
      <c r="P9" s="379" t="s">
        <v>38</v>
      </c>
      <c r="Q9" s="346" t="s">
        <v>38</v>
      </c>
      <c r="R9" s="558" t="s">
        <v>38</v>
      </c>
      <c r="S9" s="79"/>
      <c r="T9" s="562"/>
      <c r="U9" s="573" t="s">
        <v>38</v>
      </c>
      <c r="V9" s="336">
        <f t="shared" si="0"/>
        <v>7</v>
      </c>
    </row>
    <row r="10" spans="1:22">
      <c r="A10" s="586">
        <v>8</v>
      </c>
      <c r="B10" s="813" t="s">
        <v>53</v>
      </c>
      <c r="C10" s="12">
        <v>2</v>
      </c>
      <c r="D10" s="12"/>
      <c r="E10" s="12"/>
      <c r="F10" s="820"/>
      <c r="G10" s="57"/>
      <c r="H10" s="358"/>
      <c r="I10" s="325" t="s">
        <v>54</v>
      </c>
      <c r="J10" s="334" t="s">
        <v>55</v>
      </c>
      <c r="K10" s="377"/>
      <c r="L10" s="548"/>
      <c r="M10" s="325" t="s">
        <v>38</v>
      </c>
      <c r="N10" s="325"/>
      <c r="O10" s="325"/>
      <c r="P10" s="325"/>
      <c r="Q10" s="117" t="s">
        <v>38</v>
      </c>
      <c r="R10" s="131" t="s">
        <v>38</v>
      </c>
      <c r="S10" s="78"/>
      <c r="T10" s="552"/>
      <c r="U10" s="47" t="s">
        <v>38</v>
      </c>
      <c r="V10" s="336">
        <f t="shared" si="0"/>
        <v>4</v>
      </c>
    </row>
    <row r="11" spans="1:22">
      <c r="A11" s="587">
        <v>9</v>
      </c>
      <c r="B11" s="814" t="s">
        <v>56</v>
      </c>
      <c r="C11" s="685">
        <v>2</v>
      </c>
      <c r="D11" s="685"/>
      <c r="E11" s="685"/>
      <c r="F11" s="820">
        <v>4</v>
      </c>
      <c r="G11" s="57"/>
      <c r="H11" s="358"/>
      <c r="I11" s="379" t="s">
        <v>8</v>
      </c>
      <c r="J11" s="739"/>
      <c r="K11" s="377"/>
      <c r="L11" s="548"/>
      <c r="M11" s="379" t="s">
        <v>38</v>
      </c>
      <c r="N11" s="379" t="s">
        <v>38</v>
      </c>
      <c r="O11" s="379"/>
      <c r="P11" s="379"/>
      <c r="Q11" s="346"/>
      <c r="R11" s="558"/>
      <c r="S11" s="79"/>
      <c r="T11" s="562"/>
      <c r="U11" s="573"/>
      <c r="V11" s="336">
        <f t="shared" si="0"/>
        <v>2</v>
      </c>
    </row>
    <row r="12" spans="1:22">
      <c r="A12" s="586">
        <v>10</v>
      </c>
      <c r="B12" s="815" t="s">
        <v>57</v>
      </c>
      <c r="C12" s="12" t="s">
        <v>58</v>
      </c>
      <c r="D12" s="12"/>
      <c r="E12" s="12"/>
      <c r="F12" s="820">
        <v>4</v>
      </c>
      <c r="G12" s="57"/>
      <c r="H12" s="358"/>
      <c r="I12" s="325" t="s">
        <v>59</v>
      </c>
      <c r="J12" s="778" t="s">
        <v>17</v>
      </c>
      <c r="K12" s="377"/>
      <c r="L12" s="548"/>
      <c r="M12" s="379"/>
      <c r="N12" s="379" t="s">
        <v>38</v>
      </c>
      <c r="O12" s="379"/>
      <c r="P12" s="379"/>
      <c r="Q12" s="673" t="s">
        <v>38</v>
      </c>
      <c r="R12" s="558"/>
      <c r="S12" s="78"/>
      <c r="T12" s="552"/>
      <c r="U12" s="47"/>
      <c r="V12" s="336">
        <f t="shared" si="0"/>
        <v>2</v>
      </c>
    </row>
    <row r="13" spans="1:22">
      <c r="A13" s="586">
        <v>11</v>
      </c>
      <c r="B13" s="816" t="s">
        <v>60</v>
      </c>
      <c r="C13" s="13">
        <v>2</v>
      </c>
      <c r="D13" s="13"/>
      <c r="E13" s="13"/>
      <c r="F13" s="820">
        <v>3</v>
      </c>
      <c r="G13" s="387"/>
      <c r="H13" s="359"/>
      <c r="I13" s="324" t="s">
        <v>8</v>
      </c>
      <c r="J13" s="747"/>
      <c r="K13" s="377"/>
      <c r="L13" s="548"/>
      <c r="M13" s="325"/>
      <c r="N13" s="325" t="s">
        <v>38</v>
      </c>
      <c r="O13" s="325"/>
      <c r="P13" s="325"/>
      <c r="Q13" s="117" t="s">
        <v>38</v>
      </c>
      <c r="R13" s="131"/>
      <c r="S13" s="78"/>
      <c r="T13" s="552"/>
      <c r="U13" s="47"/>
      <c r="V13" s="336">
        <f>COUNTIF(M13:U13, "X")</f>
        <v>2</v>
      </c>
    </row>
    <row r="14" spans="1:22">
      <c r="A14" s="587">
        <v>12</v>
      </c>
      <c r="B14" s="815" t="s">
        <v>61</v>
      </c>
      <c r="C14" s="9">
        <v>3</v>
      </c>
      <c r="D14" s="9"/>
      <c r="E14" s="9"/>
      <c r="F14" s="821">
        <v>2</v>
      </c>
      <c r="G14" s="387"/>
      <c r="H14" s="359"/>
      <c r="I14" s="325" t="s">
        <v>10</v>
      </c>
      <c r="J14" s="334"/>
      <c r="K14" s="377"/>
      <c r="L14" s="548"/>
      <c r="M14" s="379"/>
      <c r="N14" s="379"/>
      <c r="O14" s="379"/>
      <c r="P14" s="379"/>
      <c r="Q14" s="346"/>
      <c r="R14" s="559" t="s">
        <v>38</v>
      </c>
      <c r="S14" s="79"/>
      <c r="T14" s="562"/>
      <c r="U14" s="573"/>
      <c r="V14" s="336">
        <f t="shared" si="0"/>
        <v>1</v>
      </c>
    </row>
    <row r="15" spans="1:22">
      <c r="A15" s="586">
        <v>13</v>
      </c>
      <c r="B15" s="816" t="s">
        <v>62</v>
      </c>
      <c r="C15" s="822" t="s">
        <v>63</v>
      </c>
      <c r="D15" s="822"/>
      <c r="E15" s="822"/>
      <c r="F15" s="823">
        <v>2</v>
      </c>
      <c r="G15" s="388"/>
      <c r="H15" s="360"/>
      <c r="I15" s="753" t="s">
        <v>10</v>
      </c>
      <c r="J15" s="748"/>
      <c r="K15" s="377"/>
      <c r="L15" s="548"/>
      <c r="M15" s="379"/>
      <c r="N15" s="379"/>
      <c r="O15" s="379"/>
      <c r="P15" s="379"/>
      <c r="Q15" s="857" t="s">
        <v>38</v>
      </c>
      <c r="R15" s="858"/>
      <c r="S15" s="78"/>
      <c r="T15" s="552"/>
      <c r="U15" s="47" t="s">
        <v>38</v>
      </c>
      <c r="V15" s="522">
        <f>COUNTIF(M15:U15, "X")</f>
        <v>2</v>
      </c>
    </row>
    <row r="16" spans="1:22">
      <c r="A16" s="587">
        <v>14</v>
      </c>
      <c r="B16" s="817" t="s">
        <v>64</v>
      </c>
      <c r="C16" s="9">
        <v>1</v>
      </c>
      <c r="D16" s="9"/>
      <c r="E16" s="9"/>
      <c r="F16" s="821">
        <v>2</v>
      </c>
      <c r="G16" s="544"/>
      <c r="H16" s="545"/>
      <c r="I16" s="618" t="s">
        <v>52</v>
      </c>
      <c r="J16" s="749"/>
      <c r="K16" s="377"/>
      <c r="L16" s="548"/>
      <c r="M16" s="485"/>
      <c r="N16" s="485"/>
      <c r="O16" s="485"/>
      <c r="P16" s="485"/>
      <c r="Q16" s="230"/>
      <c r="R16" s="549" t="s">
        <v>38</v>
      </c>
      <c r="S16" s="473"/>
      <c r="T16" s="563"/>
      <c r="U16" s="574" t="s">
        <v>38</v>
      </c>
      <c r="V16" s="579">
        <f t="shared" si="0"/>
        <v>2</v>
      </c>
    </row>
    <row r="17" spans="1:22">
      <c r="A17" s="588">
        <v>17</v>
      </c>
      <c r="B17" s="818" t="s">
        <v>65</v>
      </c>
      <c r="C17" s="824">
        <v>3</v>
      </c>
      <c r="D17" s="824"/>
      <c r="E17" s="822"/>
      <c r="F17" s="823"/>
      <c r="G17" s="388"/>
      <c r="H17" s="360"/>
      <c r="I17" s="754" t="s">
        <v>52</v>
      </c>
      <c r="J17" s="750"/>
      <c r="K17" s="377"/>
      <c r="L17" s="548"/>
      <c r="M17" s="428"/>
      <c r="N17" s="428"/>
      <c r="O17" s="428"/>
      <c r="P17" s="428"/>
      <c r="Q17" s="439"/>
      <c r="R17" s="560" t="s">
        <v>38</v>
      </c>
      <c r="S17" s="327"/>
      <c r="T17" s="564"/>
      <c r="U17" s="309"/>
      <c r="V17" s="579">
        <f t="shared" si="0"/>
        <v>1</v>
      </c>
    </row>
    <row r="18" spans="1:22" ht="15.75" customHeight="1">
      <c r="A18" s="586">
        <v>15</v>
      </c>
      <c r="B18" s="813" t="s">
        <v>66</v>
      </c>
      <c r="C18" s="12">
        <v>2</v>
      </c>
      <c r="D18" s="12"/>
      <c r="E18" s="12"/>
      <c r="F18" s="825"/>
      <c r="G18" s="388"/>
      <c r="H18" s="360"/>
      <c r="I18" s="736" t="s">
        <v>10</v>
      </c>
      <c r="J18" s="751"/>
      <c r="K18" s="377"/>
      <c r="L18" s="548"/>
      <c r="M18" s="73"/>
      <c r="N18" s="73"/>
      <c r="O18" s="73"/>
      <c r="P18" s="73"/>
      <c r="Q18" s="70"/>
      <c r="R18" s="17"/>
      <c r="S18" s="149"/>
      <c r="T18" s="552" t="s">
        <v>38</v>
      </c>
      <c r="U18" s="47" t="s">
        <v>38</v>
      </c>
      <c r="V18" s="579">
        <f t="shared" si="0"/>
        <v>2</v>
      </c>
    </row>
    <row r="19" spans="1:22">
      <c r="A19" s="589">
        <v>16</v>
      </c>
      <c r="B19" s="819" t="s">
        <v>67</v>
      </c>
      <c r="C19" s="824">
        <v>2</v>
      </c>
      <c r="D19" s="824"/>
      <c r="E19" s="822"/>
      <c r="F19" s="825"/>
      <c r="G19" s="546"/>
      <c r="H19" s="547"/>
      <c r="I19" s="763" t="s">
        <v>68</v>
      </c>
      <c r="J19" s="752"/>
      <c r="K19" s="377"/>
      <c r="L19" s="548"/>
      <c r="M19" s="551"/>
      <c r="N19" s="551"/>
      <c r="O19" s="551"/>
      <c r="P19" s="551"/>
      <c r="Q19" s="554"/>
      <c r="R19" s="566"/>
      <c r="S19" s="473" t="s">
        <v>38</v>
      </c>
      <c r="T19" s="567"/>
      <c r="U19" s="575"/>
      <c r="V19" s="580">
        <f t="shared" si="0"/>
        <v>1</v>
      </c>
    </row>
    <row r="20" spans="1:22">
      <c r="A20" s="585">
        <v>18</v>
      </c>
      <c r="B20" s="532" t="s">
        <v>69</v>
      </c>
      <c r="C20" s="826">
        <v>1</v>
      </c>
      <c r="D20" s="826"/>
      <c r="E20" s="826">
        <v>2</v>
      </c>
      <c r="F20" s="823">
        <v>2</v>
      </c>
      <c r="G20" s="389">
        <v>1</v>
      </c>
      <c r="H20" s="361">
        <v>1</v>
      </c>
      <c r="I20" s="592" t="s">
        <v>43</v>
      </c>
      <c r="J20" s="737" t="s">
        <v>70</v>
      </c>
      <c r="K20" s="377"/>
      <c r="L20" s="548"/>
      <c r="M20" s="380"/>
      <c r="N20" s="380"/>
      <c r="O20" s="351" t="s">
        <v>38</v>
      </c>
      <c r="P20" s="160" t="s">
        <v>38</v>
      </c>
      <c r="Q20" s="555" t="s">
        <v>38</v>
      </c>
      <c r="R20" s="540"/>
      <c r="S20" s="550"/>
      <c r="T20" s="550"/>
      <c r="U20" s="568"/>
      <c r="V20" s="474">
        <f t="shared" si="0"/>
        <v>3</v>
      </c>
    </row>
    <row r="21" spans="1:22">
      <c r="A21" s="581">
        <v>19</v>
      </c>
      <c r="B21" s="530" t="s">
        <v>71</v>
      </c>
      <c r="C21" s="326">
        <v>2</v>
      </c>
      <c r="D21" s="799"/>
      <c r="E21" s="799">
        <v>2</v>
      </c>
      <c r="F21" s="402">
        <v>2</v>
      </c>
      <c r="G21" s="57">
        <v>1</v>
      </c>
      <c r="H21" s="358">
        <v>1</v>
      </c>
      <c r="I21" s="379" t="s">
        <v>43</v>
      </c>
      <c r="J21" s="738" t="s">
        <v>70</v>
      </c>
      <c r="K21" s="377"/>
      <c r="L21" s="548"/>
      <c r="M21" s="380"/>
      <c r="N21" s="380"/>
      <c r="O21" s="351" t="s">
        <v>38</v>
      </c>
      <c r="P21" s="160" t="s">
        <v>38</v>
      </c>
      <c r="Q21" s="380" t="s">
        <v>38</v>
      </c>
      <c r="R21" s="541"/>
      <c r="S21" s="548"/>
      <c r="T21" s="548"/>
      <c r="U21" s="569"/>
      <c r="V21" s="474">
        <f t="shared" si="0"/>
        <v>3</v>
      </c>
    </row>
    <row r="22" spans="1:22">
      <c r="A22" s="413">
        <v>20</v>
      </c>
      <c r="B22" s="530" t="s">
        <v>72</v>
      </c>
      <c r="C22" s="78">
        <v>2</v>
      </c>
      <c r="D22" s="799"/>
      <c r="E22" s="799">
        <v>1</v>
      </c>
      <c r="F22" s="402">
        <v>2</v>
      </c>
      <c r="G22" s="157">
        <v>1</v>
      </c>
      <c r="H22" s="362">
        <v>2</v>
      </c>
      <c r="I22" s="325" t="s">
        <v>40</v>
      </c>
      <c r="J22" s="334" t="s">
        <v>41</v>
      </c>
      <c r="K22" s="377"/>
      <c r="L22" s="548"/>
      <c r="M22" s="325"/>
      <c r="N22" s="325"/>
      <c r="O22" s="78"/>
      <c r="P22" s="47" t="s">
        <v>38</v>
      </c>
      <c r="Q22" s="325" t="s">
        <v>38</v>
      </c>
      <c r="R22" s="541"/>
      <c r="S22" s="548"/>
      <c r="T22" s="548"/>
      <c r="U22" s="569"/>
      <c r="V22" s="474">
        <f t="shared" si="0"/>
        <v>2</v>
      </c>
    </row>
    <row r="23" spans="1:22">
      <c r="A23" s="581">
        <v>21</v>
      </c>
      <c r="B23" s="602" t="s">
        <v>73</v>
      </c>
      <c r="C23" s="349">
        <v>2</v>
      </c>
      <c r="D23" s="553"/>
      <c r="E23" s="553"/>
      <c r="F23" s="401">
        <v>2</v>
      </c>
      <c r="G23" s="57"/>
      <c r="H23" s="363"/>
      <c r="I23" s="644" t="s">
        <v>10</v>
      </c>
      <c r="J23" s="739"/>
      <c r="K23" s="377"/>
      <c r="L23" s="548"/>
      <c r="M23" s="379" t="s">
        <v>38</v>
      </c>
      <c r="N23" s="379" t="s">
        <v>38</v>
      </c>
      <c r="O23" s="349" t="s">
        <v>38</v>
      </c>
      <c r="P23" s="400" t="s">
        <v>38</v>
      </c>
      <c r="Q23" s="379"/>
      <c r="R23" s="541"/>
      <c r="S23" s="548"/>
      <c r="T23" s="548"/>
      <c r="U23" s="569"/>
      <c r="V23" s="474">
        <f t="shared" si="0"/>
        <v>4</v>
      </c>
    </row>
    <row r="24" spans="1:22">
      <c r="A24" s="413">
        <v>22</v>
      </c>
      <c r="B24" s="530" t="s">
        <v>74</v>
      </c>
      <c r="C24" s="78">
        <v>1</v>
      </c>
      <c r="D24" s="552"/>
      <c r="E24" s="552">
        <v>1</v>
      </c>
      <c r="F24" s="401">
        <v>2</v>
      </c>
      <c r="G24" s="57">
        <v>1</v>
      </c>
      <c r="H24" s="363">
        <v>1</v>
      </c>
      <c r="I24" s="325" t="s">
        <v>40</v>
      </c>
      <c r="J24" s="740" t="s">
        <v>75</v>
      </c>
      <c r="K24" s="377"/>
      <c r="L24" s="548"/>
      <c r="M24" s="381"/>
      <c r="N24" s="381"/>
      <c r="O24" s="352"/>
      <c r="P24" s="431" t="s">
        <v>38</v>
      </c>
      <c r="Q24" s="381" t="s">
        <v>38</v>
      </c>
      <c r="R24" s="541"/>
      <c r="S24" s="548"/>
      <c r="T24" s="548"/>
      <c r="U24" s="569"/>
      <c r="V24" s="474">
        <f t="shared" si="0"/>
        <v>2</v>
      </c>
    </row>
    <row r="25" spans="1:22">
      <c r="A25" s="581">
        <v>23</v>
      </c>
      <c r="B25" s="531" t="s">
        <v>76</v>
      </c>
      <c r="C25" s="349">
        <v>1</v>
      </c>
      <c r="D25" s="553"/>
      <c r="E25" s="553">
        <v>2</v>
      </c>
      <c r="F25" s="401">
        <v>2</v>
      </c>
      <c r="G25" s="57">
        <v>1</v>
      </c>
      <c r="H25" s="363">
        <v>2</v>
      </c>
      <c r="I25" s="379" t="s">
        <v>77</v>
      </c>
      <c r="J25" s="741" t="s">
        <v>75</v>
      </c>
      <c r="K25" s="377"/>
      <c r="L25" s="548"/>
      <c r="M25" s="34"/>
      <c r="N25" s="34"/>
      <c r="O25" s="353" t="s">
        <v>38</v>
      </c>
      <c r="P25" s="432" t="s">
        <v>38</v>
      </c>
      <c r="Q25" s="34"/>
      <c r="R25" s="541"/>
      <c r="S25" s="548"/>
      <c r="T25" s="548"/>
      <c r="U25" s="569"/>
      <c r="V25" s="474">
        <f t="shared" si="0"/>
        <v>2</v>
      </c>
    </row>
    <row r="26" spans="1:22">
      <c r="A26" s="413">
        <v>24</v>
      </c>
      <c r="B26" s="602" t="s">
        <v>78</v>
      </c>
      <c r="C26" s="78">
        <v>1</v>
      </c>
      <c r="D26" s="552"/>
      <c r="E26" s="552"/>
      <c r="F26" s="401">
        <v>3</v>
      </c>
      <c r="G26" s="57"/>
      <c r="H26" s="363"/>
      <c r="I26" s="762" t="s">
        <v>79</v>
      </c>
      <c r="J26" s="742"/>
      <c r="K26" s="377"/>
      <c r="L26" s="548"/>
      <c r="M26" s="35" t="s">
        <v>38</v>
      </c>
      <c r="N26" s="35"/>
      <c r="O26" s="354"/>
      <c r="P26" s="433"/>
      <c r="Q26" s="35" t="s">
        <v>38</v>
      </c>
      <c r="R26" s="541"/>
      <c r="S26" s="548"/>
      <c r="T26" s="548"/>
      <c r="U26" s="569"/>
      <c r="V26" s="474">
        <f t="shared" si="0"/>
        <v>2</v>
      </c>
    </row>
    <row r="27" spans="1:22">
      <c r="A27" s="581">
        <v>25</v>
      </c>
      <c r="B27" s="531" t="s">
        <v>80</v>
      </c>
      <c r="C27" s="349">
        <v>1</v>
      </c>
      <c r="D27" s="553"/>
      <c r="E27" s="553"/>
      <c r="F27" s="401">
        <v>4</v>
      </c>
      <c r="G27" s="57"/>
      <c r="H27" s="363"/>
      <c r="I27" s="379" t="s">
        <v>59</v>
      </c>
      <c r="J27" s="739"/>
      <c r="K27" s="377"/>
      <c r="L27" s="548"/>
      <c r="M27" s="34" t="s">
        <v>38</v>
      </c>
      <c r="N27" s="34" t="s">
        <v>38</v>
      </c>
      <c r="O27" s="353"/>
      <c r="P27" s="432"/>
      <c r="Q27" s="34" t="s">
        <v>38</v>
      </c>
      <c r="R27" s="541"/>
      <c r="S27" s="548"/>
      <c r="T27" s="548"/>
      <c r="U27" s="569"/>
      <c r="V27" s="474">
        <f t="shared" si="0"/>
        <v>3</v>
      </c>
    </row>
    <row r="28" spans="1:22">
      <c r="A28" s="413">
        <v>26</v>
      </c>
      <c r="B28" s="602" t="s">
        <v>81</v>
      </c>
      <c r="C28" s="78">
        <v>1</v>
      </c>
      <c r="D28" s="552"/>
      <c r="E28" s="552"/>
      <c r="F28" s="401">
        <v>3</v>
      </c>
      <c r="G28" s="58"/>
      <c r="H28" s="364"/>
      <c r="I28" s="761" t="s">
        <v>17</v>
      </c>
      <c r="J28" s="740"/>
      <c r="K28" s="377"/>
      <c r="L28" s="548"/>
      <c r="M28" s="35" t="s">
        <v>38</v>
      </c>
      <c r="N28" s="35" t="s">
        <v>38</v>
      </c>
      <c r="O28" s="354"/>
      <c r="P28" s="433"/>
      <c r="Q28" s="35" t="s">
        <v>38</v>
      </c>
      <c r="R28" s="541"/>
      <c r="S28" s="548"/>
      <c r="T28" s="548"/>
      <c r="U28" s="569"/>
      <c r="V28" s="474">
        <f t="shared" si="0"/>
        <v>3</v>
      </c>
    </row>
    <row r="29" spans="1:22">
      <c r="A29" s="581">
        <v>27</v>
      </c>
      <c r="B29" s="531" t="s">
        <v>82</v>
      </c>
      <c r="C29" s="349">
        <v>1</v>
      </c>
      <c r="D29" s="553"/>
      <c r="E29" s="553"/>
      <c r="F29" s="401">
        <v>3</v>
      </c>
      <c r="G29" s="57"/>
      <c r="H29" s="358"/>
      <c r="I29" s="379" t="s">
        <v>83</v>
      </c>
      <c r="J29" s="741"/>
      <c r="K29" s="377"/>
      <c r="L29" s="548"/>
      <c r="M29" s="34" t="s">
        <v>38</v>
      </c>
      <c r="N29" s="34"/>
      <c r="O29" s="353"/>
      <c r="P29" s="432"/>
      <c r="Q29" s="34" t="s">
        <v>38</v>
      </c>
      <c r="R29" s="541"/>
      <c r="S29" s="548"/>
      <c r="T29" s="548"/>
      <c r="U29" s="569"/>
      <c r="V29" s="474">
        <f t="shared" si="0"/>
        <v>2</v>
      </c>
    </row>
    <row r="30" spans="1:22">
      <c r="A30" s="413">
        <v>28</v>
      </c>
      <c r="B30" s="530" t="s">
        <v>84</v>
      </c>
      <c r="C30" s="78">
        <v>1</v>
      </c>
      <c r="D30" s="552"/>
      <c r="E30" s="552">
        <v>1</v>
      </c>
      <c r="F30" s="401">
        <v>2</v>
      </c>
      <c r="G30" s="57">
        <v>1</v>
      </c>
      <c r="H30" s="358">
        <v>1</v>
      </c>
      <c r="I30" s="381" t="s">
        <v>40</v>
      </c>
      <c r="J30" s="743"/>
      <c r="K30" s="377"/>
      <c r="L30" s="548"/>
      <c r="M30" s="35"/>
      <c r="N30" s="35"/>
      <c r="O30" s="354"/>
      <c r="P30" s="433" t="s">
        <v>38</v>
      </c>
      <c r="Q30" s="35" t="s">
        <v>38</v>
      </c>
      <c r="R30" s="541"/>
      <c r="S30" s="548"/>
      <c r="T30" s="548"/>
      <c r="U30" s="569"/>
      <c r="V30" s="474">
        <f t="shared" si="0"/>
        <v>2</v>
      </c>
    </row>
    <row r="31" spans="1:22">
      <c r="A31" s="581">
        <v>29</v>
      </c>
      <c r="B31" s="532" t="s">
        <v>85</v>
      </c>
      <c r="C31" s="349">
        <v>2</v>
      </c>
      <c r="D31" s="553"/>
      <c r="E31" s="553">
        <v>1</v>
      </c>
      <c r="F31" s="403">
        <v>2</v>
      </c>
      <c r="G31" s="57">
        <v>1</v>
      </c>
      <c r="H31" s="358">
        <v>1</v>
      </c>
      <c r="I31" s="34" t="s">
        <v>12</v>
      </c>
      <c r="J31" s="741"/>
      <c r="K31" s="377"/>
      <c r="L31" s="548"/>
      <c r="M31" s="34"/>
      <c r="N31" s="34"/>
      <c r="O31" s="353" t="s">
        <v>38</v>
      </c>
      <c r="P31" s="432"/>
      <c r="Q31" s="34" t="s">
        <v>38</v>
      </c>
      <c r="R31" s="541"/>
      <c r="S31" s="548"/>
      <c r="T31" s="548"/>
      <c r="U31" s="569"/>
      <c r="V31" s="474">
        <f t="shared" si="0"/>
        <v>2</v>
      </c>
    </row>
    <row r="32" spans="1:22">
      <c r="A32" s="413">
        <v>30</v>
      </c>
      <c r="B32" s="531" t="s">
        <v>86</v>
      </c>
      <c r="C32" s="349" t="s">
        <v>87</v>
      </c>
      <c r="D32" s="553"/>
      <c r="E32" s="553"/>
      <c r="F32" s="404">
        <v>3</v>
      </c>
      <c r="G32" s="390"/>
      <c r="H32" s="365"/>
      <c r="I32" s="34" t="s">
        <v>88</v>
      </c>
      <c r="J32" s="741" t="s">
        <v>89</v>
      </c>
      <c r="K32" s="377"/>
      <c r="L32" s="548"/>
      <c r="M32" s="34"/>
      <c r="N32" s="34" t="s">
        <v>38</v>
      </c>
      <c r="O32" s="353"/>
      <c r="P32" s="432"/>
      <c r="Q32" s="672" t="s">
        <v>38</v>
      </c>
      <c r="R32" s="541"/>
      <c r="S32" s="548"/>
      <c r="T32" s="548"/>
      <c r="U32" s="569"/>
      <c r="V32" s="474">
        <f t="shared" si="0"/>
        <v>2</v>
      </c>
    </row>
    <row r="33" spans="1:22">
      <c r="A33" s="413">
        <v>31</v>
      </c>
      <c r="B33" s="530" t="s">
        <v>90</v>
      </c>
      <c r="C33" s="78">
        <v>2</v>
      </c>
      <c r="D33" s="552"/>
      <c r="E33" s="552"/>
      <c r="F33" s="404">
        <v>4</v>
      </c>
      <c r="G33" s="391"/>
      <c r="H33" s="366"/>
      <c r="I33" s="35" t="s">
        <v>59</v>
      </c>
      <c r="J33" s="743"/>
      <c r="K33" s="377"/>
      <c r="L33" s="548"/>
      <c r="M33" s="35"/>
      <c r="N33" s="35" t="s">
        <v>38</v>
      </c>
      <c r="O33" s="354"/>
      <c r="P33" s="433"/>
      <c r="Q33" s="35" t="s">
        <v>38</v>
      </c>
      <c r="R33" s="541"/>
      <c r="S33" s="548"/>
      <c r="T33" s="548"/>
      <c r="U33" s="569"/>
      <c r="V33" s="474">
        <f t="shared" si="0"/>
        <v>2</v>
      </c>
    </row>
    <row r="34" spans="1:22">
      <c r="A34" s="581">
        <v>32</v>
      </c>
      <c r="B34" s="531" t="s">
        <v>91</v>
      </c>
      <c r="C34" s="349">
        <v>1</v>
      </c>
      <c r="D34" s="553"/>
      <c r="E34" s="553"/>
      <c r="F34" s="404" t="s">
        <v>92</v>
      </c>
      <c r="G34" s="391"/>
      <c r="H34" s="366"/>
      <c r="I34" s="34" t="s">
        <v>59</v>
      </c>
      <c r="J34" s="741"/>
      <c r="K34" s="377"/>
      <c r="L34" s="548"/>
      <c r="M34" s="34" t="s">
        <v>38</v>
      </c>
      <c r="N34" s="34" t="s">
        <v>38</v>
      </c>
      <c r="O34" s="353"/>
      <c r="P34" s="432"/>
      <c r="Q34" s="34" t="s">
        <v>38</v>
      </c>
      <c r="R34" s="541"/>
      <c r="S34" s="548"/>
      <c r="T34" s="548"/>
      <c r="U34" s="569"/>
      <c r="V34" s="474">
        <f t="shared" si="0"/>
        <v>3</v>
      </c>
    </row>
    <row r="35" spans="1:22">
      <c r="A35" s="413">
        <v>33</v>
      </c>
      <c r="B35" s="530" t="s">
        <v>93</v>
      </c>
      <c r="C35" s="78">
        <v>2</v>
      </c>
      <c r="D35" s="552"/>
      <c r="E35" s="552"/>
      <c r="F35" s="404">
        <v>2</v>
      </c>
      <c r="G35" s="391"/>
      <c r="H35" s="366"/>
      <c r="I35" s="35" t="s">
        <v>94</v>
      </c>
      <c r="J35" s="743"/>
      <c r="K35" s="377"/>
      <c r="L35" s="548"/>
      <c r="M35" s="35"/>
      <c r="N35" s="35"/>
      <c r="O35" s="354"/>
      <c r="P35" s="433"/>
      <c r="Q35" s="35" t="s">
        <v>38</v>
      </c>
      <c r="R35" s="541"/>
      <c r="S35" s="548"/>
      <c r="T35" s="548"/>
      <c r="U35" s="569"/>
      <c r="V35" s="474">
        <f t="shared" si="0"/>
        <v>1</v>
      </c>
    </row>
    <row r="36" spans="1:22">
      <c r="A36" s="581">
        <v>34</v>
      </c>
      <c r="B36" s="531" t="s">
        <v>95</v>
      </c>
      <c r="C36" s="413">
        <v>3</v>
      </c>
      <c r="D36" s="800"/>
      <c r="E36" s="800"/>
      <c r="F36" s="405">
        <v>3</v>
      </c>
      <c r="G36" s="392"/>
      <c r="H36" s="367"/>
      <c r="I36" s="34" t="s">
        <v>52</v>
      </c>
      <c r="J36" s="741"/>
      <c r="K36" s="377"/>
      <c r="L36" s="548"/>
      <c r="M36" s="34"/>
      <c r="N36" s="34"/>
      <c r="O36" s="353"/>
      <c r="P36" s="432"/>
      <c r="Q36" s="517" t="s">
        <v>38</v>
      </c>
      <c r="R36" s="541"/>
      <c r="S36" s="548"/>
      <c r="T36" s="548"/>
      <c r="U36" s="569"/>
      <c r="V36" s="474">
        <f t="shared" si="0"/>
        <v>1</v>
      </c>
    </row>
    <row r="37" spans="1:22">
      <c r="A37" s="584">
        <v>35</v>
      </c>
      <c r="B37" s="533" t="s">
        <v>96</v>
      </c>
      <c r="C37" s="348">
        <v>3</v>
      </c>
      <c r="D37" s="593"/>
      <c r="E37" s="593"/>
      <c r="F37" s="406">
        <v>3</v>
      </c>
      <c r="G37" s="154"/>
      <c r="H37" s="368"/>
      <c r="I37" s="382" t="s">
        <v>52</v>
      </c>
      <c r="J37" s="742"/>
      <c r="K37" s="377"/>
      <c r="L37" s="570"/>
      <c r="M37" s="382"/>
      <c r="N37" s="382"/>
      <c r="O37" s="355"/>
      <c r="P37" s="437"/>
      <c r="Q37" s="518" t="s">
        <v>38</v>
      </c>
      <c r="R37" s="542"/>
      <c r="S37" s="570"/>
      <c r="T37" s="570"/>
      <c r="U37" s="571"/>
      <c r="V37" s="305">
        <f t="shared" si="0"/>
        <v>1</v>
      </c>
    </row>
    <row r="38" spans="1:22">
      <c r="A38" s="583">
        <v>36</v>
      </c>
      <c r="B38" s="534" t="s">
        <v>97</v>
      </c>
      <c r="C38" s="414">
        <v>1</v>
      </c>
      <c r="D38" s="801"/>
      <c r="E38" s="827">
        <v>1</v>
      </c>
      <c r="F38" s="407">
        <v>2</v>
      </c>
      <c r="G38" s="393">
        <v>1</v>
      </c>
      <c r="H38" s="369">
        <v>1</v>
      </c>
      <c r="I38" s="383" t="s">
        <v>12</v>
      </c>
      <c r="J38" s="744"/>
      <c r="K38" s="377"/>
      <c r="L38" s="429"/>
      <c r="M38" s="426"/>
      <c r="N38" s="429"/>
      <c r="O38" s="426"/>
      <c r="P38" s="429" t="s">
        <v>38</v>
      </c>
      <c r="Q38" s="519" t="s">
        <v>38</v>
      </c>
      <c r="R38" s="541"/>
      <c r="S38" s="548"/>
      <c r="T38" s="548"/>
      <c r="U38" s="569"/>
      <c r="V38" s="474">
        <f>COUNTIF(J38:U38, "X")</f>
        <v>2</v>
      </c>
    </row>
    <row r="39" spans="1:22">
      <c r="A39" s="413">
        <v>37</v>
      </c>
      <c r="B39" s="531" t="s">
        <v>98</v>
      </c>
      <c r="C39" s="350">
        <v>1</v>
      </c>
      <c r="D39" s="802"/>
      <c r="E39" s="553">
        <v>1</v>
      </c>
      <c r="F39" s="401">
        <v>2</v>
      </c>
      <c r="G39" s="57">
        <v>1</v>
      </c>
      <c r="H39" s="358">
        <v>1</v>
      </c>
      <c r="I39" s="379" t="s">
        <v>40</v>
      </c>
      <c r="J39" s="739"/>
      <c r="K39" s="377"/>
      <c r="L39" s="430" t="s">
        <v>38</v>
      </c>
      <c r="M39" s="349"/>
      <c r="N39" s="400"/>
      <c r="O39" s="349" t="s">
        <v>38</v>
      </c>
      <c r="P39" s="400" t="s">
        <v>38</v>
      </c>
      <c r="Q39" s="379"/>
      <c r="R39" s="541"/>
      <c r="S39" s="548"/>
      <c r="T39" s="548"/>
      <c r="U39" s="569"/>
      <c r="V39" s="474">
        <f>COUNTIF(J39:U39, "X")</f>
        <v>3</v>
      </c>
    </row>
    <row r="40" spans="1:22">
      <c r="A40" s="581">
        <v>38</v>
      </c>
      <c r="B40" s="535" t="s">
        <v>99</v>
      </c>
      <c r="C40" s="415">
        <v>1</v>
      </c>
      <c r="D40" s="803"/>
      <c r="E40" s="1065">
        <v>1</v>
      </c>
      <c r="F40" s="403">
        <v>2</v>
      </c>
      <c r="G40" s="57">
        <v>1</v>
      </c>
      <c r="H40" s="358">
        <v>1</v>
      </c>
      <c r="I40" s="325" t="s">
        <v>40</v>
      </c>
      <c r="J40" s="740"/>
      <c r="K40" s="377"/>
      <c r="L40" s="431"/>
      <c r="M40" s="352"/>
      <c r="N40" s="431"/>
      <c r="O40" s="352" t="s">
        <v>38</v>
      </c>
      <c r="P40" s="431" t="s">
        <v>38</v>
      </c>
      <c r="Q40" s="381" t="s">
        <v>38</v>
      </c>
      <c r="R40" s="541"/>
      <c r="S40" s="548"/>
      <c r="T40" s="548"/>
      <c r="U40" s="569"/>
      <c r="V40" s="474">
        <f>COUNTIF(J40:U40, "X")</f>
        <v>3</v>
      </c>
    </row>
    <row r="41" spans="1:22">
      <c r="A41" s="413">
        <v>39</v>
      </c>
      <c r="B41" s="536" t="s">
        <v>100</v>
      </c>
      <c r="C41" s="416">
        <v>2</v>
      </c>
      <c r="D41" s="804"/>
      <c r="E41" s="1066"/>
      <c r="F41" s="404">
        <v>3</v>
      </c>
      <c r="G41" s="57"/>
      <c r="H41" s="358"/>
      <c r="I41" s="379" t="s">
        <v>101</v>
      </c>
      <c r="J41" s="741"/>
      <c r="K41" s="377"/>
      <c r="L41" s="432"/>
      <c r="M41" s="353"/>
      <c r="N41" s="432"/>
      <c r="O41" s="353" t="s">
        <v>38</v>
      </c>
      <c r="P41" s="432" t="s">
        <v>38</v>
      </c>
      <c r="Q41" s="672" t="s">
        <v>38</v>
      </c>
      <c r="R41" s="541"/>
      <c r="S41" s="548"/>
      <c r="T41" s="548"/>
      <c r="U41" s="569"/>
      <c r="V41" s="474">
        <f>COUNTIF(J41:U41, "X")</f>
        <v>3</v>
      </c>
    </row>
    <row r="42" spans="1:22">
      <c r="A42" s="581">
        <v>40</v>
      </c>
      <c r="B42" s="537" t="s">
        <v>102</v>
      </c>
      <c r="C42" s="356">
        <v>1</v>
      </c>
      <c r="D42" s="805"/>
      <c r="E42" s="1067">
        <v>1</v>
      </c>
      <c r="F42" s="404">
        <v>2</v>
      </c>
      <c r="G42" s="57">
        <v>1</v>
      </c>
      <c r="H42" s="358">
        <v>1</v>
      </c>
      <c r="I42" s="325" t="s">
        <v>43</v>
      </c>
      <c r="J42" s="743"/>
      <c r="K42" s="377"/>
      <c r="L42" s="433"/>
      <c r="M42" s="354"/>
      <c r="N42" s="433"/>
      <c r="O42" s="354" t="s">
        <v>38</v>
      </c>
      <c r="P42" s="433" t="s">
        <v>38</v>
      </c>
      <c r="Q42" s="35" t="s">
        <v>38</v>
      </c>
      <c r="R42" s="541"/>
      <c r="S42" s="548"/>
      <c r="T42" s="548"/>
      <c r="U42" s="569"/>
      <c r="V42" s="474">
        <f>COUNTIF(J42:U42, "X")</f>
        <v>3</v>
      </c>
    </row>
    <row r="43" spans="1:22">
      <c r="A43" s="413">
        <v>41</v>
      </c>
      <c r="B43" s="536" t="s">
        <v>103</v>
      </c>
      <c r="C43" s="417">
        <v>2</v>
      </c>
      <c r="D43" s="806"/>
      <c r="E43" s="1066"/>
      <c r="F43" s="404"/>
      <c r="G43" s="394"/>
      <c r="H43" s="370"/>
      <c r="I43" s="76" t="s">
        <v>10</v>
      </c>
      <c r="J43" s="741" t="s">
        <v>104</v>
      </c>
      <c r="K43" s="377"/>
      <c r="L43" s="434" t="s">
        <v>38</v>
      </c>
      <c r="M43" s="353" t="s">
        <v>38</v>
      </c>
      <c r="N43" s="432" t="s">
        <v>38</v>
      </c>
      <c r="O43" s="353" t="s">
        <v>38</v>
      </c>
      <c r="P43" s="432" t="s">
        <v>38</v>
      </c>
      <c r="Q43" s="34"/>
      <c r="R43" s="541"/>
      <c r="S43" s="548"/>
      <c r="T43" s="548"/>
      <c r="U43" s="569"/>
      <c r="V43" s="474">
        <f>COUNTIF(J43:U43, "X")</f>
        <v>5</v>
      </c>
    </row>
    <row r="44" spans="1:22">
      <c r="A44" s="581">
        <v>42</v>
      </c>
      <c r="B44" s="538" t="s">
        <v>105</v>
      </c>
      <c r="C44" s="418">
        <v>2</v>
      </c>
      <c r="D44" s="807"/>
      <c r="E44" s="1068"/>
      <c r="F44" s="408">
        <v>2</v>
      </c>
      <c r="G44" s="57"/>
      <c r="H44" s="358"/>
      <c r="I44" s="35" t="s">
        <v>10</v>
      </c>
      <c r="J44" s="743" t="s">
        <v>40</v>
      </c>
      <c r="K44" s="377" t="s">
        <v>101</v>
      </c>
      <c r="L44" s="435" t="s">
        <v>38</v>
      </c>
      <c r="M44" s="354" t="s">
        <v>38</v>
      </c>
      <c r="N44" s="433" t="s">
        <v>38</v>
      </c>
      <c r="O44" s="354" t="s">
        <v>38</v>
      </c>
      <c r="P44" s="433" t="s">
        <v>38</v>
      </c>
      <c r="Q44" s="35" t="s">
        <v>38</v>
      </c>
      <c r="R44" s="541"/>
      <c r="S44" s="548"/>
      <c r="T44" s="548"/>
      <c r="U44" s="569"/>
      <c r="V44" s="474">
        <f>COUNTIF(J44:U44, "X")</f>
        <v>6</v>
      </c>
    </row>
    <row r="45" spans="1:22">
      <c r="A45" s="413">
        <v>43</v>
      </c>
      <c r="B45" s="531" t="s">
        <v>106</v>
      </c>
      <c r="C45" s="419" t="s">
        <v>87</v>
      </c>
      <c r="D45" s="808"/>
      <c r="E45" s="1069"/>
      <c r="F45" s="409">
        <v>3</v>
      </c>
      <c r="G45" s="395"/>
      <c r="H45" s="371"/>
      <c r="I45" s="34" t="s">
        <v>88</v>
      </c>
      <c r="J45" s="741" t="s">
        <v>89</v>
      </c>
      <c r="K45" s="377"/>
      <c r="L45" s="434" t="s">
        <v>38</v>
      </c>
      <c r="M45" s="353" t="s">
        <v>38</v>
      </c>
      <c r="N45" s="432" t="s">
        <v>38</v>
      </c>
      <c r="O45" s="353"/>
      <c r="P45" s="432"/>
      <c r="Q45" s="672" t="s">
        <v>38</v>
      </c>
      <c r="R45" s="541"/>
      <c r="S45" s="548"/>
      <c r="T45" s="548"/>
      <c r="U45" s="569"/>
      <c r="V45" s="474">
        <f>COUNTIF(J45:U45, "X")</f>
        <v>4</v>
      </c>
    </row>
    <row r="46" spans="1:22">
      <c r="A46" s="581">
        <v>44</v>
      </c>
      <c r="B46" s="798" t="s">
        <v>107</v>
      </c>
      <c r="C46" s="415">
        <v>1</v>
      </c>
      <c r="D46" s="803"/>
      <c r="E46" s="1065"/>
      <c r="F46" s="403">
        <v>3</v>
      </c>
      <c r="G46" s="57"/>
      <c r="H46" s="358"/>
      <c r="I46" s="764" t="s">
        <v>101</v>
      </c>
      <c r="J46" s="743"/>
      <c r="K46" s="377"/>
      <c r="L46" s="436"/>
      <c r="M46" s="354" t="s">
        <v>38</v>
      </c>
      <c r="N46" s="433" t="s">
        <v>38</v>
      </c>
      <c r="O46" s="354"/>
      <c r="P46" s="433"/>
      <c r="Q46" s="35" t="s">
        <v>38</v>
      </c>
      <c r="R46" s="541"/>
      <c r="S46" s="548"/>
      <c r="T46" s="548"/>
      <c r="U46" s="569"/>
      <c r="V46" s="474">
        <f>COUNTIF(J46:U46, "X")</f>
        <v>3</v>
      </c>
    </row>
    <row r="47" spans="1:22">
      <c r="A47" s="413">
        <v>45</v>
      </c>
      <c r="B47" s="536" t="s">
        <v>108</v>
      </c>
      <c r="C47" s="416">
        <v>1</v>
      </c>
      <c r="D47" s="804"/>
      <c r="E47" s="1070"/>
      <c r="F47" s="410"/>
      <c r="G47" s="396"/>
      <c r="H47" s="372"/>
      <c r="I47" s="565" t="s">
        <v>59</v>
      </c>
      <c r="J47" s="741"/>
      <c r="K47" s="377"/>
      <c r="L47" s="434" t="s">
        <v>38</v>
      </c>
      <c r="M47" s="353" t="s">
        <v>38</v>
      </c>
      <c r="N47" s="432" t="s">
        <v>38</v>
      </c>
      <c r="O47" s="353"/>
      <c r="P47" s="432"/>
      <c r="Q47" s="34"/>
      <c r="R47" s="541"/>
      <c r="S47" s="548"/>
      <c r="T47" s="548"/>
      <c r="U47" s="569"/>
      <c r="V47" s="474">
        <f>COUNTIF(J47:U47, "X")</f>
        <v>3</v>
      </c>
    </row>
    <row r="48" spans="1:22">
      <c r="A48" s="413">
        <v>46</v>
      </c>
      <c r="B48" s="537" t="s">
        <v>109</v>
      </c>
      <c r="C48" s="356" t="s">
        <v>87</v>
      </c>
      <c r="D48" s="805"/>
      <c r="E48" s="805"/>
      <c r="F48" s="411">
        <v>2</v>
      </c>
      <c r="G48" s="397"/>
      <c r="H48" s="373"/>
      <c r="I48" s="384" t="s">
        <v>83</v>
      </c>
      <c r="J48" s="745"/>
      <c r="K48" s="377"/>
      <c r="L48" s="435" t="s">
        <v>38</v>
      </c>
      <c r="M48" s="354" t="s">
        <v>38</v>
      </c>
      <c r="N48" s="433"/>
      <c r="O48" s="354"/>
      <c r="P48" s="433"/>
      <c r="Q48" s="35"/>
      <c r="R48" s="541"/>
      <c r="S48" s="548"/>
      <c r="T48" s="548"/>
      <c r="U48" s="569"/>
      <c r="V48" s="474">
        <f>COUNTIF(J48:U48, "X")</f>
        <v>2</v>
      </c>
    </row>
    <row r="49" spans="1:22">
      <c r="A49" s="581">
        <v>47</v>
      </c>
      <c r="B49" s="536" t="s">
        <v>110</v>
      </c>
      <c r="C49" s="416">
        <v>1</v>
      </c>
      <c r="D49" s="804"/>
      <c r="E49" s="1070"/>
      <c r="F49" s="410"/>
      <c r="G49" s="398"/>
      <c r="H49" s="374"/>
      <c r="I49" s="440" t="s">
        <v>111</v>
      </c>
      <c r="J49" s="741"/>
      <c r="K49" s="377"/>
      <c r="L49" s="432"/>
      <c r="M49" s="353"/>
      <c r="N49" s="432"/>
      <c r="O49" s="353" t="s">
        <v>38</v>
      </c>
      <c r="P49" s="432"/>
      <c r="Q49" s="34"/>
      <c r="R49" s="541"/>
      <c r="S49" s="548"/>
      <c r="T49" s="548"/>
      <c r="U49" s="569"/>
      <c r="V49" s="474">
        <f>COUNTIF(J49:U49, "X")</f>
        <v>1</v>
      </c>
    </row>
    <row r="50" spans="1:22">
      <c r="A50" s="413">
        <v>48</v>
      </c>
      <c r="B50" s="603" t="s">
        <v>112</v>
      </c>
      <c r="C50" s="420">
        <v>1</v>
      </c>
      <c r="D50" s="809"/>
      <c r="E50" s="1067"/>
      <c r="F50" s="404">
        <v>3</v>
      </c>
      <c r="G50" s="391"/>
      <c r="H50" s="366"/>
      <c r="I50" s="764" t="s">
        <v>113</v>
      </c>
      <c r="J50" s="743"/>
      <c r="K50" s="377"/>
      <c r="L50" s="435" t="s">
        <v>38</v>
      </c>
      <c r="M50" s="354" t="s">
        <v>38</v>
      </c>
      <c r="N50" s="433"/>
      <c r="O50" s="354"/>
      <c r="P50" s="433"/>
      <c r="Q50" s="35"/>
      <c r="R50" s="541"/>
      <c r="S50" s="548"/>
      <c r="T50" s="548"/>
      <c r="U50" s="569"/>
      <c r="V50" s="474">
        <f>COUNTIF(J50:U50, "X")</f>
        <v>2</v>
      </c>
    </row>
    <row r="51" spans="1:22">
      <c r="A51" s="581">
        <v>49</v>
      </c>
      <c r="B51" s="603" t="s">
        <v>114</v>
      </c>
      <c r="C51" s="421">
        <v>1</v>
      </c>
      <c r="D51" s="810"/>
      <c r="E51" s="1071"/>
      <c r="F51" s="404">
        <v>3</v>
      </c>
      <c r="G51" s="391"/>
      <c r="H51" s="366"/>
      <c r="I51" s="765" t="s">
        <v>115</v>
      </c>
      <c r="J51" s="741" t="s">
        <v>89</v>
      </c>
      <c r="K51" s="377"/>
      <c r="L51" s="432"/>
      <c r="M51" s="353"/>
      <c r="N51" s="432" t="s">
        <v>38</v>
      </c>
      <c r="O51" s="353"/>
      <c r="P51" s="432"/>
      <c r="Q51" s="34" t="s">
        <v>38</v>
      </c>
      <c r="R51" s="541"/>
      <c r="S51" s="548"/>
      <c r="T51" s="548"/>
      <c r="U51" s="569"/>
      <c r="V51" s="474">
        <f>COUNTIF(J51:U51, "X")</f>
        <v>2</v>
      </c>
    </row>
    <row r="52" spans="1:22">
      <c r="A52" s="543">
        <v>50</v>
      </c>
      <c r="B52" s="538" t="s">
        <v>116</v>
      </c>
      <c r="C52" s="422">
        <v>3</v>
      </c>
      <c r="D52" s="811"/>
      <c r="E52" s="1072"/>
      <c r="F52" s="406">
        <v>2</v>
      </c>
      <c r="G52" s="154"/>
      <c r="H52" s="375"/>
      <c r="I52" s="382" t="s">
        <v>10</v>
      </c>
      <c r="J52" s="742"/>
      <c r="K52" s="377"/>
      <c r="L52" s="437"/>
      <c r="M52" s="355"/>
      <c r="N52" s="437"/>
      <c r="O52" s="355"/>
      <c r="P52" s="437"/>
      <c r="Q52" s="518" t="s">
        <v>38</v>
      </c>
      <c r="R52" s="541"/>
      <c r="S52" s="548"/>
      <c r="T52" s="548"/>
      <c r="U52" s="569"/>
      <c r="V52" s="474">
        <f>COUNTIF(J52:U52, "X")</f>
        <v>1</v>
      </c>
    </row>
    <row r="53" spans="1:22" ht="15.75" customHeight="1">
      <c r="A53" s="582">
        <v>51</v>
      </c>
      <c r="B53" s="539" t="s">
        <v>117</v>
      </c>
      <c r="C53" s="423">
        <v>1</v>
      </c>
      <c r="D53" s="590"/>
      <c r="E53" s="1073"/>
      <c r="F53" s="412"/>
      <c r="G53" s="399"/>
      <c r="H53" s="376"/>
      <c r="I53" s="385" t="s">
        <v>59</v>
      </c>
      <c r="J53" s="746"/>
      <c r="K53" s="756"/>
      <c r="L53" s="438"/>
      <c r="M53" s="427"/>
      <c r="N53" s="84" t="s">
        <v>38</v>
      </c>
      <c r="O53" s="427"/>
      <c r="P53" s="438"/>
      <c r="Q53" s="520"/>
      <c r="R53" s="542"/>
      <c r="S53" s="570"/>
      <c r="T53" s="570"/>
      <c r="U53" s="571"/>
      <c r="V53" s="474">
        <f>COUNTIF(J53:U53, "X")</f>
        <v>1</v>
      </c>
    </row>
    <row r="54" spans="1:22" ht="27" customHeight="1">
      <c r="A54" s="8"/>
      <c r="B54" s="45" t="s">
        <v>118</v>
      </c>
      <c r="C54" s="45"/>
      <c r="D54" s="45"/>
      <c r="E54" s="45"/>
      <c r="F54" s="87">
        <f>SUM(F3:F52)</f>
        <v>104</v>
      </c>
      <c r="G54" s="88"/>
      <c r="H54" s="89"/>
    </row>
    <row r="55" spans="1:22" ht="56.1" customHeight="1">
      <c r="A55" s="8"/>
      <c r="B55" s="1" t="s">
        <v>119</v>
      </c>
      <c r="C55" s="1"/>
      <c r="D55" s="1"/>
      <c r="E55" s="1"/>
      <c r="F55" s="1"/>
      <c r="G55" s="1"/>
      <c r="H55" s="1"/>
      <c r="I55" s="1"/>
      <c r="J55" s="1"/>
      <c r="K55" s="1"/>
      <c r="L55" s="3"/>
      <c r="M55" s="852" t="s">
        <v>120</v>
      </c>
      <c r="N55" s="853"/>
      <c r="O55" s="853"/>
      <c r="P55" s="853"/>
      <c r="Q55" s="854"/>
    </row>
    <row r="56" spans="1:22" ht="12" customHeight="1">
      <c r="A56" s="8"/>
      <c r="M56" s="2"/>
      <c r="N56" s="2"/>
      <c r="O56" s="2"/>
      <c r="P56" s="2"/>
      <c r="Q56" s="2"/>
    </row>
    <row r="57" spans="1:22" ht="55.5" customHeight="1">
      <c r="A57" s="8"/>
      <c r="B57" s="39" t="s">
        <v>121</v>
      </c>
      <c r="C57" s="44"/>
      <c r="D57" s="44"/>
      <c r="E57" s="44"/>
      <c r="F57" s="44"/>
      <c r="G57" s="44"/>
      <c r="H57" s="44"/>
      <c r="I57" s="16"/>
      <c r="J57" s="16"/>
      <c r="K57" s="16"/>
      <c r="L57" s="7"/>
      <c r="M57" s="852" t="s">
        <v>122</v>
      </c>
      <c r="N57" s="853"/>
      <c r="O57" s="853"/>
      <c r="P57" s="853"/>
      <c r="Q57" s="854"/>
    </row>
    <row r="58" spans="1:22">
      <c r="C58" s="1062" t="s">
        <v>123</v>
      </c>
      <c r="D58" s="1062"/>
      <c r="E58" s="1062"/>
      <c r="F58" s="1062"/>
      <c r="G58" s="1062"/>
      <c r="H58" s="1062"/>
    </row>
    <row r="59" spans="1:22" ht="15.75" customHeight="1">
      <c r="B59" s="600" t="s">
        <v>18</v>
      </c>
      <c r="C59" s="10"/>
      <c r="D59" s="9" t="s">
        <v>124</v>
      </c>
      <c r="E59" s="9" t="s">
        <v>125</v>
      </c>
      <c r="F59" s="9" t="s">
        <v>126</v>
      </c>
      <c r="G59" s="9" t="s">
        <v>127</v>
      </c>
      <c r="H59" s="9" t="s">
        <v>128</v>
      </c>
    </row>
    <row r="60" spans="1:22" ht="15.75" customHeight="1">
      <c r="C60" s="10" t="s">
        <v>129</v>
      </c>
      <c r="D60" s="1063" t="s">
        <v>130</v>
      </c>
      <c r="E60" s="1063"/>
      <c r="F60" s="1063"/>
      <c r="G60" s="1063"/>
      <c r="H60" s="1063"/>
    </row>
    <row r="61" spans="1:22" ht="15.75" customHeight="1">
      <c r="C61" s="10" t="s">
        <v>131</v>
      </c>
      <c r="D61" s="1063"/>
      <c r="E61" s="1063"/>
      <c r="F61" s="1063"/>
      <c r="G61" s="1063"/>
      <c r="H61" s="1063"/>
    </row>
    <row r="62" spans="1:22" ht="15.75" customHeight="1">
      <c r="C62" s="10" t="s">
        <v>132</v>
      </c>
      <c r="D62" s="1063"/>
      <c r="E62" s="1063"/>
      <c r="F62" s="1063"/>
      <c r="G62" s="1063"/>
      <c r="H62" s="1063"/>
    </row>
    <row r="63" spans="1:22" ht="15.75" customHeight="1">
      <c r="C63" s="10" t="s">
        <v>133</v>
      </c>
      <c r="D63" s="1063"/>
      <c r="E63" s="1063"/>
      <c r="F63" s="1063"/>
      <c r="G63" s="1063"/>
      <c r="H63" s="1063"/>
    </row>
    <row r="64" spans="1:22" ht="15.75" customHeight="1">
      <c r="C64" s="10" t="s">
        <v>134</v>
      </c>
      <c r="D64" s="1063"/>
      <c r="E64" s="1063"/>
      <c r="F64" s="1063"/>
      <c r="G64" s="1063"/>
      <c r="H64" s="1063"/>
    </row>
    <row r="65" spans="3:8" ht="15.75" customHeight="1">
      <c r="C65" s="10" t="s">
        <v>135</v>
      </c>
      <c r="D65" s="1063">
        <v>0</v>
      </c>
      <c r="E65" s="1063">
        <v>22</v>
      </c>
      <c r="F65" s="1063">
        <v>2</v>
      </c>
      <c r="G65" s="1063">
        <v>0</v>
      </c>
      <c r="H65" s="1063">
        <v>0</v>
      </c>
    </row>
    <row r="66" spans="3:8" ht="15.75" customHeight="1">
      <c r="C66" s="10" t="s">
        <v>136</v>
      </c>
      <c r="D66" s="1063"/>
      <c r="E66" s="1063"/>
      <c r="F66" s="1063"/>
      <c r="G66" s="1063"/>
      <c r="H66" s="1063"/>
    </row>
    <row r="67" spans="3:8" ht="15.75" customHeight="1">
      <c r="C67" s="10" t="s">
        <v>137</v>
      </c>
      <c r="D67" s="1063"/>
      <c r="E67" s="1063"/>
      <c r="F67" s="1063"/>
      <c r="G67" s="1063"/>
      <c r="H67" s="1063"/>
    </row>
    <row r="68" spans="3:8" ht="15.75" customHeight="1">
      <c r="C68" s="10" t="s">
        <v>138</v>
      </c>
      <c r="D68" s="1063"/>
      <c r="E68" s="1063"/>
      <c r="F68" s="1063"/>
      <c r="G68" s="1063"/>
      <c r="H68" s="1063"/>
    </row>
    <row r="69" spans="3:8" ht="15.75" customHeight="1">
      <c r="C69" s="10" t="s">
        <v>139</v>
      </c>
      <c r="D69" s="1063"/>
      <c r="E69" s="1063"/>
      <c r="F69" s="1063"/>
      <c r="G69" s="1063"/>
      <c r="H69" s="1063"/>
    </row>
    <row r="70" spans="3:8" ht="15.75" customHeight="1">
      <c r="C70" s="10" t="s">
        <v>140</v>
      </c>
      <c r="D70" s="1064"/>
      <c r="E70" s="1064"/>
      <c r="F70" s="1064"/>
      <c r="G70" s="1064"/>
      <c r="H70" s="1064"/>
    </row>
    <row r="71" spans="3:8" ht="15.75" customHeight="1">
      <c r="D71" s="9">
        <f>SUM(D60:D70)</f>
        <v>0</v>
      </c>
      <c r="E71" s="9">
        <f t="shared" ref="E71:H71" si="1">SUM(E60:E70)</f>
        <v>22</v>
      </c>
      <c r="F71" s="9">
        <f t="shared" si="1"/>
        <v>2</v>
      </c>
      <c r="G71" s="9">
        <f t="shared" si="1"/>
        <v>0</v>
      </c>
      <c r="H71" s="9">
        <f t="shared" si="1"/>
        <v>0</v>
      </c>
    </row>
  </sheetData>
  <mergeCells count="18">
    <mergeCell ref="V1:V2"/>
    <mergeCell ref="S1:U1"/>
    <mergeCell ref="L1:P1"/>
    <mergeCell ref="A1:B2"/>
    <mergeCell ref="F1:F2"/>
    <mergeCell ref="G1:G2"/>
    <mergeCell ref="H1:H2"/>
    <mergeCell ref="E1:E2"/>
    <mergeCell ref="C1:C2"/>
    <mergeCell ref="D1:D2"/>
    <mergeCell ref="C58:H58"/>
    <mergeCell ref="M55:Q55"/>
    <mergeCell ref="Q1:R1"/>
    <mergeCell ref="M57:Q57"/>
    <mergeCell ref="Q15:R15"/>
    <mergeCell ref="I1:I2"/>
    <mergeCell ref="K1:K2"/>
    <mergeCell ref="J1:J2"/>
  </mergeCells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7" r:id="rId42" xr:uid="{F97491BC-3E01-44AE-A0C2-FFE8049A8872}"/>
    <hyperlink ref="B48" r:id="rId43" xr:uid="{10C53C5D-6219-4FEE-81C7-444BFB3FDB26}"/>
    <hyperlink ref="B49" r:id="rId44" xr:uid="{F3A17E2C-B7E1-4D83-AF25-6B6DC0AE7F9A}"/>
    <hyperlink ref="B50" r:id="rId45" xr:uid="{27123059-D369-43EC-B7E4-7A54A1E7BBC4}"/>
    <hyperlink ref="B51" r:id="rId46" xr:uid="{DD2820CD-72FB-4003-9BC9-C2039244D47E}"/>
    <hyperlink ref="B52" r:id="rId47" xr:uid="{2F8481C4-FCCC-4EBB-8826-48691968EBA0}"/>
    <hyperlink ref="B53" r:id="rId48" xr:uid="{21BEF707-BBD0-43CD-9AB3-5BC85D15D7E1}"/>
    <hyperlink ref="B18" r:id="rId49" xr:uid="{8DFB3C84-E365-4C14-BF4C-77547D6EE8EB}"/>
    <hyperlink ref="B17" r:id="rId50" xr:uid="{B27F0C90-4B91-414B-9347-ED49616486EB}"/>
    <hyperlink ref="B59" r:id="rId51" location="tabs-tree-start" xr:uid="{94705C96-7059-4664-85D2-560260A98868}"/>
    <hyperlink ref="B46" r:id="rId52" xr:uid="{96FC867F-52D0-4794-8B03-D8B12171B2E1}"/>
  </hyperlinks>
  <pageMargins left="0.7" right="0.7" top="0.75" bottom="0.75" header="0.3" footer="0.3"/>
  <pageSetup paperSize="9" orientation="portrait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AH46"/>
  <sheetViews>
    <sheetView topLeftCell="F2" workbookViewId="0">
      <selection activeCell="G3" sqref="G3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42.625" customWidth="1"/>
    <col min="12" max="12" width="2.625" customWidth="1"/>
    <col min="13" max="13" width="44.625" customWidth="1"/>
    <col min="14" max="14" width="2.625" customWidth="1"/>
    <col min="15" max="15" width="42.5" customWidth="1"/>
    <col min="16" max="16" width="2.625" customWidth="1"/>
    <col min="17" max="17" width="43.25" customWidth="1"/>
    <col min="18" max="18" width="3.625" customWidth="1"/>
    <col min="19" max="19" width="50.75" customWidth="1"/>
    <col min="20" max="20" width="2.625" customWidth="1"/>
    <col min="21" max="21" width="53.375" customWidth="1"/>
    <col min="22" max="22" width="2.625" customWidth="1"/>
    <col min="23" max="23" width="45.75" customWidth="1"/>
    <col min="24" max="24" width="2.625" customWidth="1"/>
    <col min="25" max="25" width="45.625" customWidth="1"/>
    <col min="26" max="26" width="5.625" customWidth="1"/>
    <col min="27" max="27" width="53.375" bestFit="1" customWidth="1"/>
    <col min="28" max="28" width="2.75" customWidth="1"/>
    <col min="29" max="29" width="50.75" customWidth="1"/>
    <col min="30" max="30" width="2.25" customWidth="1"/>
    <col min="31" max="31" width="48" bestFit="1" customWidth="1"/>
    <col min="32" max="32" width="3.5" customWidth="1"/>
    <col min="33" max="33" width="48" bestFit="1" customWidth="1"/>
    <col min="34" max="34" width="19.125" customWidth="1"/>
  </cols>
  <sheetData>
    <row r="1" spans="1:34" ht="23.25" customHeight="1">
      <c r="A1" s="899" t="s">
        <v>141</v>
      </c>
      <c r="B1" s="255"/>
      <c r="C1" s="901" t="s">
        <v>142</v>
      </c>
      <c r="D1" s="902"/>
      <c r="E1" s="902"/>
      <c r="F1" s="902"/>
      <c r="G1" s="903"/>
      <c r="H1" s="255"/>
      <c r="I1" s="899" t="s">
        <v>143</v>
      </c>
      <c r="K1" s="901" t="s">
        <v>144</v>
      </c>
      <c r="L1" s="902"/>
      <c r="M1" s="902"/>
      <c r="N1" s="902"/>
      <c r="O1" s="902"/>
      <c r="P1" s="902"/>
      <c r="Q1" s="903"/>
      <c r="S1" s="901" t="s">
        <v>145</v>
      </c>
      <c r="T1" s="902"/>
      <c r="U1" s="902"/>
      <c r="V1" s="902"/>
      <c r="W1" s="902"/>
      <c r="X1" s="902"/>
      <c r="Y1" s="903"/>
      <c r="AA1" s="888"/>
      <c r="AB1" s="889"/>
      <c r="AC1" s="886" t="s">
        <v>146</v>
      </c>
      <c r="AD1" s="772"/>
      <c r="AE1" s="884" t="s">
        <v>147</v>
      </c>
      <c r="AF1" s="892"/>
      <c r="AG1" s="893"/>
      <c r="AH1" s="134"/>
    </row>
    <row r="2" spans="1:34" ht="23.25">
      <c r="A2" s="900"/>
      <c r="B2" s="255"/>
      <c r="C2" s="904"/>
      <c r="D2" s="905"/>
      <c r="E2" s="905"/>
      <c r="F2" s="905"/>
      <c r="G2" s="906"/>
      <c r="H2" s="255"/>
      <c r="I2" s="900"/>
      <c r="K2" s="904"/>
      <c r="L2" s="905"/>
      <c r="M2" s="905"/>
      <c r="N2" s="905"/>
      <c r="O2" s="905"/>
      <c r="P2" s="905"/>
      <c r="Q2" s="906"/>
      <c r="S2" s="904"/>
      <c r="T2" s="905"/>
      <c r="U2" s="905"/>
      <c r="V2" s="905"/>
      <c r="W2" s="905"/>
      <c r="X2" s="905"/>
      <c r="Y2" s="906"/>
      <c r="AA2" s="890"/>
      <c r="AB2" s="891"/>
      <c r="AC2" s="887"/>
      <c r="AD2" s="773"/>
      <c r="AE2" s="885"/>
      <c r="AF2" s="894"/>
      <c r="AG2" s="895"/>
      <c r="AH2" s="134"/>
    </row>
    <row r="3" spans="1:34" ht="41.25">
      <c r="A3" s="194" t="s">
        <v>0</v>
      </c>
      <c r="B3" s="256"/>
      <c r="C3" s="258" t="s">
        <v>148</v>
      </c>
      <c r="D3" s="262"/>
      <c r="E3" s="260" t="s">
        <v>149</v>
      </c>
      <c r="F3" s="262"/>
      <c r="G3" s="276" t="s">
        <v>150</v>
      </c>
      <c r="H3" s="256"/>
      <c r="I3" s="179" t="s">
        <v>151</v>
      </c>
      <c r="K3" s="179" t="s">
        <v>152</v>
      </c>
      <c r="L3" s="245"/>
      <c r="M3" s="181" t="s">
        <v>153</v>
      </c>
      <c r="N3" s="246"/>
      <c r="O3" s="183" t="s">
        <v>154</v>
      </c>
      <c r="P3" s="246"/>
      <c r="Q3" s="185" t="s">
        <v>155</v>
      </c>
      <c r="S3" s="187" t="s">
        <v>156</v>
      </c>
      <c r="T3" s="246"/>
      <c r="U3" s="194" t="s">
        <v>157</v>
      </c>
      <c r="V3" s="246"/>
      <c r="W3" s="189" t="s">
        <v>158</v>
      </c>
      <c r="X3" s="246"/>
      <c r="Y3" s="278" t="s">
        <v>159</v>
      </c>
      <c r="AA3" s="766" t="s">
        <v>156</v>
      </c>
      <c r="AB3" s="246"/>
      <c r="AC3" s="767" t="s">
        <v>157</v>
      </c>
      <c r="AD3" s="246"/>
      <c r="AE3" s="768" t="s">
        <v>158</v>
      </c>
      <c r="AF3" s="246"/>
      <c r="AG3" s="769" t="s">
        <v>159</v>
      </c>
    </row>
    <row r="4" spans="1:34">
      <c r="A4" s="195"/>
      <c r="C4" s="259"/>
      <c r="D4" s="246"/>
      <c r="E4" s="261"/>
      <c r="F4" s="246"/>
      <c r="G4" s="277"/>
      <c r="I4" s="180"/>
      <c r="K4" s="180"/>
      <c r="L4" s="245"/>
      <c r="M4" s="182"/>
      <c r="N4" s="246"/>
      <c r="O4" s="184"/>
      <c r="P4" s="246"/>
      <c r="Q4" s="186"/>
      <c r="S4" s="188"/>
      <c r="T4" s="246"/>
      <c r="U4" s="195"/>
      <c r="V4" s="246"/>
      <c r="W4" s="190"/>
      <c r="X4" s="246"/>
      <c r="Y4" s="279"/>
      <c r="AA4" s="188"/>
      <c r="AB4" s="246"/>
      <c r="AC4" s="195"/>
      <c r="AD4" s="246"/>
      <c r="AE4" s="190"/>
      <c r="AF4" s="246"/>
      <c r="AG4" s="279"/>
    </row>
    <row r="5" spans="1:34" ht="18.75">
      <c r="A5" s="196" t="s">
        <v>141</v>
      </c>
      <c r="B5" s="257"/>
      <c r="C5" s="197" t="s">
        <v>160</v>
      </c>
      <c r="D5" s="263"/>
      <c r="E5" s="197" t="s">
        <v>160</v>
      </c>
      <c r="F5" s="263"/>
      <c r="G5" s="266" t="s">
        <v>160</v>
      </c>
      <c r="H5" s="257"/>
      <c r="I5" s="178" t="s">
        <v>161</v>
      </c>
      <c r="K5" s="178" t="s">
        <v>160</v>
      </c>
      <c r="L5" s="246"/>
      <c r="M5" s="178" t="s">
        <v>160</v>
      </c>
      <c r="N5" s="246"/>
      <c r="O5" s="178" t="s">
        <v>160</v>
      </c>
      <c r="P5" s="246"/>
      <c r="Q5" s="178" t="s">
        <v>160</v>
      </c>
      <c r="S5" s="178" t="s">
        <v>160</v>
      </c>
      <c r="T5" s="246"/>
      <c r="U5" s="664" t="s">
        <v>160</v>
      </c>
      <c r="V5" s="246"/>
      <c r="W5" s="178" t="s">
        <v>160</v>
      </c>
      <c r="X5" s="246"/>
      <c r="Y5" s="178" t="s">
        <v>160</v>
      </c>
      <c r="AA5" s="178" t="s">
        <v>160</v>
      </c>
      <c r="AB5" s="246"/>
      <c r="AC5" s="664" t="s">
        <v>160</v>
      </c>
      <c r="AD5" s="246"/>
      <c r="AE5" s="178" t="s">
        <v>160</v>
      </c>
      <c r="AF5" s="246"/>
      <c r="AG5" s="178" t="s">
        <v>160</v>
      </c>
    </row>
    <row r="6" spans="1:34">
      <c r="A6" s="166" t="s">
        <v>162</v>
      </c>
      <c r="B6" s="141"/>
      <c r="C6" s="166" t="s">
        <v>162</v>
      </c>
      <c r="D6" s="250"/>
      <c r="E6" s="166" t="s">
        <v>162</v>
      </c>
      <c r="F6" s="250"/>
      <c r="G6" s="267" t="s">
        <v>162</v>
      </c>
      <c r="H6" s="141"/>
      <c r="I6" s="166" t="s">
        <v>162</v>
      </c>
      <c r="K6" s="142" t="s">
        <v>162</v>
      </c>
      <c r="L6" s="246"/>
      <c r="M6" s="142" t="s">
        <v>162</v>
      </c>
      <c r="N6" s="246"/>
      <c r="O6" s="142" t="s">
        <v>162</v>
      </c>
      <c r="P6" s="246"/>
      <c r="Q6" s="142" t="s">
        <v>162</v>
      </c>
      <c r="S6" s="166" t="s">
        <v>162</v>
      </c>
      <c r="T6" s="246"/>
      <c r="U6" s="166" t="s">
        <v>162</v>
      </c>
      <c r="V6" s="246"/>
      <c r="W6" s="166" t="s">
        <v>162</v>
      </c>
      <c r="X6" s="246"/>
      <c r="Y6" s="166" t="s">
        <v>162</v>
      </c>
      <c r="AA6" s="166" t="s">
        <v>162</v>
      </c>
      <c r="AB6" s="246"/>
      <c r="AC6" s="166" t="s">
        <v>162</v>
      </c>
      <c r="AD6" s="246"/>
      <c r="AE6" s="166" t="s">
        <v>162</v>
      </c>
      <c r="AF6" s="246"/>
      <c r="AG6" s="166" t="s">
        <v>162</v>
      </c>
    </row>
    <row r="7" spans="1:34">
      <c r="A7" s="143" t="s">
        <v>9</v>
      </c>
      <c r="B7" s="165"/>
      <c r="C7" s="143" t="s">
        <v>37</v>
      </c>
      <c r="D7" s="264"/>
      <c r="E7" s="143" t="s">
        <v>37</v>
      </c>
      <c r="F7" s="264"/>
      <c r="G7" s="268" t="s">
        <v>37</v>
      </c>
      <c r="H7" s="165"/>
      <c r="I7" s="143" t="s">
        <v>37</v>
      </c>
      <c r="K7" s="143" t="s">
        <v>37</v>
      </c>
      <c r="L7" s="246"/>
      <c r="M7" s="143" t="s">
        <v>37</v>
      </c>
      <c r="N7" s="246"/>
      <c r="O7" s="143" t="s">
        <v>37</v>
      </c>
      <c r="P7" s="246"/>
      <c r="Q7" s="143" t="s">
        <v>37</v>
      </c>
      <c r="S7" s="143" t="s">
        <v>37</v>
      </c>
      <c r="T7" s="246"/>
      <c r="U7" s="143" t="s">
        <v>37</v>
      </c>
      <c r="V7" s="246"/>
      <c r="W7" s="143" t="s">
        <v>37</v>
      </c>
      <c r="X7" s="246"/>
      <c r="Y7" s="143" t="s">
        <v>37</v>
      </c>
      <c r="AA7" s="143" t="s">
        <v>37</v>
      </c>
      <c r="AB7" s="246"/>
      <c r="AC7" s="143" t="s">
        <v>37</v>
      </c>
      <c r="AD7" s="246"/>
      <c r="AE7" s="143" t="s">
        <v>37</v>
      </c>
      <c r="AF7" s="246"/>
      <c r="AG7" s="143" t="s">
        <v>37</v>
      </c>
    </row>
    <row r="8" spans="1:34">
      <c r="A8" s="143" t="s">
        <v>163</v>
      </c>
      <c r="B8" s="165"/>
      <c r="C8" s="143" t="s">
        <v>39</v>
      </c>
      <c r="D8" s="264"/>
      <c r="E8" s="143" t="s">
        <v>39</v>
      </c>
      <c r="F8" s="264"/>
      <c r="G8" s="268" t="s">
        <v>51</v>
      </c>
      <c r="H8" s="165"/>
      <c r="I8" s="164"/>
      <c r="K8" s="143" t="s">
        <v>39</v>
      </c>
      <c r="L8" s="246"/>
      <c r="M8" s="143" t="s">
        <v>39</v>
      </c>
      <c r="N8" s="246"/>
      <c r="O8" s="143" t="s">
        <v>39</v>
      </c>
      <c r="P8" s="246"/>
      <c r="Q8" s="143" t="s">
        <v>39</v>
      </c>
      <c r="S8" s="143" t="s">
        <v>39</v>
      </c>
      <c r="T8" s="246"/>
      <c r="U8" s="143" t="s">
        <v>39</v>
      </c>
      <c r="V8" s="246"/>
      <c r="W8" s="143" t="s">
        <v>39</v>
      </c>
      <c r="X8" s="246"/>
      <c r="Y8" s="143" t="s">
        <v>39</v>
      </c>
      <c r="AA8" s="143" t="s">
        <v>39</v>
      </c>
      <c r="AB8" s="246"/>
      <c r="AC8" s="143" t="s">
        <v>39</v>
      </c>
      <c r="AD8" s="246"/>
      <c r="AE8" s="143" t="s">
        <v>39</v>
      </c>
      <c r="AF8" s="246"/>
      <c r="AG8" s="143" t="s">
        <v>39</v>
      </c>
    </row>
    <row r="9" spans="1:34">
      <c r="A9" s="143" t="s">
        <v>11</v>
      </c>
      <c r="B9" s="165"/>
      <c r="C9" s="143" t="s">
        <v>42</v>
      </c>
      <c r="D9" s="264"/>
      <c r="E9" s="143" t="s">
        <v>42</v>
      </c>
      <c r="F9" s="264"/>
      <c r="G9" s="268" t="s">
        <v>164</v>
      </c>
      <c r="H9" s="165"/>
      <c r="I9" s="145" t="s">
        <v>165</v>
      </c>
      <c r="K9" s="143" t="s">
        <v>50</v>
      </c>
      <c r="L9" s="246"/>
      <c r="M9" s="143" t="s">
        <v>57</v>
      </c>
      <c r="N9" s="246"/>
      <c r="O9" s="143" t="s">
        <v>42</v>
      </c>
      <c r="P9" s="246"/>
      <c r="Q9" s="143" t="s">
        <v>42</v>
      </c>
      <c r="S9" s="164"/>
      <c r="T9" s="246"/>
      <c r="U9" s="144"/>
      <c r="V9" s="246"/>
      <c r="W9" s="164"/>
      <c r="X9" s="246"/>
      <c r="Y9" s="164"/>
      <c r="AA9" s="164"/>
      <c r="AB9" s="246"/>
      <c r="AC9" s="144"/>
      <c r="AD9" s="246"/>
      <c r="AE9" s="164"/>
      <c r="AF9" s="246"/>
      <c r="AG9" s="164"/>
    </row>
    <row r="10" spans="1:34" ht="18.75">
      <c r="A10" s="144"/>
      <c r="C10" s="144"/>
      <c r="D10" s="246"/>
      <c r="E10" s="144"/>
      <c r="F10" s="246"/>
      <c r="G10" s="269"/>
      <c r="I10" s="151" t="s">
        <v>51</v>
      </c>
      <c r="K10" s="197"/>
      <c r="L10" s="246"/>
      <c r="M10" s="144"/>
      <c r="N10" s="246"/>
      <c r="O10" s="144"/>
      <c r="P10" s="246"/>
      <c r="Q10" s="144"/>
      <c r="S10" s="145" t="s">
        <v>165</v>
      </c>
      <c r="T10" s="246"/>
      <c r="U10" s="145" t="s">
        <v>165</v>
      </c>
      <c r="V10" s="246"/>
      <c r="W10" s="145" t="s">
        <v>165</v>
      </c>
      <c r="X10" s="246"/>
      <c r="Y10" s="145" t="s">
        <v>165</v>
      </c>
      <c r="AA10" s="145" t="s">
        <v>165</v>
      </c>
      <c r="AB10" s="246"/>
      <c r="AC10" s="145" t="s">
        <v>165</v>
      </c>
      <c r="AD10" s="246"/>
      <c r="AE10" s="145" t="s">
        <v>165</v>
      </c>
      <c r="AF10" s="246"/>
      <c r="AG10" s="145" t="s">
        <v>165</v>
      </c>
    </row>
    <row r="11" spans="1:34">
      <c r="A11" s="145" t="s">
        <v>165</v>
      </c>
      <c r="B11" s="141"/>
      <c r="C11" s="145" t="s">
        <v>165</v>
      </c>
      <c r="D11" s="250"/>
      <c r="E11" s="145" t="s">
        <v>165</v>
      </c>
      <c r="F11" s="250"/>
      <c r="G11" s="270" t="s">
        <v>165</v>
      </c>
      <c r="H11" s="141"/>
      <c r="I11" s="144"/>
      <c r="K11" s="145" t="s">
        <v>165</v>
      </c>
      <c r="L11" s="246"/>
      <c r="M11" s="145" t="s">
        <v>165</v>
      </c>
      <c r="N11" s="246"/>
      <c r="O11" s="145" t="s">
        <v>165</v>
      </c>
      <c r="P11" s="246"/>
      <c r="Q11" s="145" t="s">
        <v>165</v>
      </c>
      <c r="S11" s="151" t="s">
        <v>51</v>
      </c>
      <c r="T11" s="246"/>
      <c r="U11" s="151" t="s">
        <v>51</v>
      </c>
      <c r="V11" s="246"/>
      <c r="W11" s="151" t="s">
        <v>51</v>
      </c>
      <c r="X11" s="246"/>
      <c r="Y11" s="151" t="s">
        <v>51</v>
      </c>
      <c r="AA11" s="151" t="s">
        <v>51</v>
      </c>
      <c r="AB11" s="246"/>
      <c r="AC11" s="151" t="s">
        <v>51</v>
      </c>
      <c r="AD11" s="246"/>
      <c r="AE11" s="151" t="s">
        <v>51</v>
      </c>
      <c r="AF11" s="246"/>
      <c r="AG11" s="151" t="s">
        <v>51</v>
      </c>
    </row>
    <row r="12" spans="1:34">
      <c r="A12" s="151" t="s">
        <v>7</v>
      </c>
      <c r="B12" s="165"/>
      <c r="C12" s="151" t="s">
        <v>166</v>
      </c>
      <c r="D12" s="264"/>
      <c r="E12" s="151" t="s">
        <v>167</v>
      </c>
      <c r="F12" s="264"/>
      <c r="G12" s="271" t="s">
        <v>167</v>
      </c>
      <c r="H12" s="165"/>
      <c r="I12" s="167" t="s">
        <v>168</v>
      </c>
      <c r="K12" s="151" t="s">
        <v>51</v>
      </c>
      <c r="L12" s="246"/>
      <c r="M12" s="151" t="s">
        <v>51</v>
      </c>
      <c r="N12" s="246"/>
      <c r="O12" s="151" t="s">
        <v>51</v>
      </c>
      <c r="P12" s="246"/>
      <c r="Q12" s="151" t="s">
        <v>51</v>
      </c>
      <c r="S12" s="151" t="s">
        <v>60</v>
      </c>
      <c r="T12" s="246"/>
      <c r="U12" s="152" t="s">
        <v>53</v>
      </c>
      <c r="V12" s="246"/>
      <c r="W12" s="152" t="s">
        <v>49</v>
      </c>
      <c r="X12" s="246"/>
      <c r="Y12" s="152" t="s">
        <v>49</v>
      </c>
      <c r="AA12" s="151" t="s">
        <v>60</v>
      </c>
      <c r="AB12" s="246"/>
      <c r="AC12" s="152" t="s">
        <v>53</v>
      </c>
      <c r="AD12" s="246"/>
      <c r="AE12" s="152" t="s">
        <v>49</v>
      </c>
      <c r="AF12" s="246"/>
      <c r="AG12" s="152" t="s">
        <v>49</v>
      </c>
    </row>
    <row r="13" spans="1:34">
      <c r="A13" s="151" t="s">
        <v>14</v>
      </c>
      <c r="B13" s="165"/>
      <c r="C13" s="151" t="s">
        <v>169</v>
      </c>
      <c r="D13" s="264"/>
      <c r="E13" s="151" t="s">
        <v>169</v>
      </c>
      <c r="F13" s="264"/>
      <c r="G13" s="271" t="s">
        <v>170</v>
      </c>
      <c r="H13" s="165"/>
      <c r="I13" s="169" t="s">
        <v>170</v>
      </c>
      <c r="K13" s="151" t="s">
        <v>53</v>
      </c>
      <c r="L13" s="246"/>
      <c r="M13" s="151" t="s">
        <v>60</v>
      </c>
      <c r="N13" s="246"/>
      <c r="O13" s="151" t="s">
        <v>169</v>
      </c>
      <c r="P13" s="246"/>
      <c r="Q13" s="151" t="s">
        <v>169</v>
      </c>
      <c r="S13" s="149"/>
      <c r="T13" s="246"/>
      <c r="U13" s="144"/>
      <c r="V13" s="246"/>
      <c r="W13" s="149"/>
      <c r="X13" s="246"/>
      <c r="Y13" s="149"/>
      <c r="AA13" s="149"/>
      <c r="AB13" s="246"/>
      <c r="AC13" s="144"/>
      <c r="AD13" s="246"/>
      <c r="AE13" s="149"/>
      <c r="AF13" s="246"/>
      <c r="AG13" s="149"/>
    </row>
    <row r="14" spans="1:34">
      <c r="A14" s="152" t="s">
        <v>13</v>
      </c>
      <c r="B14" s="165"/>
      <c r="C14" s="152" t="s">
        <v>49</v>
      </c>
      <c r="D14" s="264"/>
      <c r="E14" s="152" t="s">
        <v>49</v>
      </c>
      <c r="F14" s="264"/>
      <c r="G14" s="272" t="s">
        <v>171</v>
      </c>
      <c r="H14" s="165"/>
      <c r="I14" s="144"/>
      <c r="K14" s="152" t="s">
        <v>56</v>
      </c>
      <c r="L14" s="246"/>
      <c r="M14" s="152" t="s">
        <v>56</v>
      </c>
      <c r="N14" s="246"/>
      <c r="O14" s="152" t="s">
        <v>49</v>
      </c>
      <c r="P14" s="246"/>
      <c r="Q14" s="152" t="s">
        <v>49</v>
      </c>
      <c r="S14" s="167" t="s">
        <v>168</v>
      </c>
      <c r="T14" s="246"/>
      <c r="U14" s="167" t="s">
        <v>168</v>
      </c>
      <c r="V14" s="246"/>
      <c r="W14" s="167" t="s">
        <v>168</v>
      </c>
      <c r="X14" s="246"/>
      <c r="Y14" s="167" t="s">
        <v>168</v>
      </c>
      <c r="AA14" s="167" t="s">
        <v>168</v>
      </c>
      <c r="AB14" s="246"/>
      <c r="AC14" s="167" t="s">
        <v>168</v>
      </c>
      <c r="AD14" s="246"/>
      <c r="AE14" s="167" t="s">
        <v>168</v>
      </c>
      <c r="AF14" s="246"/>
      <c r="AG14" s="167" t="s">
        <v>168</v>
      </c>
    </row>
    <row r="15" spans="1:34" ht="18.75">
      <c r="C15" s="252"/>
      <c r="D15" s="246"/>
      <c r="E15" s="246"/>
      <c r="F15" s="246"/>
      <c r="G15" s="269"/>
      <c r="I15" s="198" t="s">
        <v>172</v>
      </c>
      <c r="K15" s="249"/>
      <c r="L15" s="246"/>
      <c r="M15" s="250"/>
      <c r="N15" s="246"/>
      <c r="O15" s="250"/>
      <c r="P15" s="246"/>
      <c r="Q15" s="251"/>
      <c r="S15" s="721" t="s">
        <v>173</v>
      </c>
      <c r="T15" s="246"/>
      <c r="U15" s="721" t="s">
        <v>173</v>
      </c>
      <c r="V15" s="246"/>
      <c r="W15" s="721" t="s">
        <v>173</v>
      </c>
      <c r="X15" s="246"/>
      <c r="Y15" s="722" t="s">
        <v>170</v>
      </c>
      <c r="AA15" s="721" t="s">
        <v>173</v>
      </c>
      <c r="AB15" s="246"/>
      <c r="AC15" s="721" t="s">
        <v>173</v>
      </c>
      <c r="AD15" s="246"/>
      <c r="AE15" s="721" t="s">
        <v>173</v>
      </c>
      <c r="AF15" s="246"/>
      <c r="AG15" s="722" t="s">
        <v>170</v>
      </c>
    </row>
    <row r="16" spans="1:34" ht="18.75">
      <c r="C16" s="265"/>
      <c r="D16" s="248"/>
      <c r="E16" s="248"/>
      <c r="F16" s="248"/>
      <c r="G16" s="273" t="s">
        <v>174</v>
      </c>
      <c r="I16" s="166" t="s">
        <v>162</v>
      </c>
      <c r="K16" s="146" t="s">
        <v>175</v>
      </c>
      <c r="L16" s="246"/>
      <c r="M16" s="146" t="s">
        <v>175</v>
      </c>
      <c r="N16" s="246"/>
      <c r="O16" s="146" t="s">
        <v>175</v>
      </c>
      <c r="P16" s="246"/>
      <c r="Q16" s="146" t="s">
        <v>175</v>
      </c>
      <c r="S16" s="720" t="s">
        <v>176</v>
      </c>
      <c r="T16" s="246"/>
      <c r="U16" s="720" t="s">
        <v>176</v>
      </c>
      <c r="V16" s="246"/>
      <c r="W16" s="720" t="s">
        <v>177</v>
      </c>
      <c r="X16" s="246"/>
      <c r="Y16" s="720" t="s">
        <v>177</v>
      </c>
      <c r="AA16" s="720" t="s">
        <v>176</v>
      </c>
      <c r="AB16" s="246"/>
      <c r="AC16" s="720" t="s">
        <v>176</v>
      </c>
      <c r="AD16" s="246"/>
      <c r="AE16" s="720" t="s">
        <v>177</v>
      </c>
      <c r="AF16" s="246"/>
      <c r="AG16" s="720" t="s">
        <v>177</v>
      </c>
    </row>
    <row r="17" spans="9:33">
      <c r="I17" s="143" t="s">
        <v>164</v>
      </c>
      <c r="K17" s="147" t="s">
        <v>162</v>
      </c>
      <c r="L17" s="246"/>
      <c r="M17" s="147" t="s">
        <v>162</v>
      </c>
      <c r="N17" s="246"/>
      <c r="O17" s="147" t="s">
        <v>162</v>
      </c>
      <c r="P17" s="246"/>
      <c r="Q17" s="147" t="s">
        <v>162</v>
      </c>
      <c r="S17" s="252"/>
      <c r="T17" s="246"/>
      <c r="U17" s="665"/>
      <c r="V17" s="246"/>
      <c r="W17" s="246"/>
      <c r="X17" s="246"/>
      <c r="Y17" s="253"/>
      <c r="AA17" s="252"/>
      <c r="AB17" s="246"/>
      <c r="AC17" s="665"/>
      <c r="AD17" s="246"/>
      <c r="AE17" s="246"/>
      <c r="AF17" s="246"/>
      <c r="AG17" s="253"/>
    </row>
    <row r="18" spans="9:33" ht="18.75">
      <c r="I18" s="164"/>
      <c r="K18" s="148" t="s">
        <v>178</v>
      </c>
      <c r="L18" s="246"/>
      <c r="M18" s="148" t="s">
        <v>178</v>
      </c>
      <c r="N18" s="246"/>
      <c r="O18" s="158" t="s">
        <v>69</v>
      </c>
      <c r="P18" s="246"/>
      <c r="Q18" s="158" t="s">
        <v>69</v>
      </c>
      <c r="S18" s="146" t="s">
        <v>175</v>
      </c>
      <c r="T18" s="246"/>
      <c r="U18" s="146" t="s">
        <v>175</v>
      </c>
      <c r="V18" s="246"/>
      <c r="W18" s="146" t="s">
        <v>175</v>
      </c>
      <c r="X18" s="246"/>
      <c r="Y18" s="146" t="s">
        <v>175</v>
      </c>
      <c r="AA18" s="146" t="s">
        <v>175</v>
      </c>
      <c r="AB18" s="246"/>
      <c r="AC18" s="146" t="s">
        <v>175</v>
      </c>
      <c r="AD18" s="246"/>
      <c r="AE18" s="146" t="s">
        <v>175</v>
      </c>
      <c r="AF18" s="246"/>
      <c r="AG18" s="146" t="s">
        <v>175</v>
      </c>
    </row>
    <row r="19" spans="9:33">
      <c r="I19" s="145" t="s">
        <v>165</v>
      </c>
      <c r="K19" s="148" t="s">
        <v>78</v>
      </c>
      <c r="L19" s="246"/>
      <c r="M19" s="148" t="s">
        <v>179</v>
      </c>
      <c r="N19" s="246"/>
      <c r="O19" s="148" t="s">
        <v>74</v>
      </c>
      <c r="P19" s="246"/>
      <c r="Q19" s="148" t="s">
        <v>84</v>
      </c>
      <c r="S19" s="147" t="s">
        <v>162</v>
      </c>
      <c r="T19" s="246"/>
      <c r="U19" s="147" t="s">
        <v>162</v>
      </c>
      <c r="V19" s="246"/>
      <c r="W19" s="147" t="s">
        <v>162</v>
      </c>
      <c r="X19" s="246"/>
      <c r="Y19" s="147" t="s">
        <v>162</v>
      </c>
      <c r="AA19" s="147" t="s">
        <v>162</v>
      </c>
      <c r="AB19" s="246"/>
      <c r="AC19" s="147" t="s">
        <v>162</v>
      </c>
      <c r="AD19" s="246"/>
      <c r="AE19" s="147" t="s">
        <v>162</v>
      </c>
      <c r="AF19" s="246"/>
      <c r="AG19" s="147" t="s">
        <v>162</v>
      </c>
    </row>
    <row r="20" spans="9:33">
      <c r="I20" s="151" t="s">
        <v>171</v>
      </c>
      <c r="K20" s="148" t="s">
        <v>91</v>
      </c>
      <c r="L20" s="246"/>
      <c r="M20" s="148" t="s">
        <v>91</v>
      </c>
      <c r="N20" s="246"/>
      <c r="O20" s="148" t="s">
        <v>76</v>
      </c>
      <c r="P20" s="246"/>
      <c r="Q20" s="148" t="s">
        <v>76</v>
      </c>
      <c r="S20" s="148" t="s">
        <v>178</v>
      </c>
      <c r="T20" s="246"/>
      <c r="U20" s="148" t="s">
        <v>178</v>
      </c>
      <c r="V20" s="246"/>
      <c r="W20" s="148" t="s">
        <v>180</v>
      </c>
      <c r="X20" s="246"/>
      <c r="Y20" s="148" t="s">
        <v>181</v>
      </c>
      <c r="AA20" s="148" t="s">
        <v>178</v>
      </c>
      <c r="AB20" s="246"/>
      <c r="AC20" s="148" t="s">
        <v>178</v>
      </c>
      <c r="AD20" s="246"/>
      <c r="AE20" s="148" t="s">
        <v>180</v>
      </c>
      <c r="AF20" s="246"/>
      <c r="AG20" s="148" t="s">
        <v>181</v>
      </c>
    </row>
    <row r="21" spans="9:33">
      <c r="I21" s="149"/>
      <c r="K21" s="149"/>
      <c r="L21" s="246"/>
      <c r="M21" s="149"/>
      <c r="N21" s="246"/>
      <c r="O21" s="149"/>
      <c r="P21" s="246"/>
      <c r="Q21" s="149"/>
      <c r="S21" s="148" t="s">
        <v>91</v>
      </c>
      <c r="T21" s="246"/>
      <c r="U21" s="148" t="s">
        <v>78</v>
      </c>
      <c r="V21" s="246"/>
      <c r="W21" s="148" t="s">
        <v>182</v>
      </c>
      <c r="X21" s="246"/>
      <c r="Y21" s="148" t="s">
        <v>182</v>
      </c>
      <c r="AA21" s="148" t="s">
        <v>91</v>
      </c>
      <c r="AB21" s="246"/>
      <c r="AC21" s="148" t="s">
        <v>78</v>
      </c>
      <c r="AD21" s="246"/>
      <c r="AE21" s="148" t="s">
        <v>182</v>
      </c>
      <c r="AF21" s="246"/>
      <c r="AG21" s="148" t="s">
        <v>182</v>
      </c>
    </row>
    <row r="22" spans="9:33">
      <c r="I22" s="167" t="s">
        <v>168</v>
      </c>
      <c r="K22" s="145" t="s">
        <v>165</v>
      </c>
      <c r="L22" s="246"/>
      <c r="M22" s="145" t="s">
        <v>165</v>
      </c>
      <c r="N22" s="246"/>
      <c r="O22" s="145" t="s">
        <v>165</v>
      </c>
      <c r="P22" s="246"/>
      <c r="Q22" s="145" t="s">
        <v>165</v>
      </c>
      <c r="S22" s="149"/>
      <c r="T22" s="246"/>
      <c r="U22" s="149"/>
      <c r="V22" s="246"/>
      <c r="W22" s="149"/>
      <c r="X22" s="246"/>
      <c r="Y22" s="149"/>
      <c r="AA22" s="149"/>
      <c r="AB22" s="246"/>
      <c r="AC22" s="149"/>
      <c r="AD22" s="246"/>
      <c r="AE22" s="149"/>
      <c r="AF22" s="246"/>
      <c r="AG22" s="149"/>
    </row>
    <row r="23" spans="9:33">
      <c r="I23" s="168" t="s">
        <v>183</v>
      </c>
      <c r="K23" s="151" t="s">
        <v>184</v>
      </c>
      <c r="L23" s="246"/>
      <c r="M23" s="151" t="s">
        <v>184</v>
      </c>
      <c r="N23" s="246"/>
      <c r="O23" s="151" t="s">
        <v>184</v>
      </c>
      <c r="P23" s="246"/>
      <c r="Q23" s="151" t="s">
        <v>184</v>
      </c>
      <c r="S23" s="145" t="s">
        <v>165</v>
      </c>
      <c r="T23" s="246"/>
      <c r="U23" s="145" t="s">
        <v>165</v>
      </c>
      <c r="V23" s="246"/>
      <c r="W23" s="145" t="s">
        <v>165</v>
      </c>
      <c r="X23" s="246"/>
      <c r="Y23" s="145" t="s">
        <v>165</v>
      </c>
      <c r="AA23" s="145" t="s">
        <v>165</v>
      </c>
      <c r="AB23" s="246"/>
      <c r="AC23" s="145" t="s">
        <v>165</v>
      </c>
      <c r="AD23" s="246"/>
      <c r="AE23" s="145" t="s">
        <v>165</v>
      </c>
      <c r="AF23" s="246"/>
      <c r="AG23" s="145" t="s">
        <v>165</v>
      </c>
    </row>
    <row r="24" spans="9:33">
      <c r="I24" s="164"/>
      <c r="K24" s="151" t="s">
        <v>82</v>
      </c>
      <c r="L24" s="246"/>
      <c r="M24" s="151" t="s">
        <v>90</v>
      </c>
      <c r="N24" s="246"/>
      <c r="O24" s="151" t="s">
        <v>71</v>
      </c>
      <c r="P24" s="246"/>
      <c r="Q24" s="151" t="s">
        <v>71</v>
      </c>
      <c r="S24" s="523" t="s">
        <v>185</v>
      </c>
      <c r="T24" s="246"/>
      <c r="U24" s="523" t="s">
        <v>185</v>
      </c>
      <c r="V24" s="246"/>
      <c r="W24" s="151" t="s">
        <v>71</v>
      </c>
      <c r="X24" s="246"/>
      <c r="Y24" s="151" t="s">
        <v>71</v>
      </c>
      <c r="AA24" s="523" t="s">
        <v>185</v>
      </c>
      <c r="AB24" s="246"/>
      <c r="AC24" s="523" t="s">
        <v>185</v>
      </c>
      <c r="AD24" s="246"/>
      <c r="AE24" s="151" t="s">
        <v>71</v>
      </c>
      <c r="AF24" s="246"/>
      <c r="AG24" s="151" t="s">
        <v>71</v>
      </c>
    </row>
    <row r="25" spans="9:33">
      <c r="I25" s="200" t="s">
        <v>186</v>
      </c>
      <c r="K25" s="152" t="s">
        <v>80</v>
      </c>
      <c r="L25" s="246"/>
      <c r="M25" s="152" t="s">
        <v>80</v>
      </c>
      <c r="N25" s="246"/>
      <c r="O25" s="152" t="s">
        <v>72</v>
      </c>
      <c r="P25" s="246"/>
      <c r="Q25" s="152" t="s">
        <v>85</v>
      </c>
      <c r="S25" s="151" t="s">
        <v>90</v>
      </c>
      <c r="T25" s="246"/>
      <c r="U25" s="151" t="s">
        <v>187</v>
      </c>
      <c r="V25" s="246"/>
      <c r="W25" s="151" t="s">
        <v>188</v>
      </c>
      <c r="X25" s="246"/>
      <c r="Y25" s="151" t="s">
        <v>85</v>
      </c>
      <c r="AA25" s="151" t="s">
        <v>90</v>
      </c>
      <c r="AB25" s="246"/>
      <c r="AC25" s="151" t="s">
        <v>187</v>
      </c>
      <c r="AD25" s="246"/>
      <c r="AE25" s="151" t="s">
        <v>188</v>
      </c>
      <c r="AF25" s="246"/>
      <c r="AG25" s="151" t="s">
        <v>85</v>
      </c>
    </row>
    <row r="26" spans="9:33">
      <c r="I26" s="199" t="s">
        <v>189</v>
      </c>
      <c r="K26" s="252"/>
      <c r="L26" s="246"/>
      <c r="M26" s="246"/>
      <c r="N26" s="246"/>
      <c r="O26" s="246"/>
      <c r="P26" s="246"/>
      <c r="Q26" s="253"/>
      <c r="S26" s="164"/>
      <c r="T26" s="246"/>
      <c r="U26" s="164"/>
      <c r="V26" s="246"/>
      <c r="W26" s="164"/>
      <c r="X26" s="246"/>
      <c r="Y26" s="164"/>
      <c r="AA26" s="164"/>
      <c r="AB26" s="246"/>
      <c r="AC26" s="164"/>
      <c r="AD26" s="246"/>
      <c r="AE26" s="164"/>
      <c r="AF26" s="246"/>
      <c r="AG26" s="164"/>
    </row>
    <row r="27" spans="9:33" ht="18.75">
      <c r="I27" s="141"/>
      <c r="K27" s="146" t="s">
        <v>190</v>
      </c>
      <c r="L27" s="246"/>
      <c r="M27" s="146" t="s">
        <v>190</v>
      </c>
      <c r="N27" s="246"/>
      <c r="O27" s="146" t="s">
        <v>190</v>
      </c>
      <c r="P27" s="246"/>
      <c r="Q27" s="146" t="s">
        <v>190</v>
      </c>
      <c r="S27" s="167" t="s">
        <v>168</v>
      </c>
      <c r="T27" s="246"/>
      <c r="U27" s="167" t="s">
        <v>168</v>
      </c>
      <c r="V27" s="246"/>
      <c r="W27" s="167" t="s">
        <v>168</v>
      </c>
      <c r="X27" s="246"/>
      <c r="Y27" s="167" t="s">
        <v>168</v>
      </c>
      <c r="AA27" s="167" t="s">
        <v>168</v>
      </c>
      <c r="AB27" s="246"/>
      <c r="AC27" s="167" t="s">
        <v>168</v>
      </c>
      <c r="AD27" s="246"/>
      <c r="AE27" s="167" t="s">
        <v>168</v>
      </c>
      <c r="AF27" s="246"/>
      <c r="AG27" s="167" t="s">
        <v>168</v>
      </c>
    </row>
    <row r="28" spans="9:33">
      <c r="I28" s="165"/>
      <c r="K28" s="150" t="s">
        <v>162</v>
      </c>
      <c r="L28" s="246"/>
      <c r="M28" s="150" t="s">
        <v>162</v>
      </c>
      <c r="N28" s="246"/>
      <c r="O28" s="150" t="s">
        <v>162</v>
      </c>
      <c r="P28" s="246"/>
      <c r="Q28" s="150" t="s">
        <v>162</v>
      </c>
      <c r="S28" s="722" t="s">
        <v>191</v>
      </c>
      <c r="T28" s="246"/>
      <c r="U28" s="722" t="s">
        <v>191</v>
      </c>
      <c r="V28" s="246"/>
      <c r="W28" s="722" t="s">
        <v>191</v>
      </c>
      <c r="X28" s="246"/>
      <c r="Y28" s="722" t="s">
        <v>191</v>
      </c>
      <c r="AA28" s="722" t="s">
        <v>191</v>
      </c>
      <c r="AB28" s="246"/>
      <c r="AC28" s="722" t="s">
        <v>191</v>
      </c>
      <c r="AD28" s="246"/>
      <c r="AE28" s="722" t="s">
        <v>191</v>
      </c>
      <c r="AF28" s="246"/>
      <c r="AG28" s="722" t="s">
        <v>191</v>
      </c>
    </row>
    <row r="29" spans="9:33">
      <c r="I29" s="165"/>
      <c r="K29" s="143" t="s">
        <v>192</v>
      </c>
      <c r="L29" s="246"/>
      <c r="M29" s="153" t="s">
        <v>193</v>
      </c>
      <c r="N29" s="246"/>
      <c r="O29" s="153" t="s">
        <v>194</v>
      </c>
      <c r="P29" s="246"/>
      <c r="Q29" s="153" t="s">
        <v>194</v>
      </c>
      <c r="S29" s="720" t="s">
        <v>195</v>
      </c>
      <c r="T29" s="246"/>
      <c r="U29" s="720" t="s">
        <v>195</v>
      </c>
      <c r="V29" s="246"/>
      <c r="W29" s="720" t="s">
        <v>195</v>
      </c>
      <c r="X29" s="246"/>
      <c r="Y29" s="720" t="s">
        <v>195</v>
      </c>
      <c r="AA29" s="720" t="s">
        <v>196</v>
      </c>
      <c r="AB29" s="246"/>
      <c r="AC29" s="720" t="s">
        <v>195</v>
      </c>
      <c r="AD29" s="246"/>
      <c r="AE29" s="720" t="s">
        <v>195</v>
      </c>
      <c r="AF29" s="246"/>
      <c r="AG29" s="720" t="s">
        <v>195</v>
      </c>
    </row>
    <row r="30" spans="9:33">
      <c r="K30" s="153" t="s">
        <v>197</v>
      </c>
      <c r="L30" s="246"/>
      <c r="M30" s="153" t="s">
        <v>198</v>
      </c>
      <c r="N30" s="246"/>
      <c r="O30" s="153" t="s">
        <v>97</v>
      </c>
      <c r="P30" s="246"/>
      <c r="Q30" s="153" t="s">
        <v>199</v>
      </c>
      <c r="S30" s="252"/>
      <c r="T30" s="246"/>
      <c r="U30" s="246"/>
      <c r="V30" s="246"/>
      <c r="W30" s="246"/>
      <c r="X30" s="246"/>
      <c r="Y30" s="253"/>
      <c r="AA30" s="252"/>
      <c r="AB30" s="246"/>
      <c r="AC30" s="246"/>
      <c r="AD30" s="246"/>
      <c r="AE30" s="246"/>
      <c r="AF30" s="246"/>
      <c r="AG30" s="253"/>
    </row>
    <row r="31" spans="9:33" ht="18.75">
      <c r="K31" s="153" t="s">
        <v>200</v>
      </c>
      <c r="L31" s="246"/>
      <c r="M31" s="153" t="s">
        <v>200</v>
      </c>
      <c r="N31" s="246"/>
      <c r="O31" s="153" t="s">
        <v>201</v>
      </c>
      <c r="P31" s="246"/>
      <c r="Q31" s="153" t="s">
        <v>201</v>
      </c>
      <c r="S31" s="146" t="s">
        <v>190</v>
      </c>
      <c r="T31" s="246"/>
      <c r="U31" s="146" t="s">
        <v>190</v>
      </c>
      <c r="V31" s="246"/>
      <c r="W31" s="146" t="s">
        <v>190</v>
      </c>
      <c r="X31" s="246"/>
      <c r="Y31" s="146" t="s">
        <v>190</v>
      </c>
      <c r="AA31" s="146" t="s">
        <v>190</v>
      </c>
      <c r="AB31" s="246"/>
      <c r="AC31" s="146" t="s">
        <v>190</v>
      </c>
      <c r="AD31" s="246"/>
      <c r="AE31" s="146" t="s">
        <v>190</v>
      </c>
      <c r="AF31" s="246"/>
      <c r="AG31" s="146" t="s">
        <v>190</v>
      </c>
    </row>
    <row r="32" spans="9:33">
      <c r="K32" s="153" t="s">
        <v>202</v>
      </c>
      <c r="L32" s="246"/>
      <c r="M32" s="153" t="s">
        <v>203</v>
      </c>
      <c r="N32" s="246"/>
      <c r="O32" s="153" t="s">
        <v>204</v>
      </c>
      <c r="P32" s="246"/>
      <c r="Q32" s="153" t="s">
        <v>205</v>
      </c>
      <c r="S32" s="150" t="s">
        <v>162</v>
      </c>
      <c r="T32" s="246"/>
      <c r="U32" s="172" t="s">
        <v>162</v>
      </c>
      <c r="V32" s="246"/>
      <c r="W32" s="172" t="s">
        <v>162</v>
      </c>
      <c r="X32" s="246"/>
      <c r="Y32" s="172" t="s">
        <v>162</v>
      </c>
      <c r="AA32" s="150" t="s">
        <v>162</v>
      </c>
      <c r="AB32" s="246"/>
      <c r="AC32" s="172" t="s">
        <v>162</v>
      </c>
      <c r="AD32" s="246"/>
      <c r="AE32" s="172" t="s">
        <v>162</v>
      </c>
      <c r="AF32" s="246"/>
      <c r="AG32" s="172" t="s">
        <v>162</v>
      </c>
    </row>
    <row r="33" spans="11:33" s="176" customFormat="1">
      <c r="K33" s="175" t="s">
        <v>206</v>
      </c>
      <c r="L33" s="247"/>
      <c r="M33" s="175" t="s">
        <v>207</v>
      </c>
      <c r="N33" s="247"/>
      <c r="O33" s="175" t="s">
        <v>208</v>
      </c>
      <c r="P33" s="247"/>
      <c r="Q33" s="175" t="s">
        <v>208</v>
      </c>
      <c r="S33" s="175" t="s">
        <v>209</v>
      </c>
      <c r="T33" s="247"/>
      <c r="U33" s="177" t="s">
        <v>209</v>
      </c>
      <c r="V33" s="247"/>
      <c r="W33" s="177" t="s">
        <v>210</v>
      </c>
      <c r="X33" s="247"/>
      <c r="Y33" s="177" t="s">
        <v>205</v>
      </c>
      <c r="AA33" s="175" t="s">
        <v>209</v>
      </c>
      <c r="AB33" s="247"/>
      <c r="AC33" s="177" t="s">
        <v>209</v>
      </c>
      <c r="AD33" s="247"/>
      <c r="AE33" s="177" t="s">
        <v>210</v>
      </c>
      <c r="AF33" s="247"/>
      <c r="AG33" s="177" t="s">
        <v>205</v>
      </c>
    </row>
    <row r="34" spans="11:33">
      <c r="K34" s="149"/>
      <c r="L34" s="246"/>
      <c r="M34" s="149"/>
      <c r="N34" s="246"/>
      <c r="O34" s="149"/>
      <c r="P34" s="246"/>
      <c r="Q34" s="149"/>
      <c r="S34" s="153" t="s">
        <v>198</v>
      </c>
      <c r="T34" s="246"/>
      <c r="U34" s="174" t="s">
        <v>211</v>
      </c>
      <c r="V34" s="246"/>
      <c r="W34" s="174" t="s">
        <v>102</v>
      </c>
      <c r="X34" s="246"/>
      <c r="Y34" s="174" t="s">
        <v>102</v>
      </c>
      <c r="AA34" s="153" t="s">
        <v>198</v>
      </c>
      <c r="AB34" s="246"/>
      <c r="AC34" s="174" t="s">
        <v>211</v>
      </c>
      <c r="AD34" s="246"/>
      <c r="AE34" s="174" t="s">
        <v>102</v>
      </c>
      <c r="AF34" s="246"/>
      <c r="AG34" s="174" t="s">
        <v>102</v>
      </c>
    </row>
    <row r="35" spans="11:33">
      <c r="K35" s="145" t="s">
        <v>165</v>
      </c>
      <c r="L35" s="246"/>
      <c r="M35" s="145" t="s">
        <v>165</v>
      </c>
      <c r="N35" s="246"/>
      <c r="O35" s="145" t="s">
        <v>165</v>
      </c>
      <c r="P35" s="246"/>
      <c r="Q35" s="145" t="s">
        <v>165</v>
      </c>
      <c r="S35" s="170"/>
      <c r="T35" s="246"/>
      <c r="U35" s="173"/>
      <c r="V35" s="246"/>
      <c r="W35" s="173"/>
      <c r="X35" s="246"/>
      <c r="Y35" s="173"/>
      <c r="AA35" s="170"/>
      <c r="AB35" s="246"/>
      <c r="AC35" s="173"/>
      <c r="AD35" s="246"/>
      <c r="AE35" s="173"/>
      <c r="AF35" s="246"/>
      <c r="AG35" s="173"/>
    </row>
    <row r="36" spans="11:33">
      <c r="K36" s="151" t="s">
        <v>105</v>
      </c>
      <c r="L36" s="246"/>
      <c r="M36" s="151" t="s">
        <v>105</v>
      </c>
      <c r="N36" s="246"/>
      <c r="O36" s="151" t="s">
        <v>105</v>
      </c>
      <c r="P36" s="246"/>
      <c r="Q36" s="151" t="s">
        <v>105</v>
      </c>
      <c r="S36" s="145" t="s">
        <v>165</v>
      </c>
      <c r="T36" s="246"/>
      <c r="U36" s="145" t="s">
        <v>165</v>
      </c>
      <c r="V36" s="246"/>
      <c r="W36" s="145" t="s">
        <v>165</v>
      </c>
      <c r="X36" s="246"/>
      <c r="Y36" s="145" t="s">
        <v>165</v>
      </c>
      <c r="AA36" s="145" t="s">
        <v>165</v>
      </c>
      <c r="AB36" s="246"/>
      <c r="AC36" s="145" t="s">
        <v>165</v>
      </c>
      <c r="AD36" s="246"/>
      <c r="AE36" s="145" t="s">
        <v>165</v>
      </c>
      <c r="AF36" s="246"/>
      <c r="AG36" s="145" t="s">
        <v>165</v>
      </c>
    </row>
    <row r="37" spans="11:33">
      <c r="K37" s="152" t="s">
        <v>103</v>
      </c>
      <c r="L37" s="248"/>
      <c r="M37" s="152" t="s">
        <v>103</v>
      </c>
      <c r="N37" s="248"/>
      <c r="O37" s="152" t="s">
        <v>103</v>
      </c>
      <c r="P37" s="248"/>
      <c r="Q37" s="152" t="s">
        <v>103</v>
      </c>
      <c r="S37" s="151" t="s">
        <v>105</v>
      </c>
      <c r="T37" s="246"/>
      <c r="U37" s="151" t="s">
        <v>105</v>
      </c>
      <c r="V37" s="246"/>
      <c r="W37" s="151" t="s">
        <v>105</v>
      </c>
      <c r="X37" s="246"/>
      <c r="Y37" s="151" t="s">
        <v>105</v>
      </c>
      <c r="AA37" s="151" t="s">
        <v>105</v>
      </c>
      <c r="AB37" s="246"/>
      <c r="AC37" s="151" t="s">
        <v>105</v>
      </c>
      <c r="AD37" s="246"/>
      <c r="AE37" s="151" t="s">
        <v>105</v>
      </c>
      <c r="AF37" s="246"/>
      <c r="AG37" s="151" t="s">
        <v>105</v>
      </c>
    </row>
    <row r="38" spans="11:33">
      <c r="S38" s="523" t="s">
        <v>212</v>
      </c>
      <c r="T38" s="246"/>
      <c r="U38" s="523" t="s">
        <v>212</v>
      </c>
      <c r="V38" s="246"/>
      <c r="W38" s="523" t="s">
        <v>213</v>
      </c>
      <c r="X38" s="246"/>
      <c r="Y38" s="523" t="s">
        <v>213</v>
      </c>
      <c r="AA38" s="523" t="s">
        <v>212</v>
      </c>
      <c r="AB38" s="246"/>
      <c r="AC38" s="523" t="s">
        <v>212</v>
      </c>
      <c r="AD38" s="246"/>
      <c r="AE38" s="523" t="s">
        <v>213</v>
      </c>
      <c r="AF38" s="246"/>
      <c r="AG38" s="523" t="s">
        <v>213</v>
      </c>
    </row>
    <row r="39" spans="11:33">
      <c r="S39" s="171"/>
      <c r="T39" s="246"/>
      <c r="U39" s="171"/>
      <c r="V39" s="246"/>
      <c r="W39" s="171"/>
      <c r="X39" s="246"/>
      <c r="Y39" s="171"/>
      <c r="AA39" s="171"/>
      <c r="AB39" s="246"/>
      <c r="AC39" s="171"/>
      <c r="AD39" s="246"/>
      <c r="AE39" s="171"/>
      <c r="AF39" s="246"/>
      <c r="AG39" s="171"/>
    </row>
    <row r="40" spans="11:33">
      <c r="S40" s="167" t="s">
        <v>168</v>
      </c>
      <c r="T40" s="246"/>
      <c r="U40" s="167" t="s">
        <v>168</v>
      </c>
      <c r="V40" s="246"/>
      <c r="W40" s="167" t="s">
        <v>168</v>
      </c>
      <c r="X40" s="246"/>
      <c r="Y40" s="167" t="s">
        <v>168</v>
      </c>
      <c r="AA40" s="167" t="s">
        <v>168</v>
      </c>
      <c r="AB40" s="246"/>
      <c r="AC40" s="167" t="s">
        <v>168</v>
      </c>
      <c r="AD40" s="246"/>
      <c r="AE40" s="167" t="s">
        <v>168</v>
      </c>
      <c r="AF40" s="246"/>
      <c r="AG40" s="167" t="s">
        <v>168</v>
      </c>
    </row>
    <row r="41" spans="11:33">
      <c r="S41" s="720" t="s">
        <v>214</v>
      </c>
      <c r="T41" s="246"/>
      <c r="U41" s="720" t="s">
        <v>214</v>
      </c>
      <c r="V41" s="246"/>
      <c r="W41" s="720" t="s">
        <v>214</v>
      </c>
      <c r="X41" s="246"/>
      <c r="Y41" s="720" t="s">
        <v>214</v>
      </c>
      <c r="AA41" s="771" t="s">
        <v>215</v>
      </c>
      <c r="AB41" s="246"/>
      <c r="AC41" s="720" t="s">
        <v>215</v>
      </c>
      <c r="AD41" s="246"/>
      <c r="AE41" s="720" t="s">
        <v>215</v>
      </c>
      <c r="AF41" s="246"/>
      <c r="AG41" s="720" t="s">
        <v>215</v>
      </c>
    </row>
    <row r="42" spans="11:33">
      <c r="S42" s="254"/>
      <c r="T42" s="246"/>
      <c r="U42" s="246"/>
      <c r="V42" s="246"/>
      <c r="W42" s="246"/>
      <c r="X42" s="246"/>
      <c r="Y42" s="253"/>
      <c r="AA42" s="254"/>
      <c r="AB42" s="246"/>
      <c r="AC42" s="246"/>
      <c r="AD42" s="246"/>
      <c r="AE42" s="246"/>
      <c r="AF42" s="246"/>
      <c r="AG42" s="253"/>
    </row>
    <row r="43" spans="11:33">
      <c r="S43" s="201" t="s">
        <v>216</v>
      </c>
      <c r="T43" s="246"/>
      <c r="U43" s="201" t="s">
        <v>216</v>
      </c>
      <c r="V43" s="246"/>
      <c r="W43" s="201" t="s">
        <v>216</v>
      </c>
      <c r="X43" s="246"/>
      <c r="Y43" s="201" t="s">
        <v>216</v>
      </c>
      <c r="AA43" s="201" t="s">
        <v>217</v>
      </c>
      <c r="AB43" s="246"/>
      <c r="AC43" s="201" t="s">
        <v>216</v>
      </c>
      <c r="AD43" s="246"/>
      <c r="AE43" s="201" t="s">
        <v>216</v>
      </c>
      <c r="AF43" s="246"/>
      <c r="AG43" s="201" t="s">
        <v>216</v>
      </c>
    </row>
    <row r="44" spans="11:33">
      <c r="S44" s="199" t="s">
        <v>189</v>
      </c>
      <c r="T44" s="248"/>
      <c r="U44" s="199" t="s">
        <v>189</v>
      </c>
      <c r="V44" s="248"/>
      <c r="W44" s="199" t="s">
        <v>189</v>
      </c>
      <c r="X44" s="248"/>
      <c r="Y44" s="199" t="s">
        <v>189</v>
      </c>
      <c r="AA44" s="770" t="s">
        <v>218</v>
      </c>
      <c r="AB44" s="248"/>
      <c r="AC44" s="770" t="s">
        <v>219</v>
      </c>
      <c r="AD44" s="248"/>
      <c r="AE44" s="770" t="s">
        <v>219</v>
      </c>
      <c r="AF44" s="248"/>
      <c r="AG44" s="770" t="s">
        <v>218</v>
      </c>
    </row>
    <row r="46" spans="11:33" ht="15" customHeight="1">
      <c r="S46" s="896" t="s">
        <v>220</v>
      </c>
      <c r="T46" s="897"/>
      <c r="U46" s="898"/>
      <c r="W46" s="896" t="s">
        <v>221</v>
      </c>
      <c r="X46" s="897"/>
      <c r="Y46" s="898"/>
      <c r="AA46" s="896" t="s">
        <v>220</v>
      </c>
      <c r="AB46" s="897"/>
      <c r="AC46" s="898"/>
      <c r="AE46" s="896" t="s">
        <v>221</v>
      </c>
      <c r="AF46" s="897"/>
      <c r="AG46" s="898"/>
    </row>
  </sheetData>
  <mergeCells count="13">
    <mergeCell ref="A1:A2"/>
    <mergeCell ref="C1:G2"/>
    <mergeCell ref="W46:Y46"/>
    <mergeCell ref="S46:U46"/>
    <mergeCell ref="K1:Q2"/>
    <mergeCell ref="S1:Y2"/>
    <mergeCell ref="I1:I2"/>
    <mergeCell ref="AE1:AE2"/>
    <mergeCell ref="AC1:AC2"/>
    <mergeCell ref="AA1:AB2"/>
    <mergeCell ref="AF1:AG2"/>
    <mergeCell ref="AA46:AC46"/>
    <mergeCell ref="AE46:AG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Q52"/>
  <sheetViews>
    <sheetView workbookViewId="0">
      <selection activeCell="G28" sqref="G28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8.25" customWidth="1"/>
    <col min="5" max="5" width="9.375" customWidth="1"/>
    <col min="6" max="6" width="9.5" customWidth="1"/>
    <col min="7" max="7" width="12.5" customWidth="1"/>
    <col min="8" max="8" width="8.625" customWidth="1"/>
    <col min="9" max="9" width="9.75" customWidth="1"/>
    <col min="10" max="10" width="14" customWidth="1"/>
    <col min="11" max="11" width="13.125" customWidth="1"/>
    <col min="12" max="12" width="4.125" customWidth="1"/>
    <col min="13" max="13" width="33.375" customWidth="1"/>
    <col min="14" max="14" width="2.5" customWidth="1"/>
    <col min="15" max="15" width="37.5" customWidth="1"/>
    <col min="16" max="16" width="1.75" customWidth="1"/>
    <col min="17" max="17" width="32.5" customWidth="1"/>
  </cols>
  <sheetData>
    <row r="1" spans="1:17" ht="26.1" customHeight="1">
      <c r="A1" s="907" t="s">
        <v>222</v>
      </c>
      <c r="B1" s="907"/>
      <c r="C1" s="919" t="s">
        <v>20</v>
      </c>
      <c r="D1" s="908" t="s">
        <v>1</v>
      </c>
      <c r="E1" s="910" t="s">
        <v>2</v>
      </c>
      <c r="F1" s="912" t="s">
        <v>3</v>
      </c>
      <c r="G1" s="917" t="s">
        <v>223</v>
      </c>
      <c r="H1" s="913" t="s">
        <v>31</v>
      </c>
      <c r="I1" s="913" t="s">
        <v>224</v>
      </c>
      <c r="J1" s="913" t="s">
        <v>5</v>
      </c>
      <c r="K1" s="915" t="s">
        <v>6</v>
      </c>
    </row>
    <row r="2" spans="1:17" ht="37.5" customHeight="1">
      <c r="A2" s="907"/>
      <c r="B2" s="907"/>
      <c r="C2" s="920"/>
      <c r="D2" s="909"/>
      <c r="E2" s="911"/>
      <c r="F2" s="912"/>
      <c r="G2" s="918"/>
      <c r="H2" s="914"/>
      <c r="I2" s="914"/>
      <c r="J2" s="914"/>
      <c r="K2" s="916"/>
      <c r="M2" s="901" t="s">
        <v>225</v>
      </c>
      <c r="N2" s="902"/>
      <c r="O2" s="902"/>
      <c r="P2" s="902"/>
      <c r="Q2" s="903"/>
    </row>
    <row r="3" spans="1:17" ht="15.75" customHeight="1">
      <c r="A3" s="6">
        <v>1</v>
      </c>
      <c r="B3" s="14" t="s">
        <v>226</v>
      </c>
      <c r="C3" s="685">
        <v>2</v>
      </c>
      <c r="D3" s="682">
        <v>2</v>
      </c>
      <c r="E3" s="689"/>
      <c r="F3" s="687"/>
      <c r="G3" s="718" t="s">
        <v>38</v>
      </c>
      <c r="H3" s="719" t="s">
        <v>38</v>
      </c>
      <c r="I3" s="719" t="s">
        <v>38</v>
      </c>
      <c r="J3" s="734" t="s">
        <v>12</v>
      </c>
      <c r="K3" s="77"/>
      <c r="M3" s="904"/>
      <c r="N3" s="905"/>
      <c r="O3" s="905"/>
      <c r="P3" s="905"/>
      <c r="Q3" s="906"/>
    </row>
    <row r="4" spans="1:17" ht="15.75" customHeight="1">
      <c r="A4" s="4">
        <v>2</v>
      </c>
      <c r="B4" s="662" t="s">
        <v>227</v>
      </c>
      <c r="C4" s="686">
        <v>1</v>
      </c>
      <c r="D4" s="683">
        <v>2</v>
      </c>
      <c r="E4" s="690"/>
      <c r="F4" s="688"/>
      <c r="G4" s="716" t="s">
        <v>38</v>
      </c>
      <c r="H4" s="717" t="s">
        <v>38</v>
      </c>
      <c r="I4" s="717" t="s">
        <v>38</v>
      </c>
      <c r="J4" s="735" t="s">
        <v>12</v>
      </c>
      <c r="K4" s="78"/>
      <c r="M4" s="258" t="s">
        <v>138</v>
      </c>
      <c r="N4" s="262"/>
      <c r="O4" s="260" t="s">
        <v>228</v>
      </c>
      <c r="P4" s="262"/>
      <c r="Q4" s="276" t="s">
        <v>229</v>
      </c>
    </row>
    <row r="5" spans="1:17">
      <c r="A5" s="6">
        <v>3</v>
      </c>
      <c r="B5" s="662" t="s">
        <v>230</v>
      </c>
      <c r="C5" s="686">
        <v>2</v>
      </c>
      <c r="D5" s="682">
        <v>2</v>
      </c>
      <c r="E5" s="689"/>
      <c r="F5" s="687"/>
      <c r="G5" s="432" t="s">
        <v>38</v>
      </c>
      <c r="H5" s="34" t="s">
        <v>38</v>
      </c>
      <c r="I5" s="34" t="s">
        <v>38</v>
      </c>
      <c r="J5" s="736" t="s">
        <v>89</v>
      </c>
      <c r="K5" s="79"/>
      <c r="M5" s="283"/>
      <c r="N5" s="246"/>
      <c r="O5" s="284"/>
      <c r="P5" s="246"/>
      <c r="Q5" s="285"/>
    </row>
    <row r="6" spans="1:17">
      <c r="A6" s="4">
        <v>4</v>
      </c>
      <c r="B6" s="15" t="s">
        <v>231</v>
      </c>
      <c r="C6" s="12">
        <v>1</v>
      </c>
      <c r="D6" s="683">
        <v>2</v>
      </c>
      <c r="E6" s="690"/>
      <c r="F6" s="688"/>
      <c r="G6" s="433"/>
      <c r="H6" s="35"/>
      <c r="I6" s="35" t="s">
        <v>38</v>
      </c>
      <c r="J6" s="325" t="s">
        <v>52</v>
      </c>
      <c r="K6" s="78"/>
      <c r="M6" s="286" t="s">
        <v>162</v>
      </c>
      <c r="N6" s="250"/>
      <c r="O6" s="286" t="s">
        <v>162</v>
      </c>
      <c r="P6" s="250"/>
      <c r="Q6" s="287" t="s">
        <v>162</v>
      </c>
    </row>
    <row r="7" spans="1:17">
      <c r="A7" s="6">
        <v>5</v>
      </c>
      <c r="B7" s="14" t="s">
        <v>232</v>
      </c>
      <c r="C7" s="685">
        <v>1</v>
      </c>
      <c r="D7" s="682">
        <v>2</v>
      </c>
      <c r="E7" s="689"/>
      <c r="F7" s="687"/>
      <c r="G7" s="432"/>
      <c r="H7" s="34" t="s">
        <v>38</v>
      </c>
      <c r="I7" s="34" t="s">
        <v>38</v>
      </c>
      <c r="J7" s="324" t="s">
        <v>40</v>
      </c>
      <c r="K7" s="79" t="s">
        <v>233</v>
      </c>
      <c r="M7" s="594" t="s">
        <v>227</v>
      </c>
      <c r="N7" s="264"/>
      <c r="O7" s="594" t="s">
        <v>227</v>
      </c>
      <c r="P7" s="264"/>
      <c r="Q7" s="594" t="s">
        <v>227</v>
      </c>
    </row>
    <row r="8" spans="1:17">
      <c r="A8" s="4">
        <v>6</v>
      </c>
      <c r="B8" s="15" t="s">
        <v>234</v>
      </c>
      <c r="C8" s="12">
        <v>2</v>
      </c>
      <c r="D8" s="683">
        <v>2</v>
      </c>
      <c r="E8" s="690"/>
      <c r="F8" s="688"/>
      <c r="G8" s="433"/>
      <c r="H8" s="35" t="s">
        <v>38</v>
      </c>
      <c r="I8" s="35" t="s">
        <v>38</v>
      </c>
      <c r="J8" s="735" t="s">
        <v>75</v>
      </c>
      <c r="K8" s="78"/>
      <c r="M8" s="594" t="s">
        <v>232</v>
      </c>
      <c r="N8" s="264"/>
      <c r="O8" s="594" t="s">
        <v>232</v>
      </c>
      <c r="P8" s="264"/>
      <c r="Q8" s="594" t="s">
        <v>235</v>
      </c>
    </row>
    <row r="9" spans="1:17">
      <c r="A9" s="6">
        <v>7</v>
      </c>
      <c r="B9" s="662" t="s">
        <v>236</v>
      </c>
      <c r="C9" s="686">
        <v>2</v>
      </c>
      <c r="D9" s="682">
        <v>2</v>
      </c>
      <c r="E9" s="689"/>
      <c r="F9" s="687"/>
      <c r="G9" s="432"/>
      <c r="H9" s="34"/>
      <c r="I9" s="34" t="s">
        <v>38</v>
      </c>
      <c r="J9" s="735" t="s">
        <v>89</v>
      </c>
      <c r="K9" s="79"/>
      <c r="M9" s="594" t="s">
        <v>237</v>
      </c>
      <c r="N9" s="264"/>
      <c r="O9" s="760" t="s">
        <v>231</v>
      </c>
      <c r="P9" s="264"/>
      <c r="Q9" s="594" t="s">
        <v>238</v>
      </c>
    </row>
    <row r="10" spans="1:17">
      <c r="A10" s="4">
        <v>8</v>
      </c>
      <c r="B10" s="662" t="s">
        <v>239</v>
      </c>
      <c r="C10" s="686">
        <v>2</v>
      </c>
      <c r="D10" s="683">
        <v>2</v>
      </c>
      <c r="E10" s="690"/>
      <c r="F10" s="688"/>
      <c r="G10" s="433"/>
      <c r="H10" s="35" t="s">
        <v>38</v>
      </c>
      <c r="I10" s="35"/>
      <c r="J10" s="325" t="s">
        <v>12</v>
      </c>
      <c r="K10" s="78"/>
      <c r="M10" s="595" t="s">
        <v>240</v>
      </c>
      <c r="N10" s="264"/>
      <c r="O10" s="595" t="s">
        <v>240</v>
      </c>
      <c r="P10" s="264"/>
      <c r="Q10" s="595" t="s">
        <v>240</v>
      </c>
    </row>
    <row r="11" spans="1:17">
      <c r="A11" s="6">
        <v>9</v>
      </c>
      <c r="B11" s="662" t="s">
        <v>237</v>
      </c>
      <c r="C11" s="686">
        <v>1</v>
      </c>
      <c r="D11" s="682">
        <v>2</v>
      </c>
      <c r="E11" s="689"/>
      <c r="F11" s="687"/>
      <c r="G11" s="432"/>
      <c r="H11" s="34" t="s">
        <v>38</v>
      </c>
      <c r="I11" s="34"/>
      <c r="J11" s="675" t="s">
        <v>241</v>
      </c>
      <c r="K11" s="79"/>
      <c r="M11" s="144"/>
      <c r="N11" s="246"/>
      <c r="O11" s="144"/>
      <c r="P11" s="246"/>
      <c r="Q11" s="269"/>
    </row>
    <row r="12" spans="1:17">
      <c r="A12" s="4">
        <v>10</v>
      </c>
      <c r="B12" s="15" t="s">
        <v>235</v>
      </c>
      <c r="C12" s="12">
        <v>1</v>
      </c>
      <c r="D12" s="683">
        <v>2</v>
      </c>
      <c r="E12" s="690"/>
      <c r="F12" s="688"/>
      <c r="G12" s="433" t="s">
        <v>38</v>
      </c>
      <c r="H12" s="35"/>
      <c r="I12" s="35"/>
      <c r="J12" s="325" t="s">
        <v>10</v>
      </c>
      <c r="K12" s="78"/>
      <c r="M12" s="288" t="s">
        <v>165</v>
      </c>
      <c r="N12" s="250"/>
      <c r="O12" s="288" t="s">
        <v>165</v>
      </c>
      <c r="P12" s="250"/>
      <c r="Q12" s="289" t="s">
        <v>165</v>
      </c>
    </row>
    <row r="13" spans="1:17">
      <c r="A13" s="6">
        <v>11</v>
      </c>
      <c r="B13" s="14" t="s">
        <v>238</v>
      </c>
      <c r="C13" s="685">
        <v>1</v>
      </c>
      <c r="D13" s="682">
        <v>2</v>
      </c>
      <c r="E13" s="689"/>
      <c r="F13" s="687"/>
      <c r="G13" s="432" t="s">
        <v>38</v>
      </c>
      <c r="H13" s="34"/>
      <c r="I13" s="34"/>
      <c r="J13" s="324" t="s">
        <v>242</v>
      </c>
      <c r="K13" s="79"/>
      <c r="M13" s="596" t="s">
        <v>226</v>
      </c>
      <c r="N13" s="264"/>
      <c r="O13" s="596" t="s">
        <v>226</v>
      </c>
      <c r="P13" s="264"/>
      <c r="Q13" s="596" t="s">
        <v>226</v>
      </c>
    </row>
    <row r="14" spans="1:17">
      <c r="A14" s="4">
        <v>12</v>
      </c>
      <c r="B14" s="15" t="s">
        <v>243</v>
      </c>
      <c r="C14" s="12">
        <v>2</v>
      </c>
      <c r="D14" s="683">
        <v>2</v>
      </c>
      <c r="E14" s="690"/>
      <c r="F14" s="688"/>
      <c r="G14" s="433" t="s">
        <v>38</v>
      </c>
      <c r="H14" s="35"/>
      <c r="I14" s="35"/>
      <c r="J14" s="325" t="s">
        <v>10</v>
      </c>
      <c r="K14" s="78"/>
      <c r="M14" s="596" t="s">
        <v>230</v>
      </c>
      <c r="N14" s="264"/>
      <c r="O14" s="596" t="s">
        <v>230</v>
      </c>
      <c r="P14" s="264"/>
      <c r="Q14" s="596" t="s">
        <v>230</v>
      </c>
    </row>
    <row r="15" spans="1:17">
      <c r="A15" s="6">
        <v>13</v>
      </c>
      <c r="B15" s="14" t="s">
        <v>244</v>
      </c>
      <c r="C15" s="685">
        <v>2</v>
      </c>
      <c r="D15" s="682">
        <v>2</v>
      </c>
      <c r="E15" s="689"/>
      <c r="F15" s="687"/>
      <c r="G15" s="432" t="s">
        <v>38</v>
      </c>
      <c r="H15" s="34"/>
      <c r="I15" s="34"/>
      <c r="J15" s="324" t="s">
        <v>83</v>
      </c>
      <c r="K15" s="79"/>
      <c r="M15" s="596" t="s">
        <v>245</v>
      </c>
      <c r="N15" s="264"/>
      <c r="O15" s="596" t="s">
        <v>245</v>
      </c>
      <c r="P15" s="264"/>
      <c r="Q15" s="596" t="s">
        <v>244</v>
      </c>
    </row>
    <row r="16" spans="1:17">
      <c r="A16" s="4">
        <v>14</v>
      </c>
      <c r="B16" s="662" t="s">
        <v>240</v>
      </c>
      <c r="C16" s="686">
        <v>1</v>
      </c>
      <c r="D16" s="683">
        <v>2</v>
      </c>
      <c r="E16" s="690"/>
      <c r="F16" s="688"/>
      <c r="G16" s="433" t="s">
        <v>38</v>
      </c>
      <c r="H16" s="35" t="s">
        <v>38</v>
      </c>
      <c r="I16" s="35" t="s">
        <v>38</v>
      </c>
      <c r="J16" s="441" t="s">
        <v>79</v>
      </c>
      <c r="K16" s="78"/>
      <c r="M16" s="598" t="s">
        <v>239</v>
      </c>
      <c r="N16" s="264"/>
      <c r="O16" s="596" t="s">
        <v>236</v>
      </c>
      <c r="P16" s="264"/>
      <c r="Q16" s="598" t="s">
        <v>246</v>
      </c>
    </row>
    <row r="17" spans="1:17">
      <c r="A17" s="6">
        <v>15</v>
      </c>
      <c r="B17" s="662" t="s">
        <v>247</v>
      </c>
      <c r="C17" s="686">
        <v>3</v>
      </c>
      <c r="D17" s="682">
        <v>2</v>
      </c>
      <c r="E17" s="689"/>
      <c r="F17" s="687"/>
      <c r="G17" s="716" t="s">
        <v>38</v>
      </c>
      <c r="H17" s="717" t="s">
        <v>38</v>
      </c>
      <c r="I17" s="717" t="s">
        <v>38</v>
      </c>
      <c r="J17" s="675" t="s">
        <v>248</v>
      </c>
      <c r="K17" s="79"/>
      <c r="M17" s="252"/>
      <c r="N17" s="246"/>
      <c r="O17" s="246"/>
      <c r="P17" s="246"/>
      <c r="Q17" s="292"/>
    </row>
    <row r="18" spans="1:17">
      <c r="A18" s="4">
        <v>16</v>
      </c>
      <c r="B18" s="15"/>
      <c r="C18" s="12"/>
      <c r="D18" s="684"/>
      <c r="E18" s="691"/>
      <c r="F18" s="688"/>
      <c r="G18" s="526"/>
      <c r="H18" s="36"/>
      <c r="I18" s="36"/>
      <c r="J18" s="342"/>
      <c r="K18" s="80"/>
      <c r="M18" s="290" t="s">
        <v>168</v>
      </c>
      <c r="N18" s="250"/>
      <c r="O18" s="290" t="s">
        <v>168</v>
      </c>
      <c r="P18" s="250"/>
      <c r="Q18" s="291" t="s">
        <v>168</v>
      </c>
    </row>
    <row r="19" spans="1:17">
      <c r="M19" s="597" t="s">
        <v>249</v>
      </c>
      <c r="N19" s="248"/>
      <c r="O19" s="597" t="s">
        <v>249</v>
      </c>
      <c r="P19" s="248"/>
      <c r="Q19" s="597" t="s">
        <v>249</v>
      </c>
    </row>
    <row r="21" spans="1:17" ht="15.75" customHeight="1">
      <c r="B21" s="600" t="s">
        <v>18</v>
      </c>
      <c r="C21" s="600"/>
    </row>
    <row r="29" spans="1:17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1">
    <mergeCell ref="M2:Q3"/>
    <mergeCell ref="A1:B2"/>
    <mergeCell ref="D1:D2"/>
    <mergeCell ref="E1:E2"/>
    <mergeCell ref="F1:F2"/>
    <mergeCell ref="J1:J2"/>
    <mergeCell ref="K1:K2"/>
    <mergeCell ref="G1:G2"/>
    <mergeCell ref="H1:H2"/>
    <mergeCell ref="I1:I2"/>
    <mergeCell ref="C1:C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M7" r:id="rId1" xr:uid="{EC7DF01E-FE08-4C18-8663-F18A85C00EAC}"/>
    <hyperlink ref="M8" r:id="rId2" xr:uid="{E4AFBB96-143C-4A5F-B2A5-16D8523F551F}"/>
    <hyperlink ref="M10" r:id="rId3" xr:uid="{68D5B023-51A5-4BC5-BA7E-AF2F5065CB67}"/>
    <hyperlink ref="O7" r:id="rId4" xr:uid="{D2F7AD32-A220-46B7-A5AC-9F51F4E02DFF}"/>
    <hyperlink ref="O8" r:id="rId5" xr:uid="{0C12CC7B-F178-4C84-9517-DC3AA8C0DD2D}"/>
    <hyperlink ref="O10" r:id="rId6" xr:uid="{3DA7B630-80E4-496D-9C5D-97C509F4F433}"/>
    <hyperlink ref="Q7" r:id="rId7" xr:uid="{CCAD06D4-72F0-4120-AEA2-1843E60E2984}"/>
    <hyperlink ref="Q10" r:id="rId8" xr:uid="{4B938B54-0F07-447D-84DA-26C2E9527B59}"/>
    <hyperlink ref="M13" r:id="rId9" xr:uid="{193257BD-B451-4393-840E-80CA6AAD8ACE}"/>
    <hyperlink ref="M14" r:id="rId10" xr:uid="{F5F7137B-943D-4D53-B785-BF06FAD156D7}"/>
    <hyperlink ref="M15" r:id="rId11" xr:uid="{EB880287-F4A3-4839-9A7A-E118B02E2435}"/>
    <hyperlink ref="O13" r:id="rId12" xr:uid="{D8AC3B2A-64D1-4238-8F11-69DA293AD8A8}"/>
    <hyperlink ref="O14" r:id="rId13" xr:uid="{01EE5C20-D01B-43BD-8760-3A116C566418}"/>
    <hyperlink ref="Q13" r:id="rId14" xr:uid="{8BA35E0F-F21F-4A42-A62C-F6576AC13722}"/>
    <hyperlink ref="Q14" r:id="rId15" xr:uid="{A0DCC854-A6F2-459F-9C31-3249C511AF88}"/>
    <hyperlink ref="M19" r:id="rId16" xr:uid="{21D8A2B8-4F9A-47A4-8A92-4505D2F10721}"/>
    <hyperlink ref="O19" r:id="rId17" xr:uid="{03BA1690-D018-414F-95CA-8E1F8254747D}"/>
    <hyperlink ref="Q19" r:id="rId18" xr:uid="{CDCFB13D-1EFC-465E-996C-ED205937CF44}"/>
    <hyperlink ref="M16" r:id="rId19" xr:uid="{126D5BC3-E7E5-48CA-8A9D-4ACBE3309FD7}"/>
    <hyperlink ref="Q16" r:id="rId20" xr:uid="{56E5D541-C277-420B-A422-920F6AD9E5CA}"/>
    <hyperlink ref="Q8" r:id="rId21" xr:uid="{D901D14E-15CA-46A7-AA3A-1D7A33F3B8E8}"/>
    <hyperlink ref="Q15" r:id="rId22" xr:uid="{C7981CAA-DE6F-4A8C-A294-7E9B7B0089C7}"/>
    <hyperlink ref="Q9" r:id="rId23" xr:uid="{3CC5CA82-65F8-434F-B17B-8568457ECC41}"/>
    <hyperlink ref="O16" r:id="rId24" xr:uid="{B148564D-AF7B-4E35-81FD-A084CCA9C17C}"/>
    <hyperlink ref="B21" r:id="rId25" location="tabs-tree-start" xr:uid="{B30B7964-527A-4D32-A166-A69C181DF5FB}"/>
    <hyperlink ref="M9" r:id="rId26" xr:uid="{CF2F3010-58EB-4F70-9974-5B9860401983}"/>
    <hyperlink ref="O9" r:id="rId27" xr:uid="{2D83158A-DCC4-4ECE-AEE8-D70B10C70784}"/>
    <hyperlink ref="O15" r:id="rId28" xr:uid="{809EE96B-5F08-48E6-8683-CC65EFBD217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J51"/>
  <sheetViews>
    <sheetView workbookViewId="0">
      <selection activeCell="I14" sqref="I14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10" ht="26.1" customHeight="1">
      <c r="A1" s="836" t="s">
        <v>250</v>
      </c>
      <c r="B1" s="837"/>
      <c r="C1" s="927" t="s">
        <v>251</v>
      </c>
      <c r="D1" s="925" t="s">
        <v>1</v>
      </c>
      <c r="E1" s="910" t="s">
        <v>2</v>
      </c>
      <c r="F1" s="848" t="s">
        <v>3</v>
      </c>
      <c r="G1" s="917" t="s">
        <v>5</v>
      </c>
      <c r="H1" s="921" t="s">
        <v>6</v>
      </c>
      <c r="I1" s="922"/>
    </row>
    <row r="2" spans="1:10" ht="30" customHeight="1">
      <c r="A2" s="838"/>
      <c r="B2" s="839"/>
      <c r="C2" s="928"/>
      <c r="D2" s="926"/>
      <c r="E2" s="911"/>
      <c r="F2" s="849"/>
      <c r="G2" s="918"/>
      <c r="H2" s="923"/>
      <c r="I2" s="924"/>
    </row>
    <row r="3" spans="1:10">
      <c r="A3" s="38">
        <v>1</v>
      </c>
      <c r="B3" s="604" t="s">
        <v>252</v>
      </c>
      <c r="C3" s="59" t="s">
        <v>253</v>
      </c>
      <c r="D3" s="241"/>
      <c r="E3" s="62"/>
      <c r="F3" s="81"/>
      <c r="G3" s="674" t="s">
        <v>115</v>
      </c>
      <c r="H3" s="19" t="s">
        <v>79</v>
      </c>
      <c r="I3" s="65"/>
    </row>
    <row r="4" spans="1:10">
      <c r="A4" s="37">
        <v>2</v>
      </c>
      <c r="B4" s="528" t="s">
        <v>254</v>
      </c>
      <c r="C4" s="60" t="s">
        <v>253</v>
      </c>
      <c r="D4" s="242"/>
      <c r="E4" s="61"/>
      <c r="F4" s="82"/>
      <c r="G4" s="47" t="s">
        <v>88</v>
      </c>
      <c r="H4" s="777" t="s">
        <v>255</v>
      </c>
      <c r="I4" s="715"/>
    </row>
    <row r="5" spans="1:10">
      <c r="A5" s="38">
        <v>3</v>
      </c>
      <c r="B5" s="604" t="s">
        <v>249</v>
      </c>
      <c r="C5" s="59" t="s">
        <v>256</v>
      </c>
      <c r="D5" s="241"/>
      <c r="E5" s="62"/>
      <c r="F5" s="81"/>
      <c r="G5" s="674" t="s">
        <v>248</v>
      </c>
      <c r="H5" s="19"/>
      <c r="I5" s="65"/>
    </row>
    <row r="6" spans="1:10" ht="15">
      <c r="A6" s="37">
        <v>4</v>
      </c>
      <c r="B6" s="528" t="s">
        <v>257</v>
      </c>
      <c r="C6" s="60" t="s">
        <v>258</v>
      </c>
      <c r="D6" s="242"/>
      <c r="E6" s="61"/>
      <c r="F6" s="82"/>
      <c r="G6" s="47" t="s">
        <v>77</v>
      </c>
      <c r="H6" s="17" t="s">
        <v>248</v>
      </c>
      <c r="I6" s="66"/>
    </row>
    <row r="7" spans="1:10">
      <c r="A7" s="67">
        <v>5</v>
      </c>
      <c r="B7" s="599" t="s">
        <v>259</v>
      </c>
      <c r="C7" s="275" t="s">
        <v>258</v>
      </c>
      <c r="D7" s="243"/>
      <c r="E7" s="68"/>
      <c r="F7" s="83"/>
      <c r="G7" s="84" t="s">
        <v>54</v>
      </c>
      <c r="H7" s="69" t="s">
        <v>255</v>
      </c>
      <c r="I7" s="69"/>
      <c r="J7" s="681"/>
    </row>
    <row r="10" spans="1:10" ht="15.75" customHeight="1">
      <c r="B10" s="600" t="s">
        <v>18</v>
      </c>
    </row>
    <row r="29" spans="1:1" ht="15">
      <c r="A29" s="5"/>
    </row>
    <row r="51" spans="1:1" ht="15">
      <c r="A51" s="1"/>
    </row>
  </sheetData>
  <mergeCells count="7"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F62"/>
  <sheetViews>
    <sheetView workbookViewId="0">
      <selection activeCell="G18" sqref="G18"/>
    </sheetView>
  </sheetViews>
  <sheetFormatPr defaultRowHeight="15.75" customHeight="1"/>
  <cols>
    <col min="1" max="1" width="4.125" customWidth="1"/>
    <col min="2" max="2" width="24.6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1.5" customWidth="1"/>
    <col min="14" max="14" width="6.25" customWidth="1"/>
    <col min="15" max="15" width="6.125" customWidth="1"/>
    <col min="16" max="16" width="1.5" customWidth="1"/>
    <col min="17" max="17" width="11.625" customWidth="1"/>
    <col min="18" max="18" width="4.625" style="699" customWidth="1"/>
    <col min="19" max="19" width="8.25" customWidth="1"/>
    <col min="20" max="20" width="6" customWidth="1"/>
    <col min="21" max="21" width="5.625" customWidth="1"/>
    <col min="22" max="22" width="6.125" customWidth="1"/>
    <col min="23" max="23" width="6" customWidth="1"/>
    <col min="24" max="24" width="5.5" customWidth="1"/>
    <col min="25" max="25" width="5.75" customWidth="1"/>
    <col min="26" max="26" width="12.125" customWidth="1"/>
    <col min="27" max="27" width="3.875" customWidth="1"/>
    <col min="34" max="34" width="11.75" customWidth="1"/>
  </cols>
  <sheetData>
    <row r="1" spans="1:26" ht="15.75" customHeight="1">
      <c r="A1" s="929" t="s">
        <v>260</v>
      </c>
      <c r="B1" s="1026"/>
      <c r="C1" s="932" t="s">
        <v>129</v>
      </c>
      <c r="D1" s="1029"/>
      <c r="E1" s="931" t="s">
        <v>19</v>
      </c>
      <c r="F1" s="1027"/>
      <c r="G1" s="933" t="s">
        <v>222</v>
      </c>
      <c r="H1" s="1031"/>
      <c r="I1" s="934" t="s">
        <v>137</v>
      </c>
      <c r="J1" s="1047"/>
      <c r="K1" s="1052" t="s">
        <v>261</v>
      </c>
      <c r="L1" s="1053"/>
      <c r="M1" s="731"/>
      <c r="N1" s="941" t="s">
        <v>262</v>
      </c>
      <c r="O1" s="942"/>
      <c r="P1" s="676"/>
      <c r="Q1" s="866" t="s">
        <v>263</v>
      </c>
      <c r="R1" s="700"/>
      <c r="S1" s="938" t="s">
        <v>264</v>
      </c>
      <c r="T1" s="939"/>
      <c r="U1" s="939"/>
      <c r="V1" s="939"/>
      <c r="W1" s="939"/>
      <c r="X1" s="939"/>
      <c r="Y1" s="939"/>
      <c r="Z1" s="940"/>
    </row>
    <row r="2" spans="1:26" ht="20.25" customHeight="1">
      <c r="A2" s="930"/>
      <c r="B2" s="930"/>
      <c r="C2" s="26" t="s">
        <v>265</v>
      </c>
      <c r="D2" s="448" t="s">
        <v>266</v>
      </c>
      <c r="E2" s="576" t="s">
        <v>265</v>
      </c>
      <c r="F2" s="577" t="s">
        <v>266</v>
      </c>
      <c r="G2" s="452" t="s">
        <v>265</v>
      </c>
      <c r="H2" s="458" t="s">
        <v>266</v>
      </c>
      <c r="I2" s="453" t="s">
        <v>265</v>
      </c>
      <c r="J2" s="27" t="s">
        <v>266</v>
      </c>
      <c r="K2" s="1054" t="s">
        <v>265</v>
      </c>
      <c r="L2" s="1055" t="s">
        <v>266</v>
      </c>
      <c r="M2" s="1"/>
      <c r="N2" s="732" t="s">
        <v>267</v>
      </c>
      <c r="O2" s="733" t="s">
        <v>268</v>
      </c>
      <c r="P2" s="1"/>
      <c r="Q2" s="943"/>
      <c r="R2" s="700"/>
      <c r="S2" s="244" t="s">
        <v>269</v>
      </c>
      <c r="T2" s="244" t="s">
        <v>270</v>
      </c>
      <c r="U2" s="244" t="s">
        <v>271</v>
      </c>
      <c r="V2" s="244" t="s">
        <v>272</v>
      </c>
      <c r="W2" s="244" t="s">
        <v>273</v>
      </c>
      <c r="X2" s="244" t="s">
        <v>274</v>
      </c>
      <c r="Y2" s="244" t="s">
        <v>275</v>
      </c>
      <c r="Z2" s="698" t="s">
        <v>276</v>
      </c>
    </row>
    <row r="3" spans="1:26">
      <c r="A3" s="703">
        <v>1</v>
      </c>
      <c r="B3" s="525" t="s">
        <v>277</v>
      </c>
      <c r="C3" s="28">
        <f>COUNTIF(Foundation!G3:G8, "Ajab")</f>
        <v>0</v>
      </c>
      <c r="D3" s="449"/>
      <c r="E3" s="578">
        <f>COUNTIF('UG Map L4-L6'!I3:I53, "Ajab")</f>
        <v>1</v>
      </c>
      <c r="F3" s="1041">
        <f>COUNTIF('UG Map L4-L6'!J3:J52, "Ajab")</f>
        <v>0</v>
      </c>
      <c r="G3" s="1032">
        <f>COUNTIF('PG Delivery &amp; Map (15 Credits)'!J3:J18, "Ajab")</f>
        <v>0</v>
      </c>
      <c r="H3" s="459"/>
      <c r="I3" s="454">
        <f>COUNTIF('PG MAIDS'!G3:G7, " ")</f>
        <v>0</v>
      </c>
      <c r="J3" s="29">
        <f>COUNTIF('PG MAIDS'!H3:H7, " ")+COUNTIF('PG MAIDS'!I3:I7, " ")</f>
        <v>0</v>
      </c>
      <c r="K3" s="1056">
        <f>SUM(C3+E3+G3+I3)</f>
        <v>1</v>
      </c>
      <c r="L3" s="1057">
        <f>SUM(D3+F3+H3+J3)</f>
        <v>0</v>
      </c>
      <c r="M3" s="679"/>
      <c r="N3" s="728" t="s">
        <v>278</v>
      </c>
      <c r="O3" s="730"/>
      <c r="P3" s="679"/>
      <c r="Q3" s="705" t="s">
        <v>111</v>
      </c>
      <c r="R3" s="700"/>
      <c r="S3" s="463"/>
      <c r="T3" s="463"/>
      <c r="U3" s="463"/>
      <c r="V3" s="463"/>
      <c r="W3" s="472">
        <v>1</v>
      </c>
      <c r="X3" s="472"/>
      <c r="Y3" s="472"/>
      <c r="Z3" s="471">
        <v>1</v>
      </c>
    </row>
    <row r="4" spans="1:26">
      <c r="A4" s="12">
        <v>2</v>
      </c>
      <c r="B4" s="678" t="s">
        <v>279</v>
      </c>
      <c r="C4" s="30">
        <f>COUNTIF(Foundation!G3:G8, "Andy")</f>
        <v>0</v>
      </c>
      <c r="D4" s="450"/>
      <c r="E4" s="446">
        <f>COUNTIF('UG Map L4-L6'!I3:I53, "Andy")</f>
        <v>0</v>
      </c>
      <c r="F4" s="1042">
        <f>COUNTIF('UG Map L4-L6'!J3:J52, "Andy")</f>
        <v>0</v>
      </c>
      <c r="G4" s="1033">
        <f>COUNTIF('PG Delivery &amp; Map (15 Credits)'!J3:J18, "Andy")</f>
        <v>0</v>
      </c>
      <c r="H4" s="460"/>
      <c r="I4" s="455">
        <f>COUNTIF('PG MAIDS'!G3:G7, " ")</f>
        <v>0</v>
      </c>
      <c r="J4" s="31">
        <f>COUNTIF('PG MAIDS'!H3:H7, " ")+COUNTIF('PG MAIDS'!I3:I7, " ")</f>
        <v>0</v>
      </c>
      <c r="K4" s="1056">
        <f>SUM(C4+E4+G4+I4)</f>
        <v>0</v>
      </c>
      <c r="L4" s="1057">
        <f t="shared" ref="L4:L17" si="0">SUM(D4+F4+H4+J4)</f>
        <v>0</v>
      </c>
      <c r="M4" s="679"/>
      <c r="N4" s="727"/>
      <c r="O4" s="724"/>
      <c r="P4" s="679"/>
      <c r="Q4" s="680" t="e">
        <f>SUM('Super Staff Cover'!#REF!)</f>
        <v>#REF!</v>
      </c>
      <c r="R4" s="700"/>
      <c r="S4" s="464"/>
      <c r="T4" s="464"/>
      <c r="U4" s="464"/>
      <c r="V4" s="464"/>
      <c r="W4" s="464">
        <v>1</v>
      </c>
      <c r="X4" s="464"/>
      <c r="Y4" s="464"/>
      <c r="Z4" s="41"/>
    </row>
    <row r="5" spans="1:26">
      <c r="A5" s="13">
        <v>3</v>
      </c>
      <c r="B5" s="19" t="s">
        <v>83</v>
      </c>
      <c r="C5" s="30">
        <f>COUNTIF(Foundation!G3:G8, "Anthony")</f>
        <v>0</v>
      </c>
      <c r="D5" s="450"/>
      <c r="E5" s="446">
        <f>COUNTIF('UG Map L4-L6'!I3:I53, "Anthony")</f>
        <v>2</v>
      </c>
      <c r="F5" s="1042">
        <f>COUNTIF('UG Map L4-L6'!J3:J52, "Anthony")</f>
        <v>0</v>
      </c>
      <c r="G5" s="1033">
        <f>COUNTIF('PG Delivery &amp; Map (15 Credits)'!J3:J18, "Anthony")</f>
        <v>1</v>
      </c>
      <c r="H5" s="460"/>
      <c r="I5" s="455">
        <f>COUNTIF('PG MAIDS'!G3:G7, " ")</f>
        <v>0</v>
      </c>
      <c r="J5" s="31">
        <f>COUNTIF('PG MAIDS'!H3:H7, " ")+COUNTIF('PG MAIDS'!I3:I7, " ")</f>
        <v>0</v>
      </c>
      <c r="K5" s="1056">
        <f t="shared" ref="K5:K17" si="1">SUM(C5+E5+G5+I5)</f>
        <v>3</v>
      </c>
      <c r="L5" s="1057">
        <f t="shared" si="0"/>
        <v>0</v>
      </c>
      <c r="M5" s="679"/>
      <c r="N5" s="728" t="s">
        <v>278</v>
      </c>
      <c r="O5" s="724" t="s">
        <v>278</v>
      </c>
      <c r="P5" s="679"/>
      <c r="Q5" s="680">
        <f>SUM('Super Staff Cover'!H4)</f>
        <v>10</v>
      </c>
      <c r="R5" s="700"/>
      <c r="S5" s="465"/>
      <c r="T5" s="465"/>
      <c r="U5" s="465"/>
      <c r="V5" s="465"/>
      <c r="W5" s="465">
        <v>0.5</v>
      </c>
      <c r="X5" s="465"/>
      <c r="Y5" s="465"/>
      <c r="Z5" s="42"/>
    </row>
    <row r="6" spans="1:26">
      <c r="A6" s="13">
        <v>4</v>
      </c>
      <c r="B6" s="776" t="s">
        <v>115</v>
      </c>
      <c r="C6" s="30">
        <f>COUNTIF(Foundation!G3:G8, "Bacha")</f>
        <v>0</v>
      </c>
      <c r="D6" s="450"/>
      <c r="E6" s="446">
        <f>COUNTIF('UG Map L4-L6'!I3:I53, "Bacha")</f>
        <v>1</v>
      </c>
      <c r="F6" s="1042">
        <f>COUNTIF('UG Map L4-L6'!J3:J52, "Bacha")</f>
        <v>0</v>
      </c>
      <c r="G6" s="1033">
        <f>COUNTIF('PG Delivery &amp; Map (15 Credits)'!J3:J18, "Bacha")</f>
        <v>0</v>
      </c>
      <c r="H6" s="460"/>
      <c r="I6" s="455">
        <f>COUNTIF('PG MAIDS'!G3:G7, "Bacha")</f>
        <v>1</v>
      </c>
      <c r="J6" s="31">
        <f>COUNTIF('PG MAIDS'!H3:H7, "Bacha")+COUNTIF('PG MAIDS'!I3:I7, "Bacha")</f>
        <v>0</v>
      </c>
      <c r="K6" s="1056">
        <f>SUM(C6+E6+G6+I6)</f>
        <v>2</v>
      </c>
      <c r="L6" s="1057">
        <f>SUM(D6+F6+H6+J6)</f>
        <v>0</v>
      </c>
      <c r="M6" s="679"/>
      <c r="N6" s="727"/>
      <c r="O6" s="724" t="s">
        <v>278</v>
      </c>
      <c r="P6" s="679"/>
      <c r="Q6" s="680">
        <f>SUM('Super Staff Cover'!H2)</f>
        <v>0</v>
      </c>
      <c r="R6" s="700"/>
      <c r="S6" s="465"/>
      <c r="T6" s="465"/>
      <c r="U6" s="465"/>
      <c r="V6" s="465">
        <v>1</v>
      </c>
      <c r="W6" s="465"/>
      <c r="X6" s="465"/>
      <c r="Y6" s="465"/>
      <c r="Z6" s="42"/>
    </row>
    <row r="7" spans="1:26">
      <c r="A7" s="13">
        <v>5</v>
      </c>
      <c r="B7" s="19" t="s">
        <v>75</v>
      </c>
      <c r="C7" s="30"/>
      <c r="D7" s="450"/>
      <c r="E7" s="446">
        <f>COUNTIF('UG Map L4-L6'!I4:I54, "Bode")</f>
        <v>0</v>
      </c>
      <c r="F7" s="1042">
        <f>COUNTIF('UG Map L4-L6'!K4:K54, "Bode")</f>
        <v>0</v>
      </c>
      <c r="G7" s="1033">
        <f>COUNTIF('PG Delivery &amp; Map (15 Credits)'!J4:J19, "Bode")</f>
        <v>1</v>
      </c>
      <c r="H7" s="460">
        <f>COUNTIF('PG Delivery &amp; Map (15 Credits)'!K2:K18, "Bode")</f>
        <v>0</v>
      </c>
      <c r="I7" s="455">
        <f>COUNTIF('PG MAIDS'!G3:G7, " ")</f>
        <v>0</v>
      </c>
      <c r="J7" s="31">
        <f>COUNTIF('PG MAIDS'!H3:H7, " ")+COUNTIF('PG MAIDS'!I3:I7, "Bode")</f>
        <v>0</v>
      </c>
      <c r="K7" s="1056">
        <f t="shared" si="1"/>
        <v>1</v>
      </c>
      <c r="L7" s="1057">
        <f t="shared" si="0"/>
        <v>0</v>
      </c>
      <c r="M7" s="679"/>
      <c r="N7" s="728" t="s">
        <v>278</v>
      </c>
      <c r="O7" s="724" t="s">
        <v>278</v>
      </c>
      <c r="P7" s="679"/>
      <c r="Q7" s="680">
        <f>SUM('Super Staff Cover'!H3)</f>
        <v>10</v>
      </c>
      <c r="R7" s="700"/>
      <c r="S7" s="465"/>
      <c r="T7" s="465"/>
      <c r="U7" s="465"/>
      <c r="V7" s="465"/>
      <c r="W7" s="465"/>
      <c r="X7" s="465"/>
      <c r="Y7" s="465"/>
      <c r="Z7" s="42"/>
    </row>
    <row r="8" spans="1:26">
      <c r="A8" s="13">
        <v>6</v>
      </c>
      <c r="B8" s="17" t="s">
        <v>8</v>
      </c>
      <c r="C8" s="30">
        <f>COUNTIF(Foundation!G3:G8, "Darren")</f>
        <v>1</v>
      </c>
      <c r="D8" s="450"/>
      <c r="E8" s="446">
        <f>COUNTIF('UG Map L4-L6'!I3:I53, "Darren")</f>
        <v>3</v>
      </c>
      <c r="F8" s="1042">
        <f>COUNTIF('UG Map L4-L6'!J3:J52, "Darren")</f>
        <v>0</v>
      </c>
      <c r="G8" s="1033">
        <f>COUNTIF('PG Delivery &amp; Map (15 Credits)'!J3:J18, "Darren")</f>
        <v>0</v>
      </c>
      <c r="H8" s="460"/>
      <c r="I8" s="455">
        <f>COUNTIF('PG MAIDS'!G3:G7, " ")</f>
        <v>0</v>
      </c>
      <c r="J8" s="31">
        <f>COUNTIF('PG MAIDS'!H3:H7, " ")+COUNTIF('PG MAIDS'!I3:I7, " ")</f>
        <v>0</v>
      </c>
      <c r="K8" s="1056">
        <f t="shared" si="1"/>
        <v>4</v>
      </c>
      <c r="L8" s="1057">
        <f t="shared" si="0"/>
        <v>0</v>
      </c>
      <c r="M8" s="679"/>
      <c r="N8" s="728" t="s">
        <v>278</v>
      </c>
      <c r="O8" s="724"/>
      <c r="P8" s="679"/>
      <c r="Q8" s="680">
        <f>SUM('Super Staff Cover'!H5)</f>
        <v>0</v>
      </c>
      <c r="R8" s="700"/>
      <c r="S8" s="464"/>
      <c r="T8" s="464"/>
      <c r="U8" s="464"/>
      <c r="V8" s="464"/>
      <c r="W8" s="464">
        <v>1</v>
      </c>
      <c r="X8" s="464"/>
      <c r="Y8" s="464"/>
      <c r="Z8" s="41"/>
    </row>
    <row r="9" spans="1:26">
      <c r="A9" s="13">
        <v>7</v>
      </c>
      <c r="B9" s="19" t="s">
        <v>88</v>
      </c>
      <c r="C9" s="30">
        <f>COUNTIF(Foundation!G3:G8, "Drishty")</f>
        <v>0</v>
      </c>
      <c r="D9" s="450"/>
      <c r="E9" s="446">
        <f>COUNTIF('UG Map L4-L6'!I3:I53, "Drishty")</f>
        <v>2</v>
      </c>
      <c r="F9" s="1042">
        <f>COUNTIF('UG Map L4-L6'!J3:J52, "Drishty")</f>
        <v>0</v>
      </c>
      <c r="G9" s="1033">
        <f>COUNTIF('PG Delivery &amp; Map (15 Credits)'!J3:J18, "Drishty")</f>
        <v>0</v>
      </c>
      <c r="H9" s="460"/>
      <c r="I9" s="456">
        <f>COUNTIF('PG MAIDS'!G3:G7, "Drishty")</f>
        <v>1</v>
      </c>
      <c r="J9" s="31">
        <f>COUNTIF('PG MAIDS'!H3:H7, "Drishty")+COUNTIF('PG MAIDS'!I3:I7, "Drishty")</f>
        <v>0</v>
      </c>
      <c r="K9" s="1056">
        <f t="shared" si="1"/>
        <v>3</v>
      </c>
      <c r="L9" s="1057">
        <f t="shared" si="0"/>
        <v>0</v>
      </c>
      <c r="M9" s="679"/>
      <c r="N9" s="728" t="s">
        <v>278</v>
      </c>
      <c r="O9" s="724" t="s">
        <v>278</v>
      </c>
      <c r="P9" s="679"/>
      <c r="Q9" s="680">
        <f>SUM('Super Staff Cover'!H6)</f>
        <v>8</v>
      </c>
      <c r="R9" s="700"/>
      <c r="S9" s="465"/>
      <c r="T9" s="465">
        <v>1</v>
      </c>
      <c r="U9" s="465"/>
      <c r="V9" s="465"/>
      <c r="W9" s="465">
        <v>1</v>
      </c>
      <c r="X9" s="465"/>
      <c r="Y9" s="465"/>
      <c r="Z9" s="42"/>
    </row>
    <row r="10" spans="1:26">
      <c r="A10" s="13">
        <v>8</v>
      </c>
      <c r="B10" s="677" t="s">
        <v>280</v>
      </c>
      <c r="C10" s="30">
        <f>COUNTIF(Foundation!G3:G8, "Taiwo")</f>
        <v>0</v>
      </c>
      <c r="D10" s="450"/>
      <c r="E10" s="446">
        <f>COUNTIF('UG Map L4-L6'!I3:I53, "Taiwo")</f>
        <v>1</v>
      </c>
      <c r="F10" s="1042">
        <f>COUNTIF('UG Map L4-L6'!J3:J52, "Taiwo")</f>
        <v>0</v>
      </c>
      <c r="G10" s="1033">
        <f>COUNTIF('PG Delivery &amp; Map (15 Credits)'!J3:J18, "Taiwo")</f>
        <v>1</v>
      </c>
      <c r="H10" s="460"/>
      <c r="I10" s="455">
        <f>COUNTIF('PG MAIDS'!G3:G7, "Taiwo")</f>
        <v>0</v>
      </c>
      <c r="J10" s="31">
        <f>COUNTIF('PG MAIDS'!H3:H7, "Taiwo")+COUNTIF('PG MAIDS'!I3:I7, "Taiwo")</f>
        <v>1</v>
      </c>
      <c r="K10" s="1056">
        <f t="shared" si="1"/>
        <v>2</v>
      </c>
      <c r="L10" s="1057">
        <f t="shared" si="0"/>
        <v>1</v>
      </c>
      <c r="M10" s="679"/>
      <c r="N10" s="728" t="s">
        <v>278</v>
      </c>
      <c r="O10" s="724"/>
      <c r="P10" s="679"/>
      <c r="Q10" s="680">
        <f>SUM('Super Staff Cover'!H21)</f>
        <v>0</v>
      </c>
      <c r="R10" s="700"/>
      <c r="S10" s="464"/>
      <c r="T10" s="464"/>
      <c r="U10" s="464"/>
      <c r="V10" s="464">
        <v>1</v>
      </c>
      <c r="W10" s="464"/>
      <c r="X10" s="464"/>
      <c r="Y10" s="464"/>
      <c r="Z10" s="41"/>
    </row>
    <row r="11" spans="1:26">
      <c r="A11" s="13">
        <v>9</v>
      </c>
      <c r="B11" s="17" t="s">
        <v>54</v>
      </c>
      <c r="C11" s="30">
        <f>COUNTIF(Foundation!G3:G8, "Jarutas")</f>
        <v>0</v>
      </c>
      <c r="D11" s="450"/>
      <c r="E11" s="446">
        <f>COUNTIF('UG Map L4-L6'!I3:I53, "Jarutas")</f>
        <v>1</v>
      </c>
      <c r="F11" s="1042">
        <f>COUNTIF('UG Map L4-L6'!J3:J52, "Jarutas")</f>
        <v>0</v>
      </c>
      <c r="G11" s="1033">
        <f>COUNTIF('PG Delivery &amp; Map (15 Credits)'!J3:J18, "Jarutas")</f>
        <v>0</v>
      </c>
      <c r="H11" s="460"/>
      <c r="I11" s="455">
        <f>COUNTIF('PG MAIDS'!G3:G7, "Jarutas")</f>
        <v>1</v>
      </c>
      <c r="J11" s="31">
        <f>COUNTIF('PG MAIDS'!H3:H7, "Jarutas")+COUNTIF('PG MAIDS'!I3:I7, "Jarutas")</f>
        <v>0</v>
      </c>
      <c r="K11" s="1056">
        <f t="shared" si="1"/>
        <v>2</v>
      </c>
      <c r="L11" s="1057">
        <f t="shared" si="0"/>
        <v>0</v>
      </c>
      <c r="M11" s="679"/>
      <c r="N11" s="728" t="s">
        <v>278</v>
      </c>
      <c r="O11" s="724" t="s">
        <v>278</v>
      </c>
      <c r="P11" s="679"/>
      <c r="Q11" s="680">
        <f>SUM('Super Staff Cover'!H8)</f>
        <v>8</v>
      </c>
      <c r="R11" s="700"/>
      <c r="S11" s="464"/>
      <c r="T11" s="464"/>
      <c r="U11" s="464"/>
      <c r="V11" s="464"/>
      <c r="W11" s="464">
        <v>1</v>
      </c>
      <c r="X11" s="464"/>
      <c r="Y11" s="464"/>
      <c r="Z11" s="41"/>
    </row>
    <row r="12" spans="1:26">
      <c r="A12" s="13">
        <v>10</v>
      </c>
      <c r="B12" s="17" t="s">
        <v>12</v>
      </c>
      <c r="C12" s="30">
        <f>COUNTIF(Foundation!G3:G8, "Kalin")</f>
        <v>2</v>
      </c>
      <c r="D12" s="450"/>
      <c r="E12" s="446">
        <f>COUNTIF('UG Map L4-L6'!I3:I53, "Kalin")</f>
        <v>2</v>
      </c>
      <c r="F12" s="1042">
        <f>COUNTIF('UG Map L4-L6'!J3:J52, "Joe")</f>
        <v>0</v>
      </c>
      <c r="G12" s="1033">
        <f>COUNTIF('PG Delivery &amp; Map (15 Credits)'!J3:J18, "Kalin")</f>
        <v>3</v>
      </c>
      <c r="H12" s="460"/>
      <c r="I12" s="455">
        <f>COUNTIF('PG MAIDS'!G3:G7, " ")</f>
        <v>0</v>
      </c>
      <c r="J12" s="31">
        <f>COUNTIF('PG MAIDS'!H3:H7, "kalin")+COUNTIF('PG MAIDS'!I3:I7, "kalin")</f>
        <v>0</v>
      </c>
      <c r="K12" s="1056">
        <f t="shared" si="1"/>
        <v>7</v>
      </c>
      <c r="L12" s="1057">
        <f t="shared" si="0"/>
        <v>0</v>
      </c>
      <c r="M12" s="679"/>
      <c r="N12" s="728" t="s">
        <v>278</v>
      </c>
      <c r="O12" s="724" t="s">
        <v>278</v>
      </c>
      <c r="P12" s="679"/>
      <c r="Q12" s="680">
        <f>SUM('Super Staff Cover'!H9)</f>
        <v>4</v>
      </c>
      <c r="R12" s="700"/>
      <c r="S12" s="464">
        <v>1</v>
      </c>
      <c r="T12" s="464"/>
      <c r="U12" s="464"/>
      <c r="V12" s="464"/>
      <c r="W12" s="464"/>
      <c r="X12" s="464"/>
      <c r="Y12" s="464"/>
      <c r="Z12" s="41"/>
    </row>
    <row r="13" spans="1:26">
      <c r="A13" s="13">
        <v>11</v>
      </c>
      <c r="B13" s="19" t="s">
        <v>281</v>
      </c>
      <c r="C13" s="30">
        <f>COUNTIF(Foundation!G3:G8, "Kenton")</f>
        <v>0</v>
      </c>
      <c r="D13" s="450"/>
      <c r="E13" s="446">
        <f>COUNTIF('UG Map L4-L6'!I3:I53, "Kenton")</f>
        <v>5</v>
      </c>
      <c r="F13" s="1042">
        <f>COUNTIF('UG Map L4-L6'!J3:J52, "Kenton")</f>
        <v>0</v>
      </c>
      <c r="G13" s="1033">
        <f>COUNTIF('PG Delivery &amp; Map (15 Credits)'!J3:J18, "Kenton")</f>
        <v>1</v>
      </c>
      <c r="H13" s="460"/>
      <c r="I13" s="455">
        <f>COUNTIF('PG MAIDS'!G3:G7, "Kenton")</f>
        <v>0</v>
      </c>
      <c r="J13" s="31">
        <f>COUNTIF('PG MAIDS'!H3:H7, " ")+COUNTIF('PG MAIDS'!I3:I7, " ")</f>
        <v>0</v>
      </c>
      <c r="K13" s="1056">
        <f t="shared" si="1"/>
        <v>6</v>
      </c>
      <c r="L13" s="1057">
        <f t="shared" si="0"/>
        <v>0</v>
      </c>
      <c r="M13" s="679"/>
      <c r="N13" s="728" t="s">
        <v>278</v>
      </c>
      <c r="O13" s="724" t="s">
        <v>278</v>
      </c>
      <c r="P13" s="679"/>
      <c r="Q13" s="680">
        <f>SUM('Super Staff Cover'!H11)</f>
        <v>2</v>
      </c>
      <c r="R13" s="700"/>
      <c r="S13" s="465"/>
      <c r="T13" s="465"/>
      <c r="U13" s="465"/>
      <c r="V13" s="465"/>
      <c r="W13" s="465"/>
      <c r="X13" s="465">
        <v>1</v>
      </c>
      <c r="Y13" s="465"/>
      <c r="Z13" s="42"/>
    </row>
    <row r="14" spans="1:26">
      <c r="A14" s="13">
        <v>12</v>
      </c>
      <c r="B14" s="191" t="s">
        <v>248</v>
      </c>
      <c r="C14" s="30"/>
      <c r="D14" s="450"/>
      <c r="E14" s="446">
        <f>COUNTIF('UG Map L4-L6'!I3:I53, "Kashif")</f>
        <v>0</v>
      </c>
      <c r="F14" s="1042">
        <f>COUNTIF('UG Map L4-L6'!J3:J52, "Kashif")</f>
        <v>0</v>
      </c>
      <c r="G14" s="1033">
        <f>COUNTIF('PG Delivery &amp; Map (15 Credits)'!J3:J18, "Kashif")</f>
        <v>1</v>
      </c>
      <c r="H14" s="460"/>
      <c r="I14" s="455">
        <f>COUNTIF('PG MAIDS'!G3:G7, "Kashif")</f>
        <v>1</v>
      </c>
      <c r="J14" s="31">
        <f>COUNTIF('PG MAIDS'!I3:I7, "Kashif")</f>
        <v>0</v>
      </c>
      <c r="K14" s="1056">
        <f>SUM(C14+E14+G14+I14)</f>
        <v>2</v>
      </c>
      <c r="L14" s="1057">
        <f t="shared" si="0"/>
        <v>0</v>
      </c>
      <c r="M14" s="679"/>
      <c r="N14" s="727"/>
      <c r="O14" s="724" t="s">
        <v>278</v>
      </c>
      <c r="P14" s="679"/>
      <c r="Q14" s="680">
        <f>SUM('Super Staff Cover'!H10)</f>
        <v>4</v>
      </c>
      <c r="R14" s="700"/>
      <c r="S14" s="465"/>
      <c r="T14" s="465"/>
      <c r="U14" s="465"/>
      <c r="V14" s="465"/>
      <c r="W14" s="465">
        <v>1</v>
      </c>
      <c r="X14" s="465"/>
      <c r="Y14" s="465"/>
      <c r="Z14" s="42"/>
    </row>
    <row r="15" spans="1:26">
      <c r="A15" s="13">
        <v>13</v>
      </c>
      <c r="B15" s="192" t="s">
        <v>282</v>
      </c>
      <c r="C15" s="30">
        <f>COUNTIF(Foundation!G3:G8, "Louise")</f>
        <v>1</v>
      </c>
      <c r="D15" s="450"/>
      <c r="E15" s="447">
        <f>COUNTIF('UG Map L4-L6'!I3:I53, "Louise")</f>
        <v>1</v>
      </c>
      <c r="F15" s="1042">
        <f>COUNTIF('UG Map L4-L6'!J3:J52, "Louise")</f>
        <v>0</v>
      </c>
      <c r="G15" s="1033">
        <f>COUNTIF('PG Delivery &amp; Map (15 Credits)'!J3:J18, "Louise")</f>
        <v>0</v>
      </c>
      <c r="H15" s="460">
        <f>COUNTIF('PG Delivery &amp; Map (15 Credits)'!K2:K18, "Louise")</f>
        <v>0</v>
      </c>
      <c r="I15" s="455">
        <f>COUNTIF('PG MAIDS'!G3:G7, " ")</f>
        <v>0</v>
      </c>
      <c r="J15" s="31">
        <f>COUNTIF('PG MAIDS'!H3:H7, " ")+COUNTIF('PG MAIDS'!I3:I7, " ")</f>
        <v>0</v>
      </c>
      <c r="K15" s="1056">
        <f t="shared" si="1"/>
        <v>2</v>
      </c>
      <c r="L15" s="1057">
        <f t="shared" si="0"/>
        <v>0</v>
      </c>
      <c r="M15" s="679"/>
      <c r="N15" s="728" t="s">
        <v>278</v>
      </c>
      <c r="O15" s="724"/>
      <c r="P15" s="679"/>
      <c r="Q15" s="705" t="s">
        <v>111</v>
      </c>
      <c r="R15" s="700"/>
      <c r="S15" s="466"/>
      <c r="T15" s="466"/>
      <c r="U15" s="466"/>
      <c r="V15" s="466">
        <v>1</v>
      </c>
      <c r="W15" s="466"/>
      <c r="X15" s="466"/>
      <c r="Y15" s="466"/>
      <c r="Z15" s="75">
        <v>1</v>
      </c>
    </row>
    <row r="16" spans="1:26">
      <c r="A16" s="13">
        <v>14</v>
      </c>
      <c r="B16" s="444" t="s">
        <v>10</v>
      </c>
      <c r="C16" s="32">
        <f>COUNTIF(Foundation!G3:G8, "Martin")</f>
        <v>1</v>
      </c>
      <c r="D16" s="451"/>
      <c r="E16" s="447">
        <f>COUNTIF('UG Map L4-L6'!I3:I53, "Martin")</f>
        <v>7</v>
      </c>
      <c r="F16" s="1042">
        <f>COUNTIF('UG Map L4-L6'!J3:J52, "Martin")</f>
        <v>0</v>
      </c>
      <c r="G16" s="1034">
        <f>COUNTIF('PG Delivery &amp; Map (15 Credits)'!J3:J18, "Martin")</f>
        <v>2</v>
      </c>
      <c r="H16" s="461"/>
      <c r="I16" s="457">
        <f>COUNTIF('PG MAIDS'!G3:G7, " ")</f>
        <v>0</v>
      </c>
      <c r="J16" s="301">
        <f>COUNTIF('PG MAIDS'!H3:H7, " ")+COUNTIF('PG MAIDS'!I3:I7, " ")</f>
        <v>0</v>
      </c>
      <c r="K16" s="1056">
        <f t="shared" si="1"/>
        <v>10</v>
      </c>
      <c r="L16" s="1057">
        <f t="shared" si="0"/>
        <v>0</v>
      </c>
      <c r="M16" s="679"/>
      <c r="N16" s="728" t="s">
        <v>278</v>
      </c>
      <c r="O16" s="724" t="s">
        <v>278</v>
      </c>
      <c r="P16" s="679"/>
      <c r="Q16" s="680">
        <f>SUM('Super Staff Cover'!H13)</f>
        <v>5</v>
      </c>
      <c r="R16" s="700"/>
      <c r="S16" s="467"/>
      <c r="T16" s="467">
        <v>1</v>
      </c>
      <c r="U16" s="467"/>
      <c r="V16" s="467"/>
      <c r="W16" s="467"/>
      <c r="X16" s="467"/>
      <c r="Y16" s="467"/>
      <c r="Z16" s="462"/>
    </row>
    <row r="17" spans="1:26">
      <c r="A17" s="13">
        <v>15</v>
      </c>
      <c r="B17" s="17" t="s">
        <v>283</v>
      </c>
      <c r="C17" s="621"/>
      <c r="D17" s="622"/>
      <c r="E17" s="623"/>
      <c r="F17" s="1043"/>
      <c r="G17" s="1035"/>
      <c r="H17" s="624"/>
      <c r="I17" s="625"/>
      <c r="J17" s="626">
        <f>COUNTIF('PG MAIDS'!H3:H7, " ")+COUNTIF('PG MAIDS'!I3:I7, " ")</f>
        <v>0</v>
      </c>
      <c r="K17" s="1056">
        <f t="shared" si="1"/>
        <v>0</v>
      </c>
      <c r="L17" s="1057">
        <f t="shared" si="0"/>
        <v>0</v>
      </c>
      <c r="M17" s="679"/>
      <c r="N17" s="727"/>
      <c r="O17" s="724"/>
      <c r="P17" s="679"/>
      <c r="Q17" s="680">
        <f>SUM('Super Staff Cover'!H12)</f>
        <v>10</v>
      </c>
      <c r="R17" s="700"/>
      <c r="S17" s="73"/>
      <c r="T17" s="73"/>
      <c r="U17" s="73"/>
      <c r="V17" s="73"/>
      <c r="W17" s="73"/>
      <c r="X17" s="73"/>
      <c r="Y17" s="73"/>
      <c r="Z17" s="149"/>
    </row>
    <row r="18" spans="1:26" s="681" customFormat="1">
      <c r="A18" s="13">
        <v>16</v>
      </c>
      <c r="B18" s="445" t="s">
        <v>284</v>
      </c>
      <c r="C18" s="707">
        <f>COUNTIF(Foundation!G3:G8, "Mike")</f>
        <v>0</v>
      </c>
      <c r="D18" s="708"/>
      <c r="E18" s="709">
        <f>COUNTIF('UG Map L4-L6'!I3:I53, "Mike")</f>
        <v>0</v>
      </c>
      <c r="F18" s="1044">
        <f>COUNTIF('UG Map L4-L6'!J3:J52, "Mike")</f>
        <v>3</v>
      </c>
      <c r="G18" s="1036">
        <f>COUNTIF('PG Delivery &amp; Map (15 Credits)'!J3:J18, "Mike")</f>
        <v>0</v>
      </c>
      <c r="H18" s="710"/>
      <c r="I18" s="711">
        <f>COUNTIF('PG MAIDS'!G3:G7, " ")</f>
        <v>0</v>
      </c>
      <c r="J18" s="712">
        <f>COUNTIF('PG MAIDS'!H3:H7, " ")+COUNTIF('PG MAIDS'!I3:I7, " ")</f>
        <v>0</v>
      </c>
      <c r="K18" s="1058">
        <f>SUM(C18+E18+G18+I18)</f>
        <v>0</v>
      </c>
      <c r="L18" s="1059">
        <f>SUM(D18+F18+H18+J18)</f>
        <v>3</v>
      </c>
      <c r="M18" s="704"/>
      <c r="N18" s="728" t="s">
        <v>278</v>
      </c>
      <c r="O18" s="725"/>
      <c r="P18" s="704"/>
      <c r="Q18" s="705" t="s">
        <v>111</v>
      </c>
      <c r="R18" s="706"/>
      <c r="S18" s="472"/>
      <c r="T18" s="472"/>
      <c r="U18" s="472"/>
      <c r="V18" s="472"/>
      <c r="W18" s="472"/>
      <c r="X18" s="472"/>
      <c r="Y18" s="472">
        <v>1</v>
      </c>
      <c r="Z18" s="471"/>
    </row>
    <row r="19" spans="1:26">
      <c r="A19" s="13">
        <v>17</v>
      </c>
      <c r="B19" s="19" t="s">
        <v>43</v>
      </c>
      <c r="C19" s="32">
        <f>COUNTIF(Foundation!G3:G8, "Neville")</f>
        <v>0</v>
      </c>
      <c r="D19" s="451"/>
      <c r="E19" s="447">
        <f>COUNTIF('UG Map L4-L6'!I3:I53, "Neville")</f>
        <v>5</v>
      </c>
      <c r="F19" s="1042">
        <f>COUNTIF('UG Map L4-L6'!J3:J52, "Neville")</f>
        <v>0</v>
      </c>
      <c r="G19" s="1033">
        <f>COUNTIF('PG Delivery &amp; Map (15 Credits)'!J3:J18, "Neville")</f>
        <v>0</v>
      </c>
      <c r="H19" s="460"/>
      <c r="I19" s="455">
        <f>COUNTIF('PG MAIDS'!G3:G7, " ")</f>
        <v>0</v>
      </c>
      <c r="J19" s="31">
        <f>COUNTIF('PG MAIDS'!H3:H7, " ")+COUNTIF('PG MAIDS'!I3:I7, " ")</f>
        <v>0</v>
      </c>
      <c r="K19" s="1056">
        <f>SUM(C19+E19+G19+I19)</f>
        <v>5</v>
      </c>
      <c r="L19" s="1057">
        <f>SUM(D19+F19+H19+J19)</f>
        <v>0</v>
      </c>
      <c r="M19" s="679"/>
      <c r="N19" s="728" t="s">
        <v>278</v>
      </c>
      <c r="O19" s="724"/>
      <c r="P19" s="679"/>
      <c r="Q19" s="680">
        <f>SUM('Super Staff Cover'!H16)</f>
        <v>0</v>
      </c>
      <c r="R19" s="700"/>
      <c r="S19" s="464"/>
      <c r="T19" s="464"/>
      <c r="U19" s="464">
        <v>0.5</v>
      </c>
      <c r="V19" s="464"/>
      <c r="W19" s="464"/>
      <c r="X19" s="464"/>
      <c r="Y19" s="464"/>
      <c r="Z19" s="41"/>
    </row>
    <row r="20" spans="1:26">
      <c r="A20" s="13">
        <v>18</v>
      </c>
      <c r="B20" s="17" t="s">
        <v>59</v>
      </c>
      <c r="C20" s="33">
        <f>COUNTIF(Foundation!G3:G8, "Nick")</f>
        <v>0</v>
      </c>
      <c r="D20" s="450"/>
      <c r="E20" s="447">
        <f>COUNTIF('UG Map L4-L6'!I3:I53, "Nick")</f>
        <v>6</v>
      </c>
      <c r="F20" s="1042">
        <f>COUNTIF('UG Map L4-L6'!J3:J52, "Nick")</f>
        <v>0</v>
      </c>
      <c r="G20" s="1033">
        <f>COUNTIF('PG Delivery &amp; Map (15 Credits)'!J3:J18, "Nick")</f>
        <v>0</v>
      </c>
      <c r="H20" s="460"/>
      <c r="I20" s="455">
        <f>COUNTIF('PG MAIDS'!G3:G7, " ")</f>
        <v>0</v>
      </c>
      <c r="J20" s="31">
        <f>COUNTIF('PG MAIDS'!H3:H7, " ")+COUNTIF('PG MAIDS'!I3:I7, " ")</f>
        <v>0</v>
      </c>
      <c r="K20" s="1056">
        <f>SUM(C20+E20+G20+I20)</f>
        <v>6</v>
      </c>
      <c r="L20" s="1057">
        <f>SUM(D20+F20+H20+J20)</f>
        <v>0</v>
      </c>
      <c r="M20" s="679"/>
      <c r="N20" s="728" t="s">
        <v>278</v>
      </c>
      <c r="O20" s="724"/>
      <c r="P20" s="679"/>
      <c r="Q20" s="680">
        <f>SUM('Super Staff Cover'!H15)</f>
        <v>4</v>
      </c>
      <c r="R20" s="700"/>
      <c r="S20" s="465"/>
      <c r="T20" s="465"/>
      <c r="U20" s="465">
        <v>1</v>
      </c>
      <c r="V20" s="465"/>
      <c r="W20" s="465"/>
      <c r="X20" s="465"/>
      <c r="Y20" s="465"/>
      <c r="Z20" s="42"/>
    </row>
    <row r="21" spans="1:26">
      <c r="A21" s="13">
        <v>19</v>
      </c>
      <c r="B21" s="19" t="s">
        <v>285</v>
      </c>
      <c r="C21" s="33">
        <f>COUNTIF(Foundation!G3:G8, "Pengfei")</f>
        <v>0</v>
      </c>
      <c r="D21" s="450"/>
      <c r="E21" s="447">
        <f>COUNTIF('UG Map L4-L6'!I3:I53, "Pengfei")</f>
        <v>0</v>
      </c>
      <c r="F21" s="1042">
        <f>COUNTIF('UG Map L4-L6'!J3:J52, "Pengfei")</f>
        <v>3</v>
      </c>
      <c r="G21" s="1034">
        <f>COUNTIF('PG Delivery &amp; Map (15 Credits)'!J3:J18, "Pengfei")</f>
        <v>2</v>
      </c>
      <c r="H21" s="460"/>
      <c r="I21" s="455">
        <f>COUNTIF('PG Delivery &amp; Map (15 Credits)'!J3:J18, "Warren")</f>
        <v>1</v>
      </c>
      <c r="J21" s="31">
        <f>COUNTIF('PG MAIDS'!H3:H7, "Pengfei")+COUNTIF('PG MAIDS'!I3:I7, "Pengfei")</f>
        <v>0</v>
      </c>
      <c r="K21" s="1056">
        <f>SUM(C21+E21+G21+I21)</f>
        <v>3</v>
      </c>
      <c r="L21" s="1057">
        <f>SUM(D21+F21+H21+J21)</f>
        <v>3</v>
      </c>
      <c r="M21" s="679"/>
      <c r="N21" s="728" t="s">
        <v>278</v>
      </c>
      <c r="O21" s="724" t="s">
        <v>278</v>
      </c>
      <c r="P21" s="679"/>
      <c r="Q21" s="680">
        <f>SUM('Super Staff Cover'!H17)</f>
        <v>11</v>
      </c>
      <c r="R21" s="700"/>
      <c r="S21" s="464"/>
      <c r="T21" s="464"/>
      <c r="U21" s="464"/>
      <c r="V21" s="464"/>
      <c r="W21" s="464"/>
      <c r="X21" s="464">
        <v>1</v>
      </c>
      <c r="Y21" s="464"/>
      <c r="Z21" s="41"/>
    </row>
    <row r="22" spans="1:26">
      <c r="A22" s="13">
        <v>20</v>
      </c>
      <c r="B22" s="775" t="s">
        <v>255</v>
      </c>
      <c r="C22" s="33">
        <f>COUNTIF(Foundation!G2:G7, "Raza")</f>
        <v>0</v>
      </c>
      <c r="D22" s="450"/>
      <c r="E22" s="447">
        <f>COUNTIF('UG Map L4-L6'!I2:I52, "Raza")</f>
        <v>0</v>
      </c>
      <c r="F22" s="1042">
        <f>COUNTIF('UG Map L4-L6'!K2:K51, "Raza")</f>
        <v>0</v>
      </c>
      <c r="G22" s="1037">
        <f>COUNTIF('PG Delivery &amp; Map (15 Credits)'!J2:J17, "Raza")</f>
        <v>0</v>
      </c>
      <c r="H22" s="302"/>
      <c r="I22" s="455">
        <f>COUNTIF('PG MAIDS'!G2:G6, "Raza")</f>
        <v>0</v>
      </c>
      <c r="J22" s="714">
        <f>COUNTIF('PG MAIDS'!H2:H6, "Raza")+COUNTIF('PG MAIDS'!I2:I6, "Raza")</f>
        <v>1</v>
      </c>
      <c r="K22" s="1056">
        <f>SUM(C22+E22+G22+I22)</f>
        <v>0</v>
      </c>
      <c r="L22" s="1059">
        <f>SUM(D22+F22+H22+J22)</f>
        <v>1</v>
      </c>
      <c r="M22" s="679"/>
      <c r="N22" s="727"/>
      <c r="O22" s="724"/>
      <c r="P22" s="679"/>
      <c r="Q22" s="680">
        <f>SUM('Super Staff Cover'!H19)</f>
        <v>0</v>
      </c>
      <c r="R22" s="700"/>
      <c r="S22" s="464"/>
      <c r="T22" s="464"/>
      <c r="U22" s="464"/>
      <c r="V22" s="464"/>
      <c r="W22" s="464">
        <v>1</v>
      </c>
      <c r="X22" s="464"/>
      <c r="Y22" s="464"/>
      <c r="Z22" s="41"/>
    </row>
    <row r="23" spans="1:26">
      <c r="A23" s="13">
        <v>21</v>
      </c>
      <c r="B23" s="17" t="s">
        <v>77</v>
      </c>
      <c r="C23" s="33">
        <f>COUNTIF(Foundation!G3:G8, "Shakeel")</f>
        <v>0</v>
      </c>
      <c r="D23" s="450"/>
      <c r="E23" s="447">
        <f>COUNTIF('UG Map L4-L6'!I3:I53, "Shakeel")</f>
        <v>1</v>
      </c>
      <c r="F23" s="1042">
        <f>COUNTIF('UG Map L4-L6'!J3:J52, "Shakeel")</f>
        <v>0</v>
      </c>
      <c r="G23" s="1037">
        <f>COUNTIF('PG Delivery &amp; Map (15 Credits)'!J3:J18, "Shakeel")</f>
        <v>0</v>
      </c>
      <c r="H23" s="302"/>
      <c r="I23" s="455">
        <f>COUNTIF('PG MAIDS'!G3:G7, "Shakeel")</f>
        <v>1</v>
      </c>
      <c r="J23" s="31">
        <f>COUNTIF('PG MAIDS'!H3:H7, "Shakeel")+COUNTIF('PG MAIDS'!I3:I7, "Shakeel")</f>
        <v>0</v>
      </c>
      <c r="K23" s="1056">
        <f>SUM(C23+E23+G23+I23)</f>
        <v>2</v>
      </c>
      <c r="L23" s="1057">
        <f>SUM(D23+F23+H23+J23)</f>
        <v>0</v>
      </c>
      <c r="M23" s="679"/>
      <c r="N23" s="728" t="s">
        <v>278</v>
      </c>
      <c r="O23" s="724" t="s">
        <v>278</v>
      </c>
      <c r="P23" s="679"/>
      <c r="Q23" s="680">
        <f>SUM('Super Staff Cover'!H22)</f>
        <v>0</v>
      </c>
      <c r="R23" s="700"/>
      <c r="S23" s="465">
        <v>1</v>
      </c>
      <c r="T23" s="465">
        <v>1</v>
      </c>
      <c r="U23" s="465"/>
      <c r="V23" s="465"/>
      <c r="W23" s="465"/>
      <c r="X23" s="465"/>
      <c r="Y23" s="465"/>
      <c r="Z23" s="42"/>
    </row>
    <row r="24" spans="1:26">
      <c r="A24" s="13">
        <v>22</v>
      </c>
      <c r="B24" s="525" t="s">
        <v>286</v>
      </c>
      <c r="C24" s="33">
        <f>COUNTIF(Foundation!G3:G8, "Tomasz")</f>
        <v>0</v>
      </c>
      <c r="D24" s="450"/>
      <c r="E24" s="447">
        <f>COUNTIF('UG Map L4-L6'!I3:I53, "Tomasz")</f>
        <v>0</v>
      </c>
      <c r="F24" s="1042">
        <f>COUNTIF('UG Map L4-L6'!J3:J52, "Tomasz")</f>
        <v>0</v>
      </c>
      <c r="G24" s="1037">
        <f>COUNTIF('PG Delivery &amp; Map (15 Credits)'!J3:J18, "Tomasz")</f>
        <v>1</v>
      </c>
      <c r="H24" s="302"/>
      <c r="I24" s="455">
        <f>COUNTIF('PG MAIDS'!G3:G7, " ")</f>
        <v>0</v>
      </c>
      <c r="J24" s="31">
        <f>COUNTIF('PG MAIDS'!H3:H7, " ")+COUNTIF('PG MAIDS'!I3:I7, " ")</f>
        <v>0</v>
      </c>
      <c r="K24" s="1056">
        <f>SUM(C24+E24+G24+I24)</f>
        <v>1</v>
      </c>
      <c r="L24" s="1057">
        <f>SUM(D24+F24+H24+J24)</f>
        <v>0</v>
      </c>
      <c r="M24" s="679"/>
      <c r="N24" s="727"/>
      <c r="O24" s="724" t="s">
        <v>278</v>
      </c>
      <c r="P24" s="679"/>
      <c r="Q24" s="705" t="s">
        <v>111</v>
      </c>
      <c r="R24" s="700"/>
      <c r="S24" s="468"/>
      <c r="T24" s="468"/>
      <c r="U24" s="468"/>
      <c r="V24" s="468"/>
      <c r="W24" s="468"/>
      <c r="X24" s="468">
        <v>1</v>
      </c>
      <c r="Y24" s="468"/>
      <c r="Z24" s="303">
        <v>1</v>
      </c>
    </row>
    <row r="25" spans="1:26">
      <c r="A25" s="13">
        <v>23</v>
      </c>
      <c r="B25" s="299" t="s">
        <v>40</v>
      </c>
      <c r="C25" s="300">
        <f>COUNTIF(Foundation!G3:G8, "Warren")</f>
        <v>0</v>
      </c>
      <c r="D25" s="451"/>
      <c r="E25" s="447">
        <f>COUNTIF('UG Map L4-L6'!I3:I53, "Warren")</f>
        <v>6</v>
      </c>
      <c r="F25" s="1042">
        <f>COUNTIF('UG Map L4-L6'!J3:J52, "Warren")</f>
        <v>1</v>
      </c>
      <c r="G25" s="1038">
        <f>COUNTIF('PG Delivery &amp; Map (15 Credits)'!J3:J18, "Warren")</f>
        <v>1</v>
      </c>
      <c r="H25" s="461"/>
      <c r="I25" s="457">
        <f>COUNTIF('PG MAIDS'!G3:G7, " ")</f>
        <v>0</v>
      </c>
      <c r="J25" s="301">
        <f>COUNTIF('PG MAIDS'!H3:H7, " ")+COUNTIF('PG MAIDS'!I3:I7, " ")</f>
        <v>0</v>
      </c>
      <c r="K25" s="1056">
        <f>SUM(C25+E25+G25+I25)</f>
        <v>7</v>
      </c>
      <c r="L25" s="1057">
        <f>SUM(D25+F25+H25+J25)</f>
        <v>1</v>
      </c>
      <c r="M25" s="679"/>
      <c r="N25" s="728" t="s">
        <v>278</v>
      </c>
      <c r="O25" s="724"/>
      <c r="P25" s="679"/>
      <c r="Q25" s="680">
        <f>SUM('Super Staff Cover'!H23)</f>
        <v>0</v>
      </c>
      <c r="R25" s="700"/>
      <c r="S25" s="465"/>
      <c r="T25" s="465"/>
      <c r="U25" s="465"/>
      <c r="V25" s="465">
        <v>1</v>
      </c>
      <c r="W25" s="465"/>
      <c r="X25" s="465"/>
      <c r="Y25" s="465"/>
      <c r="Z25" s="42"/>
    </row>
    <row r="26" spans="1:26">
      <c r="A26" s="13">
        <v>25</v>
      </c>
      <c r="B26" s="723" t="s">
        <v>287</v>
      </c>
      <c r="C26" s="627">
        <f>COUNTIF(Foundation!G4:G9, "Craig")</f>
        <v>0</v>
      </c>
      <c r="D26" s="628"/>
      <c r="E26" s="629">
        <f>COUNTIF('UG Map L4-L6'!I4:I54, "Craig")</f>
        <v>2</v>
      </c>
      <c r="F26" s="1045">
        <f>COUNTIF('UG Map L4-L6'!J4:J53, "Craig")+COUNTIF('UG Map L4-L6'!K4:JJ53, "Craig")</f>
        <v>1</v>
      </c>
      <c r="G26" s="1039">
        <f>COUNTIF('PG Delivery &amp; Map (15 Credits)'!J4:J19, "Craig")</f>
        <v>0</v>
      </c>
      <c r="H26" s="630"/>
      <c r="I26" s="619">
        <f>COUNTIF('PG MAIDS'!G4:G8, "Craig")</f>
        <v>0</v>
      </c>
      <c r="J26" s="620">
        <f>COUNTIF('PG MAIDS'!H4:H8, "Craig")+COUNTIF('PG MAIDS'!I4:I8, "Craig")</f>
        <v>0</v>
      </c>
      <c r="K26" s="1056">
        <f>SUM(C26+E26+G26+I26)</f>
        <v>2</v>
      </c>
      <c r="L26" s="1057">
        <f>SUM(D26+F26+H26+J26)</f>
        <v>1</v>
      </c>
      <c r="M26" s="679"/>
      <c r="N26" s="727" t="s">
        <v>278</v>
      </c>
      <c r="O26" s="724"/>
      <c r="P26" s="679"/>
      <c r="Q26" s="680">
        <f>SUM('Super Staff Cover'!H23)</f>
        <v>0</v>
      </c>
      <c r="R26" s="700"/>
      <c r="S26" s="73"/>
      <c r="T26" s="73"/>
      <c r="U26" s="73"/>
      <c r="V26" s="73"/>
      <c r="W26" s="73"/>
      <c r="X26" s="325">
        <v>1</v>
      </c>
      <c r="Y26" s="73"/>
      <c r="Z26" s="149"/>
    </row>
    <row r="27" spans="1:26">
      <c r="A27" s="13">
        <v>26</v>
      </c>
      <c r="B27" s="677" t="s">
        <v>288</v>
      </c>
      <c r="C27" s="627">
        <f>COUNTIF(Foundation!G5:G10, "Armen")</f>
        <v>1</v>
      </c>
      <c r="D27" s="628"/>
      <c r="E27" s="629">
        <f>COUNTIF('UG Map L4-L6'!I5:I55, "Armen")</f>
        <v>1</v>
      </c>
      <c r="F27" s="1045">
        <f>COUNTIF('UG Map L4-L6'!K5:K54, "Armen")</f>
        <v>0</v>
      </c>
      <c r="G27" s="1039">
        <f>COUNTIF('PG Delivery &amp; Map (15 Credits)'!J5:J20, "Armen")</f>
        <v>0</v>
      </c>
      <c r="H27" s="630"/>
      <c r="I27" s="1048">
        <f>COUNTIF('PG MAIDS'!G5:G9, "Armen")</f>
        <v>0</v>
      </c>
      <c r="J27" s="714">
        <f>COUNTIF('PG MAIDS'!H5:H9, "Armen")+COUNTIF('PG MAIDS'!I5:I9, "Armen")</f>
        <v>0</v>
      </c>
      <c r="K27" s="1056">
        <f>SUM(C27+E27+G27+I27)</f>
        <v>2</v>
      </c>
      <c r="L27" s="1057">
        <f>SUM(D27+F27+H27+J27)</f>
        <v>0</v>
      </c>
      <c r="M27" s="679"/>
      <c r="N27" s="729" t="s">
        <v>278</v>
      </c>
      <c r="O27" s="726" t="s">
        <v>278</v>
      </c>
      <c r="P27" s="679"/>
      <c r="Q27" s="680">
        <f>SUM('Super Staff Cover'!H35)</f>
        <v>0</v>
      </c>
      <c r="R27" s="700"/>
      <c r="S27" s="469"/>
      <c r="T27" s="469"/>
      <c r="U27" s="469"/>
      <c r="V27" s="469"/>
      <c r="W27" s="469"/>
      <c r="X27" s="324">
        <v>1</v>
      </c>
      <c r="Y27" s="469"/>
      <c r="Z27" s="306"/>
    </row>
    <row r="28" spans="1:26">
      <c r="A28" s="13">
        <v>24</v>
      </c>
      <c r="B28" s="192" t="s">
        <v>289</v>
      </c>
      <c r="C28" s="1025">
        <f>COUNTIF(Foundation!G3:G8, "VACANT")</f>
        <v>0</v>
      </c>
      <c r="D28" s="1030"/>
      <c r="E28" s="1028">
        <f>COUNTIF('UG Map L4-L6'!I3:I53, "VACANT")</f>
        <v>0</v>
      </c>
      <c r="F28" s="1046">
        <f>COUNTIF('UG Map L4-L6'!J3:J52, "VACANT")</f>
        <v>0</v>
      </c>
      <c r="G28" s="1040">
        <f>COUNTIF('PG Delivery &amp; Map (15 Credits)'!J3:J18, "VACANT")</f>
        <v>0</v>
      </c>
      <c r="H28" s="1050"/>
      <c r="I28" s="1049">
        <f>COUNTIF('PG MAIDS'!G3:G7, "VACANT")</f>
        <v>0</v>
      </c>
      <c r="J28" s="1051">
        <f>COUNTIF('PG MAIDS'!H3:H7, " ")+COUNTIF('PG MAIDS'!I3:I7, " ")</f>
        <v>0</v>
      </c>
      <c r="K28" s="1060">
        <f>SUM(C28+E28+G28+I28)</f>
        <v>0</v>
      </c>
      <c r="L28" s="1061">
        <f>SUM(D28+F28+H28+J28)</f>
        <v>0</v>
      </c>
      <c r="M28" s="679"/>
      <c r="N28" s="727"/>
      <c r="O28" s="724"/>
      <c r="P28" s="679"/>
      <c r="Q28" s="680"/>
      <c r="R28" s="700"/>
      <c r="S28" s="73"/>
      <c r="T28" s="73"/>
      <c r="U28" s="73"/>
      <c r="V28" s="73"/>
      <c r="W28" s="73"/>
      <c r="X28" s="73"/>
      <c r="Y28" s="73"/>
      <c r="Z28" s="149"/>
    </row>
    <row r="29" spans="1:26" ht="25.5" customHeight="1">
      <c r="A29" s="701" t="s">
        <v>290</v>
      </c>
      <c r="B29" s="702"/>
      <c r="C29" s="702"/>
      <c r="M29" s="11"/>
      <c r="N29" s="11"/>
      <c r="O29" s="11"/>
      <c r="P29" s="11"/>
      <c r="Q29" s="11"/>
      <c r="S29" s="470">
        <f>SUM(S3:S27)</f>
        <v>2</v>
      </c>
      <c r="T29" s="470">
        <f>SUM(T3:T27)</f>
        <v>3</v>
      </c>
      <c r="U29" s="470">
        <f>SUM(U3:U27)</f>
        <v>1.5</v>
      </c>
      <c r="V29" s="470">
        <f>SUM(V3:V27)</f>
        <v>4</v>
      </c>
      <c r="W29" s="470">
        <f>SUM(W4:W27)</f>
        <v>6.5</v>
      </c>
      <c r="X29" s="470">
        <f>SUM(X3:X27)</f>
        <v>5</v>
      </c>
      <c r="Y29" s="470">
        <f>SUM(Y3:Y27)</f>
        <v>1</v>
      </c>
      <c r="Z29" s="304">
        <f>SUM(Z3:Z27)</f>
        <v>3</v>
      </c>
    </row>
    <row r="30" spans="1:26">
      <c r="A30" s="696" t="s">
        <v>291</v>
      </c>
      <c r="B30" s="694"/>
      <c r="C30" s="694"/>
      <c r="D30" s="694"/>
      <c r="E30" s="694"/>
      <c r="F30" s="694"/>
      <c r="G30" s="695"/>
      <c r="H30" s="694" t="s">
        <v>292</v>
      </c>
      <c r="I30" s="694"/>
      <c r="J30" s="695"/>
      <c r="K30" s="601">
        <f>SUM(K3:K29)</f>
        <v>73</v>
      </c>
      <c r="S30" s="697"/>
      <c r="T30" s="697"/>
      <c r="U30" s="697"/>
      <c r="V30" s="697"/>
      <c r="W30" s="697"/>
      <c r="X30" s="697"/>
      <c r="Y30" s="697"/>
      <c r="Z30" s="697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93"/>
      <c r="V31" s="935" t="s">
        <v>293</v>
      </c>
      <c r="W31" s="936"/>
      <c r="X31" s="936"/>
      <c r="Y31" s="937"/>
      <c r="Z31" s="500">
        <f>SUM(S29:Z29)</f>
        <v>26</v>
      </c>
    </row>
    <row r="32" spans="1:26">
      <c r="H32" s="24"/>
      <c r="K32" s="667">
        <f>SUM(K25+K20+K16+K13+K12)</f>
        <v>36</v>
      </c>
      <c r="S32" s="11"/>
      <c r="T32" s="11"/>
      <c r="U32" s="11"/>
      <c r="V32" s="11"/>
      <c r="W32" s="11"/>
      <c r="X32" s="11"/>
      <c r="Y32" s="11"/>
      <c r="Z32" s="11"/>
    </row>
    <row r="33" spans="2:32">
      <c r="B33" s="600" t="s">
        <v>18</v>
      </c>
      <c r="V33" s="935" t="s">
        <v>294</v>
      </c>
      <c r="W33" s="936"/>
      <c r="X33" s="936"/>
      <c r="Y33" s="937"/>
      <c r="Z33" s="321">
        <f>SUM(Z31-Z29)</f>
        <v>23</v>
      </c>
    </row>
    <row r="37" spans="2:32">
      <c r="Z37" s="692"/>
      <c r="AA37" s="11"/>
      <c r="AB37" s="11"/>
      <c r="AC37" s="11"/>
      <c r="AD37" s="11"/>
      <c r="AE37" s="11"/>
      <c r="AF37" s="11"/>
    </row>
    <row r="62" spans="4:4">
      <c r="D62">
        <f>SUM(D3:D53)</f>
        <v>0</v>
      </c>
    </row>
  </sheetData>
  <sortState xmlns:xlrd2="http://schemas.microsoft.com/office/spreadsheetml/2017/richdata2" ref="A3:B25">
    <sortCondition ref="B3:B25"/>
  </sortState>
  <mergeCells count="11">
    <mergeCell ref="V31:Y31"/>
    <mergeCell ref="V33:Y33"/>
    <mergeCell ref="S1:Z1"/>
    <mergeCell ref="N1:O1"/>
    <mergeCell ref="K1:L1"/>
    <mergeCell ref="Q1:Q2"/>
    <mergeCell ref="A1:B2"/>
    <mergeCell ref="E1:F1"/>
    <mergeCell ref="C1:D1"/>
    <mergeCell ref="G1:H1"/>
    <mergeCell ref="I1:J1"/>
  </mergeCells>
  <conditionalFormatting sqref="K3:K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3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N37"/>
  <sheetViews>
    <sheetView tabSelected="1" workbookViewId="0">
      <selection activeCell="H1" sqref="B1:H1"/>
    </sheetView>
  </sheetViews>
  <sheetFormatPr defaultRowHeight="15.75" customHeight="1"/>
  <cols>
    <col min="1" max="1" width="22.375" customWidth="1"/>
    <col min="2" max="2" width="18" customWidth="1"/>
    <col min="3" max="3" width="26.625" customWidth="1"/>
    <col min="4" max="4" width="19" customWidth="1"/>
    <col min="5" max="5" width="16.25" customWidth="1"/>
    <col min="6" max="6" width="16.625" customWidth="1"/>
    <col min="7" max="7" width="15.875" customWidth="1"/>
    <col min="8" max="8" width="14.375" customWidth="1"/>
    <col min="9" max="9" width="3.875" customWidth="1"/>
    <col min="10" max="10" width="16.875" customWidth="1"/>
    <col min="11" max="11" width="17.375" customWidth="1"/>
    <col min="12" max="12" width="16.625" customWidth="1"/>
    <col min="13" max="13" width="16.5" customWidth="1"/>
    <col min="14" max="14" width="14.625" customWidth="1"/>
  </cols>
  <sheetData>
    <row r="1" spans="1:14">
      <c r="A1" s="281"/>
      <c r="B1" s="780" t="s">
        <v>295</v>
      </c>
      <c r="C1" s="787" t="s">
        <v>296</v>
      </c>
      <c r="D1" s="244" t="s">
        <v>297</v>
      </c>
      <c r="E1" s="636" t="s">
        <v>298</v>
      </c>
      <c r="F1" s="244" t="s">
        <v>299</v>
      </c>
      <c r="G1" s="244" t="s">
        <v>300</v>
      </c>
      <c r="H1" s="40" t="s">
        <v>301</v>
      </c>
      <c r="J1" s="244" t="s">
        <v>302</v>
      </c>
      <c r="K1" s="244" t="s">
        <v>303</v>
      </c>
      <c r="L1" s="244" t="s">
        <v>304</v>
      </c>
      <c r="M1" s="244" t="s">
        <v>305</v>
      </c>
      <c r="N1" s="40" t="s">
        <v>301</v>
      </c>
    </row>
    <row r="2" spans="1:14">
      <c r="A2" s="156" t="s">
        <v>115</v>
      </c>
      <c r="B2" s="782">
        <v>0</v>
      </c>
      <c r="C2" s="790"/>
      <c r="D2" s="632">
        <v>0</v>
      </c>
      <c r="E2" s="639">
        <f>COUNTIF('COM726 - Sept 23'!D3:D112, "Bacha")</f>
        <v>0</v>
      </c>
      <c r="F2" s="1075">
        <f>COUNTIF('COM616 - Oct 2023'!D3:D100, "Becha")</f>
        <v>0</v>
      </c>
      <c r="G2" s="1075">
        <f>COUNTIF('COM726-Sep-23'!D3:D103, "Becha")</f>
        <v>0</v>
      </c>
      <c r="H2" s="1020">
        <f>SUM(B2:G2)</f>
        <v>0</v>
      </c>
      <c r="J2" s="555"/>
      <c r="K2" s="555"/>
      <c r="L2" s="555"/>
      <c r="M2" s="555"/>
      <c r="N2" s="336">
        <f>SUM(J2:M2)</f>
        <v>0</v>
      </c>
    </row>
    <row r="3" spans="1:14">
      <c r="A3" s="162" t="s">
        <v>75</v>
      </c>
      <c r="B3" s="782">
        <f>COUNTIF('COM726 - May 23'!C3:C63, "Bobe")</f>
        <v>0</v>
      </c>
      <c r="C3" s="790"/>
      <c r="D3" s="632">
        <f>COUNTIF('MAA112 May 23'!C3:C12,"Bode")+COUNTIF('MAA112 May 23'!G3:G18,"Bode")+COUNTIF('MAA112 May 23'!K3:K22,"Bode")</f>
        <v>10</v>
      </c>
      <c r="E3" s="638">
        <f>COUNTIF('COM726 - Sept 23'!D3:D112, "Bode")</f>
        <v>0</v>
      </c>
      <c r="F3" s="632">
        <f>COUNTIF('COM616 - Oct 2023'!D3:D100, "Bobe")</f>
        <v>0</v>
      </c>
      <c r="G3" s="632">
        <f>COUNTIF('COM726-Sep-23'!D3:D103, "Bobe")</f>
        <v>0</v>
      </c>
      <c r="H3" s="1019">
        <f>SUM(B3:G3)</f>
        <v>10</v>
      </c>
      <c r="J3" s="325"/>
      <c r="K3" s="325"/>
      <c r="L3" s="325"/>
      <c r="M3" s="325"/>
      <c r="N3" s="579">
        <f t="shared" ref="N3" si="0">SUM(J3:M3)</f>
        <v>0</v>
      </c>
    </row>
    <row r="4" spans="1:14">
      <c r="A4" s="156" t="s">
        <v>306</v>
      </c>
      <c r="B4" s="781">
        <f>COUNTIF('COM726 - May 23'!C3:C63, "Anthony")</f>
        <v>0</v>
      </c>
      <c r="C4" s="789"/>
      <c r="D4" s="633">
        <f>COUNTIF('MAA112 May 23'!C3:C12,"Anthony")+COUNTIF('MAA112 May 23'!G3:G18,"Anthony")+COUNTIF('MAA112 May 23'!K3:K22,"Anthony")</f>
        <v>10</v>
      </c>
      <c r="E4" s="639">
        <f>COUNTIF('COM726 - Sept 23'!D3:D112, "Anthony")</f>
        <v>0</v>
      </c>
      <c r="F4" s="633">
        <f>COUNTIF('COM616 - Oct 2023'!D3:D100, "Anthony")</f>
        <v>0</v>
      </c>
      <c r="G4" s="633">
        <f>COUNTIF('COM726-Sep-23'!D3:D103, "Anthony")</f>
        <v>0</v>
      </c>
      <c r="H4" s="1019">
        <f>SUM(B4:G4)</f>
        <v>10</v>
      </c>
      <c r="J4" s="325"/>
      <c r="K4" s="325"/>
      <c r="L4" s="325"/>
      <c r="M4" s="325"/>
      <c r="N4" s="579">
        <f t="shared" ref="N4" si="1">SUM(J4:M4)</f>
        <v>0</v>
      </c>
    </row>
    <row r="5" spans="1:14" ht="12.75" customHeight="1">
      <c r="A5" s="156" t="s">
        <v>8</v>
      </c>
      <c r="B5" s="781">
        <f>COUNTIF('COM726 - May 23'!C3:C63, "Darren")</f>
        <v>0</v>
      </c>
      <c r="C5" s="791">
        <f>COUNTIF('COM625 May 23'!D3:D8,"Darren")</f>
        <v>0</v>
      </c>
      <c r="D5" s="633">
        <f>COUNTIF('MAA112 May 23'!C3:C12,"Darren")+COUNTIF('MAA112 May 23'!G3:G18,"Anthony")+COUNTIF('MAA112 May 23'!K3:K22,"Anthony")</f>
        <v>0</v>
      </c>
      <c r="E5" s="638">
        <f>COUNTIF('COM726-Sep-23'!D3:D115, "Darren")</f>
        <v>0</v>
      </c>
      <c r="F5" s="633">
        <f>COUNTIF('COM616 - Oct 2023'!D3:D100, "Darren")</f>
        <v>0</v>
      </c>
      <c r="G5" s="633">
        <f>COUNTIF('COM726-Sep-23'!D3:D103, "Darren")</f>
        <v>0</v>
      </c>
      <c r="H5" s="1019">
        <f>SUM(B5:G5)</f>
        <v>0</v>
      </c>
      <c r="J5" s="325"/>
      <c r="K5" s="325"/>
      <c r="L5" s="325"/>
      <c r="M5" s="325"/>
      <c r="N5" s="579">
        <f t="shared" ref="N5" si="2">SUM(J5:M5)</f>
        <v>0</v>
      </c>
    </row>
    <row r="6" spans="1:14">
      <c r="A6" s="156" t="s">
        <v>88</v>
      </c>
      <c r="B6" s="783">
        <f>COUNTIF('COM726 - May 23'!C3:C63, "Drishty")</f>
        <v>6</v>
      </c>
      <c r="C6" s="792">
        <v>2</v>
      </c>
      <c r="D6" s="633">
        <f>COUNTIF('MAA112 May 23'!C3:C12,"Drishty")+COUNTIF('MAA112 May 23'!G3:G18,"Drishty")+COUNTIF('MAA112 May 23'!K3:K22,"Drishty")</f>
        <v>0</v>
      </c>
      <c r="E6" s="638">
        <f>COUNTIF('COM726 - Sept 23'!D3:D112, "Drishty")</f>
        <v>0</v>
      </c>
      <c r="F6" s="633">
        <f>COUNTIF('COM616 - Oct 2023'!D3:D100, "Drishty")</f>
        <v>0</v>
      </c>
      <c r="G6" s="633">
        <f>COUNTIF('COM726-Sep-23'!D3:D103, "Drishty")</f>
        <v>0</v>
      </c>
      <c r="H6" s="1019">
        <f>SUM(B6:G6)</f>
        <v>8</v>
      </c>
      <c r="J6" s="325"/>
      <c r="K6" s="325"/>
      <c r="L6" s="325"/>
      <c r="M6" s="325"/>
      <c r="N6" s="579">
        <f t="shared" ref="N6" si="3">SUM(J6:M6)</f>
        <v>0</v>
      </c>
    </row>
    <row r="7" spans="1:14">
      <c r="A7" s="156" t="s">
        <v>307</v>
      </c>
      <c r="B7" s="781">
        <f>COUNTIF('COM726 - May 23'!C3:C63, "Hamid")</f>
        <v>8</v>
      </c>
      <c r="C7" s="789"/>
      <c r="D7" s="633">
        <f>COUNTIF('MAA112 May 23'!C3:C12,"Hamid")+COUNTIF('MAA112 May 23'!G3:G18,"Hamid")+COUNTIF('MAA112 May 23'!K3:K22,"Hamid")</f>
        <v>0</v>
      </c>
      <c r="E7" s="638">
        <f>COUNTIF('COM726 - Sept 23'!D3:D112, "Hamid")</f>
        <v>0</v>
      </c>
      <c r="F7" s="633">
        <f>COUNTIF('COM616 - Oct 2023'!D3:D100, "Hamid")</f>
        <v>0</v>
      </c>
      <c r="G7" s="633">
        <f>COUNTIF('COM726-Sep-23'!D3:D103, "Hamid")</f>
        <v>0</v>
      </c>
      <c r="H7" s="1019">
        <f>SUM(B7:G7)</f>
        <v>8</v>
      </c>
      <c r="J7" s="325"/>
      <c r="K7" s="325"/>
      <c r="L7" s="325"/>
      <c r="M7" s="325"/>
      <c r="N7" s="579">
        <f t="shared" ref="N7" si="4">SUM(J7:M7)</f>
        <v>0</v>
      </c>
    </row>
    <row r="8" spans="1:14">
      <c r="A8" s="156" t="s">
        <v>54</v>
      </c>
      <c r="B8" s="781">
        <f>COUNTIF('COM726 - May 23'!C3:C63, "Jarutas")</f>
        <v>8</v>
      </c>
      <c r="C8" s="789"/>
      <c r="D8" s="633">
        <f>COUNTIF('MAA112 May 23'!C3:C12,"Jarutas")+COUNTIF('MAA112 May 23'!G3:G18,"Jarutas")+COUNTIF('MAA112 May 23'!K3:K22,"Jarutas")</f>
        <v>0</v>
      </c>
      <c r="E8" s="638">
        <f>COUNTIF('COM726 - Sept 23'!D3:D112, "Jarutas")</f>
        <v>0</v>
      </c>
      <c r="F8" s="633">
        <f>COUNTIF('COM616 - Oct 2023'!D3:D100, "Jarutas")</f>
        <v>0</v>
      </c>
      <c r="G8" s="633">
        <f>COUNTIF('COM726-Sep-23'!D3:D103, "Jarutas")</f>
        <v>0</v>
      </c>
      <c r="H8" s="1019">
        <f>SUM(B8:G8)</f>
        <v>8</v>
      </c>
      <c r="J8" s="325"/>
      <c r="K8" s="325"/>
      <c r="L8" s="325"/>
      <c r="M8" s="325"/>
      <c r="N8" s="579">
        <f t="shared" ref="N8" si="5">SUM(J8:M8)</f>
        <v>0</v>
      </c>
    </row>
    <row r="9" spans="1:14">
      <c r="A9" s="156" t="s">
        <v>12</v>
      </c>
      <c r="B9" s="781">
        <f>COUNTIF('COM726 - May 23'!C3:C63, "Kalin")</f>
        <v>0</v>
      </c>
      <c r="C9" s="789"/>
      <c r="D9" s="633">
        <f>COUNTIF('MAA112 May 23'!C3:C12,"Kalin")+COUNTIF('MAA112 May 23'!G3:G18,"Kalin")+COUNTIF('MAA112 May 23'!K3:K22,"Kalin")</f>
        <v>4</v>
      </c>
      <c r="E9" s="638">
        <f>COUNTIF('COM726 - Sept 23'!D3:D112, "Kalin")</f>
        <v>0</v>
      </c>
      <c r="F9" s="633">
        <f>COUNTIF('COM616 - Oct 2023'!D3:D100, "Kalin")</f>
        <v>0</v>
      </c>
      <c r="G9" s="633">
        <f>COUNTIF('COM726-Sep-23'!D3:D103, "Kalin")</f>
        <v>0</v>
      </c>
      <c r="H9" s="1019">
        <f>SUM(B9:G9)</f>
        <v>4</v>
      </c>
      <c r="J9" s="325"/>
      <c r="K9" s="325"/>
      <c r="L9" s="325"/>
      <c r="M9" s="325"/>
      <c r="N9" s="579">
        <f t="shared" ref="N9" si="6">SUM(J9:M9)</f>
        <v>0</v>
      </c>
    </row>
    <row r="10" spans="1:14">
      <c r="A10" s="156" t="s">
        <v>248</v>
      </c>
      <c r="B10" s="784">
        <f>COUNTIF('COM726 - May 23'!C3:C63, "Kashif")</f>
        <v>4</v>
      </c>
      <c r="C10" s="793"/>
      <c r="D10" s="634">
        <f>COUNTIF('MAA112 May 23'!C3:C12,"Kashif")+COUNTIF('MAA112 May 23'!G3:G18,"Kashif")+COUNTIF('MAA112 May 23'!K3:K22,"Kashif")</f>
        <v>0</v>
      </c>
      <c r="E10" s="640">
        <f>COUNTIF('COM726 - Sept 23'!D3:D112, "Kashif")</f>
        <v>0</v>
      </c>
      <c r="F10" s="634">
        <f>COUNTIF('COM616 - Oct 2023'!D3:D100, "Kashif")</f>
        <v>0</v>
      </c>
      <c r="G10" s="634">
        <f>COUNTIF('COM726-Sep-23'!D3:D103, "Kashif")</f>
        <v>0</v>
      </c>
      <c r="H10" s="1019">
        <f>SUM(B10:G10)</f>
        <v>4</v>
      </c>
      <c r="J10" s="325"/>
      <c r="K10" s="325"/>
      <c r="L10" s="325"/>
      <c r="M10" s="325"/>
      <c r="N10" s="579">
        <f t="shared" ref="N10" si="7">SUM(J10:M10)</f>
        <v>0</v>
      </c>
    </row>
    <row r="11" spans="1:14">
      <c r="A11" s="156" t="s">
        <v>281</v>
      </c>
      <c r="B11" s="781">
        <f>COUNTIF('COM726 - May 23'!C3:C63, "Kenton")</f>
        <v>0</v>
      </c>
      <c r="C11" s="791">
        <f>COUNTIF('COM625 May 23'!C3:C8,"Kenton")</f>
        <v>2</v>
      </c>
      <c r="D11" s="633">
        <f>COUNTIF('MAA112 May 23'!C3:C12,"Kenton")+COUNTIF('MAA112 May 23'!G3:G18,"Kenton")+COUNTIF('MAA112 May 23'!K3:K22,"Kenton")</f>
        <v>0</v>
      </c>
      <c r="E11" s="638">
        <f>COUNTIF('COM726 - Sept 23'!D3:D112, "Kenton")</f>
        <v>0</v>
      </c>
      <c r="F11" s="633">
        <f>COUNTIF('COM616 - Oct 2023'!D3:D100, "Kenton")</f>
        <v>0</v>
      </c>
      <c r="G11" s="633">
        <f>COUNTIF('COM726-Sep-23'!D3:D103, "Kenton")</f>
        <v>0</v>
      </c>
      <c r="H11" s="1019">
        <f>SUM(B11:G11)</f>
        <v>2</v>
      </c>
      <c r="J11" s="325"/>
      <c r="K11" s="325"/>
      <c r="L11" s="325"/>
      <c r="M11" s="325"/>
      <c r="N11" s="579">
        <f t="shared" ref="N11" si="8">SUM(J11:M11)</f>
        <v>0</v>
      </c>
    </row>
    <row r="12" spans="1:14">
      <c r="A12" s="141" t="s">
        <v>283</v>
      </c>
      <c r="B12" s="781">
        <f>COUNTIF('COM726 - May 23'!C4:C64, "Marc")</f>
        <v>0</v>
      </c>
      <c r="C12" s="789"/>
      <c r="D12" s="633">
        <f>COUNTIF('MAA112 May 23'!C3:C12,"Marc")+COUNTIF('MAA112 May 23'!G3:G18,"Marc")+COUNTIF('MAA112 May 23'!K3:K22,"Marc")</f>
        <v>10</v>
      </c>
      <c r="E12" s="638">
        <f>COUNTIF('COM726 - Sept 23'!D3:D112, "Marc")</f>
        <v>0</v>
      </c>
      <c r="F12" s="633">
        <f>COUNTIF('COM616 - Oct 2023'!D3:D100, "Marc")</f>
        <v>0</v>
      </c>
      <c r="G12" s="633">
        <f>COUNTIF('COM726-Sep-23'!D3:D103, "Marc")</f>
        <v>0</v>
      </c>
      <c r="H12" s="1019">
        <f>SUM(B12:G12)</f>
        <v>10</v>
      </c>
      <c r="J12" s="325"/>
      <c r="K12" s="325"/>
      <c r="L12" s="325"/>
      <c r="M12" s="325"/>
      <c r="N12" s="579">
        <f t="shared" ref="N12" si="9">SUM(J12:M12)</f>
        <v>0</v>
      </c>
    </row>
    <row r="13" spans="1:14">
      <c r="A13" s="156" t="s">
        <v>10</v>
      </c>
      <c r="B13" s="782">
        <f>COUNTIF('COM726 - May 23'!C3:C63, "Martin")</f>
        <v>0</v>
      </c>
      <c r="C13" s="790"/>
      <c r="D13" s="632">
        <f>COUNTIF('MAA112 May 23'!C3:C12,"Martin")+COUNTIF('MAA112 May 23'!G3:G18,"Martin")+COUNTIF('MAA112 May 23'!K3:K22,"Martin")</f>
        <v>0</v>
      </c>
      <c r="E13" s="639">
        <f>COUNTIF('COM726 - Sept 23'!D3:D112, "Martin")</f>
        <v>0</v>
      </c>
      <c r="F13" s="632">
        <f>COUNTIF('COM616 - Oct 2023'!D3:D100, "Martin")</f>
        <v>5</v>
      </c>
      <c r="G13" s="632">
        <f>COUNTIF('COM726-Sep-23'!D3:D103, "Martin")</f>
        <v>0</v>
      </c>
      <c r="H13" s="1019">
        <f>SUM(B13:G13)</f>
        <v>5</v>
      </c>
      <c r="J13" s="325"/>
      <c r="K13" s="325"/>
      <c r="L13" s="325"/>
      <c r="M13" s="325"/>
      <c r="N13" s="579">
        <f t="shared" ref="N13" si="10">SUM(J13:M13)</f>
        <v>0</v>
      </c>
    </row>
    <row r="14" spans="1:14">
      <c r="A14" s="192" t="s">
        <v>308</v>
      </c>
      <c r="B14" s="781">
        <f>COUNTIF('COM726 - May 23'!C3:C63, "Muntasir")</f>
        <v>9</v>
      </c>
      <c r="C14" s="789"/>
      <c r="D14" s="633">
        <f>COUNTIF('MAA112 May 23'!C3:C12,"Muntasir")+COUNTIF('MAA112 May 23'!G3:G18,"Muntasir")+COUNTIF('MAA112 May 23'!K3:K22,"Muntasir")</f>
        <v>0</v>
      </c>
      <c r="E14" s="638">
        <f>COUNTIF('COM726 - Sept 23'!D3:D112, "Muntasir")</f>
        <v>0</v>
      </c>
      <c r="F14" s="633">
        <f>COUNTIF('COM616 - Oct 2023'!D3:D100, "Muntasir")</f>
        <v>0</v>
      </c>
      <c r="G14" s="633">
        <f>COUNTIF('COM726-Sep-23'!D3:D103, "Muntasir")</f>
        <v>0</v>
      </c>
      <c r="H14" s="1019">
        <f>SUM(B14:G14)</f>
        <v>9</v>
      </c>
      <c r="J14" s="325"/>
      <c r="K14" s="325"/>
      <c r="L14" s="325"/>
      <c r="M14" s="325"/>
      <c r="N14" s="579">
        <f t="shared" ref="N14" si="11">SUM(J14:M14)</f>
        <v>0</v>
      </c>
    </row>
    <row r="15" spans="1:14">
      <c r="A15" s="156" t="s">
        <v>59</v>
      </c>
      <c r="B15" s="781">
        <f>COUNTIF('COM726 - May 23'!C3:C63, "Nick")</f>
        <v>0</v>
      </c>
      <c r="C15" s="789"/>
      <c r="D15" s="633">
        <f>COUNTIF('MAA112 May 23'!C3:C12,"Nick")+COUNTIF('MAA112 May 23'!G3:G18,"Nick")+COUNTIF('MAA112 May 23'!K3:K22,"Nick")+COUNTIF('MAA112 May 23'!C13,"Nick")</f>
        <v>4</v>
      </c>
      <c r="E15" s="638">
        <f>COUNTIF('COM726 - Sept 23'!D3:D112, "Nick")</f>
        <v>0</v>
      </c>
      <c r="F15" s="633">
        <f>COUNTIF('COM616 - Oct 2023'!D3:D100, "Nick")</f>
        <v>0</v>
      </c>
      <c r="G15" s="633">
        <f>COUNTIF('COM726-Sep-23'!D3:D103, "Nick")</f>
        <v>0</v>
      </c>
      <c r="H15" s="1019">
        <f>SUM(B15:G15)</f>
        <v>4</v>
      </c>
      <c r="J15" s="325"/>
      <c r="K15" s="325"/>
      <c r="L15" s="325"/>
      <c r="M15" s="325"/>
      <c r="N15" s="579">
        <f t="shared" ref="N15" si="12">SUM(J15:M15)</f>
        <v>0</v>
      </c>
    </row>
    <row r="16" spans="1:14">
      <c r="A16" s="156" t="s">
        <v>309</v>
      </c>
      <c r="B16" s="781">
        <f>COUNTIF('COM726 - May 23'!C3:C63, "Neville")</f>
        <v>0</v>
      </c>
      <c r="C16" s="789"/>
      <c r="D16" s="633">
        <f>COUNTIF('MAA112 May 23'!C3:C12,"Neville")+COUNTIF('MAA112 May 23'!G3:G18,"Neville")+COUNTIF('MAA112 May 23'!K3:K22,"Neville")</f>
        <v>0</v>
      </c>
      <c r="E16" s="638">
        <f>COUNTIF('COM726 - Sept 23'!D3:D112, "Neville")</f>
        <v>0</v>
      </c>
      <c r="F16" s="633">
        <f>COUNTIF('COM616 - Oct 2023'!D3:D100, "Neville")</f>
        <v>0</v>
      </c>
      <c r="G16" s="633">
        <f>COUNTIF('COM726-Sep-23'!D3:D103, "Neville")</f>
        <v>0</v>
      </c>
      <c r="H16" s="1019">
        <f>SUM(B16:G16)</f>
        <v>0</v>
      </c>
      <c r="J16" s="325"/>
      <c r="K16" s="325"/>
      <c r="L16" s="325"/>
      <c r="M16" s="325"/>
      <c r="N16" s="579">
        <f t="shared" ref="N16" si="13">SUM(J16:M16)</f>
        <v>0</v>
      </c>
    </row>
    <row r="17" spans="1:14">
      <c r="A17" s="156" t="s">
        <v>285</v>
      </c>
      <c r="B17" s="781">
        <f>COUNTIF('COM726 - May 23'!C3:C63, "Pengfei")</f>
        <v>3</v>
      </c>
      <c r="C17" s="789"/>
      <c r="D17" s="633">
        <f>COUNTIF('MAA112 May 23'!C3:C12,"Pengfei")+COUNTIF('MAA112 May 23'!G3:G18,"Pengfei")+COUNTIF('MAA112 May 23'!K3:K22,"Pengfei")</f>
        <v>8</v>
      </c>
      <c r="E17" s="638">
        <f>COUNTIF('COM726 - Sept 23'!D3:D112, "Pengfei")</f>
        <v>0</v>
      </c>
      <c r="F17" s="633">
        <f>COUNTIF('COM616 - Oct 2023'!D3:D100, "Pengfei")</f>
        <v>0</v>
      </c>
      <c r="G17" s="633">
        <f>COUNTIF('COM726-Sep-23'!D3:D103, "Pengfei")</f>
        <v>0</v>
      </c>
      <c r="H17" s="1019">
        <f>SUM(B17:G17)</f>
        <v>11</v>
      </c>
      <c r="J17" s="325"/>
      <c r="K17" s="325"/>
      <c r="L17" s="325"/>
      <c r="M17" s="325"/>
      <c r="N17" s="579">
        <f t="shared" ref="N17" si="14">SUM(J17:M17)</f>
        <v>0</v>
      </c>
    </row>
    <row r="18" spans="1:14">
      <c r="A18" s="156" t="s">
        <v>310</v>
      </c>
      <c r="B18" s="781">
        <f>COUNTIF('COM726 - May 23'!C3:C63, "Peyman")</f>
        <v>9</v>
      </c>
      <c r="C18" s="789"/>
      <c r="D18" s="633">
        <f>COUNTIF('MAA112 May 23'!C3:C12,"Peyman")+COUNTIF('MAA112 May 23'!G3:G18,"Peyman")+COUNTIF('MAA112 May 23'!K3:K22,"Peyman")</f>
        <v>0</v>
      </c>
      <c r="E18" s="638">
        <f>COUNTIF('COM726 - Sept 23'!D3:D112, "Peyman")</f>
        <v>0</v>
      </c>
      <c r="F18" s="633">
        <f>COUNTIF('COM616 - Oct 2023'!D3:D100, "Peyman")</f>
        <v>0</v>
      </c>
      <c r="G18" s="633">
        <f>COUNTIF('COM726-Sep-23'!D3:D103, "Peyman")</f>
        <v>0</v>
      </c>
      <c r="H18" s="1019">
        <f>SUM(B18:G18)</f>
        <v>9</v>
      </c>
      <c r="J18" s="325"/>
      <c r="K18" s="325"/>
      <c r="L18" s="325"/>
      <c r="M18" s="325"/>
      <c r="N18" s="579">
        <f t="shared" ref="N18" si="15">SUM(J18:M18)</f>
        <v>0</v>
      </c>
    </row>
    <row r="19" spans="1:14">
      <c r="A19" s="713" t="s">
        <v>255</v>
      </c>
      <c r="B19" s="785">
        <v>0</v>
      </c>
      <c r="C19" s="794"/>
      <c r="D19" s="631">
        <v>0</v>
      </c>
      <c r="E19" s="637">
        <f>COUNTIF('COM726 - Sept 23'!D3:D112, "Raza")</f>
        <v>0</v>
      </c>
      <c r="F19" s="635">
        <f>COUNTIF('COM616 - Oct 2023'!D3:D100, "Raza")</f>
        <v>0</v>
      </c>
      <c r="G19" s="635">
        <f>COUNTIF('COM726-Sep-23'!D3:D103, "Raza")</f>
        <v>0</v>
      </c>
      <c r="H19" s="1019">
        <f>SUM(B19:G19)</f>
        <v>0</v>
      </c>
      <c r="J19" s="325"/>
      <c r="K19" s="325"/>
      <c r="L19" s="325"/>
      <c r="M19" s="325"/>
      <c r="N19" s="579">
        <f t="shared" ref="N19" si="16">SUM(J19:M19)</f>
        <v>0</v>
      </c>
    </row>
    <row r="20" spans="1:14">
      <c r="A20" s="323" t="s">
        <v>77</v>
      </c>
      <c r="B20" s="784">
        <f>COUNTIF('COM726 - May 23'!C3:C63, "Shakeel")</f>
        <v>4</v>
      </c>
      <c r="C20" s="793"/>
      <c r="D20" s="634">
        <f>COUNTIF('MAA112 May 23'!C3:C12,"Shakeel")+COUNTIF('MAA112 May 23'!G3:G18,"Shakeel")+COUNTIF('MAA112 May 23'!K3:K22,"Shakeel")</f>
        <v>0</v>
      </c>
      <c r="E20" s="640">
        <f>COUNTIF('COM726 - Sept 23'!D3:D112, "Shakeel")</f>
        <v>0</v>
      </c>
      <c r="F20" s="634">
        <f>COUNTIF('COM616 - Oct 2023'!D3:D100, "Shakeel")</f>
        <v>0</v>
      </c>
      <c r="G20" s="634">
        <f>COUNTIF('COM726-Sep-23'!D3:D103, "Shakeel")</f>
        <v>0</v>
      </c>
      <c r="H20" s="1019">
        <f>SUM(B20:G20)</f>
        <v>4</v>
      </c>
      <c r="J20" s="325"/>
      <c r="K20" s="325"/>
      <c r="L20" s="325"/>
      <c r="M20" s="325"/>
      <c r="N20" s="579">
        <f t="shared" ref="N20:N21" si="17">SUM(J20:M20)</f>
        <v>0</v>
      </c>
    </row>
    <row r="21" spans="1:14">
      <c r="A21" s="323" t="s">
        <v>79</v>
      </c>
      <c r="B21" s="781">
        <f>COUNTIF('COM726 - May 23'!C2:C62, "Taiwo")</f>
        <v>0</v>
      </c>
      <c r="C21" s="791">
        <f>COUNTIF('COM625 May 23'!C2:C7,"Taiwo")</f>
        <v>0</v>
      </c>
      <c r="D21" s="633">
        <f>COUNTIF('MAA112 May 23'!C2:C11,"Taiwo")+COUNTIF('MAA112 May 23'!G2:G17,"Taiwo")+COUNTIF('MAA112 May 23'!K2:K21,"Taiwo")</f>
        <v>0</v>
      </c>
      <c r="E21" s="638">
        <f>COUNTIF('COM726 - Sept 23'!D2:D111, "Taiwo")</f>
        <v>0</v>
      </c>
      <c r="F21" s="633">
        <f>COUNTIF('COM616 - Oct 2023'!D3:D99, "Taiwo")</f>
        <v>0</v>
      </c>
      <c r="G21" s="633">
        <f>COUNTIF('COM726-Sep-23'!D2:D102, "Taiwo")</f>
        <v>0</v>
      </c>
      <c r="H21" s="1019">
        <f>SUM(B21:G21)</f>
        <v>0</v>
      </c>
      <c r="J21" s="325"/>
      <c r="K21" s="325"/>
      <c r="L21" s="325"/>
      <c r="M21" s="325"/>
      <c r="N21" s="579">
        <f t="shared" si="17"/>
        <v>0</v>
      </c>
    </row>
    <row r="22" spans="1:14">
      <c r="A22" s="156" t="s">
        <v>40</v>
      </c>
      <c r="B22" s="781">
        <f>COUNTIF('COM726 - May 23'!C3:C63, "Warren")</f>
        <v>0</v>
      </c>
      <c r="C22" s="791">
        <f>COUNTIF('COM625 May 23'!C3:C8,"Warren")</f>
        <v>0</v>
      </c>
      <c r="D22" s="633">
        <f>COUNTIF('MAA112 May 23'!C3:C12,"Warren")+COUNTIF('MAA112 May 23'!G3:G18,"Warren")+COUNTIF('MAA112 May 23'!K3:K22,"Warren")</f>
        <v>0</v>
      </c>
      <c r="E22" s="638">
        <f>COUNTIF('COM726 - Sept 23'!D3:D112, "Warren")</f>
        <v>0</v>
      </c>
      <c r="F22" s="633">
        <f>COUNTIF('COM616 - Oct 2023'!D3:D100, "Warren")</f>
        <v>0</v>
      </c>
      <c r="G22" s="633">
        <f>COUNTIF('COM726-Sep-23'!D3:D103, "Warren")</f>
        <v>0</v>
      </c>
      <c r="H22" s="579">
        <f>SUM(B22:F22)</f>
        <v>0</v>
      </c>
      <c r="J22" s="618"/>
      <c r="K22" s="618"/>
      <c r="L22" s="618"/>
      <c r="M22" s="618"/>
      <c r="N22" s="617">
        <f t="shared" ref="N22" si="18">SUM(J22:M22)</f>
        <v>0</v>
      </c>
    </row>
    <row r="23" spans="1:14">
      <c r="A23" s="323" t="s">
        <v>287</v>
      </c>
      <c r="B23" s="784">
        <f>COUNTIF('COM726 - May 23'!C4:C64, "Craig")</f>
        <v>0</v>
      </c>
      <c r="C23" s="795">
        <f>COUNTIF('COM625 May 23'!C4:C9,"Craig")</f>
        <v>0</v>
      </c>
      <c r="D23" s="634">
        <f>COUNTIF('MAA112 May 23'!C4:C13,"Craig")+COUNTIF('MAA112 May 23'!G4:G19,"Craig")+COUNTIF('MAA112 May 23'!K4:K23,"Craig")</f>
        <v>0</v>
      </c>
      <c r="E23" s="640">
        <f>COUNTIF('COM726 - Sept 23'!D4:D113, "Craig")</f>
        <v>0</v>
      </c>
      <c r="F23" s="634">
        <f>COUNTIF('COM616 - Oct 2023'!D3:D101, "Craig")</f>
        <v>0</v>
      </c>
      <c r="G23" s="634">
        <f>COUNTIF('COM726-Sep-23'!D4:D104, "Craig")</f>
        <v>0</v>
      </c>
      <c r="H23" s="1019">
        <f>SUM(B23:G23)</f>
        <v>0</v>
      </c>
      <c r="J23" s="325"/>
      <c r="K23" s="325"/>
      <c r="L23" s="325"/>
      <c r="M23" s="325"/>
      <c r="N23" s="579">
        <f t="shared" ref="N23" si="19">SUM(J23:M23)</f>
        <v>0</v>
      </c>
    </row>
    <row r="24" spans="1:14">
      <c r="A24" s="323" t="s">
        <v>288</v>
      </c>
      <c r="B24" s="781">
        <f>COUNTIF('COM726 - May 23'!C5:C65, "Armen")</f>
        <v>0</v>
      </c>
      <c r="C24" s="791">
        <f>COUNTIF('COM625 May 23'!C5:C10,"Armen")</f>
        <v>0</v>
      </c>
      <c r="D24" s="633">
        <f>COUNTIF('MAA112 May 23'!C5:C14,"Armen")+COUNTIF('MAA112 May 23'!G5:G20,"Armen")+COUNTIF('MAA112 May 23'!K5:K24,"Armen")</f>
        <v>0</v>
      </c>
      <c r="E24" s="638">
        <f>COUNTIF('COM726 - Sept 23'!D5:D114, "Armen")</f>
        <v>0</v>
      </c>
      <c r="F24" s="633">
        <f>COUNTIF('COM616 - Oct 2023'!D3:D102, "Armen")</f>
        <v>0</v>
      </c>
      <c r="G24" s="633">
        <f>COUNTIF('COM726-Sep-23'!D5:D105, "Armen")</f>
        <v>0</v>
      </c>
      <c r="H24" s="1019">
        <f t="shared" ref="H24:H32" si="20">SUM(B24:G24)</f>
        <v>0</v>
      </c>
      <c r="J24" s="325"/>
      <c r="K24" s="325"/>
      <c r="L24" s="325"/>
      <c r="M24" s="325"/>
      <c r="N24" s="579"/>
    </row>
    <row r="25" spans="1:14" ht="16.5">
      <c r="A25" s="1017" t="s">
        <v>311</v>
      </c>
      <c r="B25" s="781">
        <f>COUNTIF('COM726 - May 23'!C6:C66, "Matloob")</f>
        <v>0</v>
      </c>
      <c r="C25" s="791">
        <f>COUNTIF('COM625 May 23'!C6:C11,"Matloob")</f>
        <v>0</v>
      </c>
      <c r="D25" s="633">
        <f>COUNTIF('MAA112 May 23'!C6:C15,"Matloob")+COUNTIF('MAA112 May 23'!G6:G21,"Matloob")+COUNTIF('MAA112 May 23'!K6:K25,"Matloob")</f>
        <v>0</v>
      </c>
      <c r="E25" s="638">
        <f>COUNTIF('COM726 - Sept 23'!D6:D115, "Matloob")</f>
        <v>0</v>
      </c>
      <c r="F25" s="633">
        <f>COUNTIF('COM616 - Oct 2023'!D3:D103, "Matloob")</f>
        <v>0</v>
      </c>
      <c r="G25" s="633">
        <f>COUNTIF('COM726-Sep-23'!D6:D106, "Matloob")</f>
        <v>0</v>
      </c>
      <c r="H25" s="1019">
        <f t="shared" si="20"/>
        <v>0</v>
      </c>
      <c r="J25" s="325"/>
      <c r="K25" s="325"/>
      <c r="L25" s="325"/>
      <c r="M25" s="325"/>
      <c r="N25" s="579"/>
    </row>
    <row r="26" spans="1:14" ht="16.5">
      <c r="A26" s="1017" t="s">
        <v>312</v>
      </c>
      <c r="B26" s="781">
        <f>COUNTIF('COM726 - May 23'!C7:C67, "Ryan")</f>
        <v>0</v>
      </c>
      <c r="C26" s="791">
        <f>COUNTIF('COM625 May 23'!C7:C12,"Ryan")</f>
        <v>0</v>
      </c>
      <c r="D26" s="633">
        <f>COUNTIF('MAA112 May 23'!C7:C16,"Ryan")+COUNTIF('MAA112 May 23'!G7:G22,"Ryan")+COUNTIF('MAA112 May 23'!K7:K26,"Ryan")</f>
        <v>0</v>
      </c>
      <c r="E26" s="638">
        <f>COUNTIF('COM726 - Sept 23'!D7:D116, "Ryan")</f>
        <v>0</v>
      </c>
      <c r="F26" s="633">
        <f>COUNTIF('COM616 - Oct 2023'!D3:D104, "Ryan")</f>
        <v>0</v>
      </c>
      <c r="G26" s="633">
        <f>COUNTIF('COM726-Sep-23'!D7:D107, "Ryan")</f>
        <v>0</v>
      </c>
      <c r="H26" s="1019">
        <f t="shared" si="20"/>
        <v>0</v>
      </c>
      <c r="J26" s="325"/>
      <c r="K26" s="325"/>
      <c r="L26" s="325"/>
      <c r="M26" s="325"/>
      <c r="N26" s="579"/>
    </row>
    <row r="27" spans="1:14" ht="16.5" customHeight="1">
      <c r="A27" s="1017" t="s">
        <v>313</v>
      </c>
      <c r="B27" s="1016"/>
      <c r="C27" s="791"/>
      <c r="D27" s="633"/>
      <c r="E27" s="638"/>
      <c r="F27" s="633">
        <f>COUNTIF('COM616 - Oct 2023'!D3:D104, "Mujeeb")</f>
        <v>0</v>
      </c>
      <c r="G27" s="633"/>
      <c r="H27" s="1019">
        <f t="shared" si="20"/>
        <v>0</v>
      </c>
      <c r="J27" s="325"/>
      <c r="K27" s="325"/>
      <c r="L27" s="325"/>
      <c r="M27" s="325"/>
      <c r="N27" s="579"/>
    </row>
    <row r="28" spans="1:14" ht="16.5">
      <c r="A28" s="1017" t="s">
        <v>314</v>
      </c>
      <c r="B28" s="1016"/>
      <c r="C28" s="791"/>
      <c r="D28" s="633"/>
      <c r="E28" s="638"/>
      <c r="F28" s="633">
        <f>COUNTIF('COM616 - Oct 2023'!D3:D104, "Zahaib")</f>
        <v>0</v>
      </c>
      <c r="G28" s="633"/>
      <c r="H28" s="1019">
        <f t="shared" si="20"/>
        <v>0</v>
      </c>
      <c r="J28" s="325"/>
      <c r="K28" s="325"/>
      <c r="L28" s="325"/>
      <c r="M28" s="325"/>
      <c r="N28" s="579"/>
    </row>
    <row r="29" spans="1:14" ht="16.5">
      <c r="A29" s="1017" t="s">
        <v>315</v>
      </c>
      <c r="B29" s="1016"/>
      <c r="C29" s="791"/>
      <c r="D29" s="633"/>
      <c r="E29" s="638"/>
      <c r="F29" s="633">
        <f>COUNTIF('COM616 - Oct 2023'!D3:D104, "Zuhaib")</f>
        <v>0</v>
      </c>
      <c r="G29" s="633"/>
      <c r="H29" s="1019">
        <f t="shared" si="20"/>
        <v>0</v>
      </c>
      <c r="J29" s="325"/>
      <c r="K29" s="325"/>
      <c r="L29" s="325"/>
      <c r="M29" s="325"/>
      <c r="N29" s="579"/>
    </row>
    <row r="30" spans="1:14" ht="16.5">
      <c r="A30" s="1017" t="s">
        <v>316</v>
      </c>
      <c r="B30" s="1016"/>
      <c r="C30" s="791"/>
      <c r="D30" s="633"/>
      <c r="E30" s="638"/>
      <c r="F30" s="633">
        <f>COUNTIF('COM616 - Oct 2023'!D3:D104, "Ade")</f>
        <v>0</v>
      </c>
      <c r="G30" s="633"/>
      <c r="H30" s="1019">
        <f t="shared" si="20"/>
        <v>0</v>
      </c>
      <c r="J30" s="325"/>
      <c r="K30" s="325"/>
      <c r="L30" s="325"/>
      <c r="M30" s="325"/>
      <c r="N30" s="579"/>
    </row>
    <row r="31" spans="1:14">
      <c r="A31" s="1074" t="s">
        <v>317</v>
      </c>
      <c r="B31" s="781"/>
      <c r="C31" s="791"/>
      <c r="D31" s="633"/>
      <c r="E31" s="638"/>
      <c r="F31" s="633">
        <f>COUNTIF('COM616 - Oct 2023'!D3:D104, "Ade")</f>
        <v>0</v>
      </c>
      <c r="G31" s="633"/>
      <c r="H31" s="1019">
        <f t="shared" si="20"/>
        <v>0</v>
      </c>
      <c r="J31" s="325"/>
      <c r="K31" s="325"/>
      <c r="L31" s="325"/>
      <c r="M31" s="325"/>
      <c r="N31" s="579"/>
    </row>
    <row r="32" spans="1:14">
      <c r="A32" s="1018"/>
      <c r="B32" s="781"/>
      <c r="C32" s="791"/>
      <c r="D32" s="633"/>
      <c r="E32" s="638"/>
      <c r="F32" s="633">
        <f>COUNTIF('COM616 - Oct 2023'!D3:D104, "Ade")</f>
        <v>0</v>
      </c>
      <c r="G32" s="633"/>
      <c r="H32" s="1019">
        <f t="shared" si="20"/>
        <v>0</v>
      </c>
      <c r="J32" s="325"/>
      <c r="K32" s="325"/>
      <c r="L32" s="325"/>
      <c r="M32" s="325"/>
      <c r="N32" s="579"/>
    </row>
    <row r="33" spans="2:14">
      <c r="B33" s="786">
        <f>SUM(B2:B22)</f>
        <v>51</v>
      </c>
      <c r="C33" s="796">
        <f>SUM(C2:C23)</f>
        <v>4</v>
      </c>
      <c r="D33" s="516">
        <f>SUM(D2:D22)</f>
        <v>46</v>
      </c>
      <c r="E33" s="641">
        <f>SUM(E2:E23)</f>
        <v>0</v>
      </c>
      <c r="F33" s="516">
        <f>SUM(F2:F23)</f>
        <v>5</v>
      </c>
      <c r="G33" s="159">
        <f>SUM(G2:G23)</f>
        <v>0</v>
      </c>
      <c r="H33" s="786">
        <f>SUM(H2:H23)</f>
        <v>106</v>
      </c>
      <c r="J33" s="159">
        <f>SUM(J2:J23)</f>
        <v>0</v>
      </c>
      <c r="K33" s="159">
        <f>SUM(K2:K23)</f>
        <v>0</v>
      </c>
      <c r="L33" s="159">
        <f>SUM(L2:L23)</f>
        <v>0</v>
      </c>
      <c r="M33" s="159">
        <f>SUM(M2:M23)</f>
        <v>0</v>
      </c>
      <c r="N33" s="797"/>
    </row>
    <row r="34" spans="2:14">
      <c r="B34" s="786" t="s">
        <v>318</v>
      </c>
      <c r="C34" s="788" t="s">
        <v>318</v>
      </c>
      <c r="D34" s="244" t="s">
        <v>318</v>
      </c>
      <c r="E34" s="281"/>
      <c r="F34" s="281"/>
      <c r="G34" s="74"/>
      <c r="H34" s="643"/>
      <c r="J34" s="642"/>
      <c r="K34" s="642"/>
      <c r="L34" s="642"/>
      <c r="M34" s="642"/>
      <c r="N34" s="643"/>
    </row>
    <row r="37" spans="2:14">
      <c r="B37" s="600" t="s">
        <v>18</v>
      </c>
      <c r="C37" s="600"/>
    </row>
  </sheetData>
  <sortState xmlns:xlrd2="http://schemas.microsoft.com/office/spreadsheetml/2017/richdata2" ref="A3:A18">
    <sortCondition ref="A3:A18"/>
  </sortState>
  <conditionalFormatting sqref="B20:C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3 B29:C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1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3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7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4"/>
  <sheetViews>
    <sheetView workbookViewId="0">
      <selection activeCell="A27" sqref="A27"/>
    </sheetView>
  </sheetViews>
  <sheetFormatPr defaultRowHeight="15.75" customHeight="1"/>
  <cols>
    <col min="1" max="1" width="22.375" customWidth="1"/>
    <col min="2" max="2" width="22.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953" t="s">
        <v>319</v>
      </c>
      <c r="B2" s="954"/>
      <c r="D2" s="953" t="s">
        <v>320</v>
      </c>
      <c r="E2" s="954"/>
      <c r="G2" s="946" t="s">
        <v>321</v>
      </c>
      <c r="H2" s="948" t="s">
        <v>322</v>
      </c>
      <c r="I2" s="950" t="s">
        <v>323</v>
      </c>
      <c r="J2" s="94"/>
      <c r="K2" s="957" t="s">
        <v>324</v>
      </c>
      <c r="L2" s="958"/>
      <c r="M2" s="865"/>
    </row>
    <row r="3" spans="1:16" ht="15.75" customHeight="1">
      <c r="A3" s="70" t="s">
        <v>325</v>
      </c>
      <c r="B3" s="71">
        <v>61</v>
      </c>
      <c r="D3" s="70" t="s">
        <v>325</v>
      </c>
      <c r="E3" s="66">
        <v>46</v>
      </c>
      <c r="G3" s="947"/>
      <c r="H3" s="949"/>
      <c r="I3" s="951"/>
      <c r="J3" s="94"/>
      <c r="K3" s="959"/>
      <c r="L3" s="960"/>
      <c r="M3" s="961"/>
      <c r="N3" s="952"/>
      <c r="O3" s="952"/>
      <c r="P3" s="952"/>
    </row>
    <row r="4" spans="1:16" ht="15">
      <c r="A4" s="72" t="s">
        <v>326</v>
      </c>
      <c r="B4" s="46">
        <f>SUM(B3*6)</f>
        <v>366</v>
      </c>
      <c r="D4" s="74" t="s">
        <v>326</v>
      </c>
      <c r="E4" s="48">
        <f>SUM(E3*6)</f>
        <v>276</v>
      </c>
      <c r="G4" s="97">
        <f>SUM(B4+E4)</f>
        <v>642</v>
      </c>
      <c r="H4" s="98">
        <f>SUM(B3+E3)</f>
        <v>107</v>
      </c>
      <c r="I4" s="100">
        <f>SUM(H4/2/18)</f>
        <v>2.9722222222222223</v>
      </c>
      <c r="J4" s="1"/>
      <c r="K4" s="959"/>
      <c r="L4" s="960"/>
      <c r="M4" s="961"/>
      <c r="N4" s="952"/>
      <c r="O4" s="952"/>
      <c r="P4" s="952"/>
    </row>
    <row r="5" spans="1:16">
      <c r="K5" s="959"/>
      <c r="L5" s="960"/>
      <c r="M5" s="961"/>
      <c r="N5" s="952"/>
      <c r="O5" s="952"/>
      <c r="P5" s="952"/>
    </row>
    <row r="6" spans="1:16" ht="15.75" customHeight="1">
      <c r="A6" s="944" t="s">
        <v>327</v>
      </c>
      <c r="B6" s="945"/>
      <c r="G6" s="946" t="s">
        <v>321</v>
      </c>
      <c r="H6" s="948" t="s">
        <v>322</v>
      </c>
      <c r="I6" s="950" t="s">
        <v>323</v>
      </c>
      <c r="J6" s="94"/>
      <c r="K6" s="959"/>
      <c r="L6" s="960"/>
      <c r="M6" s="961"/>
      <c r="N6" s="952"/>
      <c r="O6" s="952"/>
      <c r="P6" s="952"/>
    </row>
    <row r="7" spans="1:16" ht="15.75" customHeight="1">
      <c r="A7" s="70" t="s">
        <v>325</v>
      </c>
      <c r="B7" s="71">
        <v>6</v>
      </c>
      <c r="G7" s="947"/>
      <c r="H7" s="949"/>
      <c r="I7" s="951"/>
      <c r="J7" s="94"/>
      <c r="K7" s="959"/>
      <c r="L7" s="960"/>
      <c r="M7" s="961"/>
      <c r="N7" s="952"/>
      <c r="O7" s="952"/>
      <c r="P7" s="952"/>
    </row>
    <row r="8" spans="1:16">
      <c r="A8" s="72" t="s">
        <v>326</v>
      </c>
      <c r="B8" s="46">
        <f>SUM(B7*6)</f>
        <v>36</v>
      </c>
      <c r="G8" s="97">
        <f>SUM(B8+E8)</f>
        <v>36</v>
      </c>
      <c r="H8" s="98">
        <f>SUM(B7+E7)</f>
        <v>6</v>
      </c>
      <c r="I8" s="100">
        <f>SUM(H8/2/18)</f>
        <v>0.16666666666666666</v>
      </c>
      <c r="J8" s="1"/>
      <c r="K8" s="962"/>
      <c r="L8" s="963"/>
      <c r="M8" s="964"/>
      <c r="N8" s="952"/>
      <c r="O8" s="952"/>
      <c r="P8" s="952"/>
    </row>
    <row r="9" spans="1:16">
      <c r="N9" s="952"/>
      <c r="O9" s="952"/>
      <c r="P9" s="952"/>
    </row>
    <row r="10" spans="1:16">
      <c r="A10" s="953" t="s">
        <v>328</v>
      </c>
      <c r="B10" s="945"/>
      <c r="D10" s="953" t="s">
        <v>329</v>
      </c>
      <c r="E10" s="945"/>
      <c r="G10" s="946" t="s">
        <v>321</v>
      </c>
      <c r="H10" s="948" t="s">
        <v>322</v>
      </c>
      <c r="I10" s="950" t="s">
        <v>330</v>
      </c>
      <c r="J10" s="94"/>
    </row>
    <row r="11" spans="1:16">
      <c r="A11" s="70" t="s">
        <v>325</v>
      </c>
      <c r="B11" s="71">
        <v>110</v>
      </c>
      <c r="D11" s="70" t="s">
        <v>325</v>
      </c>
      <c r="E11" s="66"/>
      <c r="G11" s="947"/>
      <c r="H11" s="949"/>
      <c r="I11" s="951"/>
      <c r="J11" s="94"/>
    </row>
    <row r="12" spans="1:16">
      <c r="A12" s="72" t="s">
        <v>326</v>
      </c>
      <c r="B12" s="46">
        <f>SUM(B11*6)</f>
        <v>660</v>
      </c>
      <c r="D12" s="74" t="s">
        <v>326</v>
      </c>
      <c r="E12" s="48">
        <f>SUM(E11*6)</f>
        <v>0</v>
      </c>
      <c r="G12" s="97">
        <f>SUM(B12+E12)</f>
        <v>660</v>
      </c>
      <c r="H12" s="98">
        <f>SUM(B11+E11)</f>
        <v>110</v>
      </c>
      <c r="I12" s="100">
        <f>SUM(H12/2/18)</f>
        <v>3.0555555555555554</v>
      </c>
      <c r="J12" s="95"/>
    </row>
    <row r="14" spans="1:16" ht="15.75" customHeight="1">
      <c r="A14" s="944" t="s">
        <v>331</v>
      </c>
      <c r="B14" s="945"/>
      <c r="D14" s="944"/>
      <c r="E14" s="945"/>
      <c r="G14" s="946" t="s">
        <v>321</v>
      </c>
      <c r="H14" s="948" t="s">
        <v>322</v>
      </c>
      <c r="I14" s="950" t="s">
        <v>330</v>
      </c>
    </row>
    <row r="15" spans="1:16" ht="15.75" customHeight="1">
      <c r="A15" s="70" t="s">
        <v>325</v>
      </c>
      <c r="B15" s="71">
        <f>SUM('COM616 - Oct 2023'!H2)</f>
        <v>59</v>
      </c>
      <c r="D15" s="70"/>
      <c r="E15" s="71"/>
      <c r="G15" s="947"/>
      <c r="H15" s="949"/>
      <c r="I15" s="951"/>
    </row>
    <row r="16" spans="1:16" ht="15" customHeight="1">
      <c r="A16" s="72" t="s">
        <v>326</v>
      </c>
      <c r="B16" s="46">
        <f>SUM(B15*6)</f>
        <v>354</v>
      </c>
      <c r="D16" s="72"/>
      <c r="E16" s="46"/>
      <c r="G16" s="43">
        <f>SUM(B16+E16)</f>
        <v>354</v>
      </c>
      <c r="H16" s="23">
        <f>SUM(B15+E15)</f>
        <v>59</v>
      </c>
      <c r="I16" s="96">
        <f>SUM(H16/2/18)</f>
        <v>1.6388888888888888</v>
      </c>
    </row>
    <row r="18" spans="1:9" ht="15.75" customHeight="1">
      <c r="A18" s="955" t="s">
        <v>332</v>
      </c>
      <c r="B18" s="956"/>
      <c r="D18" s="953"/>
      <c r="E18" s="945"/>
      <c r="G18" s="946" t="s">
        <v>321</v>
      </c>
      <c r="H18" s="948" t="s">
        <v>322</v>
      </c>
      <c r="I18" s="950" t="s">
        <v>323</v>
      </c>
    </row>
    <row r="19" spans="1:9" ht="15.75" customHeight="1">
      <c r="A19" s="73" t="s">
        <v>325</v>
      </c>
      <c r="B19" s="66">
        <v>0</v>
      </c>
      <c r="D19" s="70"/>
      <c r="E19" s="66"/>
      <c r="G19" s="947"/>
      <c r="H19" s="949"/>
      <c r="I19" s="951"/>
    </row>
    <row r="20" spans="1:9" ht="15.75" customHeight="1">
      <c r="A20" s="72" t="s">
        <v>326</v>
      </c>
      <c r="B20" s="46">
        <f>SUM(B19*6)</f>
        <v>0</v>
      </c>
      <c r="D20" s="74"/>
      <c r="E20" s="48"/>
      <c r="G20" s="97">
        <f>SUM(B20+E20)</f>
        <v>0</v>
      </c>
      <c r="H20" s="98"/>
      <c r="I20" s="99">
        <f>SUM(G20/2/18)</f>
        <v>0</v>
      </c>
    </row>
    <row r="22" spans="1:9" ht="15.75" customHeight="1">
      <c r="A22" s="944" t="s">
        <v>333</v>
      </c>
      <c r="B22" s="945"/>
      <c r="G22" s="946" t="s">
        <v>321</v>
      </c>
      <c r="H22" s="948" t="s">
        <v>322</v>
      </c>
      <c r="I22" s="950" t="s">
        <v>323</v>
      </c>
    </row>
    <row r="23" spans="1:9" ht="15.75" customHeight="1">
      <c r="A23" s="70" t="s">
        <v>325</v>
      </c>
      <c r="B23" s="71"/>
      <c r="G23" s="947"/>
      <c r="H23" s="949"/>
      <c r="I23" s="951"/>
    </row>
    <row r="24" spans="1:9" ht="15.75" customHeight="1">
      <c r="A24" s="72" t="s">
        <v>326</v>
      </c>
      <c r="B24" s="46"/>
      <c r="G24" s="97">
        <f>SUM(B24+E24)</f>
        <v>0</v>
      </c>
      <c r="H24" s="98">
        <f>SUM(B23+E23)</f>
        <v>0</v>
      </c>
      <c r="I24" s="100">
        <f>SUM(H24/2/18)</f>
        <v>0</v>
      </c>
    </row>
  </sheetData>
  <mergeCells count="30">
    <mergeCell ref="K2:M8"/>
    <mergeCell ref="H10:H11"/>
    <mergeCell ref="I10:I11"/>
    <mergeCell ref="G14:G15"/>
    <mergeCell ref="H14:H15"/>
    <mergeCell ref="I14:I15"/>
    <mergeCell ref="N3:P9"/>
    <mergeCell ref="D2:E2"/>
    <mergeCell ref="A10:B10"/>
    <mergeCell ref="A2:B2"/>
    <mergeCell ref="A18:B18"/>
    <mergeCell ref="D10:E10"/>
    <mergeCell ref="D18:E18"/>
    <mergeCell ref="A14:B14"/>
    <mergeCell ref="D14:E14"/>
    <mergeCell ref="G2:G3"/>
    <mergeCell ref="H2:H3"/>
    <mergeCell ref="I2:I3"/>
    <mergeCell ref="G10:G11"/>
    <mergeCell ref="G18:G19"/>
    <mergeCell ref="H18:H19"/>
    <mergeCell ref="I18:I19"/>
    <mergeCell ref="A6:B6"/>
    <mergeCell ref="G6:G7"/>
    <mergeCell ref="H6:H7"/>
    <mergeCell ref="I6:I7"/>
    <mergeCell ref="A22:B22"/>
    <mergeCell ref="G22:G23"/>
    <mergeCell ref="H22:H23"/>
    <mergeCell ref="I22:I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G42" sqref="G42"/>
    </sheetView>
  </sheetViews>
  <sheetFormatPr defaultRowHeight="1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09" t="s">
        <v>229</v>
      </c>
      <c r="B1" s="110"/>
      <c r="C1" s="443" t="s">
        <v>334</v>
      </c>
      <c r="E1" s="115" t="s">
        <v>335</v>
      </c>
      <c r="F1" s="116"/>
      <c r="G1" s="124" t="s">
        <v>334</v>
      </c>
      <c r="I1" s="109" t="s">
        <v>336</v>
      </c>
      <c r="J1" s="110"/>
      <c r="K1" s="443" t="s">
        <v>334</v>
      </c>
    </row>
    <row r="2" spans="1:11">
      <c r="A2" s="22"/>
      <c r="B2" s="101" t="s">
        <v>337</v>
      </c>
      <c r="C2" s="111" t="s">
        <v>6</v>
      </c>
      <c r="E2" s="22"/>
      <c r="F2" s="101" t="s">
        <v>337</v>
      </c>
      <c r="G2" s="111" t="s">
        <v>6</v>
      </c>
      <c r="I2" s="22"/>
      <c r="J2" s="101" t="s">
        <v>337</v>
      </c>
      <c r="K2" s="111" t="s">
        <v>6</v>
      </c>
    </row>
    <row r="3" spans="1:11" ht="15.75">
      <c r="A3" s="117">
        <v>1</v>
      </c>
      <c r="B3" s="104" t="s">
        <v>338</v>
      </c>
      <c r="C3" s="112" t="s">
        <v>83</v>
      </c>
      <c r="D3" s="105"/>
      <c r="E3" s="117">
        <v>1</v>
      </c>
      <c r="F3" s="106" t="s">
        <v>339</v>
      </c>
      <c r="G3" s="118" t="s">
        <v>59</v>
      </c>
      <c r="I3" s="123">
        <v>1</v>
      </c>
      <c r="J3" s="102" t="s">
        <v>340</v>
      </c>
      <c r="K3" s="66" t="s">
        <v>75</v>
      </c>
    </row>
    <row r="4" spans="1:11" ht="15.75">
      <c r="A4" s="117">
        <v>2</v>
      </c>
      <c r="B4" s="107" t="s">
        <v>341</v>
      </c>
      <c r="C4" s="112" t="s">
        <v>83</v>
      </c>
      <c r="D4" s="105"/>
      <c r="E4" s="117">
        <v>2</v>
      </c>
      <c r="F4" s="106" t="s">
        <v>342</v>
      </c>
      <c r="G4" s="118" t="s">
        <v>89</v>
      </c>
      <c r="I4" s="123">
        <v>2</v>
      </c>
      <c r="J4" s="102" t="s">
        <v>343</v>
      </c>
      <c r="K4" s="66" t="s">
        <v>75</v>
      </c>
    </row>
    <row r="5" spans="1:11" ht="15.75">
      <c r="A5" s="117">
        <v>3</v>
      </c>
      <c r="B5" s="107" t="s">
        <v>344</v>
      </c>
      <c r="C5" s="112" t="s">
        <v>83</v>
      </c>
      <c r="D5" s="105"/>
      <c r="E5" s="117">
        <v>3</v>
      </c>
      <c r="F5" s="106" t="s">
        <v>345</v>
      </c>
      <c r="G5" s="118" t="s">
        <v>75</v>
      </c>
      <c r="I5" s="123">
        <v>3</v>
      </c>
      <c r="J5" s="102" t="s">
        <v>346</v>
      </c>
      <c r="K5" s="66" t="s">
        <v>75</v>
      </c>
    </row>
    <row r="6" spans="1:11" ht="15.75">
      <c r="A6" s="117">
        <v>4</v>
      </c>
      <c r="B6" s="107" t="s">
        <v>347</v>
      </c>
      <c r="C6" s="112" t="s">
        <v>83</v>
      </c>
      <c r="D6" s="105"/>
      <c r="E6" s="117">
        <v>4</v>
      </c>
      <c r="F6" s="106" t="s">
        <v>348</v>
      </c>
      <c r="G6" s="66" t="s">
        <v>283</v>
      </c>
      <c r="I6" s="123">
        <v>4</v>
      </c>
      <c r="J6" s="102" t="s">
        <v>349</v>
      </c>
      <c r="K6" s="66" t="s">
        <v>75</v>
      </c>
    </row>
    <row r="7" spans="1:11" ht="15.75">
      <c r="A7" s="117">
        <v>5</v>
      </c>
      <c r="B7" s="107" t="s">
        <v>350</v>
      </c>
      <c r="C7" s="112" t="s">
        <v>83</v>
      </c>
      <c r="D7" s="105"/>
      <c r="E7" s="117">
        <v>5</v>
      </c>
      <c r="F7" s="106" t="s">
        <v>351</v>
      </c>
      <c r="G7" s="118" t="s">
        <v>89</v>
      </c>
      <c r="I7" s="123">
        <v>5</v>
      </c>
      <c r="J7" s="102" t="s">
        <v>352</v>
      </c>
      <c r="K7" s="66" t="s">
        <v>75</v>
      </c>
    </row>
    <row r="8" spans="1:11" ht="15.75">
      <c r="A8" s="117">
        <v>6</v>
      </c>
      <c r="B8" s="107" t="s">
        <v>353</v>
      </c>
      <c r="C8" s="112" t="s">
        <v>83</v>
      </c>
      <c r="D8" s="105"/>
      <c r="E8" s="117">
        <v>6</v>
      </c>
      <c r="F8" s="106" t="s">
        <v>354</v>
      </c>
      <c r="G8" s="118" t="s">
        <v>89</v>
      </c>
      <c r="I8" s="123">
        <v>6</v>
      </c>
      <c r="J8" s="102" t="s">
        <v>355</v>
      </c>
      <c r="K8" s="66" t="s">
        <v>283</v>
      </c>
    </row>
    <row r="9" spans="1:11" ht="15.75">
      <c r="A9" s="117">
        <v>7</v>
      </c>
      <c r="B9" s="107" t="s">
        <v>356</v>
      </c>
      <c r="C9" s="112" t="s">
        <v>83</v>
      </c>
      <c r="D9" s="105"/>
      <c r="E9" s="117">
        <v>7</v>
      </c>
      <c r="F9" s="106" t="s">
        <v>357</v>
      </c>
      <c r="G9" s="118" t="s">
        <v>59</v>
      </c>
      <c r="I9" s="123">
        <v>7</v>
      </c>
      <c r="J9" s="102" t="s">
        <v>358</v>
      </c>
      <c r="K9" s="66" t="s">
        <v>283</v>
      </c>
    </row>
    <row r="10" spans="1:11" ht="23.25">
      <c r="A10" s="117">
        <v>8</v>
      </c>
      <c r="B10" s="107" t="s">
        <v>359</v>
      </c>
      <c r="C10" s="112" t="s">
        <v>83</v>
      </c>
      <c r="D10" s="105"/>
      <c r="E10" s="117">
        <v>8</v>
      </c>
      <c r="F10" s="106" t="s">
        <v>360</v>
      </c>
      <c r="G10" s="118" t="s">
        <v>59</v>
      </c>
      <c r="I10" s="123">
        <v>8</v>
      </c>
      <c r="J10" s="102" t="s">
        <v>361</v>
      </c>
      <c r="K10" s="66" t="s">
        <v>12</v>
      </c>
    </row>
    <row r="11" spans="1:11" ht="15.75">
      <c r="A11" s="117">
        <v>9</v>
      </c>
      <c r="B11" s="107" t="s">
        <v>362</v>
      </c>
      <c r="C11" s="112" t="s">
        <v>83</v>
      </c>
      <c r="D11" s="105"/>
      <c r="E11" s="117">
        <v>9</v>
      </c>
      <c r="F11" s="106" t="s">
        <v>363</v>
      </c>
      <c r="G11" s="118" t="s">
        <v>89</v>
      </c>
      <c r="I11" s="123">
        <v>9</v>
      </c>
      <c r="J11" s="102" t="s">
        <v>364</v>
      </c>
      <c r="K11" s="66" t="s">
        <v>12</v>
      </c>
    </row>
    <row r="12" spans="1:11" ht="15.75">
      <c r="A12" s="119">
        <v>10</v>
      </c>
      <c r="B12" s="113" t="s">
        <v>365</v>
      </c>
      <c r="C12" s="114" t="s">
        <v>83</v>
      </c>
      <c r="D12" s="105"/>
      <c r="E12" s="117">
        <v>10</v>
      </c>
      <c r="F12" s="106" t="s">
        <v>366</v>
      </c>
      <c r="G12" s="66" t="s">
        <v>283</v>
      </c>
      <c r="I12" s="123">
        <v>10</v>
      </c>
      <c r="J12" s="102" t="s">
        <v>367</v>
      </c>
      <c r="K12" s="66" t="s">
        <v>283</v>
      </c>
    </row>
    <row r="13" spans="1:11" ht="15.75">
      <c r="A13" s="119">
        <v>11</v>
      </c>
      <c r="B13" s="280" t="s">
        <v>368</v>
      </c>
      <c r="C13" s="122" t="s">
        <v>59</v>
      </c>
      <c r="D13" s="105"/>
      <c r="E13" s="117">
        <v>11</v>
      </c>
      <c r="F13" s="108" t="s">
        <v>369</v>
      </c>
      <c r="G13" s="66" t="s">
        <v>283</v>
      </c>
      <c r="I13" s="123">
        <v>11</v>
      </c>
      <c r="J13" s="103" t="s">
        <v>370</v>
      </c>
      <c r="K13" s="66" t="s">
        <v>283</v>
      </c>
    </row>
    <row r="14" spans="1:11" ht="15.75">
      <c r="A14" s="105"/>
      <c r="B14" s="105"/>
      <c r="C14" s="105"/>
      <c r="D14" s="105"/>
      <c r="E14" s="117">
        <v>12</v>
      </c>
      <c r="F14" s="106" t="s">
        <v>371</v>
      </c>
      <c r="G14" s="118" t="s">
        <v>283</v>
      </c>
      <c r="I14" s="123">
        <v>12</v>
      </c>
      <c r="J14" s="102" t="s">
        <v>372</v>
      </c>
      <c r="K14" s="66" t="s">
        <v>283</v>
      </c>
    </row>
    <row r="15" spans="1:11" ht="15.75">
      <c r="A15" s="967" t="s">
        <v>373</v>
      </c>
      <c r="B15" s="968"/>
      <c r="C15" s="969"/>
      <c r="D15" s="105"/>
      <c r="E15" s="117">
        <v>13</v>
      </c>
      <c r="F15" s="106" t="s">
        <v>374</v>
      </c>
      <c r="G15" s="118" t="s">
        <v>89</v>
      </c>
      <c r="I15" s="123">
        <v>13</v>
      </c>
      <c r="J15" s="102" t="s">
        <v>375</v>
      </c>
      <c r="K15" s="66" t="s">
        <v>75</v>
      </c>
    </row>
    <row r="16" spans="1:11" ht="15.75">
      <c r="A16" s="970">
        <f>SUM('Supervision Load'!E3)</f>
        <v>46</v>
      </c>
      <c r="B16" s="971"/>
      <c r="C16" s="972"/>
      <c r="D16" s="105"/>
      <c r="E16" s="117">
        <v>14</v>
      </c>
      <c r="F16" s="106" t="s">
        <v>376</v>
      </c>
      <c r="G16" s="118" t="s">
        <v>89</v>
      </c>
      <c r="I16" s="123">
        <v>14</v>
      </c>
      <c r="J16" s="102" t="s">
        <v>377</v>
      </c>
      <c r="K16" s="66" t="s">
        <v>75</v>
      </c>
    </row>
    <row r="17" spans="1:11" ht="15.75">
      <c r="A17" s="970"/>
      <c r="B17" s="971"/>
      <c r="C17" s="972"/>
      <c r="D17" s="105"/>
      <c r="E17" s="117">
        <v>15</v>
      </c>
      <c r="F17" s="106" t="s">
        <v>378</v>
      </c>
      <c r="G17" s="118" t="s">
        <v>89</v>
      </c>
      <c r="I17" s="123">
        <v>15</v>
      </c>
      <c r="J17" s="102" t="s">
        <v>379</v>
      </c>
      <c r="K17" s="66" t="s">
        <v>75</v>
      </c>
    </row>
    <row r="18" spans="1:11" ht="15.75">
      <c r="A18" s="973"/>
      <c r="B18" s="974"/>
      <c r="C18" s="975"/>
      <c r="D18" s="105"/>
      <c r="E18" s="119">
        <v>16</v>
      </c>
      <c r="F18" s="120" t="s">
        <v>380</v>
      </c>
      <c r="G18" s="121" t="s">
        <v>89</v>
      </c>
      <c r="I18" s="123">
        <v>16</v>
      </c>
      <c r="J18" s="102" t="s">
        <v>381</v>
      </c>
      <c r="K18" s="66" t="s">
        <v>283</v>
      </c>
    </row>
    <row r="19" spans="1:11">
      <c r="I19" s="123">
        <v>17</v>
      </c>
      <c r="J19" s="102" t="s">
        <v>382</v>
      </c>
      <c r="K19" s="66" t="s">
        <v>12</v>
      </c>
    </row>
    <row r="20" spans="1:11" ht="15.75">
      <c r="B20" s="141"/>
      <c r="I20" s="123">
        <v>18</v>
      </c>
      <c r="J20" s="102" t="s">
        <v>383</v>
      </c>
      <c r="K20" s="66" t="s">
        <v>75</v>
      </c>
    </row>
    <row r="21" spans="1:11">
      <c r="I21" s="123">
        <v>19</v>
      </c>
      <c r="J21" s="102" t="s">
        <v>384</v>
      </c>
      <c r="K21" s="66" t="s">
        <v>12</v>
      </c>
    </row>
    <row r="22" spans="1:11">
      <c r="I22" s="119"/>
      <c r="J22" s="280"/>
      <c r="K22" s="122"/>
    </row>
    <row r="24" spans="1:11">
      <c r="E24" s="10"/>
      <c r="F24" s="101" t="s">
        <v>385</v>
      </c>
      <c r="G24" s="9" t="s">
        <v>386</v>
      </c>
      <c r="H24" s="101" t="s">
        <v>387</v>
      </c>
      <c r="I24" s="101"/>
      <c r="J24" s="226" t="s">
        <v>388</v>
      </c>
      <c r="K24" s="228" t="s">
        <v>389</v>
      </c>
    </row>
    <row r="25" spans="1:11">
      <c r="E25" s="60">
        <v>1</v>
      </c>
      <c r="F25" s="10" t="s">
        <v>283</v>
      </c>
      <c r="G25" s="12">
        <v>10</v>
      </c>
      <c r="H25" s="976" t="s">
        <v>390</v>
      </c>
      <c r="I25" s="977"/>
      <c r="J25" s="226">
        <f>COUNTIF(G3:G18:K3:K21, "Marc")</f>
        <v>10</v>
      </c>
      <c r="K25" s="228">
        <f>SUM(G25-J25)</f>
        <v>0</v>
      </c>
    </row>
    <row r="26" spans="1:11">
      <c r="E26" s="163">
        <v>2</v>
      </c>
      <c r="F26" s="10" t="s">
        <v>391</v>
      </c>
      <c r="G26" s="12">
        <v>0</v>
      </c>
      <c r="H26" s="965" t="s">
        <v>278</v>
      </c>
      <c r="I26" s="965"/>
      <c r="J26" s="227">
        <f>COUNTIF(G3:G18:K3:K21, "Andy")</f>
        <v>0</v>
      </c>
      <c r="K26" s="228">
        <f>SUM(G26-J26)</f>
        <v>0</v>
      </c>
    </row>
    <row r="27" spans="1:11">
      <c r="E27" s="12">
        <v>3</v>
      </c>
      <c r="F27" s="10" t="s">
        <v>75</v>
      </c>
      <c r="G27" s="12">
        <v>10</v>
      </c>
      <c r="H27" s="965" t="s">
        <v>278</v>
      </c>
      <c r="I27" s="965"/>
      <c r="J27" s="499">
        <f>COUNTIF(G3:G18:K3:K21, "Bode")</f>
        <v>10</v>
      </c>
      <c r="K27" s="228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965" t="s">
        <v>278</v>
      </c>
      <c r="I28" s="965"/>
      <c r="J28" s="227">
        <f>COUNTIF(G3:G18:K3:K21, "Kalin")</f>
        <v>4</v>
      </c>
      <c r="K28" s="228">
        <f>SUM(G28-J28)</f>
        <v>0</v>
      </c>
    </row>
    <row r="29" spans="1:11">
      <c r="E29" s="12">
        <v>5</v>
      </c>
      <c r="F29" s="10" t="s">
        <v>83</v>
      </c>
      <c r="G29" s="12">
        <v>10</v>
      </c>
      <c r="H29" s="965" t="s">
        <v>278</v>
      </c>
      <c r="I29" s="965"/>
      <c r="J29" s="227">
        <f>COUNTIF(G3:G18:K3:K21:C3:C12, "Anthony")</f>
        <v>10</v>
      </c>
      <c r="K29" s="228">
        <f>SUM(G29-J29)</f>
        <v>0</v>
      </c>
    </row>
    <row r="30" spans="1:11">
      <c r="E30" s="12">
        <v>6</v>
      </c>
      <c r="F30" s="10" t="s">
        <v>59</v>
      </c>
      <c r="G30" s="12">
        <v>4</v>
      </c>
      <c r="H30" s="965" t="s">
        <v>278</v>
      </c>
      <c r="I30" s="965"/>
      <c r="J30" s="227">
        <f>COUNTIF(G3:G18:C3:K13, "Nick")</f>
        <v>4</v>
      </c>
      <c r="K30" s="228">
        <f>SUM(G30-J30)</f>
        <v>0</v>
      </c>
    </row>
    <row r="31" spans="1:11">
      <c r="E31" s="12">
        <v>7</v>
      </c>
      <c r="F31" s="10" t="s">
        <v>89</v>
      </c>
      <c r="G31" s="12">
        <v>8</v>
      </c>
      <c r="H31" s="965" t="s">
        <v>278</v>
      </c>
      <c r="I31" s="965"/>
      <c r="J31" s="227">
        <f>COUNTIF(G4:G19:K4:K22, "Pengfei")</f>
        <v>8</v>
      </c>
      <c r="K31" s="228">
        <f>SUM(G31-J31)</f>
        <v>0</v>
      </c>
    </row>
    <row r="32" spans="1:11">
      <c r="E32" s="224"/>
      <c r="F32" s="224"/>
      <c r="G32" s="224"/>
      <c r="H32" s="966"/>
      <c r="I32" s="966"/>
    </row>
    <row r="34" spans="7:12">
      <c r="G34" s="500">
        <f>SUM(G25:G31)</f>
        <v>46</v>
      </c>
      <c r="J34" s="297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2023-09-08T14:34:12Z</dcterms:modified>
  <cp:category/>
  <cp:contentStatus/>
</cp:coreProperties>
</file>