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160" documentId="8_{F910275D-011D-4B9B-94BD-9ED687CDE8E9}" xr6:coauthVersionLast="47" xr6:coauthVersionMax="47" xr10:uidLastSave="{94FD978A-9EB8-4801-88D4-2E11BECA6AB1}"/>
  <bookViews>
    <workbookView xWindow="2835" yWindow="1605" windowWidth="22560" windowHeight="13920" firstSheet="2" activeTab="2" xr2:uid="{E69C05BD-5864-2041-BCC3-203BAAF63D0E}"/>
  </bookViews>
  <sheets>
    <sheet name="Foundation" sheetId="6" r:id="rId1"/>
    <sheet name="UG Map L4-L6" sheetId="1" r:id="rId2"/>
    <sheet name="UG Delivery" sheetId="13" r:id="rId3"/>
    <sheet name="PG MAIDS" sheetId="3" r:id="rId4"/>
    <sheet name="PG Delivery &amp; Map (15 Credits)" sheetId="5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 - Sept 23" sheetId="11" r:id="rId12"/>
    <sheet name="COM616 - Oct 2023" sheetId="14" r:id="rId13"/>
    <sheet name="COM726-Jan 24" sheetId="16" r:id="rId14"/>
  </sheets>
  <definedNames>
    <definedName name="_xlnm._FilterDatabase" localSheetId="10" hidden="1">'COM726 - May 23'!$C$1:$C$63</definedName>
    <definedName name="_xlnm._FilterDatabase" localSheetId="4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5" l="1"/>
  <c r="F26" i="15"/>
  <c r="E26" i="15"/>
  <c r="D26" i="15"/>
  <c r="C26" i="15"/>
  <c r="B26" i="15"/>
  <c r="G25" i="15"/>
  <c r="F25" i="15"/>
  <c r="E25" i="15"/>
  <c r="D25" i="15"/>
  <c r="C25" i="15"/>
  <c r="B25" i="15"/>
  <c r="J29" i="7"/>
  <c r="I29" i="7"/>
  <c r="G29" i="7"/>
  <c r="F29" i="7"/>
  <c r="C29" i="7"/>
  <c r="J25" i="7"/>
  <c r="Z34" i="7"/>
  <c r="J28" i="7"/>
  <c r="I28" i="7"/>
  <c r="G28" i="7"/>
  <c r="C28" i="7"/>
  <c r="N20" i="14"/>
  <c r="Q28" i="7"/>
  <c r="Q29" i="7"/>
  <c r="J10" i="7"/>
  <c r="E10" i="7"/>
  <c r="G23" i="15"/>
  <c r="F23" i="15"/>
  <c r="E23" i="15"/>
  <c r="D23" i="15"/>
  <c r="C23" i="15"/>
  <c r="B23" i="15"/>
  <c r="N23" i="15"/>
  <c r="H23" i="15"/>
  <c r="Q10" i="7" s="1"/>
  <c r="N19" i="14"/>
  <c r="N10" i="14"/>
  <c r="N9" i="14"/>
  <c r="C10" i="7"/>
  <c r="F10" i="7"/>
  <c r="G10" i="7"/>
  <c r="I10" i="7"/>
  <c r="J7" i="7"/>
  <c r="L29" i="7"/>
  <c r="J6" i="7"/>
  <c r="I6" i="7"/>
  <c r="G6" i="7"/>
  <c r="F6" i="7"/>
  <c r="E6" i="7"/>
  <c r="C6" i="7"/>
  <c r="J23" i="7"/>
  <c r="I23" i="7"/>
  <c r="G23" i="7"/>
  <c r="F23" i="7"/>
  <c r="E23" i="7"/>
  <c r="C23" i="7"/>
  <c r="L23" i="7"/>
  <c r="K23" i="7"/>
  <c r="C24" i="15"/>
  <c r="C13" i="15"/>
  <c r="C10" i="15"/>
  <c r="C5" i="15"/>
  <c r="C31" i="15" s="1"/>
  <c r="F3" i="17"/>
  <c r="H24" i="8"/>
  <c r="I24" i="8" s="1"/>
  <c r="G24" i="8"/>
  <c r="H8" i="8"/>
  <c r="I8" i="8" s="1"/>
  <c r="G8" i="8"/>
  <c r="B8" i="8"/>
  <c r="G5" i="7"/>
  <c r="C8" i="7"/>
  <c r="L24" i="14"/>
  <c r="J27" i="7"/>
  <c r="J26" i="7"/>
  <c r="J21" i="7"/>
  <c r="J20" i="7"/>
  <c r="J19" i="7"/>
  <c r="J18" i="7"/>
  <c r="J17" i="7"/>
  <c r="J16" i="7"/>
  <c r="J14" i="7"/>
  <c r="J13" i="7"/>
  <c r="J11" i="7"/>
  <c r="J8" i="7"/>
  <c r="J5" i="7"/>
  <c r="J4" i="7"/>
  <c r="J3" i="7"/>
  <c r="K10" i="9"/>
  <c r="J10" i="9"/>
  <c r="K31" i="15"/>
  <c r="L31" i="15"/>
  <c r="M31" i="15"/>
  <c r="J3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4" i="15"/>
  <c r="N25" i="15"/>
  <c r="N2" i="15"/>
  <c r="I27" i="7"/>
  <c r="G27" i="7"/>
  <c r="F27" i="7"/>
  <c r="E27" i="7"/>
  <c r="C27" i="7"/>
  <c r="L25" i="11"/>
  <c r="L24" i="11"/>
  <c r="L23" i="11"/>
  <c r="L22" i="11"/>
  <c r="L21" i="11"/>
  <c r="L20" i="11"/>
  <c r="M21" i="11"/>
  <c r="M22" i="11"/>
  <c r="M23" i="11"/>
  <c r="M24" i="11"/>
  <c r="M25" i="11"/>
  <c r="L18" i="7"/>
  <c r="I54" i="1"/>
  <c r="V18" i="1"/>
  <c r="V17" i="1"/>
  <c r="K18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21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4" i="15"/>
  <c r="L34" i="10"/>
  <c r="G34" i="10"/>
  <c r="K18" i="9"/>
  <c r="K8" i="9"/>
  <c r="K7" i="9"/>
  <c r="K4" i="9"/>
  <c r="K16" i="9"/>
  <c r="L9" i="9"/>
  <c r="K3" i="9"/>
  <c r="F14" i="15"/>
  <c r="G14" i="15"/>
  <c r="E14" i="15"/>
  <c r="D13" i="15"/>
  <c r="B14" i="15"/>
  <c r="H14" i="15"/>
  <c r="Q18" i="7" s="1"/>
  <c r="B13" i="15"/>
  <c r="D12" i="15"/>
  <c r="K25" i="10"/>
  <c r="D17" i="15"/>
  <c r="J30" i="10"/>
  <c r="G24" i="15"/>
  <c r="G22" i="15"/>
  <c r="G21" i="15"/>
  <c r="G20" i="15"/>
  <c r="G19" i="15"/>
  <c r="G18" i="15"/>
  <c r="G17" i="15"/>
  <c r="G16" i="15"/>
  <c r="G15" i="15"/>
  <c r="G13" i="15"/>
  <c r="G12" i="15"/>
  <c r="G11" i="15"/>
  <c r="G10" i="15"/>
  <c r="G9" i="15"/>
  <c r="G8" i="15"/>
  <c r="G7" i="15"/>
  <c r="G6" i="15"/>
  <c r="G5" i="15"/>
  <c r="G4" i="15"/>
  <c r="G3" i="15"/>
  <c r="G2" i="15"/>
  <c r="B3" i="15"/>
  <c r="B4" i="15"/>
  <c r="B5" i="15"/>
  <c r="B6" i="15"/>
  <c r="B7" i="15"/>
  <c r="B8" i="15"/>
  <c r="B9" i="15"/>
  <c r="B10" i="15"/>
  <c r="B11" i="15"/>
  <c r="B12" i="15"/>
  <c r="B15" i="15"/>
  <c r="B16" i="15"/>
  <c r="B17" i="15"/>
  <c r="B18" i="15"/>
  <c r="B19" i="15"/>
  <c r="B20" i="15"/>
  <c r="B22" i="15"/>
  <c r="B24" i="15"/>
  <c r="H25" i="15"/>
  <c r="Q26" i="7" s="1"/>
  <c r="F24" i="15"/>
  <c r="F22" i="15"/>
  <c r="F21" i="15"/>
  <c r="F20" i="15"/>
  <c r="F19" i="15"/>
  <c r="F18" i="15"/>
  <c r="F17" i="15"/>
  <c r="F16" i="15"/>
  <c r="F15" i="15"/>
  <c r="F13" i="15"/>
  <c r="F12" i="15"/>
  <c r="F11" i="15"/>
  <c r="F10" i="15"/>
  <c r="F9" i="15"/>
  <c r="F8" i="15"/>
  <c r="F7" i="15"/>
  <c r="F6" i="15"/>
  <c r="F5" i="15"/>
  <c r="F4" i="15"/>
  <c r="F3" i="15"/>
  <c r="F2" i="15"/>
  <c r="E24" i="15"/>
  <c r="G31" i="15"/>
  <c r="F31" i="15"/>
  <c r="H2" i="14"/>
  <c r="E22" i="15"/>
  <c r="E21" i="15"/>
  <c r="H21" i="15"/>
  <c r="Q23" i="7" s="1"/>
  <c r="E20" i="15"/>
  <c r="E19" i="15"/>
  <c r="E18" i="15"/>
  <c r="E17" i="15"/>
  <c r="E16" i="15"/>
  <c r="E15" i="15"/>
  <c r="E13" i="15"/>
  <c r="E12" i="15"/>
  <c r="E11" i="15"/>
  <c r="E10" i="15"/>
  <c r="E9" i="15"/>
  <c r="E8" i="15"/>
  <c r="E7" i="15"/>
  <c r="E6" i="15"/>
  <c r="E4" i="15"/>
  <c r="E3" i="15"/>
  <c r="E2" i="15"/>
  <c r="H2" i="15"/>
  <c r="Q6" i="7" s="1"/>
  <c r="E5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/>
  <c r="L14" i="11"/>
  <c r="M29" i="11"/>
  <c r="L3" i="16"/>
  <c r="D24" i="15"/>
  <c r="D22" i="15"/>
  <c r="D20" i="15"/>
  <c r="D19" i="15"/>
  <c r="D18" i="15"/>
  <c r="D16" i="15"/>
  <c r="D15" i="15"/>
  <c r="D11" i="15"/>
  <c r="D10" i="15"/>
  <c r="D9" i="15"/>
  <c r="D8" i="15"/>
  <c r="D7" i="15"/>
  <c r="D6" i="15"/>
  <c r="D5" i="15"/>
  <c r="D3" i="15"/>
  <c r="D4" i="15"/>
  <c r="F12" i="7"/>
  <c r="L27" i="16"/>
  <c r="L6" i="16"/>
  <c r="L10" i="16"/>
  <c r="M10" i="16"/>
  <c r="L9" i="16"/>
  <c r="M9" i="16"/>
  <c r="L12" i="16"/>
  <c r="M12" i="16"/>
  <c r="L11" i="16"/>
  <c r="M11" i="16"/>
  <c r="L20" i="16"/>
  <c r="M20" i="16"/>
  <c r="L19" i="16"/>
  <c r="L18" i="16"/>
  <c r="L17" i="16"/>
  <c r="L13" i="16"/>
  <c r="M13" i="16"/>
  <c r="L8" i="16"/>
  <c r="M8" i="16"/>
  <c r="L7" i="16"/>
  <c r="L5" i="16"/>
  <c r="L4" i="16"/>
  <c r="K19" i="9"/>
  <c r="K17" i="9"/>
  <c r="K6" i="9"/>
  <c r="K5" i="9"/>
  <c r="Z30" i="7"/>
  <c r="Y30" i="7"/>
  <c r="X30" i="7"/>
  <c r="W30" i="7"/>
  <c r="V30" i="7"/>
  <c r="U30" i="7"/>
  <c r="T30" i="7"/>
  <c r="S30" i="7"/>
  <c r="Z32" i="7"/>
  <c r="I22" i="7"/>
  <c r="L27" i="7"/>
  <c r="E26" i="7"/>
  <c r="E25" i="7"/>
  <c r="E24" i="7"/>
  <c r="E22" i="7"/>
  <c r="E20" i="7"/>
  <c r="E19" i="7"/>
  <c r="E17" i="7"/>
  <c r="E16" i="7"/>
  <c r="E15" i="7"/>
  <c r="E14" i="7"/>
  <c r="E12" i="7"/>
  <c r="E11" i="7"/>
  <c r="K27" i="7"/>
  <c r="I26" i="7"/>
  <c r="I25" i="7"/>
  <c r="I21" i="7"/>
  <c r="I20" i="7"/>
  <c r="I19" i="7"/>
  <c r="I17" i="7"/>
  <c r="I16" i="7"/>
  <c r="I14" i="7"/>
  <c r="I13" i="7"/>
  <c r="I11" i="7"/>
  <c r="I8" i="7"/>
  <c r="I7" i="7"/>
  <c r="I5" i="7"/>
  <c r="I4" i="7"/>
  <c r="I3" i="7"/>
  <c r="I9" i="7"/>
  <c r="C3" i="7"/>
  <c r="L19" i="9"/>
  <c r="L8" i="9"/>
  <c r="J20" i="9"/>
  <c r="J9" i="7"/>
  <c r="J12" i="7"/>
  <c r="J22" i="7"/>
  <c r="J24" i="7"/>
  <c r="J15" i="7"/>
  <c r="I15" i="7"/>
  <c r="I12" i="7"/>
  <c r="G15" i="7"/>
  <c r="F15" i="7"/>
  <c r="L15" i="7"/>
  <c r="K15" i="7"/>
  <c r="K14" i="16"/>
  <c r="K24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/>
  <c r="J28" i="10"/>
  <c r="K28" i="10"/>
  <c r="J27" i="10"/>
  <c r="K27" i="10"/>
  <c r="K26" i="10"/>
  <c r="E21" i="7"/>
  <c r="E13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6" i="7"/>
  <c r="G3" i="7"/>
  <c r="G4" i="7"/>
  <c r="G8" i="7"/>
  <c r="G9" i="7"/>
  <c r="G11" i="7"/>
  <c r="G12" i="7"/>
  <c r="G13" i="7"/>
  <c r="G14" i="7"/>
  <c r="G16" i="7"/>
  <c r="G17" i="7"/>
  <c r="G19" i="7"/>
  <c r="G20" i="7"/>
  <c r="G21" i="7"/>
  <c r="G22" i="7"/>
  <c r="G24" i="7"/>
  <c r="G25" i="7"/>
  <c r="G26" i="7"/>
  <c r="C5" i="7"/>
  <c r="C9" i="7"/>
  <c r="C11" i="7"/>
  <c r="C12" i="7"/>
  <c r="C13" i="7"/>
  <c r="C14" i="7"/>
  <c r="C19" i="7"/>
  <c r="C20" i="7"/>
  <c r="C21" i="7"/>
  <c r="C22" i="7"/>
  <c r="C24" i="7"/>
  <c r="C26" i="7"/>
  <c r="C25" i="7"/>
  <c r="C16" i="7"/>
  <c r="C17" i="7"/>
  <c r="C4" i="7"/>
  <c r="F26" i="7"/>
  <c r="L26" i="7"/>
  <c r="F25" i="7"/>
  <c r="L25" i="7"/>
  <c r="F24" i="7"/>
  <c r="L24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L6" i="7"/>
  <c r="L12" i="7"/>
  <c r="F11" i="7"/>
  <c r="L11" i="7"/>
  <c r="L10" i="7"/>
  <c r="F9" i="7"/>
  <c r="L9" i="7"/>
  <c r="F8" i="7"/>
  <c r="L8" i="7"/>
  <c r="F5" i="7"/>
  <c r="L5" i="7"/>
  <c r="F4" i="7"/>
  <c r="L4" i="7"/>
  <c r="F3" i="7"/>
  <c r="L3" i="7"/>
  <c r="D63" i="7"/>
  <c r="I24" i="7"/>
  <c r="K26" i="7"/>
  <c r="K3" i="7"/>
  <c r="K4" i="7"/>
  <c r="K5" i="7"/>
  <c r="K8" i="7"/>
  <c r="K9" i="7"/>
  <c r="K10" i="7"/>
  <c r="K11" i="7"/>
  <c r="K12" i="7"/>
  <c r="K6" i="7"/>
  <c r="K13" i="7"/>
  <c r="K14" i="7"/>
  <c r="K25" i="7"/>
  <c r="K16" i="7"/>
  <c r="K17" i="7"/>
  <c r="K19" i="7"/>
  <c r="K20" i="7"/>
  <c r="K21" i="7"/>
  <c r="K22" i="7"/>
  <c r="K24" i="7"/>
  <c r="K33" i="7"/>
  <c r="O24" i="14"/>
  <c r="N24" i="14"/>
  <c r="J34" i="10"/>
  <c r="B31" i="15"/>
  <c r="H5" i="15"/>
  <c r="Q8" i="7" s="1"/>
  <c r="H3" i="15"/>
  <c r="Q7" i="7" s="1"/>
  <c r="H4" i="15"/>
  <c r="Q5" i="7" s="1"/>
  <c r="H6" i="15"/>
  <c r="Q9" i="7" s="1"/>
  <c r="H7" i="15"/>
  <c r="H8" i="15"/>
  <c r="H9" i="15"/>
  <c r="H10" i="15"/>
  <c r="H11" i="15"/>
  <c r="Q13" i="7" s="1"/>
  <c r="H12" i="15"/>
  <c r="Q15" i="7" s="1"/>
  <c r="H13" i="15"/>
  <c r="Q14" i="7" s="1"/>
  <c r="H15" i="15"/>
  <c r="Q17" i="7" s="1"/>
  <c r="H16" i="15"/>
  <c r="H17" i="15"/>
  <c r="Q21" i="7" s="1"/>
  <c r="H18" i="15"/>
  <c r="Q20" i="7" s="1"/>
  <c r="H19" i="15"/>
  <c r="Q22" i="7" s="1"/>
  <c r="H20" i="15"/>
  <c r="H22" i="15"/>
  <c r="H24" i="15"/>
  <c r="Q24" i="7" s="1"/>
  <c r="K25" i="16"/>
  <c r="E31" i="15"/>
  <c r="M3" i="16"/>
  <c r="L14" i="16"/>
  <c r="M17" i="16"/>
  <c r="L24" i="16"/>
  <c r="K23" i="9"/>
  <c r="L7" i="9"/>
  <c r="L4" i="9"/>
  <c r="L5" i="9"/>
  <c r="L16" i="9"/>
  <c r="L17" i="9"/>
  <c r="L18" i="9"/>
  <c r="D31" i="15"/>
  <c r="L20" i="9"/>
  <c r="L10" i="9"/>
  <c r="L23" i="9"/>
  <c r="M27" i="16"/>
  <c r="F28" i="7" l="1"/>
  <c r="L28" i="7" s="1"/>
  <c r="E28" i="7"/>
  <c r="E29" i="7"/>
  <c r="Q4" i="7"/>
  <c r="H31" i="15"/>
  <c r="K29" i="7"/>
  <c r="K28" i="7"/>
  <c r="K31" i="7" s="1"/>
  <c r="F11" i="14"/>
  <c r="B15" i="8"/>
  <c r="Q12" i="7"/>
  <c r="Q11" i="7"/>
  <c r="H16" i="8" l="1"/>
  <c r="I16" i="8" s="1"/>
  <c r="B16" i="8"/>
  <c r="G16" i="8" s="1"/>
</calcChain>
</file>

<file path=xl/sharedStrings.xml><?xml version="1.0" encoding="utf-8"?>
<sst xmlns="http://schemas.openxmlformats.org/spreadsheetml/2006/main" count="1652" uniqueCount="600">
  <si>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</si>
  <si>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</si>
  <si>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</si>
  <si>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</si>
  <si>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</si>
  <si>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</si>
  <si>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</si>
  <si>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</si>
  <si>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</si>
  <si>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</si>
  <si>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</si>
  <si>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</si>
  <si>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</si>
  <si>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</si>
  <si>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</si>
  <si>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</si>
  <si>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</si>
  <si>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</si>
  <si>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</si>
  <si>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</si>
  <si>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</si>
  <si>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</si>
  <si>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</si>
  <si>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</si>
  <si>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</si>
  <si>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</si>
  <si>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</si>
  <si>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</si>
  <si>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</si>
  <si>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</si>
  <si>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</si>
  <si>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</si>
  <si>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</si>
  <si>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</si>
  <si>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</si>
  <si>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</si>
  <si>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</si>
  <si>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</si>
  <si>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</si>
  <si>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</si>
  <si>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</si>
  <si>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</si>
  <si>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</si>
  <si>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</si>
  <si>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</si>
  <si>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</si>
  <si>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</si>
  <si>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</si>
  <si>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Michale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</si>
  <si>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</si>
  <si>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</si>
  <si>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</si>
  <si>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</si>
  <si>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</si>
  <si>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</si>
  <si>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</si>
  <si>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</si>
  <si>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</si>
  <si>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</si>
  <si>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</si>
  <si>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</si>
  <si>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</si>
  <si>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</si>
  <si>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</si>
  <si>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</si>
  <si>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</si>
  <si>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</si>
  <si>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</si>
  <si>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(could be Michael, or Craig)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</si>
  <si>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</si>
  <si>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</si>
  <si>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</si>
  <si>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</si>
  <si>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</si>
  <si>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</si>
  <si>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</si>
  <si>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</si>
  <si>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</si>
  <si>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</si>
  <si>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</si>
  <si>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</si>
  <si>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</si>
  <si>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</si>
  <si>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</si>
  <si>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</si>
  <si>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</si>
  <si>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</si>
  <si>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</si>
  <si>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</si>
  <si>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</si>
  <si>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</si>
  <si>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</si>
  <si>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</si>
  <si>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</si>
  <si>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</si>
  <si>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</si>
  <si>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</si>
  <si>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</si>
  <si>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</si>
  <si>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</si>
  <si>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</si>
  <si>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</si>
  <si>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</si>
  <si>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</si>
  <si>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</si>
  <si>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</si>
  <si>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</si>
  <si>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</si>
  <si>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Craig/ NEW STAFF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</si>
  <si>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</si>
  <si>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</si>
  <si>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</si>
  <si>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</si>
  <si>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</si>
  <si>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</si>
  <si>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</si>
  <si>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 ML/ Pengfei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</si>
  <si>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</si>
  <si>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</si>
  <si>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</si>
  <si>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</si>
  <si>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</si>
  <si>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</si>
  <si>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</si>
  <si>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</si>
  <si>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</si>
  <si>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</si>
  <si>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</si>
  <si>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</si>
  <si>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</si>
  <si>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</si>
  <si>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</si>
  <si>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</si>
  <si>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</si>
  <si>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</si>
  <si>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</si>
  <si>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</si>
  <si>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</si>
  <si>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</si>
  <si>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</si>
  <si>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</si>
  <si>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</si>
  <si>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</si>
  <si>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</si>
  <si>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</si>
  <si>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</si>
  <si>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</si>
  <si>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</si>
  <si>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</si>
  <si>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</si>
  <si>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</si>
  <si>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</si>
  <si>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</si>
  <si>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</si>
  <si>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</si>
  <si>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</si>
  <si>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</si>
  <si>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</si>
  <si>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</si>
  <si>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</si>
  <si>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</si>
  <si>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</si>
  <si>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</si>
  <si>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</si>
  <si>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</si>
  <si>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</si>
  <si>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</si>
  <si>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</si>
  <si>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</si>
  <si>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</si>
  <si>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</si>
  <si>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</si>
  <si>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</si>
  <si>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</si>
  <si>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</si>
  <si>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</si>
  <si>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</si>
  <si>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</si>
  <si>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</si>
  <si>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</si>
  <si>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</si>
  <si>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</si>
  <si>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</si>
  <si>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</si>
  <si>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</si>
  <si>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</si>
  <si>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</si>
  <si>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</si>
  <si>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</si>
  <si>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</si>
  <si>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</si>
  <si>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</si>
  <si>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</si>
  <si>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</si>
  <si>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</si>
  <si>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</si>
  <si>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</si>
  <si>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</si>
  <si>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</si>
  <si>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</si>
  <si>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</si>
  <si>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</si>
  <si>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</si>
  <si>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</si>
  <si>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</si>
  <si>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</si>
  <si>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</si>
  <si>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</si>
  <si>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</si>
  <si>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</si>
  <si>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</si>
  <si>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</si>
  <si>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</si>
  <si>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</si>
  <si>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</si>
  <si>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</si>
  <si>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</si>
  <si>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</si>
  <si>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</si>
  <si>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</si>
  <si>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</si>
  <si>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</si>
  <si>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</si>
  <si>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</si>
  <si>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</si>
  <si>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</si>
  <si>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</si>
  <si>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</si>
  <si>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</si>
  <si>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</si>
  <si>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 xml:space="preserve">COM726 - Dissertation </t>
  </si>
  <si>
    <t>3+1</t>
  </si>
  <si>
    <t>Kashif</t>
  </si>
  <si>
    <t>COM727 - Introduction to AI</t>
  </si>
  <si>
    <t>1+2</t>
  </si>
  <si>
    <t>COM728 - Programming for Problem Solving</t>
  </si>
  <si>
    <t>Check Tutors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</si>
  <si>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</si>
  <si>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</si>
  <si>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</si>
  <si>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</si>
  <si>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</si>
  <si>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</si>
  <si>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</si>
  <si>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</si>
  <si>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</si>
  <si>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</si>
  <si>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</si>
  <si>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</si>
  <si>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</si>
  <si>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</si>
  <si>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</si>
  <si>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</si>
  <si>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</si>
  <si>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</si>
  <si>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</si>
  <si>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</si>
  <si>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</si>
  <si>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</si>
  <si>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</si>
  <si>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</si>
  <si>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</si>
  <si>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</si>
  <si>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</si>
  <si>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</si>
  <si>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</si>
  <si>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</si>
  <si>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</si>
  <si>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</si>
  <si>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</si>
  <si>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</si>
  <si>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</si>
  <si>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</si>
  <si>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</si>
  <si>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</si>
  <si>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</si>
  <si>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</si>
  <si>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</si>
  <si>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</si>
  <si>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</si>
  <si>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</si>
  <si>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</si>
  <si>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</si>
  <si>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</si>
  <si>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Idris (AL)</t>
  </si>
  <si>
    <t>Kenton (AL)</t>
  </si>
  <si>
    <t>Louise*</t>
  </si>
  <si>
    <t>Marc</t>
  </si>
  <si>
    <t>Mike (TI)</t>
  </si>
  <si>
    <t>Pengfei (AL)</t>
  </si>
  <si>
    <t>Tomasz*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</si>
  <si>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</si>
  <si>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</si>
  <si>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</si>
  <si>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</si>
  <si>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</si>
  <si>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</si>
  <si>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</si>
  <si>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</si>
  <si>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</si>
  <si>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</si>
  <si>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</si>
  <si>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</si>
  <si>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</si>
  <si>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</si>
  <si>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</si>
  <si>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</si>
  <si>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</si>
  <si>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</si>
  <si>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Femi (External?)</t>
  </si>
  <si>
    <t>Hamid (External)</t>
  </si>
  <si>
    <t>Joe</t>
  </si>
  <si>
    <t>Muntasir (External)</t>
  </si>
  <si>
    <t>Neville (0.5)</t>
  </si>
  <si>
    <t>Peyman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</si>
  <si>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</si>
  <si>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</si>
  <si>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</si>
  <si>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</si>
  <si>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</si>
  <si>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</si>
  <si>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</si>
  <si>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</si>
  <si>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</si>
  <si>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</si>
  <si>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</si>
  <si>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</si>
  <si>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</si>
  <si>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</si>
  <si>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</si>
  <si>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</si>
  <si>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</si>
  <si>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</si>
  <si>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</si>
  <si>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</si>
  <si>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</si>
  <si>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</si>
  <si>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</si>
  <si>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</si>
  <si>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</si>
  <si>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</si>
  <si>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</si>
  <si>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</si>
  <si>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</si>
  <si>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</si>
  <si>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</si>
  <si>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</si>
  <si>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</si>
  <si>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</si>
  <si>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</si>
  <si>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</si>
  <si>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</si>
  <si>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</si>
  <si>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</si>
  <si>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</si>
  <si>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</si>
  <si>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</si>
  <si>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</si>
  <si>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</si>
  <si>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</si>
  <si>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</si>
  <si>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</si>
  <si>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</si>
  <si>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</si>
  <si>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</si>
  <si>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</si>
  <si>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</si>
  <si>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</si>
  <si>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</si>
  <si>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</si>
  <si>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</si>
  <si>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</si>
  <si>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</si>
  <si>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</si>
  <si>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</si>
  <si>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</si>
  <si>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</si>
  <si>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</si>
  <si>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</si>
  <si>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</si>
  <si>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</si>
  <si>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</si>
  <si>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</si>
  <si>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</si>
  <si>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</si>
  <si>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</si>
  <si>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</si>
  <si>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</si>
  <si>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</si>
  <si>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</si>
  <si>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</si>
  <si>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</si>
  <si>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</si>
  <si>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</si>
  <si>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</si>
  <si>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</si>
  <si>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</si>
  <si>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</si>
  <si>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</si>
  <si>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</si>
  <si>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</si>
  <si>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</si>
  <si>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</si>
  <si>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</si>
  <si>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</si>
  <si>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</si>
  <si>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</si>
  <si>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</si>
  <si>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</si>
  <si>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</si>
  <si>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</si>
  <si>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</si>
  <si>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</si>
  <si>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</si>
  <si>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</si>
  <si>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</si>
  <si>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</si>
  <si>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</si>
  <si>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</si>
  <si>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</si>
  <si>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</si>
  <si>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</si>
  <si>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</si>
  <si>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</si>
  <si>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</si>
  <si>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</si>
  <si>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</si>
  <si>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</si>
  <si>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</si>
  <si>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</si>
  <si>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</si>
  <si>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</si>
  <si>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</si>
  <si>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</si>
  <si>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</si>
  <si>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</si>
  <si>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</si>
  <si>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</si>
  <si>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</si>
  <si>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</si>
  <si>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</si>
  <si>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</si>
  <si>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</si>
  <si>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</si>
  <si>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</si>
  <si>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</si>
  <si>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</si>
  <si>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</si>
  <si>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</si>
  <si>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</si>
  <si>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</si>
  <si>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</si>
  <si>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</si>
  <si>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</si>
  <si>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</si>
  <si>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</si>
  <si>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</si>
  <si>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</si>
  <si>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</si>
  <si>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</si>
  <si>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</si>
  <si>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</si>
  <si>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</si>
  <si>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</si>
  <si>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</si>
  <si>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</si>
  <si>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</si>
  <si>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</si>
  <si>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</si>
  <si>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</si>
  <si>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</si>
  <si>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</si>
  <si>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</si>
  <si>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</si>
  <si>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</si>
  <si>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</si>
  <si>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</si>
  <si>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</si>
  <si>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</si>
  <si>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</si>
  <si>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</si>
  <si>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</si>
  <si>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</si>
  <si>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</si>
  <si>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</si>
  <si>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</si>
  <si>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</si>
  <si>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</si>
  <si>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</si>
  <si>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</si>
  <si>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</si>
  <si>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</si>
  <si>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</si>
  <si>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</si>
  <si>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</si>
  <si>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</si>
  <si>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</si>
  <si>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</si>
  <si>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</si>
  <si>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</si>
  <si>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</si>
  <si>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</si>
  <si>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</si>
  <si>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</si>
  <si>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</si>
  <si>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</si>
  <si>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</si>
  <si>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</si>
  <si>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</si>
  <si>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</si>
  <si>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</si>
  <si>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</si>
  <si>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</si>
  <si>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</si>
  <si>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</si>
  <si>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craig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</si>
  <si>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</si>
  <si>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</si>
  <si>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</si>
  <si>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</si>
  <si>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</si>
  <si>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</si>
  <si>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</si>
  <si>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</si>
  <si>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</si>
  <si>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</si>
  <si>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</si>
  <si>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</si>
  <si>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</si>
  <si>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</si>
  <si>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</si>
  <si>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</si>
  <si>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</si>
  <si>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</si>
  <si>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</si>
  <si>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</si>
  <si>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</si>
  <si>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</si>
  <si>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</si>
  <si>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</si>
  <si>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</si>
  <si>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</si>
  <si>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</si>
  <si>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</si>
  <si>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</si>
  <si>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</si>
  <si>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</si>
  <si>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</si>
  <si>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</si>
  <si>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</si>
  <si>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</si>
  <si>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</si>
  <si>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</si>
  <si>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</si>
  <si>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</si>
  <si>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</si>
  <si>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</si>
  <si>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</si>
  <si>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</si>
  <si>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</si>
  <si>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</si>
  <si>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</si>
  <si>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</si>
  <si>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</si>
  <si>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</si>
  <si>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</si>
  <si>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</si>
  <si>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</si>
  <si>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</si>
  <si>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</si>
  <si>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</si>
  <si>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</si>
  <si>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</si>
  <si>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</si>
  <si>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</si>
  <si>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</si>
  <si>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</si>
  <si>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</si>
  <si>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</si>
  <si>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</si>
  <si>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</si>
  <si>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</si>
  <si>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</si>
  <si>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</si>
  <si>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</si>
  <si>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</si>
  <si>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</si>
  <si>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</si>
  <si>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</si>
  <si>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</si>
  <si>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</si>
  <si>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</si>
  <si>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</si>
  <si>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</si>
  <si>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</si>
  <si>
    <t>Oct 2023 - May 2024</t>
  </si>
  <si>
    <t>To Allocate</t>
  </si>
  <si>
    <t>May 2024 to Sept 2024</t>
  </si>
  <si>
    <t>Bacha?</t>
  </si>
  <si>
    <t>Raza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</si>
</sst>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0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0" fillId="0" borderId="95" xfId="0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0" fillId="0" borderId="98" xfId="0" applyBorder="1"/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20" xfId="0" applyFont="1" applyBorder="1"/>
    <xf numFmtId="0" fontId="31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2" borderId="76" xfId="0" applyFill="1" applyBorder="1"/>
    <xf numFmtId="0" fontId="1" fillId="2" borderId="76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11" borderId="77" xfId="0" applyNumberFormat="1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19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0" borderId="55" xfId="0" applyNumberFormat="1" applyFill="1" applyBorder="1"/>
    <xf numFmtId="164" fontId="0" fillId="11" borderId="19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0" borderId="55" xfId="0" applyNumberFormat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25" borderId="61" xfId="0" applyFont="1" applyFill="1" applyBorder="1" applyAlignment="1">
      <alignment horizontal="center" vertical="center"/>
    </xf>
    <xf numFmtId="0" fontId="35" fillId="0" borderId="11" xfId="0" applyFont="1" applyBorder="1"/>
    <xf numFmtId="0" fontId="20" fillId="0" borderId="29" xfId="0" applyFont="1" applyBorder="1"/>
    <xf numFmtId="0" fontId="0" fillId="0" borderId="21" xfId="0" applyBorder="1"/>
    <xf numFmtId="0" fontId="0" fillId="25" borderId="11" xfId="0" applyFill="1" applyBorder="1"/>
    <xf numFmtId="0" fontId="0" fillId="25" borderId="70" xfId="0" applyFill="1" applyBorder="1"/>
    <xf numFmtId="0" fontId="0" fillId="4" borderId="55" xfId="0" applyFill="1" applyBorder="1"/>
    <xf numFmtId="0" fontId="0" fillId="4" borderId="71" xfId="0" applyFill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0" borderId="55" xfId="0" applyNumberFormat="1" applyFont="1" applyFill="1" applyBorder="1" applyAlignment="1">
      <alignment horizontal="center" vertical="center"/>
    </xf>
    <xf numFmtId="164" fontId="6" fillId="11" borderId="77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164" fontId="6" fillId="12" borderId="11" xfId="0" applyNumberFormat="1" applyFont="1" applyFill="1" applyBorder="1" applyAlignment="1">
      <alignment horizontal="center" vertical="center"/>
    </xf>
    <xf numFmtId="0" fontId="1" fillId="3" borderId="101" xfId="0" applyFont="1" applyFill="1" applyBorder="1" applyAlignment="1">
      <alignment horizontal="center" vertical="center"/>
    </xf>
    <xf numFmtId="164" fontId="10" fillId="3" borderId="83" xfId="0" applyNumberFormat="1" applyFont="1" applyFill="1" applyBorder="1" applyAlignment="1">
      <alignment horizontal="center" vertical="center"/>
    </xf>
    <xf numFmtId="164" fontId="10" fillId="3" borderId="58" xfId="0" applyNumberFormat="1" applyFont="1" applyFill="1" applyBorder="1" applyAlignment="1">
      <alignment horizontal="center" vertical="center"/>
    </xf>
    <xf numFmtId="164" fontId="10" fillId="3" borderId="5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10" fillId="3" borderId="85" xfId="0" applyNumberFormat="1" applyFont="1" applyFill="1" applyBorder="1" applyAlignment="1">
      <alignment horizontal="center" vertical="center"/>
    </xf>
    <xf numFmtId="164" fontId="6" fillId="3" borderId="57" xfId="0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164" fontId="10" fillId="3" borderId="78" xfId="0" applyNumberFormat="1" applyFont="1" applyFill="1" applyBorder="1" applyAlignment="1">
      <alignment horizontal="center" vertical="center"/>
    </xf>
    <xf numFmtId="164" fontId="10" fillId="3" borderId="24" xfId="0" applyNumberFormat="1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64" fontId="6" fillId="3" borderId="24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164" fontId="10" fillId="3" borderId="31" xfId="0" applyNumberFormat="1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94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1" fillId="0" borderId="8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0" fillId="0" borderId="61" xfId="0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2" borderId="11" xfId="0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1" xfId="0" applyFont="1" applyFill="1" applyBorder="1"/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62" xfId="0" applyFont="1" applyFill="1" applyBorder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45" fillId="32" borderId="96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6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6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93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6" fillId="0" borderId="34" xfId="0" applyFont="1" applyBorder="1" applyAlignment="1">
      <alignment horizontal="left"/>
    </xf>
    <xf numFmtId="0" fontId="16" fillId="0" borderId="77" xfId="0" applyFont="1" applyBorder="1" applyAlignment="1">
      <alignment horizontal="left"/>
    </xf>
    <xf numFmtId="0" fontId="16" fillId="0" borderId="52" xfId="0" applyFont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FC95"/>
      <color rgb="FF8AE9FF"/>
      <color rgb="FF63BE7B"/>
      <color rgb="FF70AD47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86" t="s">
        <v>0</v>
      </c>
      <c r="B1" s="887"/>
      <c r="C1" s="894" t="s">
        <v>1</v>
      </c>
      <c r="D1" s="896" t="s">
        <v>2</v>
      </c>
      <c r="E1" s="898" t="s">
        <v>3</v>
      </c>
      <c r="F1" s="900" t="s">
        <v>4</v>
      </c>
      <c r="G1" s="890" t="s">
        <v>5</v>
      </c>
      <c r="H1" s="892" t="s">
        <v>6</v>
      </c>
    </row>
    <row r="2" spans="1:8" ht="29.1" customHeight="1">
      <c r="A2" s="888"/>
      <c r="B2" s="889"/>
      <c r="C2" s="895"/>
      <c r="D2" s="897"/>
      <c r="E2" s="899"/>
      <c r="F2" s="901"/>
      <c r="G2" s="891"/>
      <c r="H2" s="893"/>
    </row>
    <row r="3" spans="1:8" ht="15">
      <c r="A3" s="38">
        <v>1</v>
      </c>
      <c r="B3" s="544" t="s">
        <v>7</v>
      </c>
      <c r="C3" s="87">
        <v>2</v>
      </c>
      <c r="D3" s="51"/>
      <c r="E3" s="86"/>
      <c r="F3" s="20">
        <v>2</v>
      </c>
      <c r="G3" s="64" t="s">
        <v>8</v>
      </c>
      <c r="H3" s="52"/>
    </row>
    <row r="4" spans="1:8" ht="15">
      <c r="A4" s="37">
        <v>2</v>
      </c>
      <c r="B4" s="545" t="s">
        <v>9</v>
      </c>
      <c r="C4" s="87">
        <v>2</v>
      </c>
      <c r="D4" s="51"/>
      <c r="E4" s="86"/>
      <c r="F4" s="93">
        <v>1</v>
      </c>
      <c r="G4" s="50" t="s">
        <v>10</v>
      </c>
      <c r="H4" s="53"/>
    </row>
    <row r="5" spans="1:8" ht="15">
      <c r="A5" s="38">
        <v>3</v>
      </c>
      <c r="B5" s="544" t="s">
        <v>11</v>
      </c>
      <c r="C5" s="87">
        <v>2</v>
      </c>
      <c r="D5" s="51"/>
      <c r="E5" s="86"/>
      <c r="F5" s="20">
        <v>1</v>
      </c>
      <c r="G5" s="49" t="s">
        <v>12</v>
      </c>
      <c r="H5" s="52"/>
    </row>
    <row r="6" spans="1:8" ht="15">
      <c r="A6" s="37">
        <v>4</v>
      </c>
      <c r="B6" s="545" t="s">
        <v>13</v>
      </c>
      <c r="C6" s="87">
        <v>2</v>
      </c>
      <c r="D6" s="51"/>
      <c r="E6" s="86"/>
      <c r="F6" s="93">
        <v>2</v>
      </c>
      <c r="G6" s="50" t="s">
        <v>12</v>
      </c>
      <c r="H6" s="53"/>
    </row>
    <row r="7" spans="1:8" ht="15">
      <c r="A7" s="38">
        <v>5</v>
      </c>
      <c r="B7" s="544" t="s">
        <v>14</v>
      </c>
      <c r="C7" s="87">
        <v>2</v>
      </c>
      <c r="D7" s="51"/>
      <c r="E7" s="86"/>
      <c r="F7" s="20">
        <v>2</v>
      </c>
      <c r="G7" s="49" t="s">
        <v>15</v>
      </c>
      <c r="H7" s="52"/>
    </row>
    <row r="8" spans="1:8" ht="16.5">
      <c r="A8" s="54">
        <v>6</v>
      </c>
      <c r="B8" s="546" t="s">
        <v>16</v>
      </c>
      <c r="C8" s="91">
        <v>2</v>
      </c>
      <c r="D8" s="55"/>
      <c r="E8" s="92"/>
      <c r="F8" s="94">
        <v>1</v>
      </c>
      <c r="G8" s="700" t="s">
        <v>17</v>
      </c>
      <c r="H8" s="56"/>
    </row>
    <row r="10" spans="1:8" ht="15.75" customHeight="1">
      <c r="B10" s="623" t="s">
        <v>18</v>
      </c>
    </row>
    <row r="11" spans="1:8" ht="15.75" customHeight="1">
      <c r="B11" s="142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43" t="s">
        <v>389</v>
      </c>
      <c r="B1" s="1044"/>
      <c r="C1" s="1045" t="s">
        <v>390</v>
      </c>
      <c r="D1" s="1046"/>
      <c r="E1" s="139"/>
      <c r="F1" s="139"/>
      <c r="G1" s="139"/>
    </row>
    <row r="2" spans="1:8">
      <c r="B2" s="141" t="s">
        <v>334</v>
      </c>
      <c r="C2" s="809" t="s">
        <v>6</v>
      </c>
      <c r="D2" s="9"/>
      <c r="F2" s="1026" t="s">
        <v>370</v>
      </c>
      <c r="G2" s="1027"/>
      <c r="H2" s="1028"/>
    </row>
    <row r="3" spans="1:8">
      <c r="A3" s="18">
        <v>1</v>
      </c>
      <c r="B3" s="243" t="s">
        <v>391</v>
      </c>
      <c r="C3" s="131" t="s">
        <v>8</v>
      </c>
      <c r="D3" s="10"/>
      <c r="F3" s="1037">
        <f>SUM('Supervision Load'!B7)</f>
        <v>6</v>
      </c>
      <c r="G3" s="1038"/>
      <c r="H3" s="1039"/>
    </row>
    <row r="4" spans="1:8">
      <c r="A4" s="127">
        <v>2</v>
      </c>
      <c r="B4" s="243" t="s">
        <v>392</v>
      </c>
      <c r="C4" s="131" t="s">
        <v>8</v>
      </c>
      <c r="D4" s="10"/>
      <c r="F4" s="1037"/>
      <c r="G4" s="1038"/>
      <c r="H4" s="1039"/>
    </row>
    <row r="5" spans="1:8">
      <c r="A5" s="12">
        <v>3</v>
      </c>
      <c r="B5" s="243" t="s">
        <v>393</v>
      </c>
      <c r="C5" s="131" t="s">
        <v>52</v>
      </c>
      <c r="D5" s="127"/>
      <c r="F5" s="1040"/>
      <c r="G5" s="1041"/>
      <c r="H5" s="1042"/>
    </row>
    <row r="6" spans="1:8">
      <c r="A6" s="127">
        <v>4</v>
      </c>
      <c r="B6" s="243" t="s">
        <v>394</v>
      </c>
      <c r="C6" s="131" t="s">
        <v>52</v>
      </c>
      <c r="D6" s="127"/>
    </row>
    <row r="7" spans="1:8">
      <c r="A7" s="12">
        <v>5</v>
      </c>
      <c r="B7" s="243" t="s">
        <v>395</v>
      </c>
      <c r="C7" s="810" t="s">
        <v>396</v>
      </c>
      <c r="D7" s="811"/>
    </row>
    <row r="8" spans="1:8">
      <c r="A8" s="127">
        <v>6</v>
      </c>
      <c r="B8" s="243" t="s">
        <v>397</v>
      </c>
      <c r="C8" s="131" t="s">
        <v>398</v>
      </c>
      <c r="D8" s="127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F19" sqref="F19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6" t="s">
        <v>138</v>
      </c>
      <c r="B1" s="140"/>
      <c r="C1" s="9" t="s">
        <v>399</v>
      </c>
      <c r="D1" s="139"/>
      <c r="E1" s="139"/>
      <c r="F1" s="139"/>
    </row>
    <row r="2" spans="1:16">
      <c r="B2" s="129" t="s">
        <v>334</v>
      </c>
      <c r="C2" s="141" t="s">
        <v>6</v>
      </c>
      <c r="E2" s="1026" t="s">
        <v>370</v>
      </c>
      <c r="F2" s="1027"/>
      <c r="G2" s="1028"/>
      <c r="I2" s="500" t="s">
        <v>400</v>
      </c>
      <c r="J2" s="40" t="s">
        <v>383</v>
      </c>
      <c r="K2" s="503" t="s">
        <v>385</v>
      </c>
      <c r="L2" s="498" t="s">
        <v>386</v>
      </c>
    </row>
    <row r="3" spans="1:16">
      <c r="A3" s="18">
        <v>1</v>
      </c>
      <c r="B3" s="243" t="s">
        <v>401</v>
      </c>
      <c r="C3" s="126" t="s">
        <v>402</v>
      </c>
      <c r="E3" s="1037">
        <f>SUM('Supervision Load'!B3)</f>
        <v>61</v>
      </c>
      <c r="F3" s="1038"/>
      <c r="G3" s="1039"/>
      <c r="H3">
        <v>1</v>
      </c>
      <c r="I3" s="501" t="s">
        <v>88</v>
      </c>
      <c r="J3" s="331">
        <v>6</v>
      </c>
      <c r="K3" s="504">
        <f>COUNTIF(C3:C63, "Drishty")</f>
        <v>6</v>
      </c>
      <c r="L3" s="315">
        <f>SUM(J3-K3)</f>
        <v>0</v>
      </c>
      <c r="M3" t="s">
        <v>403</v>
      </c>
    </row>
    <row r="4" spans="1:16">
      <c r="A4" s="127">
        <v>2</v>
      </c>
      <c r="B4" s="243" t="s">
        <v>404</v>
      </c>
      <c r="C4" s="126" t="s">
        <v>88</v>
      </c>
      <c r="E4" s="1037"/>
      <c r="F4" s="1038"/>
      <c r="G4" s="1039"/>
      <c r="H4">
        <v>2</v>
      </c>
      <c r="I4" s="74" t="s">
        <v>77</v>
      </c>
      <c r="J4" s="79">
        <v>4</v>
      </c>
      <c r="K4" s="504">
        <f>COUNTIF(C3:C64, "Shakeel")</f>
        <v>4</v>
      </c>
      <c r="L4" s="316">
        <f t="shared" ref="L4:L5" si="0">SUM(J4-K4)</f>
        <v>0</v>
      </c>
      <c r="M4" t="s">
        <v>405</v>
      </c>
    </row>
    <row r="5" spans="1:16">
      <c r="A5" s="12">
        <v>3</v>
      </c>
      <c r="B5" s="243" t="s">
        <v>406</v>
      </c>
      <c r="C5" s="126" t="s">
        <v>232</v>
      </c>
      <c r="E5" s="1040"/>
      <c r="F5" s="1041"/>
      <c r="G5" s="1042"/>
      <c r="H5">
        <v>3</v>
      </c>
      <c r="I5" s="74" t="s">
        <v>54</v>
      </c>
      <c r="J5" s="79">
        <v>8</v>
      </c>
      <c r="K5" s="505">
        <f>COUNTIF(C3:C63, "Jarutas")</f>
        <v>8</v>
      </c>
      <c r="L5" s="316">
        <f t="shared" si="0"/>
        <v>0</v>
      </c>
    </row>
    <row r="6" spans="1:16">
      <c r="A6" s="127">
        <v>4</v>
      </c>
      <c r="B6" s="243" t="s">
        <v>407</v>
      </c>
      <c r="C6" s="126" t="s">
        <v>54</v>
      </c>
      <c r="H6">
        <v>4</v>
      </c>
      <c r="I6" s="502" t="s">
        <v>232</v>
      </c>
      <c r="J6" s="332">
        <v>4</v>
      </c>
      <c r="K6" s="504">
        <f>COUNTIF(C3:C63, "Kashif")</f>
        <v>4</v>
      </c>
      <c r="L6" s="316">
        <f>SUM(J6-K6)</f>
        <v>0</v>
      </c>
      <c r="M6" s="1047" t="s">
        <v>408</v>
      </c>
      <c r="N6" s="1048"/>
      <c r="O6" s="1048"/>
      <c r="P6" s="1048"/>
    </row>
    <row r="7" spans="1:16">
      <c r="A7" s="12">
        <v>5</v>
      </c>
      <c r="B7" s="243" t="s">
        <v>409</v>
      </c>
      <c r="C7" s="242" t="s">
        <v>77</v>
      </c>
      <c r="H7">
        <v>5</v>
      </c>
      <c r="I7" s="502" t="s">
        <v>89</v>
      </c>
      <c r="J7" s="332">
        <v>3</v>
      </c>
      <c r="K7" s="504">
        <f>COUNTIF(C3:C67, "Pengfei")</f>
        <v>3</v>
      </c>
      <c r="L7" s="316">
        <f>SUM(J7-K7)</f>
        <v>0</v>
      </c>
      <c r="M7" t="s">
        <v>410</v>
      </c>
    </row>
    <row r="8" spans="1:16">
      <c r="A8" s="127">
        <v>6</v>
      </c>
      <c r="B8" s="243" t="s">
        <v>411</v>
      </c>
      <c r="C8" s="126" t="s">
        <v>54</v>
      </c>
      <c r="H8">
        <v>6</v>
      </c>
      <c r="I8" s="502" t="s">
        <v>287</v>
      </c>
      <c r="J8" s="332">
        <v>0</v>
      </c>
      <c r="K8" s="504">
        <f>COUNTIF(C3:C68, "Marc")</f>
        <v>0</v>
      </c>
      <c r="L8" s="499">
        <f>SUM(J8-K8)</f>
        <v>0</v>
      </c>
    </row>
    <row r="9" spans="1:16">
      <c r="A9" s="12">
        <v>7</v>
      </c>
      <c r="B9" s="243" t="s">
        <v>412</v>
      </c>
      <c r="C9" s="126" t="s">
        <v>413</v>
      </c>
      <c r="H9">
        <v>7</v>
      </c>
      <c r="I9" s="495" t="s">
        <v>414</v>
      </c>
      <c r="J9" s="512">
        <v>2</v>
      </c>
      <c r="K9" s="513">
        <v>0</v>
      </c>
      <c r="L9" s="514">
        <f>SUM(J9-K9)</f>
        <v>2</v>
      </c>
    </row>
    <row r="10" spans="1:16">
      <c r="A10" s="127">
        <v>8</v>
      </c>
      <c r="B10" s="459" t="s">
        <v>415</v>
      </c>
      <c r="C10" s="515" t="s">
        <v>414</v>
      </c>
      <c r="D10" t="s">
        <v>416</v>
      </c>
      <c r="J10" s="493">
        <f>SUM(J3:J9)</f>
        <v>27</v>
      </c>
      <c r="K10" s="494">
        <f>SUM(K3:K9)</f>
        <v>25</v>
      </c>
      <c r="L10" s="240">
        <f>SUM(L3:L9)</f>
        <v>2</v>
      </c>
    </row>
    <row r="11" spans="1:16">
      <c r="A11" s="12">
        <v>9</v>
      </c>
      <c r="B11" s="243" t="s">
        <v>417</v>
      </c>
      <c r="C11" s="126" t="s">
        <v>413</v>
      </c>
    </row>
    <row r="12" spans="1:16">
      <c r="A12" s="127">
        <v>10</v>
      </c>
      <c r="B12" s="243" t="s">
        <v>418</v>
      </c>
      <c r="C12" s="242" t="s">
        <v>419</v>
      </c>
      <c r="J12" s="5"/>
      <c r="K12" s="11"/>
    </row>
    <row r="13" spans="1:16">
      <c r="A13" s="12">
        <v>11</v>
      </c>
      <c r="B13" s="243" t="s">
        <v>420</v>
      </c>
      <c r="C13" s="126" t="s">
        <v>413</v>
      </c>
    </row>
    <row r="14" spans="1:16">
      <c r="A14" s="127">
        <v>12</v>
      </c>
      <c r="B14" s="243" t="s">
        <v>421</v>
      </c>
      <c r="C14" s="126" t="s">
        <v>419</v>
      </c>
    </row>
    <row r="15" spans="1:16">
      <c r="A15" s="12">
        <v>13</v>
      </c>
      <c r="B15" s="243" t="s">
        <v>422</v>
      </c>
      <c r="C15" s="126" t="s">
        <v>88</v>
      </c>
      <c r="I15" s="506" t="s">
        <v>423</v>
      </c>
      <c r="J15" s="248" t="s">
        <v>383</v>
      </c>
      <c r="K15" s="508" t="s">
        <v>385</v>
      </c>
      <c r="L15" s="496" t="s">
        <v>386</v>
      </c>
    </row>
    <row r="16" spans="1:16">
      <c r="A16" s="127">
        <v>14</v>
      </c>
      <c r="B16" s="243" t="s">
        <v>424</v>
      </c>
      <c r="C16" s="126" t="s">
        <v>54</v>
      </c>
      <c r="H16">
        <v>1</v>
      </c>
      <c r="I16" s="74" t="s">
        <v>419</v>
      </c>
      <c r="J16" s="339">
        <v>9</v>
      </c>
      <c r="K16" s="509">
        <f>COUNTIF(C3:C76, "Muntasir")</f>
        <v>9</v>
      </c>
      <c r="L16" s="497">
        <f>SUM(J16-K16)</f>
        <v>0</v>
      </c>
      <c r="M16" t="s">
        <v>425</v>
      </c>
    </row>
    <row r="17" spans="1:13">
      <c r="A17" s="12">
        <v>15</v>
      </c>
      <c r="B17" s="243" t="s">
        <v>426</v>
      </c>
      <c r="C17" s="242" t="s">
        <v>413</v>
      </c>
      <c r="H17">
        <v>2</v>
      </c>
      <c r="I17" s="74" t="s">
        <v>413</v>
      </c>
      <c r="J17" s="339">
        <v>8</v>
      </c>
      <c r="K17" s="510">
        <f>COUNTIF(C3:C63, "Hamid")</f>
        <v>8</v>
      </c>
      <c r="L17" s="497">
        <f>SUM(J17-K17)</f>
        <v>0</v>
      </c>
    </row>
    <row r="18" spans="1:13">
      <c r="A18" s="127">
        <v>16</v>
      </c>
      <c r="B18" s="243" t="s">
        <v>427</v>
      </c>
      <c r="C18" s="126" t="s">
        <v>419</v>
      </c>
      <c r="H18">
        <v>3</v>
      </c>
      <c r="I18" s="74" t="s">
        <v>428</v>
      </c>
      <c r="J18" s="339">
        <v>9</v>
      </c>
      <c r="K18" s="509">
        <f>COUNTIF(C3:C78, "Peyman")</f>
        <v>9</v>
      </c>
      <c r="L18" s="497">
        <f>SUM(J18-K18)</f>
        <v>0</v>
      </c>
      <c r="M18" t="s">
        <v>429</v>
      </c>
    </row>
    <row r="19" spans="1:13">
      <c r="A19" s="12">
        <v>17</v>
      </c>
      <c r="B19" s="243" t="s">
        <v>430</v>
      </c>
      <c r="C19" s="242" t="s">
        <v>428</v>
      </c>
      <c r="H19">
        <v>4</v>
      </c>
      <c r="I19" s="73" t="s">
        <v>402</v>
      </c>
      <c r="J19" s="347">
        <v>8</v>
      </c>
      <c r="K19" s="511">
        <f>COUNTIF(C3:C63, "Femi")</f>
        <v>8</v>
      </c>
      <c r="L19" s="507">
        <f>SUM(J19-K19)</f>
        <v>0</v>
      </c>
    </row>
    <row r="20" spans="1:13">
      <c r="A20" s="127">
        <v>18</v>
      </c>
      <c r="B20" s="243" t="s">
        <v>431</v>
      </c>
      <c r="C20" s="126" t="s">
        <v>77</v>
      </c>
      <c r="J20" s="297">
        <f>SUM(J16:J19)</f>
        <v>34</v>
      </c>
      <c r="K20" s="318">
        <f>SUM(K16:K19)</f>
        <v>34</v>
      </c>
      <c r="L20" s="492">
        <f>SUM(L16:L19)</f>
        <v>0</v>
      </c>
    </row>
    <row r="21" spans="1:13">
      <c r="A21" s="12">
        <v>19</v>
      </c>
      <c r="B21" s="697" t="s">
        <v>432</v>
      </c>
      <c r="C21" s="515" t="s">
        <v>414</v>
      </c>
      <c r="D21" t="s">
        <v>433</v>
      </c>
    </row>
    <row r="22" spans="1:13">
      <c r="A22" s="127">
        <v>20</v>
      </c>
      <c r="B22" s="243" t="s">
        <v>434</v>
      </c>
      <c r="C22" s="126" t="s">
        <v>428</v>
      </c>
      <c r="K22" s="321" t="s">
        <v>385</v>
      </c>
      <c r="L22" s="320" t="s">
        <v>386</v>
      </c>
    </row>
    <row r="23" spans="1:13">
      <c r="A23" s="12">
        <v>21</v>
      </c>
      <c r="B23" s="243" t="s">
        <v>435</v>
      </c>
      <c r="C23" s="126" t="s">
        <v>402</v>
      </c>
      <c r="K23" s="299">
        <f>SUM(K10,K20)</f>
        <v>59</v>
      </c>
      <c r="L23" s="298">
        <f>SUM(L10+L20)</f>
        <v>2</v>
      </c>
    </row>
    <row r="24" spans="1:13">
      <c r="A24" s="127">
        <v>22</v>
      </c>
      <c r="B24" s="243" t="s">
        <v>436</v>
      </c>
      <c r="C24" s="242" t="s">
        <v>54</v>
      </c>
    </row>
    <row r="25" spans="1:13">
      <c r="A25" s="12">
        <v>23</v>
      </c>
      <c r="B25" s="243" t="s">
        <v>437</v>
      </c>
      <c r="C25" s="126" t="s">
        <v>88</v>
      </c>
    </row>
    <row r="26" spans="1:13">
      <c r="A26" s="127">
        <v>24</v>
      </c>
      <c r="B26" s="243" t="s">
        <v>438</v>
      </c>
      <c r="C26" s="242" t="s">
        <v>428</v>
      </c>
    </row>
    <row r="27" spans="1:13">
      <c r="A27" s="12">
        <v>25</v>
      </c>
      <c r="B27" s="243" t="s">
        <v>439</v>
      </c>
      <c r="C27" s="126" t="s">
        <v>402</v>
      </c>
    </row>
    <row r="28" spans="1:13">
      <c r="A28" s="127">
        <v>26</v>
      </c>
      <c r="B28" s="243" t="s">
        <v>440</v>
      </c>
      <c r="C28" s="126" t="s">
        <v>419</v>
      </c>
    </row>
    <row r="29" spans="1:13">
      <c r="A29" s="12">
        <v>27</v>
      </c>
      <c r="B29" s="243" t="s">
        <v>441</v>
      </c>
      <c r="C29" s="242" t="s">
        <v>428</v>
      </c>
    </row>
    <row r="30" spans="1:13">
      <c r="A30" s="127">
        <v>28</v>
      </c>
      <c r="B30" s="243" t="s">
        <v>442</v>
      </c>
      <c r="C30" s="126" t="s">
        <v>88</v>
      </c>
    </row>
    <row r="31" spans="1:13">
      <c r="A31" s="12">
        <v>29</v>
      </c>
      <c r="B31" s="243" t="s">
        <v>443</v>
      </c>
      <c r="C31" s="242" t="s">
        <v>54</v>
      </c>
    </row>
    <row r="32" spans="1:13">
      <c r="A32" s="127">
        <v>30</v>
      </c>
      <c r="B32" s="128" t="s">
        <v>444</v>
      </c>
      <c r="C32" s="244" t="s">
        <v>428</v>
      </c>
    </row>
    <row r="33" spans="1:3">
      <c r="A33" s="12">
        <v>31</v>
      </c>
      <c r="B33" s="128" t="s">
        <v>445</v>
      </c>
      <c r="C33" s="126" t="s">
        <v>89</v>
      </c>
    </row>
    <row r="34" spans="1:3">
      <c r="A34" s="127">
        <v>32</v>
      </c>
      <c r="B34" s="128" t="s">
        <v>446</v>
      </c>
      <c r="C34" s="126" t="s">
        <v>413</v>
      </c>
    </row>
    <row r="35" spans="1:3">
      <c r="A35" s="12">
        <v>33</v>
      </c>
      <c r="B35" s="128" t="s">
        <v>447</v>
      </c>
      <c r="C35" s="126" t="s">
        <v>54</v>
      </c>
    </row>
    <row r="36" spans="1:3">
      <c r="A36" s="127">
        <v>34</v>
      </c>
      <c r="B36" s="128" t="s">
        <v>448</v>
      </c>
      <c r="C36" s="126" t="s">
        <v>419</v>
      </c>
    </row>
    <row r="37" spans="1:3">
      <c r="A37" s="12">
        <v>35</v>
      </c>
      <c r="B37" s="128" t="s">
        <v>449</v>
      </c>
      <c r="C37" s="126" t="s">
        <v>88</v>
      </c>
    </row>
    <row r="38" spans="1:3">
      <c r="A38" s="127">
        <v>36</v>
      </c>
      <c r="B38" s="128" t="s">
        <v>450</v>
      </c>
      <c r="C38" s="126" t="s">
        <v>89</v>
      </c>
    </row>
    <row r="39" spans="1:3">
      <c r="A39" s="12">
        <v>37</v>
      </c>
      <c r="B39" s="128" t="s">
        <v>451</v>
      </c>
      <c r="C39" s="126" t="s">
        <v>419</v>
      </c>
    </row>
    <row r="40" spans="1:3">
      <c r="A40" s="127">
        <v>38</v>
      </c>
      <c r="B40" s="128" t="s">
        <v>452</v>
      </c>
      <c r="C40" s="126" t="s">
        <v>413</v>
      </c>
    </row>
    <row r="41" spans="1:3">
      <c r="A41" s="12">
        <v>39</v>
      </c>
      <c r="B41" s="128" t="s">
        <v>453</v>
      </c>
      <c r="C41" s="126" t="s">
        <v>232</v>
      </c>
    </row>
    <row r="42" spans="1:3">
      <c r="A42" s="127">
        <v>40</v>
      </c>
      <c r="B42" s="128" t="s">
        <v>454</v>
      </c>
      <c r="C42" s="126" t="s">
        <v>419</v>
      </c>
    </row>
    <row r="43" spans="1:3">
      <c r="A43" s="12">
        <v>41</v>
      </c>
      <c r="B43" s="128" t="s">
        <v>455</v>
      </c>
      <c r="C43" s="10" t="s">
        <v>232</v>
      </c>
    </row>
    <row r="44" spans="1:3">
      <c r="A44" s="127">
        <v>42</v>
      </c>
      <c r="B44" s="128" t="s">
        <v>456</v>
      </c>
      <c r="C44" s="10" t="s">
        <v>402</v>
      </c>
    </row>
    <row r="45" spans="1:3">
      <c r="A45" s="12">
        <v>43</v>
      </c>
      <c r="B45" s="128" t="s">
        <v>457</v>
      </c>
      <c r="C45" s="10" t="s">
        <v>402</v>
      </c>
    </row>
    <row r="46" spans="1:3">
      <c r="A46" s="127">
        <v>44</v>
      </c>
      <c r="B46" s="128" t="s">
        <v>458</v>
      </c>
      <c r="C46" s="10" t="s">
        <v>54</v>
      </c>
    </row>
    <row r="47" spans="1:3">
      <c r="A47" s="12">
        <v>45</v>
      </c>
      <c r="B47" s="128" t="s">
        <v>459</v>
      </c>
      <c r="C47" s="10" t="s">
        <v>232</v>
      </c>
    </row>
    <row r="48" spans="1:3">
      <c r="A48" s="127">
        <v>46</v>
      </c>
      <c r="B48" s="128" t="s">
        <v>460</v>
      </c>
      <c r="C48" s="10" t="s">
        <v>402</v>
      </c>
    </row>
    <row r="49" spans="1:3">
      <c r="A49" s="12">
        <v>47</v>
      </c>
      <c r="B49" s="128" t="s">
        <v>461</v>
      </c>
      <c r="C49" s="10" t="s">
        <v>88</v>
      </c>
    </row>
    <row r="50" spans="1:3">
      <c r="A50" s="127">
        <v>48</v>
      </c>
      <c r="B50" s="128" t="s">
        <v>462</v>
      </c>
      <c r="C50" s="10" t="s">
        <v>54</v>
      </c>
    </row>
    <row r="51" spans="1:3">
      <c r="A51" s="12">
        <v>49</v>
      </c>
      <c r="B51" s="128" t="s">
        <v>463</v>
      </c>
      <c r="C51" s="10" t="s">
        <v>428</v>
      </c>
    </row>
    <row r="52" spans="1:3">
      <c r="A52" s="127">
        <v>50</v>
      </c>
      <c r="B52" s="128" t="s">
        <v>464</v>
      </c>
      <c r="C52" s="10" t="s">
        <v>419</v>
      </c>
    </row>
    <row r="53" spans="1:3">
      <c r="A53" s="12">
        <v>51</v>
      </c>
      <c r="B53" s="128" t="s">
        <v>465</v>
      </c>
      <c r="C53" s="10" t="s">
        <v>402</v>
      </c>
    </row>
    <row r="54" spans="1:3">
      <c r="A54" s="127">
        <v>52</v>
      </c>
      <c r="B54" s="128" t="s">
        <v>466</v>
      </c>
      <c r="C54" s="10" t="s">
        <v>413</v>
      </c>
    </row>
    <row r="55" spans="1:3">
      <c r="A55" s="12">
        <v>53</v>
      </c>
      <c r="B55" s="128" t="s">
        <v>467</v>
      </c>
      <c r="C55" s="10" t="s">
        <v>428</v>
      </c>
    </row>
    <row r="56" spans="1:3">
      <c r="A56" s="127">
        <v>54</v>
      </c>
      <c r="B56" s="128" t="s">
        <v>468</v>
      </c>
      <c r="C56" s="10" t="s">
        <v>428</v>
      </c>
    </row>
    <row r="57" spans="1:3">
      <c r="A57" s="12">
        <v>55</v>
      </c>
      <c r="B57" s="128" t="s">
        <v>469</v>
      </c>
      <c r="C57" s="10" t="s">
        <v>419</v>
      </c>
    </row>
    <row r="58" spans="1:3">
      <c r="A58" s="127">
        <v>56</v>
      </c>
      <c r="B58" s="128" t="s">
        <v>470</v>
      </c>
      <c r="C58" s="10" t="s">
        <v>428</v>
      </c>
    </row>
    <row r="59" spans="1:3">
      <c r="A59" s="12">
        <v>57</v>
      </c>
      <c r="B59" s="128" t="s">
        <v>471</v>
      </c>
      <c r="C59" s="10" t="s">
        <v>402</v>
      </c>
    </row>
    <row r="60" spans="1:3">
      <c r="A60" s="127">
        <v>58</v>
      </c>
      <c r="B60" s="136" t="s">
        <v>472</v>
      </c>
      <c r="C60" s="205" t="s">
        <v>413</v>
      </c>
    </row>
    <row r="61" spans="1:3">
      <c r="A61" s="18">
        <v>59</v>
      </c>
      <c r="B61" s="302" t="s">
        <v>473</v>
      </c>
      <c r="C61" s="302" t="s">
        <v>77</v>
      </c>
    </row>
    <row r="62" spans="1:3">
      <c r="A62" s="12">
        <v>60</v>
      </c>
      <c r="B62" s="312" t="s">
        <v>474</v>
      </c>
      <c r="C62" s="312" t="s">
        <v>77</v>
      </c>
    </row>
    <row r="63" spans="1:3">
      <c r="A63" s="132">
        <v>61</v>
      </c>
      <c r="B63" s="324" t="s">
        <v>475</v>
      </c>
      <c r="C63" s="135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workbookViewId="0">
      <selection activeCell="F36" sqref="F36"/>
    </sheetView>
  </sheetViews>
  <sheetFormatPr defaultRowHeight="1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1059" t="s">
        <v>476</v>
      </c>
      <c r="B1" s="1060"/>
      <c r="C1" s="1060"/>
      <c r="D1" s="1061"/>
      <c r="E1" s="138"/>
      <c r="F1" s="138"/>
    </row>
    <row r="2" spans="1:13" ht="15.75" customHeight="1">
      <c r="A2" s="130"/>
      <c r="B2" s="158" t="s">
        <v>334</v>
      </c>
      <c r="C2" s="102" t="s">
        <v>477</v>
      </c>
      <c r="D2" s="133" t="s">
        <v>6</v>
      </c>
      <c r="F2" s="1057" t="s">
        <v>478</v>
      </c>
      <c r="G2" s="1058"/>
      <c r="H2" s="1007"/>
      <c r="J2" s="237" t="s">
        <v>400</v>
      </c>
      <c r="K2" s="25" t="s">
        <v>383</v>
      </c>
      <c r="L2" s="239" t="s">
        <v>385</v>
      </c>
      <c r="M2" s="240" t="s">
        <v>386</v>
      </c>
    </row>
    <row r="3" spans="1:13" ht="15.75" customHeight="1">
      <c r="A3" s="131">
        <v>1</v>
      </c>
      <c r="B3" s="243" t="s">
        <v>479</v>
      </c>
      <c r="C3" s="10"/>
      <c r="D3" s="134"/>
      <c r="F3" s="1049">
        <v>109</v>
      </c>
      <c r="G3" s="1050"/>
      <c r="H3" s="1051"/>
      <c r="I3">
        <v>1</v>
      </c>
      <c r="J3" s="238" t="s">
        <v>88</v>
      </c>
      <c r="K3" s="317">
        <v>8</v>
      </c>
      <c r="L3" s="241">
        <f>COUNTIF(D3:D112, "Drishty")</f>
        <v>0</v>
      </c>
      <c r="M3" s="315">
        <f>SUM(K3-L3)</f>
        <v>8</v>
      </c>
    </row>
    <row r="4" spans="1:13" ht="15.75" customHeight="1">
      <c r="A4" s="132">
        <v>2</v>
      </c>
      <c r="B4" s="243" t="s">
        <v>480</v>
      </c>
      <c r="C4" s="10"/>
      <c r="D4" s="134"/>
      <c r="F4" s="1052"/>
      <c r="G4" s="1038"/>
      <c r="H4" s="1053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>SUM(K4-L4)</f>
        <v>4</v>
      </c>
    </row>
    <row r="5" spans="1:13" ht="15.75" customHeight="1">
      <c r="A5" s="131">
        <v>3</v>
      </c>
      <c r="B5" s="243" t="s">
        <v>481</v>
      </c>
      <c r="C5" s="10"/>
      <c r="D5" s="134"/>
      <c r="F5" s="1054"/>
      <c r="G5" s="1055"/>
      <c r="H5" s="1056"/>
      <c r="I5">
        <v>3</v>
      </c>
      <c r="J5" s="71" t="s">
        <v>54</v>
      </c>
      <c r="K5" s="47">
        <v>8</v>
      </c>
      <c r="L5" s="228">
        <f>COUNTIF(D3:D112, "Jarutas")</f>
        <v>0</v>
      </c>
      <c r="M5" s="316">
        <f>SUM(K5-L5)</f>
        <v>8</v>
      </c>
    </row>
    <row r="6" spans="1:13">
      <c r="A6" s="132">
        <v>4</v>
      </c>
      <c r="B6" s="243" t="s">
        <v>482</v>
      </c>
      <c r="C6" s="10"/>
      <c r="D6" s="134"/>
      <c r="I6">
        <v>4</v>
      </c>
      <c r="J6" s="71" t="s">
        <v>287</v>
      </c>
      <c r="K6" s="47"/>
      <c r="L6" s="228">
        <f>COUNTIF(D3:D112, " ")</f>
        <v>0</v>
      </c>
      <c r="M6" s="316">
        <f>SUM(K6-L6)</f>
        <v>0</v>
      </c>
    </row>
    <row r="7" spans="1:13">
      <c r="A7" s="131">
        <v>5</v>
      </c>
      <c r="B7" s="243" t="s">
        <v>483</v>
      </c>
      <c r="C7" s="10"/>
      <c r="D7" s="13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32">
        <v>6</v>
      </c>
      <c r="B8" s="243" t="s">
        <v>484</v>
      </c>
      <c r="C8" s="10"/>
      <c r="D8" s="134"/>
      <c r="F8" s="998" t="s">
        <v>485</v>
      </c>
      <c r="G8" s="1062"/>
      <c r="H8" s="999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31">
        <v>7</v>
      </c>
      <c r="B9" s="243" t="s">
        <v>486</v>
      </c>
      <c r="C9" s="10"/>
      <c r="D9" s="134"/>
      <c r="I9">
        <v>7</v>
      </c>
      <c r="J9" s="71" t="s">
        <v>227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32">
        <v>8</v>
      </c>
      <c r="B10" s="243" t="s">
        <v>487</v>
      </c>
      <c r="C10" s="10"/>
      <c r="D10" s="134"/>
      <c r="I10">
        <v>8</v>
      </c>
      <c r="J10" s="233" t="s">
        <v>229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31">
        <v>9</v>
      </c>
      <c r="B11" s="243" t="s">
        <v>488</v>
      </c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32">
        <v>10</v>
      </c>
      <c r="B12" s="243" t="s">
        <v>489</v>
      </c>
      <c r="C12" s="10"/>
      <c r="D12" s="13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31">
        <v>11</v>
      </c>
      <c r="B13" s="243" t="s">
        <v>490</v>
      </c>
      <c r="C13" s="10"/>
      <c r="D13" s="134"/>
      <c r="I13">
        <v>11</v>
      </c>
      <c r="J13" s="286"/>
      <c r="K13" s="5"/>
      <c r="L13" s="232">
        <f>COUNTIF(D2:D112, " ")</f>
        <v>0</v>
      </c>
      <c r="M13" s="316">
        <f>SUM(K13-L13)</f>
        <v>0</v>
      </c>
    </row>
    <row r="14" spans="1:13">
      <c r="A14" s="132">
        <v>12</v>
      </c>
      <c r="B14" s="243" t="s">
        <v>491</v>
      </c>
      <c r="C14" s="10"/>
      <c r="D14" s="134"/>
      <c r="K14" s="300">
        <f>SUM(K3:K13)</f>
        <v>54</v>
      </c>
      <c r="L14" s="319">
        <f>SUM(L3:L13)</f>
        <v>0</v>
      </c>
    </row>
    <row r="15" spans="1:13">
      <c r="A15" s="131">
        <v>13</v>
      </c>
      <c r="B15" s="243" t="s">
        <v>492</v>
      </c>
      <c r="C15" s="10"/>
      <c r="D15" s="134"/>
    </row>
    <row r="16" spans="1:13">
      <c r="A16" s="132">
        <v>14</v>
      </c>
      <c r="B16" s="243" t="s">
        <v>493</v>
      </c>
      <c r="C16" s="10"/>
      <c r="D16" s="134"/>
      <c r="J16" s="629" t="s">
        <v>423</v>
      </c>
      <c r="K16" s="630"/>
      <c r="L16" s="631"/>
      <c r="M16" s="632"/>
    </row>
    <row r="17" spans="1:13">
      <c r="A17" s="131">
        <v>15</v>
      </c>
      <c r="B17" s="243" t="s">
        <v>494</v>
      </c>
      <c r="C17" s="10"/>
      <c r="D17" s="13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32">
        <v>16</v>
      </c>
      <c r="B18" s="243" t="s">
        <v>495</v>
      </c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31">
        <v>17</v>
      </c>
      <c r="B19" s="243" t="s">
        <v>496</v>
      </c>
      <c r="C19" s="10"/>
      <c r="D19" s="13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32">
        <v>18</v>
      </c>
      <c r="B20" s="243" t="s">
        <v>497</v>
      </c>
      <c r="C20" s="10"/>
      <c r="D20" s="134"/>
      <c r="I20">
        <v>4</v>
      </c>
      <c r="J20" s="71"/>
      <c r="K20" s="60"/>
      <c r="L20" s="628">
        <f>COUNTIF(D2:D112, " ")</f>
        <v>0</v>
      </c>
      <c r="M20" s="236">
        <f>SUM(K20-L20)</f>
        <v>0</v>
      </c>
    </row>
    <row r="21" spans="1:13">
      <c r="A21" s="131">
        <v>19</v>
      </c>
      <c r="B21" s="243" t="s">
        <v>498</v>
      </c>
      <c r="C21" s="10"/>
      <c r="D21" s="134"/>
      <c r="I21">
        <v>5</v>
      </c>
      <c r="J21" s="71"/>
      <c r="K21" s="60"/>
      <c r="L21" s="628">
        <f>COUNTIF(D3:D113, " ")</f>
        <v>0</v>
      </c>
      <c r="M21" s="236">
        <f t="shared" ref="M21:M25" si="0">SUM(K21-L21)</f>
        <v>0</v>
      </c>
    </row>
    <row r="22" spans="1:13">
      <c r="A22" s="132">
        <v>20</v>
      </c>
      <c r="B22" s="243" t="s">
        <v>499</v>
      </c>
      <c r="C22" s="10"/>
      <c r="D22" s="134"/>
      <c r="I22">
        <v>6</v>
      </c>
      <c r="J22" s="71"/>
      <c r="K22" s="60"/>
      <c r="L22" s="628">
        <f>COUNTIF(D4:D114, " ")</f>
        <v>0</v>
      </c>
      <c r="M22" s="236">
        <f t="shared" si="0"/>
        <v>0</v>
      </c>
    </row>
    <row r="23" spans="1:13">
      <c r="A23" s="131">
        <v>21</v>
      </c>
      <c r="B23" s="243" t="s">
        <v>500</v>
      </c>
      <c r="C23" s="10"/>
      <c r="D23" s="134"/>
      <c r="I23">
        <v>7</v>
      </c>
      <c r="J23" s="71"/>
      <c r="K23" s="60"/>
      <c r="L23" s="628">
        <f>COUNTIF(D5:D115, " ")</f>
        <v>0</v>
      </c>
      <c r="M23" s="236">
        <f t="shared" si="0"/>
        <v>0</v>
      </c>
    </row>
    <row r="24" spans="1:13">
      <c r="A24" s="132">
        <v>22</v>
      </c>
      <c r="B24" s="243" t="s">
        <v>501</v>
      </c>
      <c r="C24" s="10"/>
      <c r="D24" s="134"/>
      <c r="I24">
        <v>8</v>
      </c>
      <c r="J24" s="71"/>
      <c r="K24" s="60"/>
      <c r="L24" s="628">
        <f>COUNTIF(D6:D116, " ")</f>
        <v>0</v>
      </c>
      <c r="M24" s="236">
        <f t="shared" si="0"/>
        <v>0</v>
      </c>
    </row>
    <row r="25" spans="1:13">
      <c r="A25" s="131">
        <v>23</v>
      </c>
      <c r="B25" s="243" t="s">
        <v>502</v>
      </c>
      <c r="C25" s="10"/>
      <c r="D25" s="134"/>
      <c r="I25">
        <v>9</v>
      </c>
      <c r="J25" s="234"/>
      <c r="K25" s="637"/>
      <c r="L25" s="638">
        <f>COUNTIF(D7:D117, " ")</f>
        <v>0</v>
      </c>
      <c r="M25" s="639">
        <f t="shared" si="0"/>
        <v>0</v>
      </c>
    </row>
    <row r="26" spans="1:13">
      <c r="A26" s="132">
        <v>24</v>
      </c>
      <c r="B26" s="243" t="s">
        <v>503</v>
      </c>
      <c r="C26" s="10"/>
      <c r="D26" s="134"/>
      <c r="K26" s="325">
        <f>SUM(K17:K19)</f>
        <v>30</v>
      </c>
      <c r="L26" s="301">
        <f>SUM(L16:L20)</f>
        <v>0</v>
      </c>
    </row>
    <row r="27" spans="1:13">
      <c r="A27" s="131">
        <v>25</v>
      </c>
      <c r="B27" s="243" t="s">
        <v>504</v>
      </c>
      <c r="C27" s="10"/>
      <c r="D27" s="134"/>
      <c r="J27" s="327" t="s">
        <v>505</v>
      </c>
      <c r="K27" s="326">
        <f>SUM(K14+K26)</f>
        <v>84</v>
      </c>
    </row>
    <row r="28" spans="1:13">
      <c r="A28" s="132">
        <v>26</v>
      </c>
      <c r="B28" s="243" t="s">
        <v>506</v>
      </c>
      <c r="C28" s="10"/>
      <c r="D28" s="134"/>
      <c r="L28" s="322" t="s">
        <v>386</v>
      </c>
      <c r="M28" s="323" t="s">
        <v>385</v>
      </c>
    </row>
    <row r="29" spans="1:13">
      <c r="A29" s="131">
        <v>27</v>
      </c>
      <c r="B29" s="243" t="s">
        <v>507</v>
      </c>
      <c r="C29" s="10"/>
      <c r="D29" s="134"/>
      <c r="L29" s="313">
        <f>SUM(F3)</f>
        <v>109</v>
      </c>
      <c r="M29" s="299">
        <f>SUM(L14+L26)</f>
        <v>0</v>
      </c>
    </row>
    <row r="30" spans="1:13">
      <c r="A30" s="132">
        <v>28</v>
      </c>
      <c r="B30" s="243" t="s">
        <v>508</v>
      </c>
      <c r="C30" s="10"/>
      <c r="D30" s="134"/>
    </row>
    <row r="31" spans="1:13">
      <c r="A31" s="131">
        <v>29</v>
      </c>
      <c r="B31" s="243" t="s">
        <v>509</v>
      </c>
      <c r="C31" s="10"/>
      <c r="D31" s="134"/>
    </row>
    <row r="32" spans="1:13">
      <c r="A32" s="132">
        <v>30</v>
      </c>
      <c r="B32" s="243" t="s">
        <v>510</v>
      </c>
      <c r="C32" s="10"/>
      <c r="D32" s="134"/>
    </row>
    <row r="33" spans="1:4">
      <c r="A33" s="131">
        <v>31</v>
      </c>
      <c r="B33" s="243" t="s">
        <v>511</v>
      </c>
      <c r="C33" s="10"/>
      <c r="D33" s="134"/>
    </row>
    <row r="34" spans="1:4">
      <c r="A34" s="132">
        <v>32</v>
      </c>
      <c r="B34" s="243" t="s">
        <v>512</v>
      </c>
      <c r="C34" s="10"/>
      <c r="D34" s="134"/>
    </row>
    <row r="35" spans="1:4">
      <c r="A35" s="131">
        <v>33</v>
      </c>
      <c r="B35" s="243" t="s">
        <v>513</v>
      </c>
      <c r="C35" s="10"/>
      <c r="D35" s="134"/>
    </row>
    <row r="36" spans="1:4">
      <c r="A36" s="132">
        <v>34</v>
      </c>
      <c r="B36" s="243" t="s">
        <v>514</v>
      </c>
      <c r="C36" s="10"/>
      <c r="D36" s="134" t="s">
        <v>515</v>
      </c>
    </row>
    <row r="37" spans="1:4">
      <c r="A37" s="131">
        <v>35</v>
      </c>
      <c r="B37" s="243" t="s">
        <v>516</v>
      </c>
      <c r="C37" s="10"/>
      <c r="D37" s="134"/>
    </row>
    <row r="38" spans="1:4">
      <c r="A38" s="132">
        <v>36</v>
      </c>
      <c r="B38" s="243" t="s">
        <v>517</v>
      </c>
      <c r="C38" s="10"/>
      <c r="D38" s="134"/>
    </row>
    <row r="39" spans="1:4">
      <c r="A39" s="131">
        <v>37</v>
      </c>
      <c r="B39" s="243" t="s">
        <v>518</v>
      </c>
      <c r="C39" s="10"/>
      <c r="D39" s="134"/>
    </row>
    <row r="40" spans="1:4">
      <c r="A40" s="132">
        <v>38</v>
      </c>
      <c r="B40" s="243" t="s">
        <v>519</v>
      </c>
      <c r="C40" s="10"/>
      <c r="D40" s="134"/>
    </row>
    <row r="41" spans="1:4">
      <c r="A41" s="131">
        <v>39</v>
      </c>
      <c r="B41" s="243" t="s">
        <v>520</v>
      </c>
      <c r="C41" s="10"/>
      <c r="D41" s="134"/>
    </row>
    <row r="42" spans="1:4">
      <c r="A42" s="132">
        <v>40</v>
      </c>
      <c r="B42" s="243" t="s">
        <v>521</v>
      </c>
      <c r="C42" s="10"/>
      <c r="D42" s="134"/>
    </row>
    <row r="43" spans="1:4">
      <c r="A43" s="131">
        <v>41</v>
      </c>
      <c r="B43" s="243" t="s">
        <v>522</v>
      </c>
      <c r="C43" s="10"/>
      <c r="D43" s="135"/>
    </row>
    <row r="44" spans="1:4">
      <c r="A44" s="132">
        <v>42</v>
      </c>
      <c r="B44" s="243" t="s">
        <v>523</v>
      </c>
      <c r="C44" s="10"/>
      <c r="D44" s="135"/>
    </row>
    <row r="45" spans="1:4">
      <c r="A45" s="131">
        <v>43</v>
      </c>
      <c r="B45" s="243" t="s">
        <v>524</v>
      </c>
      <c r="C45" s="10"/>
      <c r="D45" s="135"/>
    </row>
    <row r="46" spans="1:4">
      <c r="A46" s="132">
        <v>44</v>
      </c>
      <c r="B46" s="243" t="s">
        <v>525</v>
      </c>
      <c r="C46" s="10"/>
      <c r="D46" s="135"/>
    </row>
    <row r="47" spans="1:4">
      <c r="A47" s="131">
        <v>45</v>
      </c>
      <c r="B47" s="243" t="s">
        <v>526</v>
      </c>
      <c r="C47" s="10"/>
      <c r="D47" s="135"/>
    </row>
    <row r="48" spans="1:4">
      <c r="A48" s="132">
        <v>46</v>
      </c>
      <c r="B48" s="243" t="s">
        <v>527</v>
      </c>
      <c r="C48" s="10"/>
      <c r="D48" s="135"/>
    </row>
    <row r="49" spans="1:7">
      <c r="A49" s="131">
        <v>47</v>
      </c>
      <c r="B49" s="243" t="s">
        <v>528</v>
      </c>
      <c r="C49" s="10"/>
      <c r="D49" s="135"/>
    </row>
    <row r="50" spans="1:7">
      <c r="A50" s="132">
        <v>48</v>
      </c>
      <c r="B50" s="243" t="s">
        <v>529</v>
      </c>
      <c r="C50" s="10"/>
      <c r="D50" s="135"/>
    </row>
    <row r="51" spans="1:7">
      <c r="A51" s="131">
        <v>49</v>
      </c>
      <c r="B51" s="243" t="s">
        <v>530</v>
      </c>
      <c r="C51" s="10"/>
      <c r="D51" s="135"/>
    </row>
    <row r="52" spans="1:7">
      <c r="A52" s="132">
        <v>50</v>
      </c>
      <c r="B52" s="243" t="s">
        <v>531</v>
      </c>
      <c r="C52" s="10"/>
      <c r="D52" s="135"/>
    </row>
    <row r="53" spans="1:7">
      <c r="A53" s="131">
        <v>51</v>
      </c>
      <c r="B53" s="243" t="s">
        <v>532</v>
      </c>
      <c r="C53" s="10"/>
      <c r="D53" s="135"/>
      <c r="G53" s="623"/>
    </row>
    <row r="54" spans="1:7">
      <c r="A54" s="132">
        <v>52</v>
      </c>
      <c r="B54" s="243" t="s">
        <v>533</v>
      </c>
      <c r="C54" s="10"/>
      <c r="D54" s="135"/>
    </row>
    <row r="55" spans="1:7">
      <c r="A55" s="131">
        <v>53</v>
      </c>
      <c r="B55" s="243" t="s">
        <v>534</v>
      </c>
      <c r="C55" s="10"/>
      <c r="D55" s="135"/>
    </row>
    <row r="56" spans="1:7">
      <c r="A56" s="132">
        <v>54</v>
      </c>
      <c r="B56" s="243" t="s">
        <v>535</v>
      </c>
      <c r="C56" s="10"/>
      <c r="D56" s="135"/>
    </row>
    <row r="57" spans="1:7">
      <c r="A57" s="131">
        <v>55</v>
      </c>
      <c r="B57" s="243" t="s">
        <v>536</v>
      </c>
      <c r="C57" s="10"/>
      <c r="D57" s="135"/>
    </row>
    <row r="58" spans="1:7">
      <c r="A58" s="132">
        <v>56</v>
      </c>
      <c r="B58" s="243" t="s">
        <v>537</v>
      </c>
      <c r="C58" s="10"/>
      <c r="D58" s="135"/>
    </row>
    <row r="59" spans="1:7">
      <c r="A59" s="131">
        <v>57</v>
      </c>
      <c r="B59" s="343" t="s">
        <v>538</v>
      </c>
      <c r="C59" s="10"/>
      <c r="D59" s="137"/>
    </row>
    <row r="60" spans="1:7">
      <c r="A60" s="132">
        <v>58</v>
      </c>
      <c r="B60" s="243" t="s">
        <v>539</v>
      </c>
      <c r="C60" s="10"/>
      <c r="D60" s="135"/>
    </row>
    <row r="61" spans="1:7">
      <c r="A61" s="131">
        <v>59</v>
      </c>
      <c r="B61" s="243" t="s">
        <v>540</v>
      </c>
      <c r="C61" s="10"/>
      <c r="D61" s="135"/>
    </row>
    <row r="62" spans="1:7">
      <c r="A62" s="132">
        <v>60</v>
      </c>
      <c r="B62" s="243" t="s">
        <v>541</v>
      </c>
      <c r="C62" s="10"/>
      <c r="D62" s="135"/>
    </row>
    <row r="63" spans="1:7">
      <c r="A63" s="131">
        <v>61</v>
      </c>
      <c r="B63" s="243" t="s">
        <v>542</v>
      </c>
      <c r="C63" s="10"/>
      <c r="D63" s="135"/>
    </row>
    <row r="64" spans="1:7">
      <c r="A64" s="132">
        <v>62</v>
      </c>
      <c r="B64" s="243" t="s">
        <v>543</v>
      </c>
      <c r="C64" s="10"/>
      <c r="D64" s="135"/>
    </row>
    <row r="65" spans="1:4">
      <c r="A65" s="131">
        <v>63</v>
      </c>
      <c r="B65" s="243" t="s">
        <v>544</v>
      </c>
      <c r="C65" s="10"/>
      <c r="D65" s="135"/>
    </row>
    <row r="66" spans="1:4">
      <c r="A66" s="132">
        <v>64</v>
      </c>
      <c r="B66" s="243" t="s">
        <v>545</v>
      </c>
      <c r="C66" s="10"/>
      <c r="D66" s="135"/>
    </row>
    <row r="67" spans="1:4">
      <c r="A67" s="131">
        <v>65</v>
      </c>
      <c r="B67" s="243" t="s">
        <v>546</v>
      </c>
      <c r="C67" s="10"/>
      <c r="D67" s="135"/>
    </row>
    <row r="68" spans="1:4">
      <c r="A68" s="132">
        <v>66</v>
      </c>
      <c r="B68" s="243" t="s">
        <v>547</v>
      </c>
      <c r="C68" s="10"/>
      <c r="D68" s="135"/>
    </row>
    <row r="69" spans="1:4">
      <c r="A69" s="131">
        <v>67</v>
      </c>
      <c r="B69" s="243" t="s">
        <v>548</v>
      </c>
      <c r="C69" s="10"/>
      <c r="D69" s="135"/>
    </row>
    <row r="70" spans="1:4">
      <c r="A70" s="132">
        <v>68</v>
      </c>
      <c r="B70" s="243" t="s">
        <v>549</v>
      </c>
      <c r="C70" s="10"/>
      <c r="D70" s="135"/>
    </row>
    <row r="71" spans="1:4">
      <c r="A71" s="131">
        <v>69</v>
      </c>
      <c r="B71" s="243" t="s">
        <v>550</v>
      </c>
      <c r="C71" s="10"/>
      <c r="D71" s="135"/>
    </row>
    <row r="72" spans="1:4">
      <c r="A72" s="132">
        <v>70</v>
      </c>
      <c r="B72" s="243" t="s">
        <v>551</v>
      </c>
      <c r="C72" s="10"/>
      <c r="D72" s="135"/>
    </row>
    <row r="73" spans="1:4">
      <c r="A73" s="131">
        <v>71</v>
      </c>
      <c r="B73" s="243" t="s">
        <v>552</v>
      </c>
      <c r="C73" s="10"/>
      <c r="D73" s="135"/>
    </row>
    <row r="74" spans="1:4">
      <c r="A74" s="132">
        <v>72</v>
      </c>
      <c r="B74" s="243" t="s">
        <v>553</v>
      </c>
      <c r="C74" s="10"/>
      <c r="D74" s="135"/>
    </row>
    <row r="75" spans="1:4">
      <c r="A75" s="131">
        <v>73</v>
      </c>
      <c r="B75" s="243" t="s">
        <v>554</v>
      </c>
      <c r="C75" s="10"/>
      <c r="D75" s="135"/>
    </row>
    <row r="76" spans="1:4">
      <c r="A76" s="132">
        <v>74</v>
      </c>
      <c r="B76" s="243" t="s">
        <v>555</v>
      </c>
      <c r="C76" s="10"/>
      <c r="D76" s="135"/>
    </row>
    <row r="77" spans="1:4">
      <c r="A77" s="131">
        <v>75</v>
      </c>
      <c r="B77" s="243" t="s">
        <v>556</v>
      </c>
      <c r="C77" s="10"/>
      <c r="D77" s="135"/>
    </row>
    <row r="78" spans="1:4">
      <c r="A78" s="132">
        <v>76</v>
      </c>
      <c r="B78" s="243" t="s">
        <v>557</v>
      </c>
      <c r="C78" s="10"/>
      <c r="D78" s="135"/>
    </row>
    <row r="79" spans="1:4">
      <c r="A79" s="131">
        <v>77</v>
      </c>
      <c r="B79" s="243" t="s">
        <v>558</v>
      </c>
      <c r="C79" s="10"/>
      <c r="D79" s="135"/>
    </row>
    <row r="80" spans="1:4">
      <c r="A80" s="132">
        <v>78</v>
      </c>
      <c r="B80" s="243" t="s">
        <v>559</v>
      </c>
      <c r="C80" s="10"/>
      <c r="D80" s="135"/>
    </row>
    <row r="81" spans="1:4">
      <c r="A81" s="131">
        <v>79</v>
      </c>
      <c r="B81" s="243" t="s">
        <v>560</v>
      </c>
      <c r="C81" s="10"/>
      <c r="D81" s="135"/>
    </row>
    <row r="82" spans="1:4">
      <c r="A82" s="132">
        <v>80</v>
      </c>
      <c r="B82" s="243" t="s">
        <v>561</v>
      </c>
      <c r="C82" s="10"/>
      <c r="D82" s="135"/>
    </row>
    <row r="83" spans="1:4">
      <c r="A83" s="131">
        <v>81</v>
      </c>
      <c r="B83" s="243" t="s">
        <v>562</v>
      </c>
      <c r="C83" s="10"/>
      <c r="D83" s="135"/>
    </row>
    <row r="84" spans="1:4">
      <c r="A84" s="132">
        <v>82</v>
      </c>
      <c r="B84" s="243" t="s">
        <v>563</v>
      </c>
      <c r="C84" s="10"/>
      <c r="D84" s="135"/>
    </row>
    <row r="85" spans="1:4">
      <c r="A85" s="131">
        <v>83</v>
      </c>
      <c r="B85" s="243" t="s">
        <v>564</v>
      </c>
      <c r="C85" s="10"/>
      <c r="D85" s="135"/>
    </row>
    <row r="86" spans="1:4">
      <c r="A86" s="132">
        <v>84</v>
      </c>
      <c r="B86" s="243" t="s">
        <v>565</v>
      </c>
      <c r="C86" s="10"/>
      <c r="D86" s="135"/>
    </row>
    <row r="87" spans="1:4">
      <c r="A87" s="131">
        <v>85</v>
      </c>
      <c r="B87" s="243" t="s">
        <v>566</v>
      </c>
      <c r="C87" s="10"/>
      <c r="D87" s="135"/>
    </row>
    <row r="88" spans="1:4">
      <c r="A88" s="132">
        <v>86</v>
      </c>
      <c r="B88" s="243" t="s">
        <v>567</v>
      </c>
      <c r="C88" s="10"/>
      <c r="D88" s="135"/>
    </row>
    <row r="89" spans="1:4">
      <c r="A89" s="131">
        <v>87</v>
      </c>
      <c r="B89" s="243" t="s">
        <v>568</v>
      </c>
      <c r="C89" s="10"/>
      <c r="D89" s="135"/>
    </row>
    <row r="90" spans="1:4">
      <c r="A90" s="132">
        <v>88</v>
      </c>
      <c r="B90" s="243" t="s">
        <v>569</v>
      </c>
      <c r="C90" s="10"/>
      <c r="D90" s="135"/>
    </row>
    <row r="91" spans="1:4">
      <c r="A91" s="131">
        <v>89</v>
      </c>
      <c r="B91" s="243" t="s">
        <v>570</v>
      </c>
      <c r="C91" s="10"/>
      <c r="D91" s="135"/>
    </row>
    <row r="92" spans="1:4">
      <c r="A92" s="132">
        <v>90</v>
      </c>
      <c r="B92" s="243" t="s">
        <v>571</v>
      </c>
      <c r="C92" s="10"/>
      <c r="D92" s="135"/>
    </row>
    <row r="93" spans="1:4">
      <c r="A93" s="131">
        <v>91</v>
      </c>
      <c r="B93" s="243" t="s">
        <v>572</v>
      </c>
      <c r="C93" s="10"/>
      <c r="D93" s="135"/>
    </row>
    <row r="94" spans="1:4">
      <c r="A94" s="132">
        <v>92</v>
      </c>
      <c r="B94" s="243" t="s">
        <v>573</v>
      </c>
      <c r="C94" s="10"/>
      <c r="D94" s="135"/>
    </row>
    <row r="95" spans="1:4">
      <c r="A95" s="131">
        <v>93</v>
      </c>
      <c r="B95" s="243" t="s">
        <v>574</v>
      </c>
      <c r="C95" s="10"/>
      <c r="D95" s="135"/>
    </row>
    <row r="96" spans="1:4">
      <c r="A96" s="132">
        <v>94</v>
      </c>
      <c r="B96" s="243" t="s">
        <v>575</v>
      </c>
      <c r="C96" s="10"/>
      <c r="D96" s="135"/>
    </row>
    <row r="97" spans="1:4">
      <c r="A97" s="131">
        <v>95</v>
      </c>
      <c r="B97" s="243" t="s">
        <v>576</v>
      </c>
      <c r="C97" s="10"/>
      <c r="D97" s="135"/>
    </row>
    <row r="98" spans="1:4">
      <c r="A98" s="132">
        <v>96</v>
      </c>
      <c r="B98" s="243" t="s">
        <v>577</v>
      </c>
      <c r="C98" s="10"/>
      <c r="D98" s="135"/>
    </row>
    <row r="99" spans="1:4">
      <c r="A99" s="131">
        <v>97</v>
      </c>
      <c r="B99" s="243" t="s">
        <v>578</v>
      </c>
      <c r="C99" s="10"/>
      <c r="D99" s="135"/>
    </row>
    <row r="100" spans="1:4">
      <c r="A100" s="132">
        <v>98</v>
      </c>
      <c r="B100" s="243" t="s">
        <v>579</v>
      </c>
      <c r="C100" s="10"/>
      <c r="D100" s="135"/>
    </row>
    <row r="101" spans="1:4">
      <c r="A101" s="131">
        <v>99</v>
      </c>
      <c r="B101" s="243" t="s">
        <v>580</v>
      </c>
      <c r="C101" s="10"/>
      <c r="D101" s="135"/>
    </row>
    <row r="102" spans="1:4">
      <c r="A102" s="132">
        <v>100</v>
      </c>
      <c r="B102" s="243" t="s">
        <v>581</v>
      </c>
      <c r="C102" s="10"/>
      <c r="D102" s="135"/>
    </row>
    <row r="103" spans="1:4">
      <c r="A103" s="131">
        <v>101</v>
      </c>
      <c r="B103" s="243" t="s">
        <v>582</v>
      </c>
      <c r="C103" s="10"/>
      <c r="D103" s="135"/>
    </row>
    <row r="104" spans="1:4">
      <c r="A104" s="132">
        <v>102</v>
      </c>
      <c r="B104" s="243" t="s">
        <v>583</v>
      </c>
      <c r="C104" s="10"/>
      <c r="D104" s="135"/>
    </row>
    <row r="105" spans="1:4">
      <c r="A105" s="131">
        <v>103</v>
      </c>
      <c r="B105" s="243" t="s">
        <v>584</v>
      </c>
      <c r="C105" s="10"/>
      <c r="D105" s="135"/>
    </row>
    <row r="106" spans="1:4">
      <c r="A106" s="132">
        <v>104</v>
      </c>
      <c r="B106" s="243" t="s">
        <v>585</v>
      </c>
      <c r="C106" s="10"/>
      <c r="D106" s="135"/>
    </row>
    <row r="107" spans="1:4">
      <c r="A107" s="131">
        <v>105</v>
      </c>
      <c r="B107" s="243" t="s">
        <v>586</v>
      </c>
      <c r="C107" s="10"/>
      <c r="D107" s="135"/>
    </row>
    <row r="108" spans="1:4">
      <c r="A108" s="132">
        <v>106</v>
      </c>
      <c r="B108" s="243" t="s">
        <v>587</v>
      </c>
      <c r="C108" s="10"/>
      <c r="D108" s="135"/>
    </row>
    <row r="109" spans="1:4">
      <c r="A109" s="131">
        <v>107</v>
      </c>
      <c r="B109" s="243" t="s">
        <v>588</v>
      </c>
      <c r="C109" s="10"/>
      <c r="D109" s="135"/>
    </row>
    <row r="110" spans="1:4">
      <c r="A110" s="132">
        <v>108</v>
      </c>
      <c r="B110" s="243" t="s">
        <v>589</v>
      </c>
      <c r="C110" s="10"/>
      <c r="D110" s="135"/>
    </row>
    <row r="111" spans="1:4">
      <c r="A111" s="131">
        <v>109</v>
      </c>
      <c r="B111" s="243" t="s">
        <v>590</v>
      </c>
      <c r="C111" s="10"/>
      <c r="D111" s="135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topLeftCell="A11" workbookViewId="0">
      <selection activeCell="F38" sqref="F38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85" t="s">
        <v>477</v>
      </c>
      <c r="C1" s="285" t="s">
        <v>334</v>
      </c>
      <c r="D1" s="337" t="s">
        <v>6</v>
      </c>
      <c r="K1" s="102" t="s">
        <v>382</v>
      </c>
      <c r="L1" s="527" t="s">
        <v>383</v>
      </c>
      <c r="M1" s="530" t="s">
        <v>384</v>
      </c>
      <c r="N1" s="528" t="s">
        <v>385</v>
      </c>
      <c r="O1" s="529" t="s">
        <v>386</v>
      </c>
    </row>
    <row r="2" spans="1:15" ht="15.75">
      <c r="A2" s="211">
        <v>1</v>
      </c>
      <c r="B2" s="226" t="s">
        <v>153</v>
      </c>
      <c r="C2" s="518"/>
      <c r="D2" s="220"/>
      <c r="F2" s="333" t="s">
        <v>153</v>
      </c>
      <c r="G2" s="674">
        <v>11</v>
      </c>
      <c r="H2" s="1063">
        <f>SUM(G2:G6)</f>
        <v>59</v>
      </c>
      <c r="J2" s="132">
        <v>1</v>
      </c>
      <c r="K2" s="17" t="s">
        <v>227</v>
      </c>
      <c r="L2" s="12"/>
      <c r="M2" s="12"/>
      <c r="N2" s="532">
        <f>COUNTIF(D2:D65, "Bacha")</f>
        <v>0</v>
      </c>
      <c r="O2" s="531">
        <f>SUM(L2-N2)</f>
        <v>0</v>
      </c>
    </row>
    <row r="3" spans="1:15" ht="15.75">
      <c r="A3" s="212">
        <v>2</v>
      </c>
      <c r="B3" s="213" t="s">
        <v>153</v>
      </c>
      <c r="C3" s="519"/>
      <c r="D3" s="66"/>
      <c r="F3" s="334" t="s">
        <v>591</v>
      </c>
      <c r="G3" s="675">
        <v>8</v>
      </c>
      <c r="H3" s="1064"/>
      <c r="J3" s="132">
        <v>2</v>
      </c>
      <c r="K3" s="17" t="s">
        <v>256</v>
      </c>
      <c r="L3" s="12"/>
      <c r="M3" s="12"/>
      <c r="N3" s="532">
        <f>COUNTIF(D2:D65, "Bode")</f>
        <v>0</v>
      </c>
      <c r="O3" s="531">
        <f>SUM(L3-N3)</f>
        <v>0</v>
      </c>
    </row>
    <row r="4" spans="1:15" ht="15.75">
      <c r="A4" s="212">
        <v>3</v>
      </c>
      <c r="B4" s="213" t="s">
        <v>153</v>
      </c>
      <c r="C4" s="519"/>
      <c r="D4" s="66"/>
      <c r="F4" s="335" t="s">
        <v>592</v>
      </c>
      <c r="G4" s="676">
        <v>10</v>
      </c>
      <c r="H4" s="1064"/>
      <c r="J4" s="132">
        <v>3</v>
      </c>
      <c r="K4" s="17" t="s">
        <v>308</v>
      </c>
      <c r="L4" s="12"/>
      <c r="M4" s="12"/>
      <c r="N4" s="532">
        <f>COUNTIF(D2:D65, "Anthony")</f>
        <v>0</v>
      </c>
      <c r="O4" s="531">
        <f>SUM(L4-N4)</f>
        <v>0</v>
      </c>
    </row>
    <row r="5" spans="1:15" ht="15.75">
      <c r="A5" s="212">
        <v>4</v>
      </c>
      <c r="B5" s="213" t="s">
        <v>153</v>
      </c>
      <c r="C5" s="519"/>
      <c r="D5" s="66"/>
      <c r="F5" s="334" t="s">
        <v>593</v>
      </c>
      <c r="G5" s="675">
        <v>5</v>
      </c>
      <c r="H5" s="1064"/>
      <c r="J5" s="132">
        <v>4</v>
      </c>
      <c r="K5" s="17" t="s">
        <v>8</v>
      </c>
      <c r="L5" s="12"/>
      <c r="M5" s="12"/>
      <c r="N5" s="532">
        <f>COUNTIF(D2:D65, "Darren")</f>
        <v>0</v>
      </c>
      <c r="O5" s="531">
        <f>SUM(L5-N5)</f>
        <v>0</v>
      </c>
    </row>
    <row r="6" spans="1:15" ht="15.75">
      <c r="A6" s="212">
        <v>5</v>
      </c>
      <c r="B6" s="213" t="s">
        <v>153</v>
      </c>
      <c r="C6" s="519"/>
      <c r="D6" s="66"/>
      <c r="F6" s="336" t="s">
        <v>594</v>
      </c>
      <c r="G6" s="677">
        <v>25</v>
      </c>
      <c r="H6" s="1065"/>
      <c r="J6" s="132">
        <v>5</v>
      </c>
      <c r="K6" s="17" t="s">
        <v>88</v>
      </c>
      <c r="L6" s="12"/>
      <c r="M6" s="12"/>
      <c r="N6" s="532">
        <f>COUNTIF(D2:D65, "Drishty")</f>
        <v>0</v>
      </c>
      <c r="O6" s="531">
        <f>SUM(L6-N6)</f>
        <v>0</v>
      </c>
    </row>
    <row r="7" spans="1:15" ht="15.75">
      <c r="A7" s="212">
        <v>6</v>
      </c>
      <c r="B7" s="213" t="s">
        <v>153</v>
      </c>
      <c r="C7" s="519"/>
      <c r="D7" s="66"/>
      <c r="J7" s="132">
        <v>6</v>
      </c>
      <c r="K7" s="17" t="s">
        <v>54</v>
      </c>
      <c r="L7" s="12"/>
      <c r="M7" s="12"/>
      <c r="N7" s="532">
        <f>COUNTIF(D2:D65, "Jarutas")</f>
        <v>0</v>
      </c>
      <c r="O7" s="531">
        <f>SUM(L7-N7)</f>
        <v>0</v>
      </c>
    </row>
    <row r="8" spans="1:15" ht="15.75">
      <c r="A8" s="212">
        <v>7</v>
      </c>
      <c r="B8" s="213" t="s">
        <v>153</v>
      </c>
      <c r="C8" s="519"/>
      <c r="D8" s="66"/>
      <c r="G8" s="5"/>
      <c r="J8" s="132">
        <v>7</v>
      </c>
      <c r="K8" s="17" t="s">
        <v>12</v>
      </c>
      <c r="L8" s="12"/>
      <c r="M8" s="12"/>
      <c r="N8" s="532">
        <f>COUNTIF(D2:D65, "Kalin")</f>
        <v>0</v>
      </c>
      <c r="O8" s="531">
        <f>SUM(L8-N8)</f>
        <v>0</v>
      </c>
    </row>
    <row r="9" spans="1:15" ht="15.75">
      <c r="A9" s="212">
        <v>8</v>
      </c>
      <c r="B9" s="213" t="s">
        <v>153</v>
      </c>
      <c r="C9" s="519"/>
      <c r="D9" s="66"/>
      <c r="F9" s="496" t="s">
        <v>595</v>
      </c>
      <c r="J9" s="132">
        <v>8</v>
      </c>
      <c r="K9" s="17" t="s">
        <v>232</v>
      </c>
      <c r="L9" s="12"/>
      <c r="M9" s="12"/>
      <c r="N9" s="532">
        <f>COUNTIF(D11:D74, "Kashif")</f>
        <v>0</v>
      </c>
      <c r="O9" s="531">
        <f>SUM(L9-N9)</f>
        <v>0</v>
      </c>
    </row>
    <row r="10" spans="1:15" ht="15.75" customHeight="1">
      <c r="A10" s="212">
        <v>9</v>
      </c>
      <c r="B10" s="213" t="s">
        <v>153</v>
      </c>
      <c r="C10" s="519"/>
      <c r="D10" s="66"/>
      <c r="F10" s="705" t="s">
        <v>596</v>
      </c>
      <c r="J10" s="132">
        <v>9</v>
      </c>
      <c r="K10" s="17" t="s">
        <v>285</v>
      </c>
      <c r="L10" s="12"/>
      <c r="M10" s="12"/>
      <c r="N10" s="532">
        <f>COUNTIF(D2:D65, "Kenton")</f>
        <v>0</v>
      </c>
      <c r="O10" s="531">
        <f>SUM(L10-N10)</f>
        <v>0</v>
      </c>
    </row>
    <row r="11" spans="1:15" ht="15.75" customHeight="1">
      <c r="A11" s="212">
        <v>10</v>
      </c>
      <c r="B11" s="213" t="s">
        <v>153</v>
      </c>
      <c r="C11" s="519"/>
      <c r="D11" s="66"/>
      <c r="F11" s="1066">
        <f>SUM(H2-N24)</f>
        <v>54</v>
      </c>
      <c r="J11" s="132">
        <v>10</v>
      </c>
      <c r="K11" s="17" t="s">
        <v>287</v>
      </c>
      <c r="L11" s="12"/>
      <c r="M11" s="12"/>
      <c r="N11" s="532">
        <f>COUNTIF(D2:D65, "Marc")</f>
        <v>0</v>
      </c>
      <c r="O11" s="531">
        <f>SUM(L11-N11)</f>
        <v>0</v>
      </c>
    </row>
    <row r="12" spans="1:15" ht="15.75" customHeight="1">
      <c r="A12" s="224">
        <v>11</v>
      </c>
      <c r="B12" s="218" t="s">
        <v>153</v>
      </c>
      <c r="C12" s="520"/>
      <c r="D12" s="225"/>
      <c r="F12" s="1067"/>
      <c r="J12" s="132">
        <v>11</v>
      </c>
      <c r="K12" s="17" t="s">
        <v>10</v>
      </c>
      <c r="L12" s="12">
        <v>5</v>
      </c>
      <c r="M12" s="12" t="s">
        <v>281</v>
      </c>
      <c r="N12" s="532">
        <f>COUNTIF(D2:D65, "Martin")</f>
        <v>5</v>
      </c>
      <c r="O12" s="531">
        <f>SUM(L12-N12)</f>
        <v>0</v>
      </c>
    </row>
    <row r="13" spans="1:15" ht="15.75">
      <c r="A13" s="206">
        <v>12</v>
      </c>
      <c r="B13" s="207" t="s">
        <v>591</v>
      </c>
      <c r="C13" s="521"/>
      <c r="D13" s="208"/>
      <c r="J13" s="132">
        <v>12</v>
      </c>
      <c r="K13" s="17" t="s">
        <v>59</v>
      </c>
      <c r="L13" s="12"/>
      <c r="M13" s="12"/>
      <c r="N13" s="532">
        <f>COUNTIF(D2:D65, "Nick")</f>
        <v>0</v>
      </c>
      <c r="O13" s="531">
        <f>SUM(L13-N13)</f>
        <v>0</v>
      </c>
    </row>
    <row r="14" spans="1:15" ht="15.75">
      <c r="A14" s="118">
        <v>13</v>
      </c>
      <c r="B14" s="196" t="s">
        <v>591</v>
      </c>
      <c r="C14" s="522"/>
      <c r="D14" s="67"/>
      <c r="J14" s="132">
        <v>13</v>
      </c>
      <c r="K14" s="17" t="s">
        <v>313</v>
      </c>
      <c r="L14" s="12"/>
      <c r="M14" s="12"/>
      <c r="N14" s="532">
        <f>COUNTIF(D2:D65, "Neville")</f>
        <v>0</v>
      </c>
      <c r="O14" s="531">
        <f>SUM(L14-N14)</f>
        <v>0</v>
      </c>
    </row>
    <row r="15" spans="1:15" ht="15.75">
      <c r="A15" s="118">
        <v>14</v>
      </c>
      <c r="B15" s="196" t="s">
        <v>591</v>
      </c>
      <c r="C15" s="522"/>
      <c r="D15" s="67"/>
      <c r="J15" s="132">
        <v>14</v>
      </c>
      <c r="K15" s="17" t="s">
        <v>289</v>
      </c>
      <c r="L15" s="12"/>
      <c r="M15" s="12"/>
      <c r="N15" s="532">
        <f>COUNTIF(D2:D65, "Pengfei")</f>
        <v>0</v>
      </c>
      <c r="O15" s="531">
        <f>SUM(L15-N15)</f>
        <v>0</v>
      </c>
    </row>
    <row r="16" spans="1:15" ht="15.75">
      <c r="A16" s="118">
        <v>15</v>
      </c>
      <c r="B16" s="196" t="s">
        <v>591</v>
      </c>
      <c r="C16" s="522"/>
      <c r="D16" s="67"/>
      <c r="J16" s="132">
        <v>15</v>
      </c>
      <c r="K16" s="826" t="s">
        <v>229</v>
      </c>
      <c r="L16" s="12"/>
      <c r="M16" s="12"/>
      <c r="N16" s="532">
        <f>COUNTIF(D2:D65, "Raza")</f>
        <v>0</v>
      </c>
      <c r="O16" s="531">
        <f>SUM(L16-N16)</f>
        <v>0</v>
      </c>
    </row>
    <row r="17" spans="1:15" ht="15.75">
      <c r="A17" s="118">
        <v>16</v>
      </c>
      <c r="B17" s="196" t="s">
        <v>591</v>
      </c>
      <c r="C17" s="522"/>
      <c r="D17" s="67"/>
      <c r="J17" s="132">
        <v>16</v>
      </c>
      <c r="K17" s="17" t="s">
        <v>77</v>
      </c>
      <c r="L17" s="12"/>
      <c r="M17" s="12"/>
      <c r="N17" s="532">
        <f>COUNTIF(D2:D65, "Shakeel")</f>
        <v>0</v>
      </c>
      <c r="O17" s="531">
        <f>SUM(L17-N17)</f>
        <v>0</v>
      </c>
    </row>
    <row r="18" spans="1:15" ht="15.75">
      <c r="A18" s="118">
        <v>17</v>
      </c>
      <c r="B18" s="196" t="s">
        <v>591</v>
      </c>
      <c r="C18" s="522"/>
      <c r="D18" s="67"/>
      <c r="J18" s="132">
        <v>17</v>
      </c>
      <c r="K18" s="17" t="s">
        <v>40</v>
      </c>
      <c r="L18" s="12"/>
      <c r="M18" s="12"/>
      <c r="N18" s="532">
        <f>COUNTIF(D2:D65, "Warren")</f>
        <v>0</v>
      </c>
      <c r="O18" s="531">
        <f>SUM(L18-N18)</f>
        <v>0</v>
      </c>
    </row>
    <row r="19" spans="1:15" ht="15.75">
      <c r="A19" s="118">
        <v>18</v>
      </c>
      <c r="B19" s="196" t="s">
        <v>591</v>
      </c>
      <c r="C19" s="522"/>
      <c r="D19" s="67"/>
      <c r="J19" s="132">
        <v>18</v>
      </c>
      <c r="K19" s="17" t="s">
        <v>79</v>
      </c>
      <c r="L19" s="12"/>
      <c r="M19" s="12"/>
      <c r="N19" s="532">
        <f>COUNTIF(D2:D65, "Taiwo")</f>
        <v>0</v>
      </c>
      <c r="O19" s="531">
        <f t="shared" ref="O19:O23" si="0">SUM(L19-N19)</f>
        <v>0</v>
      </c>
    </row>
    <row r="20" spans="1:15" ht="15.75">
      <c r="A20" s="120">
        <v>19</v>
      </c>
      <c r="B20" s="209" t="s">
        <v>591</v>
      </c>
      <c r="C20" s="523"/>
      <c r="D20" s="123"/>
      <c r="J20" s="132">
        <v>19</v>
      </c>
      <c r="K20" s="17" t="s">
        <v>101</v>
      </c>
      <c r="L20" s="12">
        <v>4</v>
      </c>
      <c r="M20" s="12"/>
      <c r="N20" s="532">
        <f>COUNTIF(D2:D65, "Craig")</f>
        <v>0</v>
      </c>
      <c r="O20" s="531">
        <f t="shared" si="0"/>
        <v>4</v>
      </c>
    </row>
    <row r="21" spans="1:15" ht="15.75">
      <c r="A21" s="219">
        <v>20</v>
      </c>
      <c r="B21" s="226" t="s">
        <v>592</v>
      </c>
      <c r="C21" s="518"/>
      <c r="D21" s="220"/>
      <c r="J21" s="132">
        <v>20</v>
      </c>
      <c r="K21" s="17"/>
      <c r="L21" s="12"/>
      <c r="M21" s="12"/>
      <c r="N21" s="532">
        <f>COUNTIF(D2:D65, " ")</f>
        <v>0</v>
      </c>
      <c r="O21" s="531">
        <f t="shared" si="0"/>
        <v>0</v>
      </c>
    </row>
    <row r="22" spans="1:15" ht="15.75">
      <c r="A22" s="212">
        <v>21</v>
      </c>
      <c r="B22" s="213" t="s">
        <v>592</v>
      </c>
      <c r="C22" s="519"/>
      <c r="D22" s="66"/>
      <c r="J22" s="130">
        <v>21</v>
      </c>
      <c r="K22" s="17"/>
      <c r="L22" s="12"/>
      <c r="M22" s="12"/>
      <c r="N22" s="532">
        <f>COUNTIF(D2:D65, " ")</f>
        <v>0</v>
      </c>
      <c r="O22" s="531">
        <f t="shared" si="0"/>
        <v>0</v>
      </c>
    </row>
    <row r="23" spans="1:15" ht="15.75">
      <c r="A23" s="212">
        <v>22</v>
      </c>
      <c r="B23" s="213" t="s">
        <v>592</v>
      </c>
      <c r="C23" s="519"/>
      <c r="D23" s="66"/>
      <c r="J23" s="12">
        <v>22</v>
      </c>
      <c r="K23" s="429"/>
      <c r="L23" s="18"/>
      <c r="M23" s="12"/>
      <c r="N23" s="703">
        <f>COUNTIF(D2:D65, " ")</f>
        <v>0</v>
      </c>
      <c r="O23" s="704">
        <f t="shared" si="0"/>
        <v>0</v>
      </c>
    </row>
    <row r="24" spans="1:15" ht="15.75">
      <c r="A24" s="212">
        <v>23</v>
      </c>
      <c r="B24" s="213" t="s">
        <v>592</v>
      </c>
      <c r="C24" s="519"/>
      <c r="D24" s="66"/>
      <c r="J24" s="5"/>
      <c r="L24" s="40">
        <f>SUM(L2:L23)</f>
        <v>9</v>
      </c>
      <c r="N24" s="702">
        <f>SUM(N2:N23)</f>
        <v>5</v>
      </c>
      <c r="O24" s="496">
        <f>SUM(O2:O23)</f>
        <v>4</v>
      </c>
    </row>
    <row r="25" spans="1:15" ht="15.75">
      <c r="A25" s="212">
        <v>24</v>
      </c>
      <c r="B25" s="213" t="s">
        <v>592</v>
      </c>
      <c r="C25" s="519"/>
      <c r="D25" s="66"/>
      <c r="J25" s="5"/>
    </row>
    <row r="26" spans="1:15" ht="15.75">
      <c r="A26" s="212">
        <v>25</v>
      </c>
      <c r="B26" s="213" t="s">
        <v>592</v>
      </c>
      <c r="C26" s="519"/>
      <c r="D26" s="66"/>
    </row>
    <row r="27" spans="1:15" ht="15.75">
      <c r="A27" s="212">
        <v>26</v>
      </c>
      <c r="B27" s="213" t="s">
        <v>592</v>
      </c>
      <c r="C27" s="519"/>
      <c r="D27" s="66"/>
    </row>
    <row r="28" spans="1:15">
      <c r="A28" s="212">
        <v>27</v>
      </c>
      <c r="B28" s="213" t="s">
        <v>592</v>
      </c>
      <c r="C28" s="519"/>
      <c r="D28" s="66"/>
    </row>
    <row r="29" spans="1:15">
      <c r="A29" s="212">
        <v>28</v>
      </c>
      <c r="B29" s="213" t="s">
        <v>592</v>
      </c>
      <c r="C29" s="519"/>
      <c r="D29" s="66"/>
    </row>
    <row r="30" spans="1:15">
      <c r="A30" s="214">
        <v>29</v>
      </c>
      <c r="B30" s="215" t="s">
        <v>592</v>
      </c>
      <c r="C30" s="524"/>
      <c r="D30" s="70"/>
    </row>
    <row r="31" spans="1:15">
      <c r="A31" s="223">
        <v>30</v>
      </c>
      <c r="B31" s="210" t="s">
        <v>593</v>
      </c>
      <c r="C31" s="525"/>
      <c r="D31" s="164" t="s">
        <v>10</v>
      </c>
    </row>
    <row r="32" spans="1:15">
      <c r="A32" s="118">
        <v>31</v>
      </c>
      <c r="B32" s="196" t="s">
        <v>593</v>
      </c>
      <c r="C32" s="522"/>
      <c r="D32" s="221" t="s">
        <v>10</v>
      </c>
    </row>
    <row r="33" spans="1:4">
      <c r="A33" s="118">
        <v>32</v>
      </c>
      <c r="B33" s="196" t="s">
        <v>593</v>
      </c>
      <c r="C33" s="522"/>
      <c r="D33" s="221" t="s">
        <v>10</v>
      </c>
    </row>
    <row r="34" spans="1:4">
      <c r="A34" s="118">
        <v>33</v>
      </c>
      <c r="B34" s="196" t="s">
        <v>593</v>
      </c>
      <c r="C34" s="522"/>
      <c r="D34" s="221" t="s">
        <v>10</v>
      </c>
    </row>
    <row r="35" spans="1:4">
      <c r="A35" s="120">
        <v>34</v>
      </c>
      <c r="B35" s="209" t="s">
        <v>593</v>
      </c>
      <c r="C35" s="523"/>
      <c r="D35" s="222" t="s">
        <v>10</v>
      </c>
    </row>
    <row r="36" spans="1:4">
      <c r="A36" s="219">
        <v>35</v>
      </c>
      <c r="B36" s="217" t="s">
        <v>594</v>
      </c>
      <c r="C36" s="526"/>
      <c r="D36" s="220"/>
    </row>
    <row r="37" spans="1:4">
      <c r="A37" s="212">
        <v>36</v>
      </c>
      <c r="B37" s="216" t="s">
        <v>594</v>
      </c>
      <c r="C37" s="19"/>
      <c r="D37" s="66"/>
    </row>
    <row r="38" spans="1:4">
      <c r="A38" s="212">
        <v>37</v>
      </c>
      <c r="B38" s="216" t="s">
        <v>594</v>
      </c>
      <c r="C38" s="19"/>
      <c r="D38" s="66"/>
    </row>
    <row r="39" spans="1:4">
      <c r="A39" s="212">
        <v>38</v>
      </c>
      <c r="B39" s="216" t="s">
        <v>594</v>
      </c>
      <c r="C39" s="19"/>
      <c r="D39" s="66"/>
    </row>
    <row r="40" spans="1:4">
      <c r="A40" s="212">
        <v>39</v>
      </c>
      <c r="B40" s="216" t="s">
        <v>594</v>
      </c>
      <c r="C40" s="19"/>
      <c r="D40" s="66"/>
    </row>
    <row r="41" spans="1:4">
      <c r="A41" s="212">
        <v>40</v>
      </c>
      <c r="B41" s="216" t="s">
        <v>594</v>
      </c>
      <c r="C41" s="19"/>
      <c r="D41" s="66"/>
    </row>
    <row r="42" spans="1:4">
      <c r="A42" s="212">
        <v>41</v>
      </c>
      <c r="B42" s="216" t="s">
        <v>594</v>
      </c>
      <c r="C42" s="19"/>
      <c r="D42" s="66"/>
    </row>
    <row r="43" spans="1:4">
      <c r="A43" s="212">
        <v>42</v>
      </c>
      <c r="B43" s="216" t="s">
        <v>594</v>
      </c>
      <c r="C43" s="19"/>
      <c r="D43" s="66"/>
    </row>
    <row r="44" spans="1:4">
      <c r="A44" s="212">
        <v>43</v>
      </c>
      <c r="B44" s="216" t="s">
        <v>594</v>
      </c>
      <c r="C44" s="19"/>
      <c r="D44" s="66"/>
    </row>
    <row r="45" spans="1:4">
      <c r="A45" s="212">
        <v>44</v>
      </c>
      <c r="B45" s="216" t="s">
        <v>594</v>
      </c>
      <c r="C45" s="19"/>
      <c r="D45" s="66"/>
    </row>
    <row r="46" spans="1:4">
      <c r="A46" s="212">
        <v>45</v>
      </c>
      <c r="B46" s="216" t="s">
        <v>594</v>
      </c>
      <c r="C46" s="19"/>
      <c r="D46" s="66"/>
    </row>
    <row r="47" spans="1:4">
      <c r="A47" s="212">
        <v>46</v>
      </c>
      <c r="B47" s="216" t="s">
        <v>594</v>
      </c>
      <c r="C47" s="19"/>
      <c r="D47" s="66"/>
    </row>
    <row r="48" spans="1:4">
      <c r="A48" s="212">
        <v>47</v>
      </c>
      <c r="B48" s="216" t="s">
        <v>594</v>
      </c>
      <c r="C48" s="19"/>
      <c r="D48" s="66"/>
    </row>
    <row r="49" spans="1:4">
      <c r="A49" s="212">
        <v>48</v>
      </c>
      <c r="B49" s="216" t="s">
        <v>594</v>
      </c>
      <c r="C49" s="19"/>
      <c r="D49" s="66"/>
    </row>
    <row r="50" spans="1:4">
      <c r="A50" s="212">
        <v>49</v>
      </c>
      <c r="B50" s="216" t="s">
        <v>594</v>
      </c>
      <c r="C50" s="19"/>
      <c r="D50" s="66"/>
    </row>
    <row r="51" spans="1:4">
      <c r="A51" s="212">
        <v>50</v>
      </c>
      <c r="B51" s="216" t="s">
        <v>594</v>
      </c>
      <c r="C51" s="19"/>
      <c r="D51" s="66"/>
    </row>
    <row r="52" spans="1:4">
      <c r="A52" s="212">
        <v>51</v>
      </c>
      <c r="B52" s="216" t="s">
        <v>594</v>
      </c>
      <c r="C52" s="19"/>
      <c r="D52" s="66"/>
    </row>
    <row r="53" spans="1:4">
      <c r="A53" s="212">
        <v>52</v>
      </c>
      <c r="B53" s="216" t="s">
        <v>594</v>
      </c>
      <c r="C53" s="19"/>
      <c r="D53" s="66"/>
    </row>
    <row r="54" spans="1:4">
      <c r="A54" s="212">
        <v>53</v>
      </c>
      <c r="B54" s="216" t="s">
        <v>594</v>
      </c>
      <c r="C54" s="19"/>
      <c r="D54" s="66"/>
    </row>
    <row r="55" spans="1:4">
      <c r="A55" s="212">
        <v>54</v>
      </c>
      <c r="B55" s="216" t="s">
        <v>594</v>
      </c>
      <c r="C55" s="19"/>
      <c r="D55" s="66"/>
    </row>
    <row r="56" spans="1:4">
      <c r="A56" s="212">
        <v>55</v>
      </c>
      <c r="B56" s="216" t="s">
        <v>594</v>
      </c>
      <c r="C56" s="19"/>
      <c r="D56" s="66"/>
    </row>
    <row r="57" spans="1:4">
      <c r="A57" s="212">
        <v>56</v>
      </c>
      <c r="B57" s="216" t="s">
        <v>594</v>
      </c>
      <c r="C57" s="19"/>
      <c r="D57" s="66"/>
    </row>
    <row r="58" spans="1:4">
      <c r="A58" s="212">
        <v>57</v>
      </c>
      <c r="B58" s="216" t="s">
        <v>594</v>
      </c>
      <c r="C58" s="19"/>
      <c r="D58" s="66"/>
    </row>
    <row r="59" spans="1:4">
      <c r="A59" s="212">
        <v>58</v>
      </c>
      <c r="B59" s="216" t="s">
        <v>594</v>
      </c>
      <c r="C59" s="19"/>
      <c r="D59" s="66"/>
    </row>
    <row r="60" spans="1:4">
      <c r="A60" s="214">
        <v>59</v>
      </c>
      <c r="B60" s="157" t="s">
        <v>594</v>
      </c>
      <c r="C60" s="278"/>
      <c r="D60" s="70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2"/>
  <sheetViews>
    <sheetView workbookViewId="0">
      <selection activeCell="G8" sqref="G8"/>
    </sheetView>
  </sheetViews>
  <sheetFormatPr defaultRowHeight="1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13.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1059" t="s">
        <v>476</v>
      </c>
      <c r="B1" s="1068"/>
      <c r="C1" s="1068"/>
      <c r="D1" s="1069"/>
      <c r="E1" s="139"/>
      <c r="F1" s="139"/>
    </row>
    <row r="2" spans="1:13" ht="15.75" customHeight="1">
      <c r="A2" s="130"/>
      <c r="B2" s="102" t="s">
        <v>334</v>
      </c>
      <c r="C2" s="689" t="s">
        <v>477</v>
      </c>
      <c r="D2" s="102" t="s">
        <v>6</v>
      </c>
      <c r="F2" s="1072" t="s">
        <v>597</v>
      </c>
      <c r="G2" s="1073"/>
      <c r="H2" s="1074"/>
      <c r="J2" s="629" t="s">
        <v>400</v>
      </c>
      <c r="K2" s="630" t="s">
        <v>383</v>
      </c>
      <c r="L2" s="683" t="s">
        <v>385</v>
      </c>
      <c r="M2" s="684" t="s">
        <v>386</v>
      </c>
    </row>
    <row r="3" spans="1:13">
      <c r="A3" s="127">
        <v>1</v>
      </c>
      <c r="B3" s="690"/>
      <c r="C3" s="691"/>
      <c r="D3" s="345"/>
      <c r="F3" s="1070">
        <v>110</v>
      </c>
      <c r="G3" s="1050"/>
      <c r="H3" s="1071"/>
      <c r="I3">
        <v>1</v>
      </c>
      <c r="J3" s="633" t="s">
        <v>88</v>
      </c>
      <c r="K3" s="589">
        <v>8</v>
      </c>
      <c r="L3" s="678">
        <f>COUNTIF(D3:D112, "Drishty")</f>
        <v>0</v>
      </c>
      <c r="M3" s="679">
        <f>SUM(K3-L3)</f>
        <v>8</v>
      </c>
    </row>
    <row r="4" spans="1:13">
      <c r="A4" s="12">
        <v>2</v>
      </c>
      <c r="B4" s="243"/>
      <c r="C4" s="10"/>
      <c r="D4" s="134"/>
      <c r="F4" s="1040"/>
      <c r="G4" s="1041"/>
      <c r="H4" s="1042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 t="shared" ref="M4:M7" si="0">SUM(K4-L4)</f>
        <v>4</v>
      </c>
    </row>
    <row r="5" spans="1:13" ht="18" customHeight="1">
      <c r="A5" s="127">
        <v>3</v>
      </c>
      <c r="B5" s="243"/>
      <c r="C5" s="10"/>
      <c r="D5" s="134"/>
      <c r="F5" s="342"/>
      <c r="G5" s="342"/>
      <c r="H5" s="342"/>
      <c r="I5">
        <v>3</v>
      </c>
      <c r="J5" s="346" t="s">
        <v>54</v>
      </c>
      <c r="K5" s="47">
        <v>8</v>
      </c>
      <c r="L5" s="228">
        <f>COUNTIF(D3:D112, "Jarutas")</f>
        <v>0</v>
      </c>
      <c r="M5" s="316">
        <f t="shared" si="0"/>
        <v>8</v>
      </c>
    </row>
    <row r="6" spans="1:13">
      <c r="A6" s="12">
        <v>4</v>
      </c>
      <c r="B6" s="243"/>
      <c r="C6" s="10"/>
      <c r="D6" s="134"/>
      <c r="I6">
        <v>4</v>
      </c>
      <c r="J6" s="71"/>
      <c r="K6" s="47"/>
      <c r="L6" s="228">
        <f>COUNTIF(D3:D112, " ")</f>
        <v>0</v>
      </c>
      <c r="M6" s="316">
        <f t="shared" si="0"/>
        <v>0</v>
      </c>
    </row>
    <row r="7" spans="1:13">
      <c r="A7" s="127">
        <v>5</v>
      </c>
      <c r="B7" s="243"/>
      <c r="C7" s="10"/>
      <c r="D7" s="34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2">
        <v>6</v>
      </c>
      <c r="B8" s="243"/>
      <c r="C8" s="10"/>
      <c r="D8" s="134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27">
        <v>7</v>
      </c>
      <c r="B9" s="243"/>
      <c r="C9" s="10"/>
      <c r="D9" s="134"/>
      <c r="I9">
        <v>7</v>
      </c>
      <c r="J9" s="71" t="s">
        <v>598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2">
        <v>8</v>
      </c>
      <c r="B10" s="243"/>
      <c r="C10" s="10"/>
      <c r="D10" s="134"/>
      <c r="I10">
        <v>8</v>
      </c>
      <c r="J10" s="233" t="s">
        <v>599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27">
        <v>9</v>
      </c>
      <c r="B11" s="243"/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2">
        <v>10</v>
      </c>
      <c r="B12" s="243"/>
      <c r="C12" s="10"/>
      <c r="D12" s="34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27">
        <v>11</v>
      </c>
      <c r="B13" s="243"/>
      <c r="C13" s="10"/>
      <c r="D13" s="134"/>
      <c r="F13" s="541"/>
      <c r="I13">
        <v>11</v>
      </c>
      <c r="J13" s="286"/>
      <c r="K13" s="680"/>
      <c r="L13" s="681">
        <f>COUNTIF(D2:D112, " ")</f>
        <v>0</v>
      </c>
      <c r="M13" s="682">
        <f>SUM(K13-L13)</f>
        <v>0</v>
      </c>
    </row>
    <row r="14" spans="1:13">
      <c r="A14" s="12">
        <v>12</v>
      </c>
      <c r="B14" s="243"/>
      <c r="C14" s="10"/>
      <c r="D14" s="134"/>
      <c r="K14" s="685">
        <f>SUM(K3:K13)</f>
        <v>54</v>
      </c>
      <c r="L14" s="686">
        <f>SUM(L3:L13)</f>
        <v>0</v>
      </c>
    </row>
    <row r="15" spans="1:13">
      <c r="A15" s="127">
        <v>13</v>
      </c>
      <c r="B15" s="243"/>
      <c r="C15" s="10"/>
      <c r="D15" s="134"/>
    </row>
    <row r="16" spans="1:13">
      <c r="A16" s="12">
        <v>14</v>
      </c>
      <c r="B16" s="243"/>
      <c r="C16" s="10"/>
      <c r="D16" s="134"/>
      <c r="J16" s="629" t="s">
        <v>423</v>
      </c>
      <c r="K16" s="630"/>
      <c r="L16" s="631"/>
      <c r="M16" s="632"/>
    </row>
    <row r="17" spans="1:13">
      <c r="A17" s="127">
        <v>15</v>
      </c>
      <c r="B17" s="243"/>
      <c r="C17" s="10"/>
      <c r="D17" s="34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27">
        <v>16</v>
      </c>
      <c r="B18" s="243"/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2">
        <v>17</v>
      </c>
      <c r="B19" s="243"/>
      <c r="C19" s="10"/>
      <c r="D19" s="34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27">
        <v>18</v>
      </c>
      <c r="B20" s="243"/>
      <c r="C20" s="10"/>
      <c r="D20" s="134"/>
      <c r="I20">
        <v>4</v>
      </c>
      <c r="J20" s="71" t="s">
        <v>402</v>
      </c>
      <c r="K20" s="60">
        <v>10</v>
      </c>
      <c r="L20" s="628">
        <f>COUNTIF(D2:D112, "Femi")</f>
        <v>0</v>
      </c>
      <c r="M20" s="236">
        <f>SUM(K20-L20)</f>
        <v>10</v>
      </c>
    </row>
    <row r="21" spans="1:13">
      <c r="A21" s="12">
        <v>19</v>
      </c>
      <c r="B21" s="243"/>
      <c r="C21" s="10"/>
      <c r="D21" s="134"/>
      <c r="I21">
        <v>5</v>
      </c>
      <c r="J21" s="71"/>
      <c r="K21" s="10"/>
      <c r="L21" s="692"/>
      <c r="M21" s="694"/>
    </row>
    <row r="22" spans="1:13">
      <c r="A22" s="127">
        <v>20</v>
      </c>
      <c r="B22" s="243"/>
      <c r="C22" s="10"/>
      <c r="D22" s="134"/>
      <c r="I22">
        <v>6</v>
      </c>
      <c r="J22" s="71"/>
      <c r="K22" s="10"/>
      <c r="L22" s="692"/>
      <c r="M22" s="694"/>
    </row>
    <row r="23" spans="1:13">
      <c r="A23" s="12">
        <v>21</v>
      </c>
      <c r="B23" s="243"/>
      <c r="C23" s="10"/>
      <c r="D23" s="134"/>
      <c r="I23">
        <v>7</v>
      </c>
      <c r="J23" s="234"/>
      <c r="K23" s="284"/>
      <c r="L23" s="693"/>
      <c r="M23" s="695"/>
    </row>
    <row r="24" spans="1:13">
      <c r="A24" s="127">
        <v>22</v>
      </c>
      <c r="B24" s="243"/>
      <c r="C24" s="10"/>
      <c r="D24" s="344"/>
      <c r="K24" s="687">
        <f>SUM(K17:K19)</f>
        <v>30</v>
      </c>
      <c r="L24" s="688">
        <f>SUM(L16:L20)</f>
        <v>0</v>
      </c>
    </row>
    <row r="25" spans="1:13">
      <c r="A25" s="12">
        <v>23</v>
      </c>
      <c r="B25" s="243"/>
      <c r="C25" s="10"/>
      <c r="D25" s="134"/>
      <c r="J25" s="327" t="s">
        <v>505</v>
      </c>
      <c r="K25" s="326">
        <f>SUM(K14+K24)</f>
        <v>84</v>
      </c>
    </row>
    <row r="26" spans="1:13">
      <c r="A26" s="127">
        <v>24</v>
      </c>
      <c r="B26" s="243"/>
      <c r="C26" s="10"/>
      <c r="D26" s="344"/>
      <c r="L26" s="322" t="s">
        <v>386</v>
      </c>
      <c r="M26" s="323" t="s">
        <v>385</v>
      </c>
    </row>
    <row r="27" spans="1:13">
      <c r="A27" s="12">
        <v>25</v>
      </c>
      <c r="B27" s="243"/>
      <c r="C27" s="10"/>
      <c r="D27" s="134"/>
      <c r="L27" s="313">
        <f>SUM(F3)</f>
        <v>110</v>
      </c>
      <c r="M27" s="299">
        <f>SUM(L14+L24)</f>
        <v>0</v>
      </c>
    </row>
    <row r="28" spans="1:13">
      <c r="A28" s="127">
        <v>26</v>
      </c>
      <c r="B28" s="243"/>
      <c r="C28" s="10"/>
      <c r="D28" s="134"/>
    </row>
    <row r="29" spans="1:13">
      <c r="A29" s="12">
        <v>27</v>
      </c>
      <c r="B29" s="243"/>
      <c r="C29" s="10"/>
      <c r="D29" s="344"/>
    </row>
    <row r="30" spans="1:13">
      <c r="A30" s="127">
        <v>28</v>
      </c>
      <c r="B30" s="243"/>
      <c r="C30" s="10"/>
      <c r="D30" s="134"/>
    </row>
    <row r="31" spans="1:13">
      <c r="A31" s="12">
        <v>29</v>
      </c>
      <c r="B31" s="243"/>
      <c r="C31" s="10"/>
      <c r="D31" s="344"/>
    </row>
    <row r="32" spans="1:13">
      <c r="A32" s="127">
        <v>30</v>
      </c>
      <c r="B32" s="243"/>
      <c r="C32" s="10"/>
      <c r="D32" s="345"/>
    </row>
    <row r="33" spans="1:4">
      <c r="A33" s="127">
        <v>31</v>
      </c>
      <c r="B33" s="243"/>
      <c r="C33" s="10"/>
      <c r="D33" s="134"/>
    </row>
    <row r="34" spans="1:4">
      <c r="A34" s="12">
        <v>32</v>
      </c>
      <c r="B34" s="243"/>
      <c r="C34" s="10"/>
      <c r="D34" s="134"/>
    </row>
    <row r="35" spans="1:4">
      <c r="A35" s="127">
        <v>33</v>
      </c>
      <c r="B35" s="243"/>
      <c r="C35" s="10"/>
      <c r="D35" s="134"/>
    </row>
    <row r="36" spans="1:4">
      <c r="A36" s="12">
        <v>34</v>
      </c>
      <c r="B36" s="243"/>
      <c r="C36" s="10"/>
      <c r="D36" s="134"/>
    </row>
    <row r="37" spans="1:4">
      <c r="A37" s="127">
        <v>35</v>
      </c>
      <c r="B37" s="243"/>
      <c r="C37" s="10"/>
      <c r="D37" s="134"/>
    </row>
    <row r="38" spans="1:4">
      <c r="A38" s="12">
        <v>36</v>
      </c>
      <c r="B38" s="243"/>
      <c r="C38" s="10"/>
      <c r="D38" s="134"/>
    </row>
    <row r="39" spans="1:4">
      <c r="A39" s="127">
        <v>37</v>
      </c>
      <c r="B39" s="243"/>
      <c r="C39" s="10"/>
      <c r="D39" s="134"/>
    </row>
    <row r="40" spans="1:4">
      <c r="A40" s="12">
        <v>38</v>
      </c>
      <c r="B40" s="243"/>
      <c r="C40" s="10"/>
      <c r="D40" s="134"/>
    </row>
    <row r="41" spans="1:4">
      <c r="A41" s="127">
        <v>39</v>
      </c>
      <c r="B41" s="243"/>
      <c r="C41" s="10"/>
      <c r="D41" s="134"/>
    </row>
    <row r="42" spans="1:4">
      <c r="A42" s="12">
        <v>40</v>
      </c>
      <c r="B42" s="243"/>
      <c r="C42" s="10"/>
      <c r="D42" s="134"/>
    </row>
    <row r="43" spans="1:4">
      <c r="A43" s="127">
        <v>41</v>
      </c>
      <c r="B43" s="243"/>
      <c r="C43" s="10"/>
      <c r="D43" s="135"/>
    </row>
    <row r="44" spans="1:4">
      <c r="A44" s="12">
        <v>42</v>
      </c>
      <c r="B44" s="243"/>
      <c r="C44" s="10"/>
      <c r="D44" s="135"/>
    </row>
    <row r="45" spans="1:4">
      <c r="A45" s="127">
        <v>43</v>
      </c>
      <c r="B45" s="243"/>
      <c r="C45" s="10"/>
      <c r="D45" s="135"/>
    </row>
    <row r="46" spans="1:4">
      <c r="A46" s="12">
        <v>44</v>
      </c>
      <c r="B46" s="243"/>
      <c r="C46" s="10"/>
      <c r="D46" s="135"/>
    </row>
    <row r="47" spans="1:4">
      <c r="A47" s="127">
        <v>45</v>
      </c>
      <c r="B47" s="243"/>
      <c r="C47" s="10"/>
      <c r="D47" s="135"/>
    </row>
    <row r="48" spans="1:4">
      <c r="A48" s="127">
        <v>46</v>
      </c>
      <c r="B48" s="243"/>
      <c r="C48" s="10"/>
      <c r="D48" s="135"/>
    </row>
    <row r="49" spans="1:4">
      <c r="A49" s="12">
        <v>47</v>
      </c>
      <c r="B49" s="243"/>
      <c r="C49" s="10"/>
      <c r="D49" s="135"/>
    </row>
    <row r="50" spans="1:4">
      <c r="A50" s="127">
        <v>48</v>
      </c>
      <c r="B50" s="243"/>
      <c r="C50" s="10"/>
      <c r="D50" s="135"/>
    </row>
    <row r="51" spans="1:4">
      <c r="A51" s="12">
        <v>49</v>
      </c>
      <c r="B51" s="243"/>
      <c r="C51" s="10"/>
      <c r="D51" s="135"/>
    </row>
    <row r="52" spans="1:4">
      <c r="A52" s="127">
        <v>50</v>
      </c>
      <c r="B52" s="243"/>
      <c r="C52" s="10"/>
      <c r="D52" s="135"/>
    </row>
    <row r="53" spans="1:4">
      <c r="A53" s="12">
        <v>51</v>
      </c>
      <c r="B53" s="243"/>
      <c r="C53" s="10"/>
      <c r="D53" s="135"/>
    </row>
    <row r="54" spans="1:4">
      <c r="A54" s="127">
        <v>52</v>
      </c>
      <c r="B54" s="243"/>
      <c r="C54" s="10"/>
      <c r="D54" s="135"/>
    </row>
    <row r="55" spans="1:4">
      <c r="A55" s="12">
        <v>53</v>
      </c>
      <c r="B55" s="243"/>
      <c r="C55" s="10"/>
      <c r="D55" s="135"/>
    </row>
    <row r="56" spans="1:4">
      <c r="A56" s="127">
        <v>54</v>
      </c>
      <c r="B56" s="243"/>
      <c r="C56" s="10"/>
      <c r="D56" s="135"/>
    </row>
    <row r="57" spans="1:4">
      <c r="A57" s="12">
        <v>55</v>
      </c>
      <c r="B57" s="243"/>
      <c r="C57" s="10"/>
      <c r="D57" s="135"/>
    </row>
    <row r="58" spans="1:4">
      <c r="A58" s="127">
        <v>56</v>
      </c>
      <c r="B58" s="243"/>
      <c r="C58" s="10"/>
      <c r="D58" s="135"/>
    </row>
    <row r="59" spans="1:4">
      <c r="A59" s="12">
        <v>57</v>
      </c>
      <c r="B59" s="243"/>
      <c r="C59" s="10"/>
      <c r="D59" s="135"/>
    </row>
    <row r="60" spans="1:4">
      <c r="A60" s="127">
        <v>58</v>
      </c>
      <c r="B60" s="343"/>
      <c r="C60" s="10"/>
      <c r="D60" s="137"/>
    </row>
    <row r="61" spans="1:4">
      <c r="A61" s="12">
        <v>59</v>
      </c>
      <c r="B61" s="132"/>
      <c r="C61" s="10"/>
      <c r="D61" s="21"/>
    </row>
    <row r="62" spans="1:4">
      <c r="A62" s="127">
        <v>60</v>
      </c>
      <c r="B62" s="130"/>
      <c r="C62" s="10"/>
      <c r="D62" s="65"/>
    </row>
    <row r="63" spans="1:4">
      <c r="A63" s="131">
        <v>61</v>
      </c>
      <c r="B63" s="17"/>
      <c r="C63" s="10"/>
      <c r="D63" s="135"/>
    </row>
    <row r="64" spans="1:4">
      <c r="A64" s="132">
        <v>62</v>
      </c>
      <c r="B64" s="17"/>
      <c r="C64" s="10"/>
      <c r="D64" s="135"/>
    </row>
    <row r="65" spans="1:4">
      <c r="A65" s="131">
        <v>63</v>
      </c>
      <c r="B65" s="17"/>
      <c r="C65" s="10"/>
      <c r="D65" s="135"/>
    </row>
    <row r="66" spans="1:4">
      <c r="A66" s="132">
        <v>64</v>
      </c>
      <c r="B66" s="17"/>
      <c r="C66" s="10"/>
      <c r="D66" s="135"/>
    </row>
    <row r="67" spans="1:4">
      <c r="A67" s="131">
        <v>65</v>
      </c>
      <c r="B67" s="17"/>
      <c r="C67" s="10"/>
      <c r="D67" s="135"/>
    </row>
    <row r="68" spans="1:4">
      <c r="A68" s="132">
        <v>66</v>
      </c>
      <c r="B68" s="17"/>
      <c r="C68" s="10"/>
      <c r="D68" s="135"/>
    </row>
    <row r="69" spans="1:4">
      <c r="A69" s="131">
        <v>67</v>
      </c>
      <c r="B69" s="17"/>
      <c r="C69" s="10"/>
      <c r="D69" s="135"/>
    </row>
    <row r="70" spans="1:4">
      <c r="A70" s="132">
        <v>68</v>
      </c>
      <c r="B70" s="17"/>
      <c r="C70" s="10"/>
      <c r="D70" s="135"/>
    </row>
    <row r="71" spans="1:4">
      <c r="A71" s="131">
        <v>69</v>
      </c>
      <c r="B71" s="17"/>
      <c r="C71" s="10"/>
      <c r="D71" s="135"/>
    </row>
    <row r="72" spans="1:4">
      <c r="A72" s="132">
        <v>70</v>
      </c>
      <c r="B72" s="17"/>
      <c r="C72" s="10"/>
      <c r="D72" s="135"/>
    </row>
    <row r="73" spans="1:4">
      <c r="A73" s="131">
        <v>71</v>
      </c>
      <c r="B73" s="17"/>
      <c r="C73" s="10"/>
      <c r="D73" s="135"/>
    </row>
    <row r="74" spans="1:4">
      <c r="A74" s="132">
        <v>72</v>
      </c>
      <c r="B74" s="17"/>
      <c r="C74" s="10"/>
      <c r="D74" s="135"/>
    </row>
    <row r="75" spans="1:4">
      <c r="A75" s="131">
        <v>73</v>
      </c>
      <c r="B75" s="17"/>
      <c r="C75" s="10"/>
      <c r="D75" s="135"/>
    </row>
    <row r="76" spans="1:4">
      <c r="A76" s="132">
        <v>74</v>
      </c>
      <c r="B76" s="17"/>
      <c r="C76" s="10"/>
      <c r="D76" s="135"/>
    </row>
    <row r="77" spans="1:4">
      <c r="A77" s="131">
        <v>75</v>
      </c>
      <c r="B77" s="17"/>
      <c r="C77" s="10"/>
      <c r="D77" s="135"/>
    </row>
    <row r="78" spans="1:4">
      <c r="A78" s="131">
        <v>76</v>
      </c>
      <c r="B78" s="17"/>
      <c r="C78" s="10"/>
      <c r="D78" s="135"/>
    </row>
    <row r="79" spans="1:4">
      <c r="A79" s="132">
        <v>77</v>
      </c>
      <c r="B79" s="17"/>
      <c r="C79" s="10"/>
      <c r="D79" s="135"/>
    </row>
    <row r="80" spans="1:4">
      <c r="A80" s="131">
        <v>78</v>
      </c>
      <c r="B80" s="17"/>
      <c r="C80" s="10"/>
      <c r="D80" s="135"/>
    </row>
    <row r="81" spans="1:4">
      <c r="A81" s="132">
        <v>79</v>
      </c>
      <c r="B81" s="17"/>
      <c r="C81" s="10"/>
      <c r="D81" s="135"/>
    </row>
    <row r="82" spans="1:4">
      <c r="A82" s="131">
        <v>80</v>
      </c>
      <c r="B82" s="17"/>
      <c r="C82" s="10"/>
      <c r="D82" s="135"/>
    </row>
    <row r="83" spans="1:4">
      <c r="A83" s="132">
        <v>81</v>
      </c>
      <c r="B83" s="17"/>
      <c r="C83" s="10"/>
      <c r="D83" s="135"/>
    </row>
    <row r="84" spans="1:4">
      <c r="A84" s="131">
        <v>82</v>
      </c>
      <c r="B84" s="17"/>
      <c r="C84" s="10"/>
      <c r="D84" s="135"/>
    </row>
    <row r="85" spans="1:4">
      <c r="A85" s="132">
        <v>83</v>
      </c>
      <c r="B85" s="17"/>
      <c r="C85" s="10"/>
      <c r="D85" s="135"/>
    </row>
    <row r="86" spans="1:4">
      <c r="A86" s="131">
        <v>84</v>
      </c>
      <c r="B86" s="17"/>
      <c r="C86" s="10"/>
      <c r="D86" s="135"/>
    </row>
    <row r="87" spans="1:4">
      <c r="A87" s="132">
        <v>85</v>
      </c>
      <c r="B87" s="17"/>
      <c r="C87" s="10"/>
      <c r="D87" s="135"/>
    </row>
    <row r="88" spans="1:4">
      <c r="A88" s="131">
        <v>86</v>
      </c>
      <c r="B88" s="17"/>
      <c r="C88" s="10"/>
      <c r="D88" s="135"/>
    </row>
    <row r="89" spans="1:4">
      <c r="A89" s="132">
        <v>87</v>
      </c>
      <c r="B89" s="17"/>
      <c r="C89" s="10"/>
      <c r="D89" s="135"/>
    </row>
    <row r="90" spans="1:4">
      <c r="A90" s="131">
        <v>88</v>
      </c>
      <c r="B90" s="17"/>
      <c r="C90" s="10"/>
      <c r="D90" s="135"/>
    </row>
    <row r="91" spans="1:4">
      <c r="A91" s="132">
        <v>89</v>
      </c>
      <c r="B91" s="17"/>
      <c r="C91" s="10"/>
      <c r="D91" s="135"/>
    </row>
    <row r="92" spans="1:4">
      <c r="A92" s="131">
        <v>90</v>
      </c>
      <c r="B92" s="17"/>
      <c r="C92" s="10"/>
      <c r="D92" s="135"/>
    </row>
    <row r="93" spans="1:4">
      <c r="A93" s="131">
        <v>91</v>
      </c>
      <c r="B93" s="17"/>
      <c r="C93" s="10"/>
      <c r="D93" s="135"/>
    </row>
    <row r="94" spans="1:4">
      <c r="A94" s="132">
        <v>92</v>
      </c>
      <c r="B94" s="17"/>
      <c r="C94" s="10"/>
      <c r="D94" s="135"/>
    </row>
    <row r="95" spans="1:4">
      <c r="A95" s="131">
        <v>93</v>
      </c>
      <c r="B95" s="17"/>
      <c r="C95" s="10"/>
      <c r="D95" s="135"/>
    </row>
    <row r="96" spans="1:4">
      <c r="A96" s="132">
        <v>94</v>
      </c>
      <c r="B96" s="17"/>
      <c r="C96" s="10"/>
      <c r="D96" s="135"/>
    </row>
    <row r="97" spans="1:4">
      <c r="A97" s="131">
        <v>95</v>
      </c>
      <c r="B97" s="17"/>
      <c r="C97" s="10"/>
      <c r="D97" s="135"/>
    </row>
    <row r="98" spans="1:4">
      <c r="A98" s="132">
        <v>96</v>
      </c>
      <c r="B98" s="17"/>
      <c r="C98" s="10"/>
      <c r="D98" s="135"/>
    </row>
    <row r="99" spans="1:4">
      <c r="A99" s="131">
        <v>97</v>
      </c>
      <c r="B99" s="17"/>
      <c r="C99" s="10"/>
      <c r="D99" s="135"/>
    </row>
    <row r="100" spans="1:4">
      <c r="A100" s="132">
        <v>98</v>
      </c>
      <c r="B100" s="17"/>
      <c r="C100" s="10"/>
      <c r="D100" s="135"/>
    </row>
    <row r="101" spans="1:4">
      <c r="A101" s="131">
        <v>99</v>
      </c>
      <c r="B101" s="17"/>
      <c r="C101" s="10"/>
      <c r="D101" s="135"/>
    </row>
    <row r="102" spans="1:4">
      <c r="A102" s="132">
        <v>100</v>
      </c>
      <c r="B102" s="17"/>
      <c r="C102" s="10"/>
      <c r="D102" s="135"/>
    </row>
    <row r="103" spans="1:4">
      <c r="A103" s="131">
        <v>101</v>
      </c>
      <c r="B103" s="17"/>
      <c r="C103" s="10"/>
      <c r="D103" s="135"/>
    </row>
    <row r="104" spans="1:4">
      <c r="A104" s="132">
        <v>102</v>
      </c>
      <c r="B104" s="17"/>
      <c r="C104" s="10"/>
      <c r="D104" s="135"/>
    </row>
    <row r="105" spans="1:4">
      <c r="A105" s="131">
        <v>103</v>
      </c>
      <c r="B105" s="17"/>
      <c r="C105" s="10"/>
      <c r="D105" s="135"/>
    </row>
    <row r="106" spans="1:4">
      <c r="A106" s="132">
        <v>104</v>
      </c>
      <c r="B106" s="17"/>
      <c r="C106" s="10"/>
      <c r="D106" s="135"/>
    </row>
    <row r="107" spans="1:4">
      <c r="A107" s="131">
        <v>105</v>
      </c>
      <c r="B107" s="17"/>
      <c r="C107" s="10"/>
      <c r="D107" s="135"/>
    </row>
    <row r="108" spans="1:4">
      <c r="A108" s="131">
        <v>106</v>
      </c>
      <c r="B108" s="17"/>
      <c r="C108" s="10"/>
      <c r="D108" s="135"/>
    </row>
    <row r="109" spans="1:4">
      <c r="A109" s="132">
        <v>107</v>
      </c>
      <c r="B109" s="17"/>
      <c r="C109" s="10"/>
      <c r="D109" s="135"/>
    </row>
    <row r="110" spans="1:4">
      <c r="A110" s="131">
        <v>108</v>
      </c>
      <c r="B110" s="17"/>
      <c r="C110" s="10"/>
      <c r="D110" s="135"/>
    </row>
    <row r="111" spans="1:4">
      <c r="A111" s="132">
        <v>109</v>
      </c>
      <c r="B111" s="17"/>
      <c r="C111" s="10"/>
      <c r="D111" s="135"/>
    </row>
    <row r="112" spans="1:4">
      <c r="A112" s="131">
        <v>110</v>
      </c>
      <c r="B112" s="17"/>
      <c r="C112" s="10"/>
      <c r="D112" s="13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0"/>
  <sheetViews>
    <sheetView workbookViewId="0">
      <selection activeCell="I24" sqref="I24"/>
    </sheetView>
  </sheetViews>
  <sheetFormatPr defaultColWidth="11" defaultRowHeight="15.75" customHeight="1"/>
  <cols>
    <col min="1" max="1" width="6.125" customWidth="1"/>
    <col min="2" max="2" width="70.125" customWidth="1"/>
    <col min="3" max="3" width="10.37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4" style="11" customWidth="1"/>
    <col min="11" max="11" width="13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924" t="s">
        <v>19</v>
      </c>
      <c r="B1" s="925"/>
      <c r="C1" s="891" t="s">
        <v>20</v>
      </c>
      <c r="D1" s="933" t="s">
        <v>21</v>
      </c>
      <c r="E1" s="933" t="s">
        <v>22</v>
      </c>
      <c r="F1" s="928" t="s">
        <v>1</v>
      </c>
      <c r="G1" s="929" t="s">
        <v>2</v>
      </c>
      <c r="H1" s="931" t="s">
        <v>3</v>
      </c>
      <c r="I1" s="910" t="s">
        <v>5</v>
      </c>
      <c r="J1" s="914" t="s">
        <v>23</v>
      </c>
      <c r="K1" s="912" t="s">
        <v>23</v>
      </c>
      <c r="L1" s="921" t="s">
        <v>24</v>
      </c>
      <c r="M1" s="922"/>
      <c r="N1" s="922"/>
      <c r="O1" s="922"/>
      <c r="P1" s="923"/>
      <c r="Q1" s="906" t="s">
        <v>25</v>
      </c>
      <c r="R1" s="907"/>
      <c r="S1" s="918" t="s">
        <v>26</v>
      </c>
      <c r="T1" s="919"/>
      <c r="U1" s="920"/>
      <c r="V1" s="916" t="s">
        <v>27</v>
      </c>
    </row>
    <row r="2" spans="1:22" ht="42.75" customHeight="1">
      <c r="A2" s="926"/>
      <c r="B2" s="927"/>
      <c r="C2" s="891"/>
      <c r="D2" s="934"/>
      <c r="E2" s="934"/>
      <c r="F2" s="928"/>
      <c r="G2" s="930"/>
      <c r="H2" s="932"/>
      <c r="I2" s="911"/>
      <c r="J2" s="915"/>
      <c r="K2" s="913"/>
      <c r="L2" s="442" t="s">
        <v>28</v>
      </c>
      <c r="M2" s="338" t="s">
        <v>29</v>
      </c>
      <c r="N2" s="338" t="s">
        <v>30</v>
      </c>
      <c r="O2" s="340" t="s">
        <v>31</v>
      </c>
      <c r="P2" s="352" t="s">
        <v>32</v>
      </c>
      <c r="Q2" s="348" t="s">
        <v>33</v>
      </c>
      <c r="R2" s="349" t="s">
        <v>34</v>
      </c>
      <c r="S2" s="1" t="s">
        <v>31</v>
      </c>
      <c r="T2" s="533" t="s">
        <v>35</v>
      </c>
      <c r="U2" s="533" t="s">
        <v>36</v>
      </c>
      <c r="V2" s="917"/>
    </row>
    <row r="3" spans="1:22">
      <c r="A3" s="614">
        <v>1</v>
      </c>
      <c r="B3" s="868" t="s">
        <v>37</v>
      </c>
      <c r="C3" s="719">
        <v>1</v>
      </c>
      <c r="D3" s="719"/>
      <c r="E3" s="876"/>
      <c r="F3" s="877">
        <v>3</v>
      </c>
      <c r="G3" s="391"/>
      <c r="H3" s="362"/>
      <c r="I3" s="383" t="s">
        <v>8</v>
      </c>
      <c r="J3" s="832" t="s">
        <v>17</v>
      </c>
      <c r="K3" s="806"/>
      <c r="L3" s="567"/>
      <c r="M3" s="383" t="s">
        <v>38</v>
      </c>
      <c r="N3" s="383" t="s">
        <v>38</v>
      </c>
      <c r="O3" s="383" t="s">
        <v>38</v>
      </c>
      <c r="P3" s="383" t="s">
        <v>38</v>
      </c>
      <c r="Q3" s="350" t="s">
        <v>38</v>
      </c>
      <c r="R3" s="574" t="s">
        <v>38</v>
      </c>
      <c r="S3" s="573" t="s">
        <v>38</v>
      </c>
      <c r="T3" s="578" t="s">
        <v>38</v>
      </c>
      <c r="U3" s="589" t="s">
        <v>38</v>
      </c>
      <c r="V3" s="538">
        <f>COUNTIF(M3:U3, "X")</f>
        <v>9</v>
      </c>
    </row>
    <row r="4" spans="1:22">
      <c r="A4" s="609">
        <v>2</v>
      </c>
      <c r="B4" s="869" t="s">
        <v>39</v>
      </c>
      <c r="C4" s="12">
        <v>1</v>
      </c>
      <c r="D4" s="12"/>
      <c r="E4" s="10">
        <v>4</v>
      </c>
      <c r="F4" s="877">
        <v>2</v>
      </c>
      <c r="G4" s="57">
        <v>1</v>
      </c>
      <c r="H4" s="363">
        <v>1</v>
      </c>
      <c r="I4" s="330" t="s">
        <v>40</v>
      </c>
      <c r="J4" s="339" t="s">
        <v>41</v>
      </c>
      <c r="K4" s="382"/>
      <c r="L4" s="565"/>
      <c r="M4" s="330" t="s">
        <v>38</v>
      </c>
      <c r="N4" s="330" t="s">
        <v>38</v>
      </c>
      <c r="O4" s="330" t="s">
        <v>38</v>
      </c>
      <c r="P4" s="330" t="s">
        <v>38</v>
      </c>
      <c r="Q4" s="707" t="s">
        <v>38</v>
      </c>
      <c r="R4" s="132"/>
      <c r="S4" s="79" t="s">
        <v>38</v>
      </c>
      <c r="T4" s="569" t="s">
        <v>38</v>
      </c>
      <c r="U4" s="47"/>
      <c r="V4" s="341">
        <f t="shared" ref="V4:V37" si="0">COUNTIF(M4:U4, "X")</f>
        <v>7</v>
      </c>
    </row>
    <row r="5" spans="1:22">
      <c r="A5" s="610">
        <v>3</v>
      </c>
      <c r="B5" s="870" t="s">
        <v>42</v>
      </c>
      <c r="C5" s="719">
        <v>1</v>
      </c>
      <c r="D5" s="719"/>
      <c r="E5" s="876">
        <v>2</v>
      </c>
      <c r="F5" s="877">
        <v>2</v>
      </c>
      <c r="G5" s="57">
        <v>1</v>
      </c>
      <c r="H5" s="363">
        <v>1</v>
      </c>
      <c r="I5" s="384" t="s">
        <v>43</v>
      </c>
      <c r="J5" s="790" t="s">
        <v>41</v>
      </c>
      <c r="K5" s="382"/>
      <c r="L5" s="565"/>
      <c r="M5" s="384"/>
      <c r="N5" s="384"/>
      <c r="O5" s="384" t="s">
        <v>38</v>
      </c>
      <c r="P5" s="384" t="s">
        <v>38</v>
      </c>
      <c r="Q5" s="351"/>
      <c r="R5" s="575"/>
      <c r="S5" s="80" t="s">
        <v>38</v>
      </c>
      <c r="T5" s="579" t="s">
        <v>38</v>
      </c>
      <c r="U5" s="590"/>
      <c r="V5" s="341">
        <f t="shared" si="0"/>
        <v>4</v>
      </c>
    </row>
    <row r="6" spans="1:22">
      <c r="A6" s="609">
        <v>4</v>
      </c>
      <c r="B6" s="869" t="s">
        <v>44</v>
      </c>
      <c r="C6" s="12" t="s">
        <v>45</v>
      </c>
      <c r="D6" s="12"/>
      <c r="E6" s="10">
        <v>2</v>
      </c>
      <c r="F6" s="877">
        <v>2</v>
      </c>
      <c r="G6" s="57">
        <v>1</v>
      </c>
      <c r="H6" s="363">
        <v>1</v>
      </c>
      <c r="I6" s="330" t="s">
        <v>46</v>
      </c>
      <c r="J6" s="339" t="s">
        <v>47</v>
      </c>
      <c r="K6" s="382" t="s">
        <v>48</v>
      </c>
      <c r="L6" s="565"/>
      <c r="M6" s="330"/>
      <c r="N6" s="330"/>
      <c r="O6" s="330" t="s">
        <v>38</v>
      </c>
      <c r="P6" s="330" t="s">
        <v>38</v>
      </c>
      <c r="Q6" s="118" t="s">
        <v>38</v>
      </c>
      <c r="R6" s="132"/>
      <c r="S6" s="79" t="s">
        <v>38</v>
      </c>
      <c r="T6" s="569" t="s">
        <v>38</v>
      </c>
      <c r="U6" s="47"/>
      <c r="V6" s="341">
        <f t="shared" si="0"/>
        <v>5</v>
      </c>
    </row>
    <row r="7" spans="1:22">
      <c r="A7" s="610">
        <v>5</v>
      </c>
      <c r="B7" s="870" t="s">
        <v>49</v>
      </c>
      <c r="C7" s="719">
        <v>1</v>
      </c>
      <c r="D7" s="719"/>
      <c r="E7" s="876">
        <v>2</v>
      </c>
      <c r="F7" s="877">
        <v>2</v>
      </c>
      <c r="G7" s="57">
        <v>1</v>
      </c>
      <c r="H7" s="363">
        <v>1</v>
      </c>
      <c r="I7" s="384" t="s">
        <v>43</v>
      </c>
      <c r="J7" s="790"/>
      <c r="K7" s="382"/>
      <c r="L7" s="565"/>
      <c r="M7" s="384"/>
      <c r="N7" s="384"/>
      <c r="O7" s="384" t="s">
        <v>38</v>
      </c>
      <c r="P7" s="384" t="s">
        <v>38</v>
      </c>
      <c r="Q7" s="351" t="s">
        <v>38</v>
      </c>
      <c r="R7" s="575"/>
      <c r="S7" s="80" t="s">
        <v>38</v>
      </c>
      <c r="T7" s="579" t="s">
        <v>38</v>
      </c>
      <c r="U7" s="590"/>
      <c r="V7" s="341">
        <f t="shared" si="0"/>
        <v>5</v>
      </c>
    </row>
    <row r="8" spans="1:22">
      <c r="A8" s="609">
        <v>6</v>
      </c>
      <c r="B8" s="869" t="s">
        <v>50</v>
      </c>
      <c r="C8" s="12">
        <v>1</v>
      </c>
      <c r="D8" s="12"/>
      <c r="E8" s="10"/>
      <c r="F8" s="877">
        <v>3</v>
      </c>
      <c r="G8" s="57"/>
      <c r="H8" s="363"/>
      <c r="I8" s="330" t="s">
        <v>15</v>
      </c>
      <c r="J8" s="339"/>
      <c r="K8" s="382"/>
      <c r="L8" s="565"/>
      <c r="M8" s="330" t="s">
        <v>38</v>
      </c>
      <c r="N8" s="330"/>
      <c r="O8" s="330"/>
      <c r="P8" s="330"/>
      <c r="Q8" s="118"/>
      <c r="R8" s="132"/>
      <c r="S8" s="79"/>
      <c r="T8" s="569"/>
      <c r="U8" s="47"/>
      <c r="V8" s="341">
        <f t="shared" si="0"/>
        <v>1</v>
      </c>
    </row>
    <row r="9" spans="1:22">
      <c r="A9" s="610">
        <v>7</v>
      </c>
      <c r="B9" s="870" t="s">
        <v>51</v>
      </c>
      <c r="C9" s="719">
        <v>2</v>
      </c>
      <c r="D9" s="719"/>
      <c r="E9" s="876"/>
      <c r="F9" s="877"/>
      <c r="G9" s="57"/>
      <c r="H9" s="363"/>
      <c r="I9" s="384" t="s">
        <v>52</v>
      </c>
      <c r="J9" s="790"/>
      <c r="K9" s="382"/>
      <c r="L9" s="565"/>
      <c r="M9" s="384" t="s">
        <v>38</v>
      </c>
      <c r="N9" s="384" t="s">
        <v>38</v>
      </c>
      <c r="O9" s="384" t="s">
        <v>38</v>
      </c>
      <c r="P9" s="384" t="s">
        <v>38</v>
      </c>
      <c r="Q9" s="351" t="s">
        <v>38</v>
      </c>
      <c r="R9" s="575" t="s">
        <v>38</v>
      </c>
      <c r="S9" s="80"/>
      <c r="T9" s="579"/>
      <c r="U9" s="590" t="s">
        <v>38</v>
      </c>
      <c r="V9" s="341">
        <f t="shared" si="0"/>
        <v>7</v>
      </c>
    </row>
    <row r="10" spans="1:22">
      <c r="A10" s="609">
        <v>8</v>
      </c>
      <c r="B10" s="869" t="s">
        <v>53</v>
      </c>
      <c r="C10" s="12">
        <v>2</v>
      </c>
      <c r="D10" s="12"/>
      <c r="E10" s="10"/>
      <c r="F10" s="877"/>
      <c r="G10" s="57"/>
      <c r="H10" s="363"/>
      <c r="I10" s="330" t="s">
        <v>54</v>
      </c>
      <c r="J10" s="339" t="s">
        <v>55</v>
      </c>
      <c r="K10" s="382"/>
      <c r="L10" s="565"/>
      <c r="M10" s="330" t="s">
        <v>38</v>
      </c>
      <c r="N10" s="330"/>
      <c r="O10" s="330"/>
      <c r="P10" s="330"/>
      <c r="Q10" s="118" t="s">
        <v>38</v>
      </c>
      <c r="R10" s="132" t="s">
        <v>38</v>
      </c>
      <c r="S10" s="79"/>
      <c r="T10" s="569"/>
      <c r="U10" s="47" t="s">
        <v>38</v>
      </c>
      <c r="V10" s="341">
        <f t="shared" si="0"/>
        <v>4</v>
      </c>
    </row>
    <row r="11" spans="1:22">
      <c r="A11" s="610">
        <v>9</v>
      </c>
      <c r="B11" s="870" t="s">
        <v>56</v>
      </c>
      <c r="C11" s="719">
        <v>2</v>
      </c>
      <c r="D11" s="719"/>
      <c r="E11" s="876"/>
      <c r="F11" s="877">
        <v>4</v>
      </c>
      <c r="G11" s="57"/>
      <c r="H11" s="363"/>
      <c r="I11" s="384" t="s">
        <v>8</v>
      </c>
      <c r="J11" s="790"/>
      <c r="K11" s="382"/>
      <c r="L11" s="565"/>
      <c r="M11" s="384" t="s">
        <v>38</v>
      </c>
      <c r="N11" s="384" t="s">
        <v>38</v>
      </c>
      <c r="O11" s="384"/>
      <c r="P11" s="384"/>
      <c r="Q11" s="351"/>
      <c r="R11" s="575"/>
      <c r="S11" s="80"/>
      <c r="T11" s="579"/>
      <c r="U11" s="590"/>
      <c r="V11" s="341">
        <f t="shared" si="0"/>
        <v>2</v>
      </c>
    </row>
    <row r="12" spans="1:22">
      <c r="A12" s="609">
        <v>10</v>
      </c>
      <c r="B12" s="871" t="s">
        <v>57</v>
      </c>
      <c r="C12" s="12" t="s">
        <v>58</v>
      </c>
      <c r="D12" s="12"/>
      <c r="E12" s="10"/>
      <c r="F12" s="877">
        <v>4</v>
      </c>
      <c r="G12" s="57"/>
      <c r="H12" s="363"/>
      <c r="I12" s="330" t="s">
        <v>59</v>
      </c>
      <c r="J12" s="831" t="s">
        <v>17</v>
      </c>
      <c r="K12" s="382"/>
      <c r="L12" s="565"/>
      <c r="M12" s="384"/>
      <c r="N12" s="384" t="s">
        <v>38</v>
      </c>
      <c r="O12" s="384"/>
      <c r="P12" s="384"/>
      <c r="Q12" s="707" t="s">
        <v>38</v>
      </c>
      <c r="R12" s="575"/>
      <c r="S12" s="79"/>
      <c r="T12" s="569"/>
      <c r="U12" s="47"/>
      <c r="V12" s="341">
        <f t="shared" si="0"/>
        <v>2</v>
      </c>
    </row>
    <row r="13" spans="1:22">
      <c r="A13" s="609">
        <v>11</v>
      </c>
      <c r="B13" s="872" t="s">
        <v>60</v>
      </c>
      <c r="C13" s="13">
        <v>2</v>
      </c>
      <c r="D13" s="13"/>
      <c r="E13" s="216"/>
      <c r="F13" s="877">
        <v>3</v>
      </c>
      <c r="G13" s="392"/>
      <c r="H13" s="364"/>
      <c r="I13" s="329" t="s">
        <v>8</v>
      </c>
      <c r="J13" s="798"/>
      <c r="K13" s="382"/>
      <c r="L13" s="565"/>
      <c r="M13" s="330"/>
      <c r="N13" s="330" t="s">
        <v>38</v>
      </c>
      <c r="O13" s="330"/>
      <c r="P13" s="330"/>
      <c r="Q13" s="118" t="s">
        <v>38</v>
      </c>
      <c r="R13" s="132"/>
      <c r="S13" s="79"/>
      <c r="T13" s="569"/>
      <c r="U13" s="47"/>
      <c r="V13" s="341">
        <f>COUNTIF(M13:U13, "X")</f>
        <v>2</v>
      </c>
    </row>
    <row r="14" spans="1:22">
      <c r="A14" s="610">
        <v>12</v>
      </c>
      <c r="B14" s="871" t="s">
        <v>61</v>
      </c>
      <c r="C14" s="9">
        <v>3</v>
      </c>
      <c r="D14" s="9"/>
      <c r="E14" s="102"/>
      <c r="F14" s="878">
        <v>2</v>
      </c>
      <c r="G14" s="392"/>
      <c r="H14" s="364"/>
      <c r="I14" s="330" t="s">
        <v>10</v>
      </c>
      <c r="J14" s="339"/>
      <c r="K14" s="382"/>
      <c r="L14" s="565"/>
      <c r="M14" s="384"/>
      <c r="N14" s="384"/>
      <c r="O14" s="384"/>
      <c r="P14" s="384"/>
      <c r="Q14" s="351"/>
      <c r="R14" s="576" t="s">
        <v>38</v>
      </c>
      <c r="S14" s="80"/>
      <c r="T14" s="579"/>
      <c r="U14" s="590"/>
      <c r="V14" s="341">
        <f t="shared" si="0"/>
        <v>1</v>
      </c>
    </row>
    <row r="15" spans="1:22">
      <c r="A15" s="609">
        <v>13</v>
      </c>
      <c r="B15" s="872" t="s">
        <v>62</v>
      </c>
      <c r="C15" s="879" t="s">
        <v>63</v>
      </c>
      <c r="D15" s="879"/>
      <c r="E15" s="880"/>
      <c r="F15" s="881">
        <v>2</v>
      </c>
      <c r="G15" s="393"/>
      <c r="H15" s="365"/>
      <c r="I15" s="804" t="s">
        <v>10</v>
      </c>
      <c r="J15" s="799"/>
      <c r="K15" s="382"/>
      <c r="L15" s="565"/>
      <c r="M15" s="384"/>
      <c r="N15" s="384"/>
      <c r="O15" s="384"/>
      <c r="P15" s="384"/>
      <c r="Q15" s="908" t="s">
        <v>38</v>
      </c>
      <c r="R15" s="909"/>
      <c r="S15" s="79"/>
      <c r="T15" s="569"/>
      <c r="U15" s="47" t="s">
        <v>38</v>
      </c>
      <c r="V15" s="539">
        <f>COUNTIF(M15:U15, "X")</f>
        <v>2</v>
      </c>
    </row>
    <row r="16" spans="1:22">
      <c r="A16" s="610">
        <v>14</v>
      </c>
      <c r="B16" s="873" t="s">
        <v>64</v>
      </c>
      <c r="C16" s="9">
        <v>1</v>
      </c>
      <c r="D16" s="9"/>
      <c r="E16" s="102"/>
      <c r="F16" s="878">
        <v>2</v>
      </c>
      <c r="G16" s="561"/>
      <c r="H16" s="562"/>
      <c r="I16" s="641" t="s">
        <v>52</v>
      </c>
      <c r="J16" s="800"/>
      <c r="K16" s="382"/>
      <c r="L16" s="565"/>
      <c r="M16" s="502"/>
      <c r="N16" s="502"/>
      <c r="O16" s="502"/>
      <c r="P16" s="502"/>
      <c r="Q16" s="233"/>
      <c r="R16" s="566" t="s">
        <v>38</v>
      </c>
      <c r="S16" s="490"/>
      <c r="T16" s="580"/>
      <c r="U16" s="591" t="s">
        <v>38</v>
      </c>
      <c r="V16" s="602">
        <f t="shared" si="0"/>
        <v>2</v>
      </c>
    </row>
    <row r="17" spans="1:22">
      <c r="A17" s="611">
        <v>17</v>
      </c>
      <c r="B17" s="874" t="s">
        <v>65</v>
      </c>
      <c r="C17" s="882">
        <v>3</v>
      </c>
      <c r="D17" s="882"/>
      <c r="E17" s="880"/>
      <c r="F17" s="881"/>
      <c r="G17" s="393"/>
      <c r="H17" s="365"/>
      <c r="I17" s="805" t="s">
        <v>52</v>
      </c>
      <c r="J17" s="801"/>
      <c r="K17" s="382"/>
      <c r="L17" s="565"/>
      <c r="M17" s="445"/>
      <c r="N17" s="445"/>
      <c r="O17" s="445"/>
      <c r="P17" s="445"/>
      <c r="Q17" s="456"/>
      <c r="R17" s="577" t="s">
        <v>38</v>
      </c>
      <c r="S17" s="332"/>
      <c r="T17" s="581"/>
      <c r="U17" s="314"/>
      <c r="V17" s="602">
        <f t="shared" si="0"/>
        <v>1</v>
      </c>
    </row>
    <row r="18" spans="1:22" ht="15.75" customHeight="1">
      <c r="A18" s="609">
        <v>15</v>
      </c>
      <c r="B18" s="869" t="s">
        <v>66</v>
      </c>
      <c r="C18" s="12">
        <v>2</v>
      </c>
      <c r="D18" s="12"/>
      <c r="E18" s="10"/>
      <c r="F18" s="883"/>
      <c r="G18" s="393"/>
      <c r="H18" s="365"/>
      <c r="I18" s="787" t="s">
        <v>10</v>
      </c>
      <c r="J18" s="802"/>
      <c r="K18" s="382"/>
      <c r="L18" s="565"/>
      <c r="M18" s="74"/>
      <c r="N18" s="74"/>
      <c r="O18" s="74"/>
      <c r="P18" s="74"/>
      <c r="Q18" s="71"/>
      <c r="R18" s="17"/>
      <c r="S18" s="150"/>
      <c r="T18" s="569" t="s">
        <v>38</v>
      </c>
      <c r="U18" s="47" t="s">
        <v>38</v>
      </c>
      <c r="V18" s="602">
        <f t="shared" si="0"/>
        <v>2</v>
      </c>
    </row>
    <row r="19" spans="1:22">
      <c r="A19" s="612">
        <v>16</v>
      </c>
      <c r="B19" s="875" t="s">
        <v>67</v>
      </c>
      <c r="C19" s="882">
        <v>2</v>
      </c>
      <c r="D19" s="882"/>
      <c r="E19" s="880"/>
      <c r="F19" s="883"/>
      <c r="G19" s="563"/>
      <c r="H19" s="564"/>
      <c r="I19" s="815" t="s">
        <v>68</v>
      </c>
      <c r="J19" s="803"/>
      <c r="K19" s="382"/>
      <c r="L19" s="565"/>
      <c r="M19" s="568"/>
      <c r="N19" s="568"/>
      <c r="O19" s="568"/>
      <c r="P19" s="568"/>
      <c r="Q19" s="571"/>
      <c r="R19" s="583"/>
      <c r="S19" s="490" t="s">
        <v>38</v>
      </c>
      <c r="T19" s="584"/>
      <c r="U19" s="592"/>
      <c r="V19" s="603">
        <f t="shared" si="0"/>
        <v>1</v>
      </c>
    </row>
    <row r="20" spans="1:22">
      <c r="A20" s="608">
        <v>18</v>
      </c>
      <c r="B20" s="549" t="s">
        <v>69</v>
      </c>
      <c r="C20" s="884">
        <v>1</v>
      </c>
      <c r="D20" s="884"/>
      <c r="E20" s="885">
        <v>2</v>
      </c>
      <c r="F20" s="881">
        <v>2</v>
      </c>
      <c r="G20" s="394">
        <v>1</v>
      </c>
      <c r="H20" s="366">
        <v>1</v>
      </c>
      <c r="I20" s="615" t="s">
        <v>43</v>
      </c>
      <c r="J20" s="788" t="s">
        <v>70</v>
      </c>
      <c r="K20" s="382"/>
      <c r="L20" s="565"/>
      <c r="M20" s="385"/>
      <c r="N20" s="385"/>
      <c r="O20" s="356" t="s">
        <v>38</v>
      </c>
      <c r="P20" s="163" t="s">
        <v>38</v>
      </c>
      <c r="Q20" s="572" t="s">
        <v>38</v>
      </c>
      <c r="R20" s="557"/>
      <c r="S20" s="567"/>
      <c r="T20" s="567"/>
      <c r="U20" s="585"/>
      <c r="V20" s="491">
        <f t="shared" si="0"/>
        <v>3</v>
      </c>
    </row>
    <row r="21" spans="1:22">
      <c r="A21" s="604">
        <v>19</v>
      </c>
      <c r="B21" s="547" t="s">
        <v>71</v>
      </c>
      <c r="C21" s="331">
        <v>2</v>
      </c>
      <c r="D21" s="855"/>
      <c r="E21" s="432">
        <v>2</v>
      </c>
      <c r="F21" s="407">
        <v>2</v>
      </c>
      <c r="G21" s="57">
        <v>1</v>
      </c>
      <c r="H21" s="363">
        <v>1</v>
      </c>
      <c r="I21" s="384" t="s">
        <v>43</v>
      </c>
      <c r="J21" s="789" t="s">
        <v>70</v>
      </c>
      <c r="K21" s="382"/>
      <c r="L21" s="565"/>
      <c r="M21" s="385"/>
      <c r="N21" s="385"/>
      <c r="O21" s="356" t="s">
        <v>38</v>
      </c>
      <c r="P21" s="163" t="s">
        <v>38</v>
      </c>
      <c r="Q21" s="385" t="s">
        <v>38</v>
      </c>
      <c r="R21" s="558"/>
      <c r="S21" s="565"/>
      <c r="T21" s="565"/>
      <c r="U21" s="586"/>
      <c r="V21" s="491">
        <f t="shared" si="0"/>
        <v>3</v>
      </c>
    </row>
    <row r="22" spans="1:22">
      <c r="A22" s="418">
        <v>20</v>
      </c>
      <c r="B22" s="547" t="s">
        <v>72</v>
      </c>
      <c r="C22" s="79">
        <v>2</v>
      </c>
      <c r="D22" s="855"/>
      <c r="E22" s="432">
        <v>1</v>
      </c>
      <c r="F22" s="407">
        <v>2</v>
      </c>
      <c r="G22" s="159">
        <v>1</v>
      </c>
      <c r="H22" s="367">
        <v>2</v>
      </c>
      <c r="I22" s="330" t="s">
        <v>40</v>
      </c>
      <c r="J22" s="339" t="s">
        <v>41</v>
      </c>
      <c r="K22" s="382"/>
      <c r="L22" s="565"/>
      <c r="M22" s="330"/>
      <c r="N22" s="330"/>
      <c r="O22" s="79"/>
      <c r="P22" s="47" t="s">
        <v>38</v>
      </c>
      <c r="Q22" s="330" t="s">
        <v>38</v>
      </c>
      <c r="R22" s="558"/>
      <c r="S22" s="565"/>
      <c r="T22" s="565"/>
      <c r="U22" s="586"/>
      <c r="V22" s="491">
        <f t="shared" si="0"/>
        <v>2</v>
      </c>
    </row>
    <row r="23" spans="1:22">
      <c r="A23" s="604">
        <v>21</v>
      </c>
      <c r="B23" s="625" t="s">
        <v>73</v>
      </c>
      <c r="C23" s="354">
        <v>2</v>
      </c>
      <c r="D23" s="570"/>
      <c r="E23" s="430"/>
      <c r="F23" s="406">
        <v>2</v>
      </c>
      <c r="G23" s="57"/>
      <c r="H23" s="368"/>
      <c r="I23" s="673" t="s">
        <v>10</v>
      </c>
      <c r="J23" s="790"/>
      <c r="K23" s="382"/>
      <c r="L23" s="565"/>
      <c r="M23" s="384" t="s">
        <v>38</v>
      </c>
      <c r="N23" s="384" t="s">
        <v>38</v>
      </c>
      <c r="O23" s="354" t="s">
        <v>38</v>
      </c>
      <c r="P23" s="405" t="s">
        <v>38</v>
      </c>
      <c r="Q23" s="384"/>
      <c r="R23" s="558"/>
      <c r="S23" s="565"/>
      <c r="T23" s="565"/>
      <c r="U23" s="586"/>
      <c r="V23" s="491">
        <f t="shared" si="0"/>
        <v>4</v>
      </c>
    </row>
    <row r="24" spans="1:22">
      <c r="A24" s="418">
        <v>22</v>
      </c>
      <c r="B24" s="547" t="s">
        <v>74</v>
      </c>
      <c r="C24" s="79">
        <v>1</v>
      </c>
      <c r="D24" s="569"/>
      <c r="E24" s="309">
        <v>1</v>
      </c>
      <c r="F24" s="406">
        <v>2</v>
      </c>
      <c r="G24" s="57">
        <v>1</v>
      </c>
      <c r="H24" s="368">
        <v>1</v>
      </c>
      <c r="I24" s="330" t="s">
        <v>40</v>
      </c>
      <c r="J24" s="791" t="s">
        <v>75</v>
      </c>
      <c r="K24" s="382"/>
      <c r="L24" s="565"/>
      <c r="M24" s="386"/>
      <c r="N24" s="386"/>
      <c r="O24" s="357"/>
      <c r="P24" s="448" t="s">
        <v>38</v>
      </c>
      <c r="Q24" s="386" t="s">
        <v>38</v>
      </c>
      <c r="R24" s="558"/>
      <c r="S24" s="565"/>
      <c r="T24" s="565"/>
      <c r="U24" s="586"/>
      <c r="V24" s="491">
        <f t="shared" si="0"/>
        <v>2</v>
      </c>
    </row>
    <row r="25" spans="1:22">
      <c r="A25" s="604">
        <v>23</v>
      </c>
      <c r="B25" s="548" t="s">
        <v>76</v>
      </c>
      <c r="C25" s="354">
        <v>1</v>
      </c>
      <c r="D25" s="570"/>
      <c r="E25" s="430">
        <v>2</v>
      </c>
      <c r="F25" s="406">
        <v>2</v>
      </c>
      <c r="G25" s="57">
        <v>1</v>
      </c>
      <c r="H25" s="368">
        <v>2</v>
      </c>
      <c r="I25" s="384" t="s">
        <v>77</v>
      </c>
      <c r="J25" s="792" t="s">
        <v>75</v>
      </c>
      <c r="K25" s="382"/>
      <c r="L25" s="565"/>
      <c r="M25" s="34"/>
      <c r="N25" s="34"/>
      <c r="O25" s="358" t="s">
        <v>38</v>
      </c>
      <c r="P25" s="449" t="s">
        <v>38</v>
      </c>
      <c r="Q25" s="34"/>
      <c r="R25" s="558"/>
      <c r="S25" s="565"/>
      <c r="T25" s="565"/>
      <c r="U25" s="586"/>
      <c r="V25" s="491">
        <f t="shared" si="0"/>
        <v>2</v>
      </c>
    </row>
    <row r="26" spans="1:22">
      <c r="A26" s="418">
        <v>24</v>
      </c>
      <c r="B26" s="625" t="s">
        <v>78</v>
      </c>
      <c r="C26" s="79">
        <v>1</v>
      </c>
      <c r="D26" s="569"/>
      <c r="E26" s="309"/>
      <c r="F26" s="406">
        <v>3</v>
      </c>
      <c r="G26" s="57"/>
      <c r="H26" s="368"/>
      <c r="I26" s="814" t="s">
        <v>79</v>
      </c>
      <c r="J26" s="793"/>
      <c r="K26" s="382"/>
      <c r="L26" s="565"/>
      <c r="M26" s="35" t="s">
        <v>38</v>
      </c>
      <c r="N26" s="35"/>
      <c r="O26" s="359"/>
      <c r="P26" s="450"/>
      <c r="Q26" s="35" t="s">
        <v>38</v>
      </c>
      <c r="R26" s="558"/>
      <c r="S26" s="565"/>
      <c r="T26" s="565"/>
      <c r="U26" s="586"/>
      <c r="V26" s="491">
        <f t="shared" si="0"/>
        <v>2</v>
      </c>
    </row>
    <row r="27" spans="1:22">
      <c r="A27" s="604">
        <v>25</v>
      </c>
      <c r="B27" s="548" t="s">
        <v>80</v>
      </c>
      <c r="C27" s="354">
        <v>1</v>
      </c>
      <c r="D27" s="570"/>
      <c r="E27" s="430"/>
      <c r="F27" s="406">
        <v>4</v>
      </c>
      <c r="G27" s="57"/>
      <c r="H27" s="368"/>
      <c r="I27" s="384" t="s">
        <v>59</v>
      </c>
      <c r="J27" s="790"/>
      <c r="K27" s="382"/>
      <c r="L27" s="565"/>
      <c r="M27" s="34" t="s">
        <v>38</v>
      </c>
      <c r="N27" s="34" t="s">
        <v>38</v>
      </c>
      <c r="O27" s="358"/>
      <c r="P27" s="449"/>
      <c r="Q27" s="34" t="s">
        <v>38</v>
      </c>
      <c r="R27" s="558"/>
      <c r="S27" s="565"/>
      <c r="T27" s="565"/>
      <c r="U27" s="586"/>
      <c r="V27" s="491">
        <f t="shared" si="0"/>
        <v>3</v>
      </c>
    </row>
    <row r="28" spans="1:22">
      <c r="A28" s="418">
        <v>26</v>
      </c>
      <c r="B28" s="625" t="s">
        <v>81</v>
      </c>
      <c r="C28" s="79">
        <v>1</v>
      </c>
      <c r="D28" s="569"/>
      <c r="E28" s="309"/>
      <c r="F28" s="406">
        <v>3</v>
      </c>
      <c r="G28" s="58"/>
      <c r="H28" s="369"/>
      <c r="I28" s="813" t="s">
        <v>17</v>
      </c>
      <c r="J28" s="791"/>
      <c r="K28" s="382"/>
      <c r="L28" s="565"/>
      <c r="M28" s="35" t="s">
        <v>38</v>
      </c>
      <c r="N28" s="35" t="s">
        <v>38</v>
      </c>
      <c r="O28" s="359"/>
      <c r="P28" s="450"/>
      <c r="Q28" s="35" t="s">
        <v>38</v>
      </c>
      <c r="R28" s="558"/>
      <c r="S28" s="565"/>
      <c r="T28" s="565"/>
      <c r="U28" s="586"/>
      <c r="V28" s="491">
        <f t="shared" si="0"/>
        <v>3</v>
      </c>
    </row>
    <row r="29" spans="1:22">
      <c r="A29" s="604">
        <v>27</v>
      </c>
      <c r="B29" s="548" t="s">
        <v>82</v>
      </c>
      <c r="C29" s="354">
        <v>1</v>
      </c>
      <c r="D29" s="570"/>
      <c r="E29" s="430"/>
      <c r="F29" s="406">
        <v>3</v>
      </c>
      <c r="G29" s="57"/>
      <c r="H29" s="363"/>
      <c r="I29" s="384" t="s">
        <v>83</v>
      </c>
      <c r="J29" s="792"/>
      <c r="K29" s="382"/>
      <c r="L29" s="565"/>
      <c r="M29" s="34" t="s">
        <v>38</v>
      </c>
      <c r="N29" s="34"/>
      <c r="O29" s="358"/>
      <c r="P29" s="449"/>
      <c r="Q29" s="34" t="s">
        <v>38</v>
      </c>
      <c r="R29" s="558"/>
      <c r="S29" s="565"/>
      <c r="T29" s="565"/>
      <c r="U29" s="586"/>
      <c r="V29" s="491">
        <f t="shared" si="0"/>
        <v>2</v>
      </c>
    </row>
    <row r="30" spans="1:22">
      <c r="A30" s="418">
        <v>28</v>
      </c>
      <c r="B30" s="547" t="s">
        <v>84</v>
      </c>
      <c r="C30" s="79">
        <v>1</v>
      </c>
      <c r="D30" s="569"/>
      <c r="E30" s="309">
        <v>1</v>
      </c>
      <c r="F30" s="406">
        <v>2</v>
      </c>
      <c r="G30" s="57">
        <v>1</v>
      </c>
      <c r="H30" s="363">
        <v>1</v>
      </c>
      <c r="I30" s="386" t="s">
        <v>40</v>
      </c>
      <c r="J30" s="794"/>
      <c r="K30" s="382"/>
      <c r="L30" s="565"/>
      <c r="M30" s="35"/>
      <c r="N30" s="35"/>
      <c r="O30" s="359"/>
      <c r="P30" s="450" t="s">
        <v>38</v>
      </c>
      <c r="Q30" s="35" t="s">
        <v>38</v>
      </c>
      <c r="R30" s="558"/>
      <c r="S30" s="565"/>
      <c r="T30" s="565"/>
      <c r="U30" s="586"/>
      <c r="V30" s="491">
        <f t="shared" si="0"/>
        <v>2</v>
      </c>
    </row>
    <row r="31" spans="1:22">
      <c r="A31" s="604">
        <v>29</v>
      </c>
      <c r="B31" s="549" t="s">
        <v>85</v>
      </c>
      <c r="C31" s="354">
        <v>2</v>
      </c>
      <c r="D31" s="570"/>
      <c r="E31" s="430">
        <v>1</v>
      </c>
      <c r="F31" s="408">
        <v>2</v>
      </c>
      <c r="G31" s="57">
        <v>1</v>
      </c>
      <c r="H31" s="363">
        <v>1</v>
      </c>
      <c r="I31" s="34" t="s">
        <v>12</v>
      </c>
      <c r="J31" s="792"/>
      <c r="K31" s="382"/>
      <c r="L31" s="565"/>
      <c r="M31" s="34"/>
      <c r="N31" s="34"/>
      <c r="O31" s="358" t="s">
        <v>38</v>
      </c>
      <c r="P31" s="449"/>
      <c r="Q31" s="34" t="s">
        <v>38</v>
      </c>
      <c r="R31" s="558"/>
      <c r="S31" s="565"/>
      <c r="T31" s="565"/>
      <c r="U31" s="586"/>
      <c r="V31" s="491">
        <f t="shared" si="0"/>
        <v>2</v>
      </c>
    </row>
    <row r="32" spans="1:22">
      <c r="A32" s="418">
        <v>30</v>
      </c>
      <c r="B32" s="548" t="s">
        <v>86</v>
      </c>
      <c r="C32" s="354" t="s">
        <v>87</v>
      </c>
      <c r="D32" s="570"/>
      <c r="E32" s="430"/>
      <c r="F32" s="409">
        <v>3</v>
      </c>
      <c r="G32" s="395"/>
      <c r="H32" s="370"/>
      <c r="I32" s="34" t="s">
        <v>88</v>
      </c>
      <c r="J32" s="792" t="s">
        <v>89</v>
      </c>
      <c r="K32" s="382"/>
      <c r="L32" s="565"/>
      <c r="M32" s="34"/>
      <c r="N32" s="34" t="s">
        <v>38</v>
      </c>
      <c r="O32" s="358"/>
      <c r="P32" s="449"/>
      <c r="Q32" s="706" t="s">
        <v>38</v>
      </c>
      <c r="R32" s="558"/>
      <c r="S32" s="565"/>
      <c r="T32" s="565"/>
      <c r="U32" s="586"/>
      <c r="V32" s="491">
        <f t="shared" si="0"/>
        <v>2</v>
      </c>
    </row>
    <row r="33" spans="1:22">
      <c r="A33" s="418">
        <v>31</v>
      </c>
      <c r="B33" s="547" t="s">
        <v>90</v>
      </c>
      <c r="C33" s="79">
        <v>2</v>
      </c>
      <c r="D33" s="569"/>
      <c r="E33" s="309"/>
      <c r="F33" s="409">
        <v>4</v>
      </c>
      <c r="G33" s="396"/>
      <c r="H33" s="371"/>
      <c r="I33" s="35" t="s">
        <v>59</v>
      </c>
      <c r="J33" s="794"/>
      <c r="K33" s="382"/>
      <c r="L33" s="565"/>
      <c r="M33" s="35"/>
      <c r="N33" s="35" t="s">
        <v>38</v>
      </c>
      <c r="O33" s="359"/>
      <c r="P33" s="450"/>
      <c r="Q33" s="35" t="s">
        <v>38</v>
      </c>
      <c r="R33" s="558"/>
      <c r="S33" s="565"/>
      <c r="T33" s="565"/>
      <c r="U33" s="586"/>
      <c r="V33" s="491">
        <f t="shared" si="0"/>
        <v>2</v>
      </c>
    </row>
    <row r="34" spans="1:22">
      <c r="A34" s="604">
        <v>32</v>
      </c>
      <c r="B34" s="548" t="s">
        <v>91</v>
      </c>
      <c r="C34" s="354">
        <v>1</v>
      </c>
      <c r="D34" s="570"/>
      <c r="E34" s="430"/>
      <c r="F34" s="409" t="s">
        <v>92</v>
      </c>
      <c r="G34" s="396"/>
      <c r="H34" s="371"/>
      <c r="I34" s="34" t="s">
        <v>59</v>
      </c>
      <c r="J34" s="792"/>
      <c r="K34" s="382"/>
      <c r="L34" s="565"/>
      <c r="M34" s="34" t="s">
        <v>38</v>
      </c>
      <c r="N34" s="34" t="s">
        <v>38</v>
      </c>
      <c r="O34" s="358"/>
      <c r="P34" s="449"/>
      <c r="Q34" s="34" t="s">
        <v>38</v>
      </c>
      <c r="R34" s="558"/>
      <c r="S34" s="565"/>
      <c r="T34" s="565"/>
      <c r="U34" s="586"/>
      <c r="V34" s="491">
        <f t="shared" si="0"/>
        <v>3</v>
      </c>
    </row>
    <row r="35" spans="1:22">
      <c r="A35" s="418">
        <v>33</v>
      </c>
      <c r="B35" s="547" t="s">
        <v>93</v>
      </c>
      <c r="C35" s="79">
        <v>2</v>
      </c>
      <c r="D35" s="569"/>
      <c r="E35" s="309"/>
      <c r="F35" s="409">
        <v>2</v>
      </c>
      <c r="G35" s="396"/>
      <c r="H35" s="371"/>
      <c r="I35" s="35" t="s">
        <v>94</v>
      </c>
      <c r="J35" s="794"/>
      <c r="K35" s="382"/>
      <c r="L35" s="565"/>
      <c r="M35" s="35"/>
      <c r="N35" s="35"/>
      <c r="O35" s="359"/>
      <c r="P35" s="450"/>
      <c r="Q35" s="35" t="s">
        <v>38</v>
      </c>
      <c r="R35" s="558"/>
      <c r="S35" s="565"/>
      <c r="T35" s="565"/>
      <c r="U35" s="586"/>
      <c r="V35" s="491">
        <f t="shared" si="0"/>
        <v>1</v>
      </c>
    </row>
    <row r="36" spans="1:22">
      <c r="A36" s="604">
        <v>34</v>
      </c>
      <c r="B36" s="548" t="s">
        <v>95</v>
      </c>
      <c r="C36" s="418">
        <v>3</v>
      </c>
      <c r="D36" s="856"/>
      <c r="E36" s="431"/>
      <c r="F36" s="410">
        <v>3</v>
      </c>
      <c r="G36" s="397"/>
      <c r="H36" s="372"/>
      <c r="I36" s="34" t="s">
        <v>52</v>
      </c>
      <c r="J36" s="792"/>
      <c r="K36" s="382"/>
      <c r="L36" s="565"/>
      <c r="M36" s="34"/>
      <c r="N36" s="34"/>
      <c r="O36" s="358"/>
      <c r="P36" s="449"/>
      <c r="Q36" s="534" t="s">
        <v>38</v>
      </c>
      <c r="R36" s="558"/>
      <c r="S36" s="565"/>
      <c r="T36" s="565"/>
      <c r="U36" s="586"/>
      <c r="V36" s="491">
        <f t="shared" si="0"/>
        <v>1</v>
      </c>
    </row>
    <row r="37" spans="1:22">
      <c r="A37" s="607">
        <v>35</v>
      </c>
      <c r="B37" s="550" t="s">
        <v>96</v>
      </c>
      <c r="C37" s="353">
        <v>3</v>
      </c>
      <c r="D37" s="616"/>
      <c r="E37" s="433"/>
      <c r="F37" s="411">
        <v>3</v>
      </c>
      <c r="G37" s="156"/>
      <c r="H37" s="373"/>
      <c r="I37" s="387" t="s">
        <v>52</v>
      </c>
      <c r="J37" s="793"/>
      <c r="K37" s="382"/>
      <c r="L37" s="587"/>
      <c r="M37" s="387"/>
      <c r="N37" s="387"/>
      <c r="O37" s="360"/>
      <c r="P37" s="454"/>
      <c r="Q37" s="535" t="s">
        <v>38</v>
      </c>
      <c r="R37" s="559"/>
      <c r="S37" s="587"/>
      <c r="T37" s="587"/>
      <c r="U37" s="588"/>
      <c r="V37" s="310">
        <f t="shared" si="0"/>
        <v>1</v>
      </c>
    </row>
    <row r="38" spans="1:22">
      <c r="A38" s="606">
        <v>36</v>
      </c>
      <c r="B38" s="551" t="s">
        <v>97</v>
      </c>
      <c r="C38" s="419">
        <v>1</v>
      </c>
      <c r="D38" s="857"/>
      <c r="E38" s="434">
        <v>1</v>
      </c>
      <c r="F38" s="412">
        <v>2</v>
      </c>
      <c r="G38" s="398">
        <v>1</v>
      </c>
      <c r="H38" s="374">
        <v>1</v>
      </c>
      <c r="I38" s="388" t="s">
        <v>12</v>
      </c>
      <c r="J38" s="795"/>
      <c r="K38" s="382"/>
      <c r="L38" s="446"/>
      <c r="M38" s="443"/>
      <c r="N38" s="446"/>
      <c r="O38" s="443"/>
      <c r="P38" s="446" t="s">
        <v>38</v>
      </c>
      <c r="Q38" s="536" t="s">
        <v>38</v>
      </c>
      <c r="R38" s="558"/>
      <c r="S38" s="565"/>
      <c r="T38" s="565"/>
      <c r="U38" s="586"/>
      <c r="V38" s="491">
        <f>COUNTIF(J38:U38, "X")</f>
        <v>2</v>
      </c>
    </row>
    <row r="39" spans="1:22">
      <c r="A39" s="418">
        <v>37</v>
      </c>
      <c r="B39" s="548" t="s">
        <v>98</v>
      </c>
      <c r="C39" s="355">
        <v>1</v>
      </c>
      <c r="D39" s="858"/>
      <c r="E39" s="430">
        <v>1</v>
      </c>
      <c r="F39" s="406">
        <v>2</v>
      </c>
      <c r="G39" s="57">
        <v>1</v>
      </c>
      <c r="H39" s="363">
        <v>1</v>
      </c>
      <c r="I39" s="384" t="s">
        <v>40</v>
      </c>
      <c r="J39" s="790"/>
      <c r="K39" s="382"/>
      <c r="L39" s="447" t="s">
        <v>38</v>
      </c>
      <c r="M39" s="354"/>
      <c r="N39" s="405"/>
      <c r="O39" s="354" t="s">
        <v>38</v>
      </c>
      <c r="P39" s="405" t="s">
        <v>38</v>
      </c>
      <c r="Q39" s="384"/>
      <c r="R39" s="558"/>
      <c r="S39" s="565"/>
      <c r="T39" s="565"/>
      <c r="U39" s="586"/>
      <c r="V39" s="491">
        <f>COUNTIF(J39:U39, "X")</f>
        <v>3</v>
      </c>
    </row>
    <row r="40" spans="1:22">
      <c r="A40" s="604">
        <v>38</v>
      </c>
      <c r="B40" s="552" t="s">
        <v>99</v>
      </c>
      <c r="C40" s="420">
        <v>1</v>
      </c>
      <c r="D40" s="859"/>
      <c r="E40" s="160">
        <v>1</v>
      </c>
      <c r="F40" s="408">
        <v>2</v>
      </c>
      <c r="G40" s="57">
        <v>1</v>
      </c>
      <c r="H40" s="363">
        <v>1</v>
      </c>
      <c r="I40" s="330" t="s">
        <v>40</v>
      </c>
      <c r="J40" s="791"/>
      <c r="K40" s="382"/>
      <c r="L40" s="448"/>
      <c r="M40" s="357"/>
      <c r="N40" s="448"/>
      <c r="O40" s="357" t="s">
        <v>38</v>
      </c>
      <c r="P40" s="448" t="s">
        <v>38</v>
      </c>
      <c r="Q40" s="386" t="s">
        <v>38</v>
      </c>
      <c r="R40" s="558"/>
      <c r="S40" s="565"/>
      <c r="T40" s="565"/>
      <c r="U40" s="586"/>
      <c r="V40" s="491">
        <f>COUNTIF(J40:U40, "X")</f>
        <v>3</v>
      </c>
    </row>
    <row r="41" spans="1:22">
      <c r="A41" s="418">
        <v>39</v>
      </c>
      <c r="B41" s="553" t="s">
        <v>100</v>
      </c>
      <c r="C41" s="421">
        <v>2</v>
      </c>
      <c r="D41" s="860"/>
      <c r="E41" s="435"/>
      <c r="F41" s="409">
        <v>3</v>
      </c>
      <c r="G41" s="57"/>
      <c r="H41" s="363"/>
      <c r="I41" s="384" t="s">
        <v>101</v>
      </c>
      <c r="J41" s="792"/>
      <c r="K41" s="382"/>
      <c r="L41" s="449"/>
      <c r="M41" s="358"/>
      <c r="N41" s="449"/>
      <c r="O41" s="358" t="s">
        <v>38</v>
      </c>
      <c r="P41" s="449" t="s">
        <v>38</v>
      </c>
      <c r="Q41" s="706" t="s">
        <v>38</v>
      </c>
      <c r="R41" s="558"/>
      <c r="S41" s="565"/>
      <c r="T41" s="565"/>
      <c r="U41" s="586"/>
      <c r="V41" s="491">
        <f>COUNTIF(J41:U41, "X")</f>
        <v>3</v>
      </c>
    </row>
    <row r="42" spans="1:22">
      <c r="A42" s="604">
        <v>40</v>
      </c>
      <c r="B42" s="554" t="s">
        <v>102</v>
      </c>
      <c r="C42" s="361">
        <v>1</v>
      </c>
      <c r="D42" s="861"/>
      <c r="E42" s="61">
        <v>1</v>
      </c>
      <c r="F42" s="409">
        <v>2</v>
      </c>
      <c r="G42" s="57">
        <v>1</v>
      </c>
      <c r="H42" s="363">
        <v>1</v>
      </c>
      <c r="I42" s="330" t="s">
        <v>43</v>
      </c>
      <c r="J42" s="794"/>
      <c r="K42" s="382"/>
      <c r="L42" s="450"/>
      <c r="M42" s="359"/>
      <c r="N42" s="450"/>
      <c r="O42" s="359" t="s">
        <v>38</v>
      </c>
      <c r="P42" s="450" t="s">
        <v>38</v>
      </c>
      <c r="Q42" s="35" t="s">
        <v>38</v>
      </c>
      <c r="R42" s="558"/>
      <c r="S42" s="565"/>
      <c r="T42" s="565"/>
      <c r="U42" s="586"/>
      <c r="V42" s="491">
        <f>COUNTIF(J42:U42, "X")</f>
        <v>3</v>
      </c>
    </row>
    <row r="43" spans="1:22">
      <c r="A43" s="418">
        <v>41</v>
      </c>
      <c r="B43" s="553" t="s">
        <v>103</v>
      </c>
      <c r="C43" s="422">
        <v>2</v>
      </c>
      <c r="D43" s="862"/>
      <c r="E43" s="435"/>
      <c r="F43" s="409"/>
      <c r="G43" s="399"/>
      <c r="H43" s="375"/>
      <c r="I43" s="77" t="s">
        <v>10</v>
      </c>
      <c r="J43" s="792" t="s">
        <v>104</v>
      </c>
      <c r="K43" s="382"/>
      <c r="L43" s="451" t="s">
        <v>38</v>
      </c>
      <c r="M43" s="358" t="s">
        <v>38</v>
      </c>
      <c r="N43" s="449" t="s">
        <v>38</v>
      </c>
      <c r="O43" s="358" t="s">
        <v>38</v>
      </c>
      <c r="P43" s="449" t="s">
        <v>38</v>
      </c>
      <c r="Q43" s="34"/>
      <c r="R43" s="558"/>
      <c r="S43" s="565"/>
      <c r="T43" s="565"/>
      <c r="U43" s="586"/>
      <c r="V43" s="491">
        <f>COUNTIF(J43:U43, "X")</f>
        <v>5</v>
      </c>
    </row>
    <row r="44" spans="1:22">
      <c r="A44" s="604">
        <v>42</v>
      </c>
      <c r="B44" s="555" t="s">
        <v>105</v>
      </c>
      <c r="C44" s="423">
        <v>2</v>
      </c>
      <c r="D44" s="863"/>
      <c r="E44" s="155"/>
      <c r="F44" s="413">
        <v>2</v>
      </c>
      <c r="G44" s="57"/>
      <c r="H44" s="363"/>
      <c r="I44" s="35" t="s">
        <v>10</v>
      </c>
      <c r="J44" s="794" t="s">
        <v>40</v>
      </c>
      <c r="K44" s="382" t="s">
        <v>101</v>
      </c>
      <c r="L44" s="452" t="s">
        <v>38</v>
      </c>
      <c r="M44" s="359" t="s">
        <v>38</v>
      </c>
      <c r="N44" s="450" t="s">
        <v>38</v>
      </c>
      <c r="O44" s="359" t="s">
        <v>38</v>
      </c>
      <c r="P44" s="450" t="s">
        <v>38</v>
      </c>
      <c r="Q44" s="35" t="s">
        <v>38</v>
      </c>
      <c r="R44" s="558"/>
      <c r="S44" s="565"/>
      <c r="T44" s="565"/>
      <c r="U44" s="586"/>
      <c r="V44" s="491">
        <f>COUNTIF(J44:U44, "X")</f>
        <v>6</v>
      </c>
    </row>
    <row r="45" spans="1:22">
      <c r="A45" s="418">
        <v>43</v>
      </c>
      <c r="B45" s="548" t="s">
        <v>106</v>
      </c>
      <c r="C45" s="424" t="s">
        <v>87</v>
      </c>
      <c r="D45" s="864"/>
      <c r="E45" s="436"/>
      <c r="F45" s="414">
        <v>3</v>
      </c>
      <c r="G45" s="400"/>
      <c r="H45" s="376"/>
      <c r="I45" s="34" t="s">
        <v>88</v>
      </c>
      <c r="J45" s="792" t="s">
        <v>89</v>
      </c>
      <c r="K45" s="382"/>
      <c r="L45" s="451" t="s">
        <v>38</v>
      </c>
      <c r="M45" s="358" t="s">
        <v>38</v>
      </c>
      <c r="N45" s="449" t="s">
        <v>38</v>
      </c>
      <c r="O45" s="358"/>
      <c r="P45" s="449"/>
      <c r="Q45" s="706" t="s">
        <v>38</v>
      </c>
      <c r="R45" s="558"/>
      <c r="S45" s="565"/>
      <c r="T45" s="565"/>
      <c r="U45" s="586"/>
      <c r="V45" s="491">
        <f>COUNTIF(J45:U45, "X")</f>
        <v>4</v>
      </c>
    </row>
    <row r="46" spans="1:22">
      <c r="A46" s="604">
        <v>44</v>
      </c>
      <c r="B46" s="854" t="s">
        <v>107</v>
      </c>
      <c r="C46" s="420">
        <v>1</v>
      </c>
      <c r="D46" s="859"/>
      <c r="E46" s="160"/>
      <c r="F46" s="408">
        <v>3</v>
      </c>
      <c r="G46" s="57"/>
      <c r="H46" s="363"/>
      <c r="I46" s="816" t="s">
        <v>108</v>
      </c>
      <c r="J46" s="794"/>
      <c r="K46" s="382"/>
      <c r="L46" s="453"/>
      <c r="M46" s="359" t="s">
        <v>38</v>
      </c>
      <c r="N46" s="450" t="s">
        <v>38</v>
      </c>
      <c r="O46" s="359"/>
      <c r="P46" s="450"/>
      <c r="Q46" s="35" t="s">
        <v>38</v>
      </c>
      <c r="R46" s="558"/>
      <c r="S46" s="565"/>
      <c r="T46" s="565"/>
      <c r="U46" s="586"/>
      <c r="V46" s="491">
        <f>COUNTIF(J46:U46, "X")</f>
        <v>3</v>
      </c>
    </row>
    <row r="47" spans="1:22">
      <c r="A47" s="418">
        <v>45</v>
      </c>
      <c r="B47" s="553" t="s">
        <v>109</v>
      </c>
      <c r="C47" s="421">
        <v>1</v>
      </c>
      <c r="D47" s="860"/>
      <c r="E47" s="437"/>
      <c r="F47" s="415"/>
      <c r="G47" s="401"/>
      <c r="H47" s="377"/>
      <c r="I47" s="582" t="s">
        <v>59</v>
      </c>
      <c r="J47" s="792"/>
      <c r="K47" s="382"/>
      <c r="L47" s="451" t="s">
        <v>38</v>
      </c>
      <c r="M47" s="358" t="s">
        <v>38</v>
      </c>
      <c r="N47" s="449" t="s">
        <v>38</v>
      </c>
      <c r="O47" s="358"/>
      <c r="P47" s="449"/>
      <c r="Q47" s="34"/>
      <c r="R47" s="558"/>
      <c r="S47" s="565"/>
      <c r="T47" s="565"/>
      <c r="U47" s="586"/>
      <c r="V47" s="491">
        <f>COUNTIF(J47:U47, "X")</f>
        <v>3</v>
      </c>
    </row>
    <row r="48" spans="1:22">
      <c r="A48" s="418">
        <v>46</v>
      </c>
      <c r="B48" s="554" t="s">
        <v>110</v>
      </c>
      <c r="C48" s="361" t="s">
        <v>87</v>
      </c>
      <c r="D48" s="861"/>
      <c r="E48" s="438"/>
      <c r="F48" s="416">
        <v>2</v>
      </c>
      <c r="G48" s="402"/>
      <c r="H48" s="378"/>
      <c r="I48" s="389" t="s">
        <v>83</v>
      </c>
      <c r="J48" s="796"/>
      <c r="K48" s="382"/>
      <c r="L48" s="452" t="s">
        <v>38</v>
      </c>
      <c r="M48" s="359" t="s">
        <v>38</v>
      </c>
      <c r="N48" s="450"/>
      <c r="O48" s="359"/>
      <c r="P48" s="450"/>
      <c r="Q48" s="35"/>
      <c r="R48" s="558"/>
      <c r="S48" s="565"/>
      <c r="T48" s="565"/>
      <c r="U48" s="586"/>
      <c r="V48" s="491">
        <f>COUNTIF(J48:U48, "X")</f>
        <v>2</v>
      </c>
    </row>
    <row r="49" spans="1:22">
      <c r="A49" s="604">
        <v>47</v>
      </c>
      <c r="B49" s="553" t="s">
        <v>111</v>
      </c>
      <c r="C49" s="421">
        <v>1</v>
      </c>
      <c r="D49" s="860"/>
      <c r="E49" s="437"/>
      <c r="F49" s="415"/>
      <c r="G49" s="403"/>
      <c r="H49" s="379"/>
      <c r="I49" s="457" t="s">
        <v>112</v>
      </c>
      <c r="J49" s="792"/>
      <c r="K49" s="382"/>
      <c r="L49" s="449"/>
      <c r="M49" s="358"/>
      <c r="N49" s="449"/>
      <c r="O49" s="358" t="s">
        <v>38</v>
      </c>
      <c r="P49" s="449"/>
      <c r="Q49" s="34"/>
      <c r="R49" s="558"/>
      <c r="S49" s="565"/>
      <c r="T49" s="565"/>
      <c r="U49" s="586"/>
      <c r="V49" s="491">
        <f>COUNTIF(J49:U49, "X")</f>
        <v>1</v>
      </c>
    </row>
    <row r="50" spans="1:22">
      <c r="A50" s="418">
        <v>48</v>
      </c>
      <c r="B50" s="626" t="s">
        <v>113</v>
      </c>
      <c r="C50" s="425">
        <v>1</v>
      </c>
      <c r="D50" s="865"/>
      <c r="E50" s="61"/>
      <c r="F50" s="409">
        <v>3</v>
      </c>
      <c r="G50" s="396"/>
      <c r="H50" s="371"/>
      <c r="I50" s="816" t="s">
        <v>114</v>
      </c>
      <c r="J50" s="794"/>
      <c r="K50" s="382"/>
      <c r="L50" s="452" t="s">
        <v>38</v>
      </c>
      <c r="M50" s="359" t="s">
        <v>38</v>
      </c>
      <c r="N50" s="450"/>
      <c r="O50" s="359"/>
      <c r="P50" s="450"/>
      <c r="Q50" s="35"/>
      <c r="R50" s="558"/>
      <c r="S50" s="565"/>
      <c r="T50" s="565"/>
      <c r="U50" s="586"/>
      <c r="V50" s="491">
        <f>COUNTIF(J50:U50, "X")</f>
        <v>2</v>
      </c>
    </row>
    <row r="51" spans="1:22">
      <c r="A51" s="604">
        <v>49</v>
      </c>
      <c r="B51" s="626" t="s">
        <v>115</v>
      </c>
      <c r="C51" s="426">
        <v>1</v>
      </c>
      <c r="D51" s="866"/>
      <c r="E51" s="439"/>
      <c r="F51" s="409">
        <v>3</v>
      </c>
      <c r="G51" s="396"/>
      <c r="H51" s="371"/>
      <c r="I51" s="817" t="s">
        <v>116</v>
      </c>
      <c r="J51" s="792"/>
      <c r="K51" s="382"/>
      <c r="L51" s="449"/>
      <c r="M51" s="358"/>
      <c r="N51" s="449" t="s">
        <v>38</v>
      </c>
      <c r="O51" s="358"/>
      <c r="P51" s="449"/>
      <c r="Q51" s="34" t="s">
        <v>38</v>
      </c>
      <c r="R51" s="558"/>
      <c r="S51" s="565"/>
      <c r="T51" s="565"/>
      <c r="U51" s="586"/>
      <c r="V51" s="491">
        <f>COUNTIF(J51:U51, "X")</f>
        <v>2</v>
      </c>
    </row>
    <row r="52" spans="1:22">
      <c r="A52" s="560">
        <v>50</v>
      </c>
      <c r="B52" s="555" t="s">
        <v>117</v>
      </c>
      <c r="C52" s="427">
        <v>3</v>
      </c>
      <c r="D52" s="867"/>
      <c r="E52" s="440"/>
      <c r="F52" s="411">
        <v>2</v>
      </c>
      <c r="G52" s="156"/>
      <c r="H52" s="380"/>
      <c r="I52" s="387" t="s">
        <v>10</v>
      </c>
      <c r="J52" s="793" t="s">
        <v>104</v>
      </c>
      <c r="K52" s="382"/>
      <c r="L52" s="454"/>
      <c r="M52" s="360"/>
      <c r="N52" s="454"/>
      <c r="O52" s="360"/>
      <c r="P52" s="454"/>
      <c r="Q52" s="535" t="s">
        <v>38</v>
      </c>
      <c r="R52" s="558"/>
      <c r="S52" s="565"/>
      <c r="T52" s="565"/>
      <c r="U52" s="586"/>
      <c r="V52" s="491">
        <f>COUNTIF(J52:U52, "X")</f>
        <v>1</v>
      </c>
    </row>
    <row r="53" spans="1:22" ht="15.75" customHeight="1">
      <c r="A53" s="605">
        <v>51</v>
      </c>
      <c r="B53" s="556" t="s">
        <v>118</v>
      </c>
      <c r="C53" s="428">
        <v>1</v>
      </c>
      <c r="D53" s="613"/>
      <c r="E53" s="441"/>
      <c r="F53" s="417"/>
      <c r="G53" s="404"/>
      <c r="H53" s="381"/>
      <c r="I53" s="390" t="s">
        <v>59</v>
      </c>
      <c r="J53" s="797"/>
      <c r="K53" s="807"/>
      <c r="L53" s="455"/>
      <c r="M53" s="444"/>
      <c r="N53" s="85" t="s">
        <v>38</v>
      </c>
      <c r="O53" s="444"/>
      <c r="P53" s="455"/>
      <c r="Q53" s="537"/>
      <c r="R53" s="559"/>
      <c r="S53" s="587"/>
      <c r="T53" s="587"/>
      <c r="U53" s="588"/>
      <c r="V53" s="491">
        <f>COUNTIF(J53:U53, "X")</f>
        <v>1</v>
      </c>
    </row>
    <row r="54" spans="1:22" ht="27" customHeight="1">
      <c r="A54" s="8"/>
      <c r="B54" s="45" t="s">
        <v>119</v>
      </c>
      <c r="C54" s="45"/>
      <c r="D54" s="45"/>
      <c r="E54" s="45"/>
      <c r="F54" s="88">
        <f>SUM(F3:F52)</f>
        <v>104</v>
      </c>
      <c r="G54" s="89"/>
      <c r="H54" s="90"/>
      <c r="I54" s="11">
        <f>SUM(I3:I53)</f>
        <v>0</v>
      </c>
    </row>
    <row r="55" spans="1:22" ht="56.1" customHeight="1">
      <c r="A55" s="8"/>
      <c r="B55" s="1" t="s">
        <v>120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03" t="s">
        <v>121</v>
      </c>
      <c r="N55" s="904"/>
      <c r="O55" s="904"/>
      <c r="P55" s="904"/>
      <c r="Q55" s="905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9" t="s">
        <v>122</v>
      </c>
      <c r="C57" s="44"/>
      <c r="D57" s="44"/>
      <c r="E57" s="44"/>
      <c r="F57" s="44"/>
      <c r="G57" s="44"/>
      <c r="H57" s="44"/>
      <c r="I57" s="16"/>
      <c r="J57" s="16"/>
      <c r="K57" s="16"/>
      <c r="L57" s="7"/>
      <c r="M57" s="903" t="s">
        <v>123</v>
      </c>
      <c r="N57" s="904"/>
      <c r="O57" s="904"/>
      <c r="P57" s="904"/>
      <c r="Q57" s="905"/>
    </row>
    <row r="58" spans="1:22">
      <c r="C58" s="902" t="s">
        <v>124</v>
      </c>
      <c r="D58" s="902"/>
      <c r="E58" s="902"/>
      <c r="F58" s="902"/>
      <c r="G58" s="902"/>
      <c r="H58" s="902"/>
    </row>
    <row r="59" spans="1:22" ht="15.75" customHeight="1">
      <c r="B59" s="623" t="s">
        <v>18</v>
      </c>
      <c r="D59" t="s">
        <v>125</v>
      </c>
      <c r="E59" t="s">
        <v>126</v>
      </c>
      <c r="F59" t="s">
        <v>127</v>
      </c>
      <c r="G59" t="s">
        <v>128</v>
      </c>
      <c r="H59" t="s">
        <v>129</v>
      </c>
    </row>
    <row r="60" spans="1:22" ht="15.75" customHeight="1">
      <c r="C60" t="s">
        <v>130</v>
      </c>
      <c r="D60" t="s">
        <v>131</v>
      </c>
    </row>
    <row r="61" spans="1:22" ht="15.75" customHeight="1">
      <c r="C61" t="s">
        <v>132</v>
      </c>
    </row>
    <row r="62" spans="1:22" ht="15.75" customHeight="1">
      <c r="C62" t="s">
        <v>133</v>
      </c>
    </row>
    <row r="63" spans="1:22" ht="15.75" customHeight="1">
      <c r="C63" t="s">
        <v>134</v>
      </c>
    </row>
    <row r="64" spans="1:22" ht="15.75" customHeight="1">
      <c r="C64" t="s">
        <v>135</v>
      </c>
    </row>
    <row r="65" spans="3:3" ht="15.75" customHeight="1">
      <c r="C65" t="s">
        <v>136</v>
      </c>
    </row>
    <row r="66" spans="3:3" ht="15.75" customHeight="1">
      <c r="C66" t="s">
        <v>137</v>
      </c>
    </row>
    <row r="67" spans="3:3" ht="15.75" customHeight="1">
      <c r="C67" t="s">
        <v>138</v>
      </c>
    </row>
    <row r="68" spans="3:3" ht="15.75" customHeight="1">
      <c r="C68" t="s">
        <v>139</v>
      </c>
    </row>
    <row r="69" spans="3:3" ht="15.75" customHeight="1">
      <c r="C69" t="s">
        <v>140</v>
      </c>
    </row>
    <row r="70" spans="3:3" ht="15.75" customHeight="1">
      <c r="C70" t="s">
        <v>141</v>
      </c>
    </row>
  </sheetData>
  <mergeCells count="18"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  <mergeCell ref="C58:H58"/>
    <mergeCell ref="M55:Q55"/>
    <mergeCell ref="Q1:R1"/>
    <mergeCell ref="M57:Q57"/>
    <mergeCell ref="Q15:R15"/>
    <mergeCell ref="I1:I2"/>
    <mergeCell ref="K1:K2"/>
    <mergeCell ref="J1:J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tabSelected="1"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50" t="s">
        <v>142</v>
      </c>
      <c r="B1" s="259"/>
      <c r="C1" s="952" t="s">
        <v>143</v>
      </c>
      <c r="D1" s="953"/>
      <c r="E1" s="953"/>
      <c r="F1" s="953"/>
      <c r="G1" s="954"/>
      <c r="H1" s="259"/>
      <c r="I1" s="950" t="s">
        <v>144</v>
      </c>
      <c r="K1" s="952" t="s">
        <v>145</v>
      </c>
      <c r="L1" s="953"/>
      <c r="M1" s="953"/>
      <c r="N1" s="953"/>
      <c r="O1" s="953"/>
      <c r="P1" s="953"/>
      <c r="Q1" s="954"/>
      <c r="S1" s="952" t="s">
        <v>146</v>
      </c>
      <c r="T1" s="953"/>
      <c r="U1" s="953"/>
      <c r="V1" s="953"/>
      <c r="W1" s="953"/>
      <c r="X1" s="953"/>
      <c r="Y1" s="954"/>
      <c r="AA1" s="939"/>
      <c r="AB1" s="940"/>
      <c r="AC1" s="937" t="s">
        <v>147</v>
      </c>
      <c r="AD1" s="824"/>
      <c r="AE1" s="935" t="s">
        <v>148</v>
      </c>
      <c r="AF1" s="943"/>
      <c r="AG1" s="944"/>
      <c r="AH1" s="135"/>
    </row>
    <row r="2" spans="1:34" ht="23.25">
      <c r="A2" s="951"/>
      <c r="B2" s="259"/>
      <c r="C2" s="955"/>
      <c r="D2" s="956"/>
      <c r="E2" s="956"/>
      <c r="F2" s="956"/>
      <c r="G2" s="957"/>
      <c r="H2" s="259"/>
      <c r="I2" s="951"/>
      <c r="K2" s="955"/>
      <c r="L2" s="956"/>
      <c r="M2" s="956"/>
      <c r="N2" s="956"/>
      <c r="O2" s="956"/>
      <c r="P2" s="956"/>
      <c r="Q2" s="957"/>
      <c r="S2" s="955"/>
      <c r="T2" s="956"/>
      <c r="U2" s="956"/>
      <c r="V2" s="956"/>
      <c r="W2" s="956"/>
      <c r="X2" s="956"/>
      <c r="Y2" s="957"/>
      <c r="AA2" s="941"/>
      <c r="AB2" s="942"/>
      <c r="AC2" s="938"/>
      <c r="AD2" s="825"/>
      <c r="AE2" s="936"/>
      <c r="AF2" s="945"/>
      <c r="AG2" s="946"/>
      <c r="AH2" s="135"/>
    </row>
    <row r="3" spans="1:34" ht="41.25">
      <c r="A3" s="197" t="s">
        <v>0</v>
      </c>
      <c r="B3" s="260"/>
      <c r="C3" s="262" t="s">
        <v>149</v>
      </c>
      <c r="D3" s="266"/>
      <c r="E3" s="264" t="s">
        <v>150</v>
      </c>
      <c r="F3" s="266"/>
      <c r="G3" s="280" t="s">
        <v>151</v>
      </c>
      <c r="H3" s="260"/>
      <c r="I3" s="182" t="s">
        <v>152</v>
      </c>
      <c r="K3" s="182" t="s">
        <v>153</v>
      </c>
      <c r="L3" s="249"/>
      <c r="M3" s="184" t="s">
        <v>154</v>
      </c>
      <c r="N3" s="250"/>
      <c r="O3" s="186" t="s">
        <v>155</v>
      </c>
      <c r="P3" s="250"/>
      <c r="Q3" s="188" t="s">
        <v>156</v>
      </c>
      <c r="S3" s="190" t="s">
        <v>157</v>
      </c>
      <c r="T3" s="250"/>
      <c r="U3" s="197" t="s">
        <v>158</v>
      </c>
      <c r="V3" s="250"/>
      <c r="W3" s="192" t="s">
        <v>159</v>
      </c>
      <c r="X3" s="250"/>
      <c r="Y3" s="282" t="s">
        <v>160</v>
      </c>
      <c r="AA3" s="818" t="s">
        <v>157</v>
      </c>
      <c r="AB3" s="250"/>
      <c r="AC3" s="819" t="s">
        <v>158</v>
      </c>
      <c r="AD3" s="250"/>
      <c r="AE3" s="820" t="s">
        <v>159</v>
      </c>
      <c r="AF3" s="250"/>
      <c r="AG3" s="821" t="s">
        <v>160</v>
      </c>
    </row>
    <row r="4" spans="1:34">
      <c r="A4" s="198"/>
      <c r="C4" s="263"/>
      <c r="D4" s="250"/>
      <c r="E4" s="265"/>
      <c r="F4" s="250"/>
      <c r="G4" s="281"/>
      <c r="I4" s="183"/>
      <c r="K4" s="183"/>
      <c r="L4" s="249"/>
      <c r="M4" s="185"/>
      <c r="N4" s="250"/>
      <c r="O4" s="187"/>
      <c r="P4" s="250"/>
      <c r="Q4" s="189"/>
      <c r="S4" s="191"/>
      <c r="T4" s="250"/>
      <c r="U4" s="198"/>
      <c r="V4" s="250"/>
      <c r="W4" s="193"/>
      <c r="X4" s="250"/>
      <c r="Y4" s="283"/>
      <c r="AA4" s="191"/>
      <c r="AB4" s="250"/>
      <c r="AC4" s="198"/>
      <c r="AD4" s="250"/>
      <c r="AE4" s="193"/>
      <c r="AF4" s="250"/>
      <c r="AG4" s="283"/>
    </row>
    <row r="5" spans="1:34" ht="18.75">
      <c r="A5" s="199" t="s">
        <v>142</v>
      </c>
      <c r="B5" s="261"/>
      <c r="C5" s="200" t="s">
        <v>161</v>
      </c>
      <c r="D5" s="267"/>
      <c r="E5" s="200" t="s">
        <v>161</v>
      </c>
      <c r="F5" s="267"/>
      <c r="G5" s="270" t="s">
        <v>161</v>
      </c>
      <c r="H5" s="261"/>
      <c r="I5" s="181" t="s">
        <v>162</v>
      </c>
      <c r="K5" s="181" t="s">
        <v>161</v>
      </c>
      <c r="L5" s="250"/>
      <c r="M5" s="181" t="s">
        <v>161</v>
      </c>
      <c r="N5" s="250"/>
      <c r="O5" s="181" t="s">
        <v>161</v>
      </c>
      <c r="P5" s="250"/>
      <c r="Q5" s="181" t="s">
        <v>161</v>
      </c>
      <c r="S5" s="181" t="s">
        <v>161</v>
      </c>
      <c r="T5" s="250"/>
      <c r="U5" s="698" t="s">
        <v>161</v>
      </c>
      <c r="V5" s="250"/>
      <c r="W5" s="181" t="s">
        <v>161</v>
      </c>
      <c r="X5" s="250"/>
      <c r="Y5" s="181" t="s">
        <v>161</v>
      </c>
      <c r="AA5" s="181" t="s">
        <v>161</v>
      </c>
      <c r="AB5" s="250"/>
      <c r="AC5" s="698" t="s">
        <v>161</v>
      </c>
      <c r="AD5" s="250"/>
      <c r="AE5" s="181" t="s">
        <v>161</v>
      </c>
      <c r="AF5" s="250"/>
      <c r="AG5" s="181" t="s">
        <v>161</v>
      </c>
    </row>
    <row r="6" spans="1:34">
      <c r="A6" s="169" t="s">
        <v>163</v>
      </c>
      <c r="B6" s="142"/>
      <c r="C6" s="169" t="s">
        <v>163</v>
      </c>
      <c r="D6" s="254"/>
      <c r="E6" s="169" t="s">
        <v>163</v>
      </c>
      <c r="F6" s="254"/>
      <c r="G6" s="271" t="s">
        <v>163</v>
      </c>
      <c r="H6" s="142"/>
      <c r="I6" s="169" t="s">
        <v>163</v>
      </c>
      <c r="K6" s="143" t="s">
        <v>163</v>
      </c>
      <c r="L6" s="250"/>
      <c r="M6" s="143" t="s">
        <v>163</v>
      </c>
      <c r="N6" s="250"/>
      <c r="O6" s="143" t="s">
        <v>163</v>
      </c>
      <c r="P6" s="250"/>
      <c r="Q6" s="143" t="s">
        <v>163</v>
      </c>
      <c r="S6" s="169" t="s">
        <v>163</v>
      </c>
      <c r="T6" s="250"/>
      <c r="U6" s="169" t="s">
        <v>163</v>
      </c>
      <c r="V6" s="250"/>
      <c r="W6" s="169" t="s">
        <v>163</v>
      </c>
      <c r="X6" s="250"/>
      <c r="Y6" s="169" t="s">
        <v>163</v>
      </c>
      <c r="AA6" s="169" t="s">
        <v>163</v>
      </c>
      <c r="AB6" s="250"/>
      <c r="AC6" s="169" t="s">
        <v>163</v>
      </c>
      <c r="AD6" s="250"/>
      <c r="AE6" s="169" t="s">
        <v>163</v>
      </c>
      <c r="AF6" s="250"/>
      <c r="AG6" s="169" t="s">
        <v>163</v>
      </c>
    </row>
    <row r="7" spans="1:34">
      <c r="A7" s="144" t="s">
        <v>9</v>
      </c>
      <c r="B7" s="168"/>
      <c r="C7" s="144" t="s">
        <v>37</v>
      </c>
      <c r="D7" s="268"/>
      <c r="E7" s="144" t="s">
        <v>37</v>
      </c>
      <c r="F7" s="268"/>
      <c r="G7" s="272" t="s">
        <v>37</v>
      </c>
      <c r="H7" s="168"/>
      <c r="I7" s="144" t="s">
        <v>37</v>
      </c>
      <c r="K7" s="144" t="s">
        <v>37</v>
      </c>
      <c r="L7" s="250"/>
      <c r="M7" s="144" t="s">
        <v>37</v>
      </c>
      <c r="N7" s="250"/>
      <c r="O7" s="144" t="s">
        <v>37</v>
      </c>
      <c r="P7" s="250"/>
      <c r="Q7" s="144" t="s">
        <v>37</v>
      </c>
      <c r="S7" s="144" t="s">
        <v>37</v>
      </c>
      <c r="T7" s="250"/>
      <c r="U7" s="144" t="s">
        <v>37</v>
      </c>
      <c r="V7" s="250"/>
      <c r="W7" s="144" t="s">
        <v>37</v>
      </c>
      <c r="X7" s="250"/>
      <c r="Y7" s="144" t="s">
        <v>37</v>
      </c>
      <c r="AA7" s="144" t="s">
        <v>37</v>
      </c>
      <c r="AB7" s="250"/>
      <c r="AC7" s="144" t="s">
        <v>37</v>
      </c>
      <c r="AD7" s="250"/>
      <c r="AE7" s="144" t="s">
        <v>37</v>
      </c>
      <c r="AF7" s="250"/>
      <c r="AG7" s="144" t="s">
        <v>37</v>
      </c>
    </row>
    <row r="8" spans="1:34">
      <c r="A8" s="144" t="s">
        <v>164</v>
      </c>
      <c r="B8" s="168"/>
      <c r="C8" s="144" t="s">
        <v>39</v>
      </c>
      <c r="D8" s="268"/>
      <c r="E8" s="144" t="s">
        <v>39</v>
      </c>
      <c r="F8" s="268"/>
      <c r="G8" s="272" t="s">
        <v>51</v>
      </c>
      <c r="H8" s="168"/>
      <c r="I8" s="167"/>
      <c r="K8" s="144" t="s">
        <v>39</v>
      </c>
      <c r="L8" s="250"/>
      <c r="M8" s="144" t="s">
        <v>39</v>
      </c>
      <c r="N8" s="250"/>
      <c r="O8" s="144" t="s">
        <v>39</v>
      </c>
      <c r="P8" s="250"/>
      <c r="Q8" s="144" t="s">
        <v>39</v>
      </c>
      <c r="S8" s="144" t="s">
        <v>39</v>
      </c>
      <c r="T8" s="250"/>
      <c r="U8" s="144" t="s">
        <v>39</v>
      </c>
      <c r="V8" s="250"/>
      <c r="W8" s="144" t="s">
        <v>39</v>
      </c>
      <c r="X8" s="250"/>
      <c r="Y8" s="144" t="s">
        <v>39</v>
      </c>
      <c r="AA8" s="144" t="s">
        <v>39</v>
      </c>
      <c r="AB8" s="250"/>
      <c r="AC8" s="144" t="s">
        <v>39</v>
      </c>
      <c r="AD8" s="250"/>
      <c r="AE8" s="144" t="s">
        <v>39</v>
      </c>
      <c r="AF8" s="250"/>
      <c r="AG8" s="144" t="s">
        <v>39</v>
      </c>
    </row>
    <row r="9" spans="1:34">
      <c r="A9" s="144" t="s">
        <v>11</v>
      </c>
      <c r="B9" s="168"/>
      <c r="C9" s="144" t="s">
        <v>42</v>
      </c>
      <c r="D9" s="268"/>
      <c r="E9" s="144" t="s">
        <v>42</v>
      </c>
      <c r="F9" s="268"/>
      <c r="G9" s="272" t="s">
        <v>165</v>
      </c>
      <c r="H9" s="168"/>
      <c r="I9" s="146" t="s">
        <v>166</v>
      </c>
      <c r="K9" s="144" t="s">
        <v>50</v>
      </c>
      <c r="L9" s="250"/>
      <c r="M9" s="144" t="s">
        <v>57</v>
      </c>
      <c r="N9" s="250"/>
      <c r="O9" s="144" t="s">
        <v>42</v>
      </c>
      <c r="P9" s="250"/>
      <c r="Q9" s="144" t="s">
        <v>42</v>
      </c>
      <c r="S9" s="167"/>
      <c r="T9" s="250"/>
      <c r="U9" s="145"/>
      <c r="V9" s="250"/>
      <c r="W9" s="167"/>
      <c r="X9" s="250"/>
      <c r="Y9" s="167"/>
      <c r="AA9" s="167"/>
      <c r="AB9" s="250"/>
      <c r="AC9" s="145"/>
      <c r="AD9" s="250"/>
      <c r="AE9" s="167"/>
      <c r="AF9" s="250"/>
      <c r="AG9" s="167"/>
    </row>
    <row r="10" spans="1:34" ht="18.75">
      <c r="A10" s="145"/>
      <c r="C10" s="145"/>
      <c r="D10" s="250"/>
      <c r="E10" s="145"/>
      <c r="F10" s="250"/>
      <c r="G10" s="273"/>
      <c r="I10" s="152" t="s">
        <v>51</v>
      </c>
      <c r="K10" s="200"/>
      <c r="L10" s="250"/>
      <c r="M10" s="145"/>
      <c r="N10" s="250"/>
      <c r="O10" s="145"/>
      <c r="P10" s="250"/>
      <c r="Q10" s="145"/>
      <c r="S10" s="146" t="s">
        <v>166</v>
      </c>
      <c r="T10" s="250"/>
      <c r="U10" s="146" t="s">
        <v>166</v>
      </c>
      <c r="V10" s="250"/>
      <c r="W10" s="146" t="s">
        <v>166</v>
      </c>
      <c r="X10" s="250"/>
      <c r="Y10" s="146" t="s">
        <v>166</v>
      </c>
      <c r="AA10" s="146" t="s">
        <v>166</v>
      </c>
      <c r="AB10" s="250"/>
      <c r="AC10" s="146" t="s">
        <v>166</v>
      </c>
      <c r="AD10" s="250"/>
      <c r="AE10" s="146" t="s">
        <v>166</v>
      </c>
      <c r="AF10" s="250"/>
      <c r="AG10" s="146" t="s">
        <v>166</v>
      </c>
    </row>
    <row r="11" spans="1:34">
      <c r="A11" s="146" t="s">
        <v>166</v>
      </c>
      <c r="B11" s="142"/>
      <c r="C11" s="146" t="s">
        <v>166</v>
      </c>
      <c r="D11" s="254"/>
      <c r="E11" s="146" t="s">
        <v>166</v>
      </c>
      <c r="F11" s="254"/>
      <c r="G11" s="274" t="s">
        <v>166</v>
      </c>
      <c r="H11" s="142"/>
      <c r="I11" s="145"/>
      <c r="K11" s="146" t="s">
        <v>166</v>
      </c>
      <c r="L11" s="250"/>
      <c r="M11" s="146" t="s">
        <v>166</v>
      </c>
      <c r="N11" s="250"/>
      <c r="O11" s="146" t="s">
        <v>166</v>
      </c>
      <c r="P11" s="250"/>
      <c r="Q11" s="146" t="s">
        <v>166</v>
      </c>
      <c r="S11" s="152" t="s">
        <v>51</v>
      </c>
      <c r="T11" s="250"/>
      <c r="U11" s="152" t="s">
        <v>51</v>
      </c>
      <c r="V11" s="250"/>
      <c r="W11" s="152" t="s">
        <v>51</v>
      </c>
      <c r="X11" s="250"/>
      <c r="Y11" s="152" t="s">
        <v>51</v>
      </c>
      <c r="AA11" s="152" t="s">
        <v>51</v>
      </c>
      <c r="AB11" s="250"/>
      <c r="AC11" s="152" t="s">
        <v>51</v>
      </c>
      <c r="AD11" s="250"/>
      <c r="AE11" s="152" t="s">
        <v>51</v>
      </c>
      <c r="AF11" s="250"/>
      <c r="AG11" s="152" t="s">
        <v>51</v>
      </c>
    </row>
    <row r="12" spans="1:34">
      <c r="A12" s="152" t="s">
        <v>7</v>
      </c>
      <c r="B12" s="168"/>
      <c r="C12" s="152" t="s">
        <v>167</v>
      </c>
      <c r="D12" s="268"/>
      <c r="E12" s="152" t="s">
        <v>168</v>
      </c>
      <c r="F12" s="268"/>
      <c r="G12" s="275" t="s">
        <v>168</v>
      </c>
      <c r="H12" s="168"/>
      <c r="I12" s="170" t="s">
        <v>169</v>
      </c>
      <c r="K12" s="152" t="s">
        <v>51</v>
      </c>
      <c r="L12" s="250"/>
      <c r="M12" s="152" t="s">
        <v>51</v>
      </c>
      <c r="N12" s="250"/>
      <c r="O12" s="152" t="s">
        <v>51</v>
      </c>
      <c r="P12" s="250"/>
      <c r="Q12" s="152" t="s">
        <v>51</v>
      </c>
      <c r="S12" s="152" t="s">
        <v>60</v>
      </c>
      <c r="T12" s="250"/>
      <c r="U12" s="153" t="s">
        <v>53</v>
      </c>
      <c r="V12" s="250"/>
      <c r="W12" s="153" t="s">
        <v>49</v>
      </c>
      <c r="X12" s="250"/>
      <c r="Y12" s="153" t="s">
        <v>49</v>
      </c>
      <c r="AA12" s="152" t="s">
        <v>60</v>
      </c>
      <c r="AB12" s="250"/>
      <c r="AC12" s="153" t="s">
        <v>53</v>
      </c>
      <c r="AD12" s="250"/>
      <c r="AE12" s="153" t="s">
        <v>49</v>
      </c>
      <c r="AF12" s="250"/>
      <c r="AG12" s="153" t="s">
        <v>49</v>
      </c>
    </row>
    <row r="13" spans="1:34">
      <c r="A13" s="152" t="s">
        <v>14</v>
      </c>
      <c r="B13" s="168"/>
      <c r="C13" s="152" t="s">
        <v>170</v>
      </c>
      <c r="D13" s="268"/>
      <c r="E13" s="152" t="s">
        <v>170</v>
      </c>
      <c r="F13" s="268"/>
      <c r="G13" s="275" t="s">
        <v>171</v>
      </c>
      <c r="H13" s="168"/>
      <c r="I13" s="172" t="s">
        <v>171</v>
      </c>
      <c r="K13" s="152" t="s">
        <v>53</v>
      </c>
      <c r="L13" s="250"/>
      <c r="M13" s="152" t="s">
        <v>60</v>
      </c>
      <c r="N13" s="250"/>
      <c r="O13" s="152" t="s">
        <v>170</v>
      </c>
      <c r="P13" s="250"/>
      <c r="Q13" s="152" t="s">
        <v>170</v>
      </c>
      <c r="S13" s="150"/>
      <c r="T13" s="250"/>
      <c r="U13" s="145"/>
      <c r="V13" s="250"/>
      <c r="W13" s="150"/>
      <c r="X13" s="250"/>
      <c r="Y13" s="150"/>
      <c r="AA13" s="150"/>
      <c r="AB13" s="250"/>
      <c r="AC13" s="145"/>
      <c r="AD13" s="250"/>
      <c r="AE13" s="150"/>
      <c r="AF13" s="250"/>
      <c r="AG13" s="150"/>
    </row>
    <row r="14" spans="1:34">
      <c r="A14" s="153" t="s">
        <v>13</v>
      </c>
      <c r="B14" s="168"/>
      <c r="C14" s="153" t="s">
        <v>49</v>
      </c>
      <c r="D14" s="268"/>
      <c r="E14" s="153" t="s">
        <v>49</v>
      </c>
      <c r="F14" s="268"/>
      <c r="G14" s="276" t="s">
        <v>172</v>
      </c>
      <c r="H14" s="168"/>
      <c r="I14" s="145"/>
      <c r="K14" s="153" t="s">
        <v>56</v>
      </c>
      <c r="L14" s="250"/>
      <c r="M14" s="153" t="s">
        <v>56</v>
      </c>
      <c r="N14" s="250"/>
      <c r="O14" s="153" t="s">
        <v>49</v>
      </c>
      <c r="P14" s="250"/>
      <c r="Q14" s="153" t="s">
        <v>49</v>
      </c>
      <c r="S14" s="170" t="s">
        <v>169</v>
      </c>
      <c r="T14" s="250"/>
      <c r="U14" s="170" t="s">
        <v>169</v>
      </c>
      <c r="V14" s="250"/>
      <c r="W14" s="170" t="s">
        <v>169</v>
      </c>
      <c r="X14" s="250"/>
      <c r="Y14" s="170" t="s">
        <v>169</v>
      </c>
      <c r="AA14" s="170" t="s">
        <v>169</v>
      </c>
      <c r="AB14" s="250"/>
      <c r="AC14" s="170" t="s">
        <v>169</v>
      </c>
      <c r="AD14" s="250"/>
      <c r="AE14" s="170" t="s">
        <v>169</v>
      </c>
      <c r="AF14" s="250"/>
      <c r="AG14" s="170" t="s">
        <v>169</v>
      </c>
    </row>
    <row r="15" spans="1:34" ht="18.75">
      <c r="C15" s="256"/>
      <c r="D15" s="250"/>
      <c r="E15" s="250"/>
      <c r="F15" s="250"/>
      <c r="G15" s="273"/>
      <c r="I15" s="201" t="s">
        <v>173</v>
      </c>
      <c r="K15" s="253"/>
      <c r="L15" s="250"/>
      <c r="M15" s="254"/>
      <c r="N15" s="250"/>
      <c r="O15" s="254"/>
      <c r="P15" s="250"/>
      <c r="Q15" s="255"/>
      <c r="S15" s="757" t="s">
        <v>174</v>
      </c>
      <c r="T15" s="250"/>
      <c r="U15" s="757" t="s">
        <v>174</v>
      </c>
      <c r="V15" s="250"/>
      <c r="W15" s="757" t="s">
        <v>174</v>
      </c>
      <c r="X15" s="250"/>
      <c r="Y15" s="758" t="s">
        <v>171</v>
      </c>
      <c r="AA15" s="757" t="s">
        <v>174</v>
      </c>
      <c r="AB15" s="250"/>
      <c r="AC15" s="757" t="s">
        <v>174</v>
      </c>
      <c r="AD15" s="250"/>
      <c r="AE15" s="757" t="s">
        <v>174</v>
      </c>
      <c r="AF15" s="250"/>
      <c r="AG15" s="758" t="s">
        <v>171</v>
      </c>
    </row>
    <row r="16" spans="1:34" ht="18.75">
      <c r="C16" s="269"/>
      <c r="D16" s="252"/>
      <c r="E16" s="252"/>
      <c r="F16" s="252"/>
      <c r="G16" s="277" t="s">
        <v>175</v>
      </c>
      <c r="I16" s="169" t="s">
        <v>163</v>
      </c>
      <c r="K16" s="147" t="s">
        <v>176</v>
      </c>
      <c r="L16" s="250"/>
      <c r="M16" s="147" t="s">
        <v>176</v>
      </c>
      <c r="N16" s="250"/>
      <c r="O16" s="147" t="s">
        <v>176</v>
      </c>
      <c r="P16" s="250"/>
      <c r="Q16" s="147" t="s">
        <v>176</v>
      </c>
      <c r="S16" s="756" t="s">
        <v>177</v>
      </c>
      <c r="T16" s="250"/>
      <c r="U16" s="756" t="s">
        <v>177</v>
      </c>
      <c r="V16" s="250"/>
      <c r="W16" s="756" t="s">
        <v>178</v>
      </c>
      <c r="X16" s="250"/>
      <c r="Y16" s="756" t="s">
        <v>178</v>
      </c>
      <c r="AA16" s="756" t="s">
        <v>177</v>
      </c>
      <c r="AB16" s="250"/>
      <c r="AC16" s="756" t="s">
        <v>177</v>
      </c>
      <c r="AD16" s="250"/>
      <c r="AE16" s="756" t="s">
        <v>178</v>
      </c>
      <c r="AF16" s="250"/>
      <c r="AG16" s="756" t="s">
        <v>178</v>
      </c>
    </row>
    <row r="17" spans="9:33">
      <c r="I17" s="144" t="s">
        <v>165</v>
      </c>
      <c r="K17" s="148" t="s">
        <v>163</v>
      </c>
      <c r="L17" s="250"/>
      <c r="M17" s="148" t="s">
        <v>163</v>
      </c>
      <c r="N17" s="250"/>
      <c r="O17" s="148" t="s">
        <v>163</v>
      </c>
      <c r="P17" s="250"/>
      <c r="Q17" s="148" t="s">
        <v>163</v>
      </c>
      <c r="S17" s="256"/>
      <c r="T17" s="250"/>
      <c r="U17" s="699"/>
      <c r="V17" s="250"/>
      <c r="W17" s="250"/>
      <c r="X17" s="250"/>
      <c r="Y17" s="257"/>
      <c r="AA17" s="256"/>
      <c r="AB17" s="250"/>
      <c r="AC17" s="699"/>
      <c r="AD17" s="250"/>
      <c r="AE17" s="250"/>
      <c r="AF17" s="250"/>
      <c r="AG17" s="257"/>
    </row>
    <row r="18" spans="9:33" ht="18.75">
      <c r="I18" s="167"/>
      <c r="K18" s="149" t="s">
        <v>179</v>
      </c>
      <c r="L18" s="250"/>
      <c r="M18" s="149" t="s">
        <v>179</v>
      </c>
      <c r="N18" s="250"/>
      <c r="O18" s="161" t="s">
        <v>69</v>
      </c>
      <c r="P18" s="250"/>
      <c r="Q18" s="161" t="s">
        <v>69</v>
      </c>
      <c r="S18" s="147" t="s">
        <v>176</v>
      </c>
      <c r="T18" s="250"/>
      <c r="U18" s="147" t="s">
        <v>176</v>
      </c>
      <c r="V18" s="250"/>
      <c r="W18" s="147" t="s">
        <v>176</v>
      </c>
      <c r="X18" s="250"/>
      <c r="Y18" s="147" t="s">
        <v>176</v>
      </c>
      <c r="AA18" s="147" t="s">
        <v>176</v>
      </c>
      <c r="AB18" s="250"/>
      <c r="AC18" s="147" t="s">
        <v>176</v>
      </c>
      <c r="AD18" s="250"/>
      <c r="AE18" s="147" t="s">
        <v>176</v>
      </c>
      <c r="AF18" s="250"/>
      <c r="AG18" s="147" t="s">
        <v>176</v>
      </c>
    </row>
    <row r="19" spans="9:33">
      <c r="I19" s="146" t="s">
        <v>166</v>
      </c>
      <c r="K19" s="149" t="s">
        <v>78</v>
      </c>
      <c r="L19" s="250"/>
      <c r="M19" s="149" t="s">
        <v>180</v>
      </c>
      <c r="N19" s="250"/>
      <c r="O19" s="149" t="s">
        <v>74</v>
      </c>
      <c r="P19" s="250"/>
      <c r="Q19" s="149" t="s">
        <v>84</v>
      </c>
      <c r="S19" s="148" t="s">
        <v>163</v>
      </c>
      <c r="T19" s="250"/>
      <c r="U19" s="148" t="s">
        <v>163</v>
      </c>
      <c r="V19" s="250"/>
      <c r="W19" s="148" t="s">
        <v>163</v>
      </c>
      <c r="X19" s="250"/>
      <c r="Y19" s="148" t="s">
        <v>163</v>
      </c>
      <c r="AA19" s="148" t="s">
        <v>163</v>
      </c>
      <c r="AB19" s="250"/>
      <c r="AC19" s="148" t="s">
        <v>163</v>
      </c>
      <c r="AD19" s="250"/>
      <c r="AE19" s="148" t="s">
        <v>163</v>
      </c>
      <c r="AF19" s="250"/>
      <c r="AG19" s="148" t="s">
        <v>163</v>
      </c>
    </row>
    <row r="20" spans="9:33">
      <c r="I20" s="152" t="s">
        <v>172</v>
      </c>
      <c r="K20" s="149" t="s">
        <v>91</v>
      </c>
      <c r="L20" s="250"/>
      <c r="M20" s="149" t="s">
        <v>91</v>
      </c>
      <c r="N20" s="250"/>
      <c r="O20" s="149" t="s">
        <v>76</v>
      </c>
      <c r="P20" s="250"/>
      <c r="Q20" s="149" t="s">
        <v>76</v>
      </c>
      <c r="S20" s="149" t="s">
        <v>179</v>
      </c>
      <c r="T20" s="250"/>
      <c r="U20" s="149" t="s">
        <v>179</v>
      </c>
      <c r="V20" s="250"/>
      <c r="W20" s="149" t="s">
        <v>181</v>
      </c>
      <c r="X20" s="250"/>
      <c r="Y20" s="149" t="s">
        <v>182</v>
      </c>
      <c r="AA20" s="149" t="s">
        <v>179</v>
      </c>
      <c r="AB20" s="250"/>
      <c r="AC20" s="149" t="s">
        <v>179</v>
      </c>
      <c r="AD20" s="250"/>
      <c r="AE20" s="149" t="s">
        <v>181</v>
      </c>
      <c r="AF20" s="250"/>
      <c r="AG20" s="149" t="s">
        <v>182</v>
      </c>
    </row>
    <row r="21" spans="9:33">
      <c r="I21" s="150"/>
      <c r="K21" s="150"/>
      <c r="L21" s="250"/>
      <c r="M21" s="150"/>
      <c r="N21" s="250"/>
      <c r="O21" s="150"/>
      <c r="P21" s="250"/>
      <c r="Q21" s="150"/>
      <c r="S21" s="149" t="s">
        <v>91</v>
      </c>
      <c r="T21" s="250"/>
      <c r="U21" s="149" t="s">
        <v>78</v>
      </c>
      <c r="V21" s="250"/>
      <c r="W21" s="149" t="s">
        <v>183</v>
      </c>
      <c r="X21" s="250"/>
      <c r="Y21" s="149" t="s">
        <v>183</v>
      </c>
      <c r="AA21" s="149" t="s">
        <v>91</v>
      </c>
      <c r="AB21" s="250"/>
      <c r="AC21" s="149" t="s">
        <v>78</v>
      </c>
      <c r="AD21" s="250"/>
      <c r="AE21" s="149" t="s">
        <v>183</v>
      </c>
      <c r="AF21" s="250"/>
      <c r="AG21" s="149" t="s">
        <v>183</v>
      </c>
    </row>
    <row r="22" spans="9:33">
      <c r="I22" s="170" t="s">
        <v>169</v>
      </c>
      <c r="K22" s="146" t="s">
        <v>166</v>
      </c>
      <c r="L22" s="250"/>
      <c r="M22" s="146" t="s">
        <v>166</v>
      </c>
      <c r="N22" s="250"/>
      <c r="O22" s="146" t="s">
        <v>166</v>
      </c>
      <c r="P22" s="250"/>
      <c r="Q22" s="146" t="s">
        <v>166</v>
      </c>
      <c r="S22" s="150"/>
      <c r="T22" s="250"/>
      <c r="U22" s="150"/>
      <c r="V22" s="250"/>
      <c r="W22" s="150"/>
      <c r="X22" s="250"/>
      <c r="Y22" s="150"/>
      <c r="AA22" s="150"/>
      <c r="AB22" s="250"/>
      <c r="AC22" s="150"/>
      <c r="AD22" s="250"/>
      <c r="AE22" s="150"/>
      <c r="AF22" s="250"/>
      <c r="AG22" s="150"/>
    </row>
    <row r="23" spans="9:33">
      <c r="I23" s="171" t="s">
        <v>184</v>
      </c>
      <c r="K23" s="152" t="s">
        <v>185</v>
      </c>
      <c r="L23" s="250"/>
      <c r="M23" s="152" t="s">
        <v>185</v>
      </c>
      <c r="N23" s="250"/>
      <c r="O23" s="152" t="s">
        <v>185</v>
      </c>
      <c r="P23" s="250"/>
      <c r="Q23" s="152" t="s">
        <v>185</v>
      </c>
      <c r="S23" s="146" t="s">
        <v>166</v>
      </c>
      <c r="T23" s="250"/>
      <c r="U23" s="146" t="s">
        <v>166</v>
      </c>
      <c r="V23" s="250"/>
      <c r="W23" s="146" t="s">
        <v>166</v>
      </c>
      <c r="X23" s="250"/>
      <c r="Y23" s="146" t="s">
        <v>166</v>
      </c>
      <c r="AA23" s="146" t="s">
        <v>166</v>
      </c>
      <c r="AB23" s="250"/>
      <c r="AC23" s="146" t="s">
        <v>166</v>
      </c>
      <c r="AD23" s="250"/>
      <c r="AE23" s="146" t="s">
        <v>166</v>
      </c>
      <c r="AF23" s="250"/>
      <c r="AG23" s="146" t="s">
        <v>166</v>
      </c>
    </row>
    <row r="24" spans="9:33">
      <c r="I24" s="167"/>
      <c r="K24" s="152" t="s">
        <v>82</v>
      </c>
      <c r="L24" s="250"/>
      <c r="M24" s="152" t="s">
        <v>90</v>
      </c>
      <c r="N24" s="250"/>
      <c r="O24" s="152" t="s">
        <v>71</v>
      </c>
      <c r="P24" s="250"/>
      <c r="Q24" s="152" t="s">
        <v>71</v>
      </c>
      <c r="S24" s="540" t="s">
        <v>186</v>
      </c>
      <c r="T24" s="250"/>
      <c r="U24" s="540" t="s">
        <v>186</v>
      </c>
      <c r="V24" s="250"/>
      <c r="W24" s="152" t="s">
        <v>71</v>
      </c>
      <c r="X24" s="250"/>
      <c r="Y24" s="152" t="s">
        <v>71</v>
      </c>
      <c r="AA24" s="540" t="s">
        <v>186</v>
      </c>
      <c r="AB24" s="250"/>
      <c r="AC24" s="540" t="s">
        <v>186</v>
      </c>
      <c r="AD24" s="250"/>
      <c r="AE24" s="152" t="s">
        <v>71</v>
      </c>
      <c r="AF24" s="250"/>
      <c r="AG24" s="152" t="s">
        <v>71</v>
      </c>
    </row>
    <row r="25" spans="9:33">
      <c r="I25" s="203" t="s">
        <v>187</v>
      </c>
      <c r="K25" s="153" t="s">
        <v>80</v>
      </c>
      <c r="L25" s="250"/>
      <c r="M25" s="153" t="s">
        <v>80</v>
      </c>
      <c r="N25" s="250"/>
      <c r="O25" s="153" t="s">
        <v>72</v>
      </c>
      <c r="P25" s="250"/>
      <c r="Q25" s="153" t="s">
        <v>85</v>
      </c>
      <c r="S25" s="152" t="s">
        <v>90</v>
      </c>
      <c r="T25" s="250"/>
      <c r="U25" s="152" t="s">
        <v>188</v>
      </c>
      <c r="V25" s="250"/>
      <c r="W25" s="152" t="s">
        <v>189</v>
      </c>
      <c r="X25" s="250"/>
      <c r="Y25" s="152" t="s">
        <v>85</v>
      </c>
      <c r="AA25" s="152" t="s">
        <v>90</v>
      </c>
      <c r="AB25" s="250"/>
      <c r="AC25" s="152" t="s">
        <v>188</v>
      </c>
      <c r="AD25" s="250"/>
      <c r="AE25" s="152" t="s">
        <v>189</v>
      </c>
      <c r="AF25" s="250"/>
      <c r="AG25" s="152" t="s">
        <v>85</v>
      </c>
    </row>
    <row r="26" spans="9:33">
      <c r="I26" s="202" t="s">
        <v>190</v>
      </c>
      <c r="K26" s="256"/>
      <c r="L26" s="250"/>
      <c r="M26" s="250"/>
      <c r="N26" s="250"/>
      <c r="O26" s="250"/>
      <c r="P26" s="250"/>
      <c r="Q26" s="257"/>
      <c r="S26" s="167"/>
      <c r="T26" s="250"/>
      <c r="U26" s="167"/>
      <c r="V26" s="250"/>
      <c r="W26" s="167"/>
      <c r="X26" s="250"/>
      <c r="Y26" s="167"/>
      <c r="AA26" s="167"/>
      <c r="AB26" s="250"/>
      <c r="AC26" s="167"/>
      <c r="AD26" s="250"/>
      <c r="AE26" s="167"/>
      <c r="AF26" s="250"/>
      <c r="AG26" s="167"/>
    </row>
    <row r="27" spans="9:33" ht="18.75">
      <c r="I27" s="142"/>
      <c r="K27" s="147" t="s">
        <v>191</v>
      </c>
      <c r="L27" s="250"/>
      <c r="M27" s="147" t="s">
        <v>191</v>
      </c>
      <c r="N27" s="250"/>
      <c r="O27" s="147" t="s">
        <v>191</v>
      </c>
      <c r="P27" s="250"/>
      <c r="Q27" s="147" t="s">
        <v>191</v>
      </c>
      <c r="S27" s="170" t="s">
        <v>169</v>
      </c>
      <c r="T27" s="250"/>
      <c r="U27" s="170" t="s">
        <v>169</v>
      </c>
      <c r="V27" s="250"/>
      <c r="W27" s="170" t="s">
        <v>169</v>
      </c>
      <c r="X27" s="250"/>
      <c r="Y27" s="170" t="s">
        <v>169</v>
      </c>
      <c r="AA27" s="170" t="s">
        <v>169</v>
      </c>
      <c r="AB27" s="250"/>
      <c r="AC27" s="170" t="s">
        <v>169</v>
      </c>
      <c r="AD27" s="250"/>
      <c r="AE27" s="170" t="s">
        <v>169</v>
      </c>
      <c r="AF27" s="250"/>
      <c r="AG27" s="170" t="s">
        <v>169</v>
      </c>
    </row>
    <row r="28" spans="9:33">
      <c r="I28" s="168"/>
      <c r="K28" s="151" t="s">
        <v>163</v>
      </c>
      <c r="L28" s="250"/>
      <c r="M28" s="151" t="s">
        <v>163</v>
      </c>
      <c r="N28" s="250"/>
      <c r="O28" s="151" t="s">
        <v>163</v>
      </c>
      <c r="P28" s="250"/>
      <c r="Q28" s="151" t="s">
        <v>163</v>
      </c>
      <c r="S28" s="758" t="s">
        <v>192</v>
      </c>
      <c r="T28" s="250"/>
      <c r="U28" s="758" t="s">
        <v>192</v>
      </c>
      <c r="V28" s="250"/>
      <c r="W28" s="758" t="s">
        <v>192</v>
      </c>
      <c r="X28" s="250"/>
      <c r="Y28" s="758" t="s">
        <v>192</v>
      </c>
      <c r="AA28" s="758" t="s">
        <v>192</v>
      </c>
      <c r="AB28" s="250"/>
      <c r="AC28" s="758" t="s">
        <v>192</v>
      </c>
      <c r="AD28" s="250"/>
      <c r="AE28" s="758" t="s">
        <v>192</v>
      </c>
      <c r="AF28" s="250"/>
      <c r="AG28" s="758" t="s">
        <v>192</v>
      </c>
    </row>
    <row r="29" spans="9:33">
      <c r="I29" s="168"/>
      <c r="K29" s="144" t="s">
        <v>193</v>
      </c>
      <c r="L29" s="250"/>
      <c r="M29" s="154" t="s">
        <v>194</v>
      </c>
      <c r="N29" s="250"/>
      <c r="O29" s="154" t="s">
        <v>195</v>
      </c>
      <c r="P29" s="250"/>
      <c r="Q29" s="154" t="s">
        <v>195</v>
      </c>
      <c r="S29" s="756" t="s">
        <v>196</v>
      </c>
      <c r="T29" s="250"/>
      <c r="U29" s="756" t="s">
        <v>196</v>
      </c>
      <c r="V29" s="250"/>
      <c r="W29" s="756" t="s">
        <v>196</v>
      </c>
      <c r="X29" s="250"/>
      <c r="Y29" s="756" t="s">
        <v>196</v>
      </c>
      <c r="AA29" s="756" t="s">
        <v>197</v>
      </c>
      <c r="AB29" s="250"/>
      <c r="AC29" s="756" t="s">
        <v>196</v>
      </c>
      <c r="AD29" s="250"/>
      <c r="AE29" s="756" t="s">
        <v>196</v>
      </c>
      <c r="AF29" s="250"/>
      <c r="AG29" s="756" t="s">
        <v>196</v>
      </c>
    </row>
    <row r="30" spans="9:33">
      <c r="K30" s="154" t="s">
        <v>198</v>
      </c>
      <c r="L30" s="250"/>
      <c r="M30" s="154" t="s">
        <v>199</v>
      </c>
      <c r="N30" s="250"/>
      <c r="O30" s="154" t="s">
        <v>97</v>
      </c>
      <c r="P30" s="250"/>
      <c r="Q30" s="154" t="s">
        <v>200</v>
      </c>
      <c r="S30" s="256"/>
      <c r="T30" s="250"/>
      <c r="U30" s="250"/>
      <c r="V30" s="250"/>
      <c r="W30" s="250"/>
      <c r="X30" s="250"/>
      <c r="Y30" s="257"/>
      <c r="AA30" s="256"/>
      <c r="AB30" s="250"/>
      <c r="AC30" s="250"/>
      <c r="AD30" s="250"/>
      <c r="AE30" s="250"/>
      <c r="AF30" s="250"/>
      <c r="AG30" s="257"/>
    </row>
    <row r="31" spans="9:33" ht="18.75">
      <c r="K31" s="154" t="s">
        <v>201</v>
      </c>
      <c r="L31" s="250"/>
      <c r="M31" s="154" t="s">
        <v>201</v>
      </c>
      <c r="N31" s="250"/>
      <c r="O31" s="154" t="s">
        <v>202</v>
      </c>
      <c r="P31" s="250"/>
      <c r="Q31" s="154" t="s">
        <v>202</v>
      </c>
      <c r="S31" s="147" t="s">
        <v>191</v>
      </c>
      <c r="T31" s="250"/>
      <c r="U31" s="147" t="s">
        <v>191</v>
      </c>
      <c r="V31" s="250"/>
      <c r="W31" s="147" t="s">
        <v>191</v>
      </c>
      <c r="X31" s="250"/>
      <c r="Y31" s="147" t="s">
        <v>191</v>
      </c>
      <c r="AA31" s="147" t="s">
        <v>191</v>
      </c>
      <c r="AB31" s="250"/>
      <c r="AC31" s="147" t="s">
        <v>191</v>
      </c>
      <c r="AD31" s="250"/>
      <c r="AE31" s="147" t="s">
        <v>191</v>
      </c>
      <c r="AF31" s="250"/>
      <c r="AG31" s="147" t="s">
        <v>191</v>
      </c>
    </row>
    <row r="32" spans="9:33">
      <c r="K32" s="154" t="s">
        <v>203</v>
      </c>
      <c r="L32" s="250"/>
      <c r="M32" s="154" t="s">
        <v>204</v>
      </c>
      <c r="N32" s="250"/>
      <c r="O32" s="154" t="s">
        <v>205</v>
      </c>
      <c r="P32" s="250"/>
      <c r="Q32" s="154" t="s">
        <v>206</v>
      </c>
      <c r="S32" s="151" t="s">
        <v>163</v>
      </c>
      <c r="T32" s="250"/>
      <c r="U32" s="175" t="s">
        <v>163</v>
      </c>
      <c r="V32" s="250"/>
      <c r="W32" s="175" t="s">
        <v>163</v>
      </c>
      <c r="X32" s="250"/>
      <c r="Y32" s="175" t="s">
        <v>163</v>
      </c>
      <c r="AA32" s="151" t="s">
        <v>163</v>
      </c>
      <c r="AB32" s="250"/>
      <c r="AC32" s="175" t="s">
        <v>163</v>
      </c>
      <c r="AD32" s="250"/>
      <c r="AE32" s="175" t="s">
        <v>163</v>
      </c>
      <c r="AF32" s="250"/>
      <c r="AG32" s="175" t="s">
        <v>163</v>
      </c>
    </row>
    <row r="33" spans="11:33" s="179" customFormat="1">
      <c r="K33" s="178" t="s">
        <v>207</v>
      </c>
      <c r="L33" s="251"/>
      <c r="M33" s="178" t="s">
        <v>208</v>
      </c>
      <c r="N33" s="251"/>
      <c r="O33" s="178" t="s">
        <v>209</v>
      </c>
      <c r="P33" s="251"/>
      <c r="Q33" s="178" t="s">
        <v>209</v>
      </c>
      <c r="S33" s="178" t="s">
        <v>210</v>
      </c>
      <c r="T33" s="251"/>
      <c r="U33" s="180" t="s">
        <v>210</v>
      </c>
      <c r="V33" s="251"/>
      <c r="W33" s="180" t="s">
        <v>211</v>
      </c>
      <c r="X33" s="251"/>
      <c r="Y33" s="180" t="s">
        <v>206</v>
      </c>
      <c r="AA33" s="178" t="s">
        <v>210</v>
      </c>
      <c r="AB33" s="251"/>
      <c r="AC33" s="180" t="s">
        <v>210</v>
      </c>
      <c r="AD33" s="251"/>
      <c r="AE33" s="180" t="s">
        <v>211</v>
      </c>
      <c r="AF33" s="251"/>
      <c r="AG33" s="180" t="s">
        <v>206</v>
      </c>
    </row>
    <row r="34" spans="11:33">
      <c r="K34" s="150"/>
      <c r="L34" s="250"/>
      <c r="M34" s="150"/>
      <c r="N34" s="250"/>
      <c r="O34" s="150"/>
      <c r="P34" s="250"/>
      <c r="Q34" s="150"/>
      <c r="S34" s="154" t="s">
        <v>199</v>
      </c>
      <c r="T34" s="250"/>
      <c r="U34" s="177" t="s">
        <v>212</v>
      </c>
      <c r="V34" s="250"/>
      <c r="W34" s="177" t="s">
        <v>102</v>
      </c>
      <c r="X34" s="250"/>
      <c r="Y34" s="177" t="s">
        <v>102</v>
      </c>
      <c r="AA34" s="154" t="s">
        <v>199</v>
      </c>
      <c r="AB34" s="250"/>
      <c r="AC34" s="177" t="s">
        <v>212</v>
      </c>
      <c r="AD34" s="250"/>
      <c r="AE34" s="177" t="s">
        <v>102</v>
      </c>
      <c r="AF34" s="250"/>
      <c r="AG34" s="177" t="s">
        <v>102</v>
      </c>
    </row>
    <row r="35" spans="11:33">
      <c r="K35" s="146" t="s">
        <v>166</v>
      </c>
      <c r="L35" s="250"/>
      <c r="M35" s="146" t="s">
        <v>166</v>
      </c>
      <c r="N35" s="250"/>
      <c r="O35" s="146" t="s">
        <v>166</v>
      </c>
      <c r="P35" s="250"/>
      <c r="Q35" s="146" t="s">
        <v>166</v>
      </c>
      <c r="S35" s="173"/>
      <c r="T35" s="250"/>
      <c r="U35" s="176"/>
      <c r="V35" s="250"/>
      <c r="W35" s="176"/>
      <c r="X35" s="250"/>
      <c r="Y35" s="176"/>
      <c r="AA35" s="173"/>
      <c r="AB35" s="250"/>
      <c r="AC35" s="176"/>
      <c r="AD35" s="250"/>
      <c r="AE35" s="176"/>
      <c r="AF35" s="250"/>
      <c r="AG35" s="176"/>
    </row>
    <row r="36" spans="11:33">
      <c r="K36" s="152" t="s">
        <v>105</v>
      </c>
      <c r="L36" s="250"/>
      <c r="M36" s="152" t="s">
        <v>105</v>
      </c>
      <c r="N36" s="250"/>
      <c r="O36" s="152" t="s">
        <v>105</v>
      </c>
      <c r="P36" s="250"/>
      <c r="Q36" s="152" t="s">
        <v>105</v>
      </c>
      <c r="S36" s="146" t="s">
        <v>166</v>
      </c>
      <c r="T36" s="250"/>
      <c r="U36" s="146" t="s">
        <v>166</v>
      </c>
      <c r="V36" s="250"/>
      <c r="W36" s="146" t="s">
        <v>166</v>
      </c>
      <c r="X36" s="250"/>
      <c r="Y36" s="146" t="s">
        <v>166</v>
      </c>
      <c r="AA36" s="146" t="s">
        <v>166</v>
      </c>
      <c r="AB36" s="250"/>
      <c r="AC36" s="146" t="s">
        <v>166</v>
      </c>
      <c r="AD36" s="250"/>
      <c r="AE36" s="146" t="s">
        <v>166</v>
      </c>
      <c r="AF36" s="250"/>
      <c r="AG36" s="146" t="s">
        <v>166</v>
      </c>
    </row>
    <row r="37" spans="11:33">
      <c r="K37" s="153" t="s">
        <v>103</v>
      </c>
      <c r="L37" s="252"/>
      <c r="M37" s="153" t="s">
        <v>103</v>
      </c>
      <c r="N37" s="252"/>
      <c r="O37" s="153" t="s">
        <v>103</v>
      </c>
      <c r="P37" s="252"/>
      <c r="Q37" s="153" t="s">
        <v>103</v>
      </c>
      <c r="S37" s="152" t="s">
        <v>105</v>
      </c>
      <c r="T37" s="250"/>
      <c r="U37" s="152" t="s">
        <v>105</v>
      </c>
      <c r="V37" s="250"/>
      <c r="W37" s="152" t="s">
        <v>105</v>
      </c>
      <c r="X37" s="250"/>
      <c r="Y37" s="152" t="s">
        <v>105</v>
      </c>
      <c r="AA37" s="152" t="s">
        <v>105</v>
      </c>
      <c r="AB37" s="250"/>
      <c r="AC37" s="152" t="s">
        <v>105</v>
      </c>
      <c r="AD37" s="250"/>
      <c r="AE37" s="152" t="s">
        <v>105</v>
      </c>
      <c r="AF37" s="250"/>
      <c r="AG37" s="152" t="s">
        <v>105</v>
      </c>
    </row>
    <row r="38" spans="11:33">
      <c r="S38" s="540" t="s">
        <v>213</v>
      </c>
      <c r="T38" s="250"/>
      <c r="U38" s="540" t="s">
        <v>213</v>
      </c>
      <c r="V38" s="250"/>
      <c r="W38" s="540" t="s">
        <v>214</v>
      </c>
      <c r="X38" s="250"/>
      <c r="Y38" s="540" t="s">
        <v>214</v>
      </c>
      <c r="AA38" s="540" t="s">
        <v>213</v>
      </c>
      <c r="AB38" s="250"/>
      <c r="AC38" s="540" t="s">
        <v>213</v>
      </c>
      <c r="AD38" s="250"/>
      <c r="AE38" s="540" t="s">
        <v>214</v>
      </c>
      <c r="AF38" s="250"/>
      <c r="AG38" s="540" t="s">
        <v>214</v>
      </c>
    </row>
    <row r="39" spans="11:33">
      <c r="S39" s="174"/>
      <c r="T39" s="250"/>
      <c r="U39" s="174"/>
      <c r="V39" s="250"/>
      <c r="W39" s="174"/>
      <c r="X39" s="250"/>
      <c r="Y39" s="174"/>
      <c r="AA39" s="174"/>
      <c r="AB39" s="250"/>
      <c r="AC39" s="174"/>
      <c r="AD39" s="250"/>
      <c r="AE39" s="174"/>
      <c r="AF39" s="250"/>
      <c r="AG39" s="174"/>
    </row>
    <row r="40" spans="11:33">
      <c r="S40" s="170" t="s">
        <v>169</v>
      </c>
      <c r="T40" s="250"/>
      <c r="U40" s="170" t="s">
        <v>169</v>
      </c>
      <c r="V40" s="250"/>
      <c r="W40" s="170" t="s">
        <v>169</v>
      </c>
      <c r="X40" s="250"/>
      <c r="Y40" s="170" t="s">
        <v>169</v>
      </c>
      <c r="AA40" s="170" t="s">
        <v>169</v>
      </c>
      <c r="AB40" s="250"/>
      <c r="AC40" s="170" t="s">
        <v>169</v>
      </c>
      <c r="AD40" s="250"/>
      <c r="AE40" s="170" t="s">
        <v>169</v>
      </c>
      <c r="AF40" s="250"/>
      <c r="AG40" s="170" t="s">
        <v>169</v>
      </c>
    </row>
    <row r="41" spans="11:33">
      <c r="S41" s="756" t="s">
        <v>215</v>
      </c>
      <c r="T41" s="250"/>
      <c r="U41" s="756" t="s">
        <v>215</v>
      </c>
      <c r="V41" s="250"/>
      <c r="W41" s="756" t="s">
        <v>215</v>
      </c>
      <c r="X41" s="250"/>
      <c r="Y41" s="756" t="s">
        <v>215</v>
      </c>
      <c r="AA41" s="823" t="s">
        <v>216</v>
      </c>
      <c r="AB41" s="250"/>
      <c r="AC41" s="756" t="s">
        <v>216</v>
      </c>
      <c r="AD41" s="250"/>
      <c r="AE41" s="756" t="s">
        <v>216</v>
      </c>
      <c r="AF41" s="250"/>
      <c r="AG41" s="756" t="s">
        <v>216</v>
      </c>
    </row>
    <row r="42" spans="11:33">
      <c r="S42" s="258"/>
      <c r="T42" s="250"/>
      <c r="U42" s="250"/>
      <c r="V42" s="250"/>
      <c r="W42" s="250"/>
      <c r="X42" s="250"/>
      <c r="Y42" s="257"/>
      <c r="AA42" s="258"/>
      <c r="AB42" s="250"/>
      <c r="AC42" s="250"/>
      <c r="AD42" s="250"/>
      <c r="AE42" s="250"/>
      <c r="AF42" s="250"/>
      <c r="AG42" s="257"/>
    </row>
    <row r="43" spans="11:33">
      <c r="S43" s="204" t="s">
        <v>217</v>
      </c>
      <c r="T43" s="250"/>
      <c r="U43" s="204" t="s">
        <v>217</v>
      </c>
      <c r="V43" s="250"/>
      <c r="W43" s="204" t="s">
        <v>217</v>
      </c>
      <c r="X43" s="250"/>
      <c r="Y43" s="204" t="s">
        <v>217</v>
      </c>
      <c r="AA43" s="204" t="s">
        <v>218</v>
      </c>
      <c r="AB43" s="250"/>
      <c r="AC43" s="204" t="s">
        <v>217</v>
      </c>
      <c r="AD43" s="250"/>
      <c r="AE43" s="204" t="s">
        <v>217</v>
      </c>
      <c r="AF43" s="250"/>
      <c r="AG43" s="204" t="s">
        <v>217</v>
      </c>
    </row>
    <row r="44" spans="11:33">
      <c r="S44" s="202" t="s">
        <v>190</v>
      </c>
      <c r="T44" s="252"/>
      <c r="U44" s="202" t="s">
        <v>190</v>
      </c>
      <c r="V44" s="252"/>
      <c r="W44" s="202" t="s">
        <v>190</v>
      </c>
      <c r="X44" s="252"/>
      <c r="Y44" s="202" t="s">
        <v>190</v>
      </c>
      <c r="AA44" s="822" t="s">
        <v>219</v>
      </c>
      <c r="AB44" s="252"/>
      <c r="AC44" s="822" t="s">
        <v>220</v>
      </c>
      <c r="AD44" s="252"/>
      <c r="AE44" s="822" t="s">
        <v>220</v>
      </c>
      <c r="AF44" s="252"/>
      <c r="AG44" s="822" t="s">
        <v>219</v>
      </c>
    </row>
    <row r="46" spans="11:33" ht="15" customHeight="1">
      <c r="S46" s="947" t="s">
        <v>221</v>
      </c>
      <c r="T46" s="948"/>
      <c r="U46" s="949"/>
      <c r="W46" s="947" t="s">
        <v>222</v>
      </c>
      <c r="X46" s="948"/>
      <c r="Y46" s="949"/>
      <c r="AA46" s="947" t="s">
        <v>221</v>
      </c>
      <c r="AB46" s="948"/>
      <c r="AC46" s="949"/>
      <c r="AE46" s="947" t="s">
        <v>222</v>
      </c>
      <c r="AF46" s="948"/>
      <c r="AG46" s="949"/>
    </row>
  </sheetData>
  <mergeCells count="13">
    <mergeCell ref="A1:A2"/>
    <mergeCell ref="C1:G2"/>
    <mergeCell ref="W46:Y46"/>
    <mergeCell ref="S46:U46"/>
    <mergeCell ref="K1:Q2"/>
    <mergeCell ref="S1:Y2"/>
    <mergeCell ref="I1:I2"/>
    <mergeCell ref="AE1:AE2"/>
    <mergeCell ref="AC1:AC2"/>
    <mergeCell ref="AA1:AB2"/>
    <mergeCell ref="AF1:AG2"/>
    <mergeCell ref="AA46:AC46"/>
    <mergeCell ref="AE46:AG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H14" sqref="H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86" t="s">
        <v>223</v>
      </c>
      <c r="B1" s="887"/>
      <c r="C1" s="968" t="s">
        <v>224</v>
      </c>
      <c r="D1" s="964" t="s">
        <v>1</v>
      </c>
      <c r="E1" s="966" t="s">
        <v>2</v>
      </c>
      <c r="F1" s="898" t="s">
        <v>3</v>
      </c>
      <c r="G1" s="962" t="s">
        <v>5</v>
      </c>
      <c r="H1" s="958" t="s">
        <v>6</v>
      </c>
      <c r="I1" s="959"/>
    </row>
    <row r="2" spans="1:10" ht="30" customHeight="1">
      <c r="A2" s="888"/>
      <c r="B2" s="889"/>
      <c r="C2" s="969"/>
      <c r="D2" s="965"/>
      <c r="E2" s="967"/>
      <c r="F2" s="899"/>
      <c r="G2" s="963"/>
      <c r="H2" s="960"/>
      <c r="I2" s="961"/>
    </row>
    <row r="3" spans="1:10">
      <c r="A3" s="38">
        <v>1</v>
      </c>
      <c r="B3" s="627" t="s">
        <v>225</v>
      </c>
      <c r="C3" s="59" t="s">
        <v>226</v>
      </c>
      <c r="D3" s="245"/>
      <c r="E3" s="63"/>
      <c r="F3" s="82"/>
      <c r="G3" s="708" t="s">
        <v>227</v>
      </c>
      <c r="H3" s="19" t="s">
        <v>79</v>
      </c>
      <c r="I3" s="66"/>
    </row>
    <row r="4" spans="1:10">
      <c r="A4" s="37">
        <v>2</v>
      </c>
      <c r="B4" s="545" t="s">
        <v>228</v>
      </c>
      <c r="C4" s="60" t="s">
        <v>226</v>
      </c>
      <c r="D4" s="246"/>
      <c r="E4" s="62"/>
      <c r="F4" s="83"/>
      <c r="G4" s="47" t="s">
        <v>88</v>
      </c>
      <c r="H4" s="829" t="s">
        <v>229</v>
      </c>
      <c r="I4" s="751"/>
    </row>
    <row r="5" spans="1:10">
      <c r="A5" s="38">
        <v>3</v>
      </c>
      <c r="B5" s="627" t="s">
        <v>230</v>
      </c>
      <c r="C5" s="59" t="s">
        <v>231</v>
      </c>
      <c r="D5" s="245"/>
      <c r="E5" s="63"/>
      <c r="F5" s="82"/>
      <c r="G5" s="708" t="s">
        <v>232</v>
      </c>
      <c r="H5" s="19"/>
      <c r="I5" s="66"/>
    </row>
    <row r="6" spans="1:10" ht="15">
      <c r="A6" s="37">
        <v>4</v>
      </c>
      <c r="B6" s="545" t="s">
        <v>233</v>
      </c>
      <c r="C6" s="60" t="s">
        <v>234</v>
      </c>
      <c r="D6" s="246"/>
      <c r="E6" s="62"/>
      <c r="F6" s="83"/>
      <c r="G6" s="47" t="s">
        <v>77</v>
      </c>
      <c r="H6" s="17" t="s">
        <v>232</v>
      </c>
      <c r="I6" s="67"/>
    </row>
    <row r="7" spans="1:10">
      <c r="A7" s="68">
        <v>5</v>
      </c>
      <c r="B7" s="622" t="s">
        <v>235</v>
      </c>
      <c r="C7" s="279" t="s">
        <v>234</v>
      </c>
      <c r="D7" s="247"/>
      <c r="E7" s="69"/>
      <c r="F7" s="84"/>
      <c r="G7" s="85" t="s">
        <v>54</v>
      </c>
      <c r="H7" s="70" t="s">
        <v>229</v>
      </c>
      <c r="I7" s="70"/>
      <c r="J7" s="715" t="s">
        <v>236</v>
      </c>
    </row>
    <row r="10" spans="1:10" ht="15.75" customHeight="1">
      <c r="B10" s="623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70" t="s">
        <v>237</v>
      </c>
      <c r="B1" s="970"/>
      <c r="C1" s="978" t="s">
        <v>20</v>
      </c>
      <c r="D1" s="971" t="s">
        <v>1</v>
      </c>
      <c r="E1" s="966" t="s">
        <v>2</v>
      </c>
      <c r="F1" s="973" t="s">
        <v>3</v>
      </c>
      <c r="G1" s="962" t="s">
        <v>238</v>
      </c>
      <c r="H1" s="974" t="s">
        <v>31</v>
      </c>
      <c r="I1" s="974" t="s">
        <v>239</v>
      </c>
      <c r="J1" s="974" t="s">
        <v>5</v>
      </c>
      <c r="K1" s="976" t="s">
        <v>6</v>
      </c>
    </row>
    <row r="2" spans="1:17" ht="37.5" customHeight="1">
      <c r="A2" s="970"/>
      <c r="B2" s="970"/>
      <c r="C2" s="979"/>
      <c r="D2" s="972"/>
      <c r="E2" s="967"/>
      <c r="F2" s="973"/>
      <c r="G2" s="963"/>
      <c r="H2" s="975"/>
      <c r="I2" s="975"/>
      <c r="J2" s="975"/>
      <c r="K2" s="977"/>
      <c r="M2" s="952" t="s">
        <v>240</v>
      </c>
      <c r="N2" s="953"/>
      <c r="O2" s="953"/>
      <c r="P2" s="953"/>
      <c r="Q2" s="954"/>
    </row>
    <row r="3" spans="1:17" ht="15.75" customHeight="1">
      <c r="A3" s="6">
        <v>1</v>
      </c>
      <c r="B3" s="14" t="s">
        <v>241</v>
      </c>
      <c r="C3" s="719">
        <v>2</v>
      </c>
      <c r="D3" s="716">
        <v>2</v>
      </c>
      <c r="E3" s="723"/>
      <c r="F3" s="721"/>
      <c r="G3" s="754" t="s">
        <v>38</v>
      </c>
      <c r="H3" s="755" t="s">
        <v>38</v>
      </c>
      <c r="I3" s="755" t="s">
        <v>38</v>
      </c>
      <c r="J3" s="785" t="s">
        <v>12</v>
      </c>
      <c r="K3" s="78"/>
      <c r="M3" s="955"/>
      <c r="N3" s="956"/>
      <c r="O3" s="956"/>
      <c r="P3" s="956"/>
      <c r="Q3" s="957"/>
    </row>
    <row r="4" spans="1:17" ht="15.75" customHeight="1">
      <c r="A4" s="4">
        <v>2</v>
      </c>
      <c r="B4" s="696" t="s">
        <v>242</v>
      </c>
      <c r="C4" s="720">
        <v>1</v>
      </c>
      <c r="D4" s="717">
        <v>2</v>
      </c>
      <c r="E4" s="724"/>
      <c r="F4" s="722"/>
      <c r="G4" s="752" t="s">
        <v>38</v>
      </c>
      <c r="H4" s="753" t="s">
        <v>38</v>
      </c>
      <c r="I4" s="753" t="s">
        <v>38</v>
      </c>
      <c r="J4" s="786" t="s">
        <v>12</v>
      </c>
      <c r="K4" s="79"/>
      <c r="M4" s="262" t="s">
        <v>139</v>
      </c>
      <c r="N4" s="266"/>
      <c r="O4" s="264" t="s">
        <v>243</v>
      </c>
      <c r="P4" s="266"/>
      <c r="Q4" s="280" t="s">
        <v>244</v>
      </c>
    </row>
    <row r="5" spans="1:17">
      <c r="A5" s="6">
        <v>3</v>
      </c>
      <c r="B5" s="696" t="s">
        <v>245</v>
      </c>
      <c r="C5" s="720">
        <v>2</v>
      </c>
      <c r="D5" s="716">
        <v>2</v>
      </c>
      <c r="E5" s="723"/>
      <c r="F5" s="721"/>
      <c r="G5" s="449" t="s">
        <v>38</v>
      </c>
      <c r="H5" s="34" t="s">
        <v>38</v>
      </c>
      <c r="I5" s="34" t="s">
        <v>38</v>
      </c>
      <c r="J5" s="787" t="s">
        <v>89</v>
      </c>
      <c r="K5" s="80"/>
      <c r="M5" s="287"/>
      <c r="N5" s="250"/>
      <c r="O5" s="288"/>
      <c r="P5" s="250"/>
      <c r="Q5" s="289"/>
    </row>
    <row r="6" spans="1:17">
      <c r="A6" s="4">
        <v>4</v>
      </c>
      <c r="B6" s="15" t="s">
        <v>246</v>
      </c>
      <c r="C6" s="12">
        <v>1</v>
      </c>
      <c r="D6" s="717">
        <v>2</v>
      </c>
      <c r="E6" s="724"/>
      <c r="F6" s="722"/>
      <c r="G6" s="450"/>
      <c r="H6" s="35"/>
      <c r="I6" s="35" t="s">
        <v>38</v>
      </c>
      <c r="J6" s="330" t="s">
        <v>52</v>
      </c>
      <c r="K6" s="79"/>
      <c r="M6" s="290" t="s">
        <v>163</v>
      </c>
      <c r="N6" s="254"/>
      <c r="O6" s="290" t="s">
        <v>163</v>
      </c>
      <c r="P6" s="254"/>
      <c r="Q6" s="291" t="s">
        <v>163</v>
      </c>
    </row>
    <row r="7" spans="1:17">
      <c r="A7" s="6">
        <v>5</v>
      </c>
      <c r="B7" s="14" t="s">
        <v>247</v>
      </c>
      <c r="C7" s="719">
        <v>1</v>
      </c>
      <c r="D7" s="716">
        <v>2</v>
      </c>
      <c r="E7" s="723"/>
      <c r="F7" s="721"/>
      <c r="G7" s="449"/>
      <c r="H7" s="34" t="s">
        <v>38</v>
      </c>
      <c r="I7" s="34" t="s">
        <v>38</v>
      </c>
      <c r="J7" s="329" t="s">
        <v>40</v>
      </c>
      <c r="K7" s="80" t="s">
        <v>248</v>
      </c>
      <c r="M7" s="617" t="s">
        <v>242</v>
      </c>
      <c r="N7" s="268"/>
      <c r="O7" s="617" t="s">
        <v>242</v>
      </c>
      <c r="P7" s="268"/>
      <c r="Q7" s="617" t="s">
        <v>242</v>
      </c>
    </row>
    <row r="8" spans="1:17">
      <c r="A8" s="4">
        <v>6</v>
      </c>
      <c r="B8" s="15" t="s">
        <v>249</v>
      </c>
      <c r="C8" s="12">
        <v>2</v>
      </c>
      <c r="D8" s="717">
        <v>2</v>
      </c>
      <c r="E8" s="724"/>
      <c r="F8" s="722"/>
      <c r="G8" s="450"/>
      <c r="H8" s="35" t="s">
        <v>38</v>
      </c>
      <c r="I8" s="35" t="s">
        <v>38</v>
      </c>
      <c r="J8" s="786" t="s">
        <v>75</v>
      </c>
      <c r="K8" s="79"/>
      <c r="M8" s="617" t="s">
        <v>247</v>
      </c>
      <c r="N8" s="268"/>
      <c r="O8" s="617" t="s">
        <v>247</v>
      </c>
      <c r="P8" s="268"/>
      <c r="Q8" s="617" t="s">
        <v>250</v>
      </c>
    </row>
    <row r="9" spans="1:17">
      <c r="A9" s="6">
        <v>7</v>
      </c>
      <c r="B9" s="696" t="s">
        <v>251</v>
      </c>
      <c r="C9" s="720">
        <v>2</v>
      </c>
      <c r="D9" s="716">
        <v>2</v>
      </c>
      <c r="E9" s="723"/>
      <c r="F9" s="721"/>
      <c r="G9" s="449"/>
      <c r="H9" s="34"/>
      <c r="I9" s="34" t="s">
        <v>38</v>
      </c>
      <c r="J9" s="786" t="s">
        <v>89</v>
      </c>
      <c r="K9" s="80"/>
      <c r="M9" s="617" t="s">
        <v>252</v>
      </c>
      <c r="N9" s="268"/>
      <c r="O9" s="812" t="s">
        <v>246</v>
      </c>
      <c r="P9" s="268"/>
      <c r="Q9" s="617" t="s">
        <v>253</v>
      </c>
    </row>
    <row r="10" spans="1:17">
      <c r="A10" s="4">
        <v>8</v>
      </c>
      <c r="B10" s="696" t="s">
        <v>254</v>
      </c>
      <c r="C10" s="720">
        <v>2</v>
      </c>
      <c r="D10" s="717">
        <v>2</v>
      </c>
      <c r="E10" s="724"/>
      <c r="F10" s="722"/>
      <c r="G10" s="450"/>
      <c r="H10" s="35" t="s">
        <v>38</v>
      </c>
      <c r="I10" s="35"/>
      <c r="J10" s="330" t="s">
        <v>12</v>
      </c>
      <c r="K10" s="79"/>
      <c r="M10" s="618" t="s">
        <v>255</v>
      </c>
      <c r="N10" s="268"/>
      <c r="O10" s="618" t="s">
        <v>255</v>
      </c>
      <c r="P10" s="268"/>
      <c r="Q10" s="618" t="s">
        <v>255</v>
      </c>
    </row>
    <row r="11" spans="1:17">
      <c r="A11" s="6">
        <v>9</v>
      </c>
      <c r="B11" s="696" t="s">
        <v>252</v>
      </c>
      <c r="C11" s="720">
        <v>1</v>
      </c>
      <c r="D11" s="716">
        <v>2</v>
      </c>
      <c r="E11" s="723"/>
      <c r="F11" s="721"/>
      <c r="G11" s="449"/>
      <c r="H11" s="34" t="s">
        <v>38</v>
      </c>
      <c r="I11" s="34"/>
      <c r="J11" s="709" t="s">
        <v>256</v>
      </c>
      <c r="K11" s="80"/>
      <c r="M11" s="145"/>
      <c r="N11" s="250"/>
      <c r="O11" s="145"/>
      <c r="P11" s="250"/>
      <c r="Q11" s="273"/>
    </row>
    <row r="12" spans="1:17">
      <c r="A12" s="4">
        <v>10</v>
      </c>
      <c r="B12" s="15" t="s">
        <v>250</v>
      </c>
      <c r="C12" s="12">
        <v>1</v>
      </c>
      <c r="D12" s="717">
        <v>2</v>
      </c>
      <c r="E12" s="724"/>
      <c r="F12" s="722"/>
      <c r="G12" s="450" t="s">
        <v>38</v>
      </c>
      <c r="H12" s="35"/>
      <c r="I12" s="35"/>
      <c r="J12" s="330" t="s">
        <v>10</v>
      </c>
      <c r="K12" s="79"/>
      <c r="M12" s="292" t="s">
        <v>166</v>
      </c>
      <c r="N12" s="254"/>
      <c r="O12" s="292" t="s">
        <v>166</v>
      </c>
      <c r="P12" s="254"/>
      <c r="Q12" s="293" t="s">
        <v>166</v>
      </c>
    </row>
    <row r="13" spans="1:17">
      <c r="A13" s="6">
        <v>11</v>
      </c>
      <c r="B13" s="14" t="s">
        <v>253</v>
      </c>
      <c r="C13" s="719">
        <v>1</v>
      </c>
      <c r="D13" s="716">
        <v>2</v>
      </c>
      <c r="E13" s="723"/>
      <c r="F13" s="721"/>
      <c r="G13" s="449" t="s">
        <v>38</v>
      </c>
      <c r="H13" s="34"/>
      <c r="I13" s="34"/>
      <c r="J13" s="329" t="s">
        <v>257</v>
      </c>
      <c r="K13" s="80"/>
      <c r="M13" s="619" t="s">
        <v>241</v>
      </c>
      <c r="N13" s="268"/>
      <c r="O13" s="619" t="s">
        <v>241</v>
      </c>
      <c r="P13" s="268"/>
      <c r="Q13" s="619" t="s">
        <v>241</v>
      </c>
    </row>
    <row r="14" spans="1:17">
      <c r="A14" s="4">
        <v>12</v>
      </c>
      <c r="B14" s="15" t="s">
        <v>258</v>
      </c>
      <c r="C14" s="12">
        <v>2</v>
      </c>
      <c r="D14" s="717">
        <v>2</v>
      </c>
      <c r="E14" s="724"/>
      <c r="F14" s="722"/>
      <c r="G14" s="450" t="s">
        <v>38</v>
      </c>
      <c r="H14" s="35"/>
      <c r="I14" s="35"/>
      <c r="J14" s="330" t="s">
        <v>10</v>
      </c>
      <c r="K14" s="79"/>
      <c r="M14" s="619" t="s">
        <v>245</v>
      </c>
      <c r="N14" s="268"/>
      <c r="O14" s="619" t="s">
        <v>245</v>
      </c>
      <c r="P14" s="268"/>
      <c r="Q14" s="619" t="s">
        <v>245</v>
      </c>
    </row>
    <row r="15" spans="1:17">
      <c r="A15" s="6">
        <v>13</v>
      </c>
      <c r="B15" s="14" t="s">
        <v>259</v>
      </c>
      <c r="C15" s="719">
        <v>2</v>
      </c>
      <c r="D15" s="716">
        <v>2</v>
      </c>
      <c r="E15" s="723"/>
      <c r="F15" s="721"/>
      <c r="G15" s="449" t="s">
        <v>38</v>
      </c>
      <c r="H15" s="34"/>
      <c r="I15" s="34"/>
      <c r="J15" s="329" t="s">
        <v>83</v>
      </c>
      <c r="K15" s="80"/>
      <c r="M15" s="619" t="s">
        <v>260</v>
      </c>
      <c r="N15" s="268"/>
      <c r="O15" s="619" t="s">
        <v>260</v>
      </c>
      <c r="P15" s="268"/>
      <c r="Q15" s="619" t="s">
        <v>259</v>
      </c>
    </row>
    <row r="16" spans="1:17">
      <c r="A16" s="4">
        <v>14</v>
      </c>
      <c r="B16" s="696" t="s">
        <v>255</v>
      </c>
      <c r="C16" s="720">
        <v>1</v>
      </c>
      <c r="D16" s="717">
        <v>2</v>
      </c>
      <c r="E16" s="724"/>
      <c r="F16" s="722"/>
      <c r="G16" s="450" t="s">
        <v>38</v>
      </c>
      <c r="H16" s="35" t="s">
        <v>38</v>
      </c>
      <c r="I16" s="35" t="s">
        <v>38</v>
      </c>
      <c r="J16" s="458" t="s">
        <v>79</v>
      </c>
      <c r="K16" s="79"/>
      <c r="M16" s="621" t="s">
        <v>254</v>
      </c>
      <c r="N16" s="268"/>
      <c r="O16" s="619" t="s">
        <v>251</v>
      </c>
      <c r="P16" s="268"/>
      <c r="Q16" s="621" t="s">
        <v>261</v>
      </c>
    </row>
    <row r="17" spans="1:17">
      <c r="A17" s="6">
        <v>15</v>
      </c>
      <c r="B17" s="696" t="s">
        <v>262</v>
      </c>
      <c r="C17" s="720">
        <v>3</v>
      </c>
      <c r="D17" s="716">
        <v>2</v>
      </c>
      <c r="E17" s="723"/>
      <c r="F17" s="721"/>
      <c r="G17" s="752" t="s">
        <v>38</v>
      </c>
      <c r="H17" s="753" t="s">
        <v>38</v>
      </c>
      <c r="I17" s="753" t="s">
        <v>38</v>
      </c>
      <c r="J17" s="709" t="s">
        <v>232</v>
      </c>
      <c r="K17" s="80"/>
      <c r="M17" s="256"/>
      <c r="N17" s="250"/>
      <c r="O17" s="250"/>
      <c r="P17" s="250"/>
      <c r="Q17" s="296"/>
    </row>
    <row r="18" spans="1:17">
      <c r="A18" s="4">
        <v>16</v>
      </c>
      <c r="B18" s="15"/>
      <c r="C18" s="12"/>
      <c r="D18" s="718"/>
      <c r="E18" s="725"/>
      <c r="F18" s="722"/>
      <c r="G18" s="543"/>
      <c r="H18" s="36"/>
      <c r="I18" s="36"/>
      <c r="J18" s="347"/>
      <c r="K18" s="81"/>
      <c r="M18" s="294" t="s">
        <v>169</v>
      </c>
      <c r="N18" s="254"/>
      <c r="O18" s="294" t="s">
        <v>169</v>
      </c>
      <c r="P18" s="254"/>
      <c r="Q18" s="295" t="s">
        <v>169</v>
      </c>
    </row>
    <row r="19" spans="1:17">
      <c r="M19" s="620" t="s">
        <v>230</v>
      </c>
      <c r="N19" s="252"/>
      <c r="O19" s="620" t="s">
        <v>230</v>
      </c>
      <c r="P19" s="252"/>
      <c r="Q19" s="620" t="s">
        <v>230</v>
      </c>
    </row>
    <row r="21" spans="1:17" ht="15.75" customHeight="1">
      <c r="B21" s="623" t="s">
        <v>18</v>
      </c>
      <c r="C21" s="623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H63"/>
  <sheetViews>
    <sheetView workbookViewId="0">
      <selection activeCell="B23" sqref="B23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733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80" t="s">
        <v>263</v>
      </c>
      <c r="B1" s="981"/>
      <c r="C1" s="986" t="s">
        <v>130</v>
      </c>
      <c r="D1" s="987"/>
      <c r="E1" s="984" t="s">
        <v>19</v>
      </c>
      <c r="F1" s="985"/>
      <c r="G1" s="988" t="s">
        <v>237</v>
      </c>
      <c r="H1" s="989"/>
      <c r="I1" s="990" t="s">
        <v>138</v>
      </c>
      <c r="J1" s="991"/>
      <c r="K1" s="1000" t="s">
        <v>264</v>
      </c>
      <c r="L1" s="1001"/>
      <c r="M1" s="767"/>
      <c r="N1" s="998" t="s">
        <v>265</v>
      </c>
      <c r="O1" s="999"/>
      <c r="P1" s="710"/>
      <c r="Q1" s="917" t="s">
        <v>266</v>
      </c>
      <c r="R1" s="734"/>
      <c r="S1" s="995" t="s">
        <v>267</v>
      </c>
      <c r="T1" s="996"/>
      <c r="U1" s="996"/>
      <c r="V1" s="996"/>
      <c r="W1" s="996"/>
      <c r="X1" s="996"/>
      <c r="Y1" s="996"/>
      <c r="Z1" s="997"/>
    </row>
    <row r="2" spans="1:26" ht="20.25" customHeight="1">
      <c r="A2" s="982"/>
      <c r="B2" s="983"/>
      <c r="C2" s="26" t="s">
        <v>268</v>
      </c>
      <c r="D2" s="465" t="s">
        <v>269</v>
      </c>
      <c r="E2" s="597" t="s">
        <v>268</v>
      </c>
      <c r="F2" s="598" t="s">
        <v>269</v>
      </c>
      <c r="G2" s="469" t="s">
        <v>268</v>
      </c>
      <c r="H2" s="475" t="s">
        <v>269</v>
      </c>
      <c r="I2" s="470" t="s">
        <v>268</v>
      </c>
      <c r="J2" s="27" t="s">
        <v>269</v>
      </c>
      <c r="K2" s="778" t="s">
        <v>268</v>
      </c>
      <c r="L2" s="771" t="s">
        <v>269</v>
      </c>
      <c r="M2" s="1"/>
      <c r="N2" s="768" t="s">
        <v>270</v>
      </c>
      <c r="O2" s="769" t="s">
        <v>271</v>
      </c>
      <c r="P2" s="1"/>
      <c r="Q2" s="1002"/>
      <c r="R2" s="734"/>
      <c r="S2" s="248" t="s">
        <v>272</v>
      </c>
      <c r="T2" s="248" t="s">
        <v>273</v>
      </c>
      <c r="U2" s="248" t="s">
        <v>274</v>
      </c>
      <c r="V2" s="248" t="s">
        <v>275</v>
      </c>
      <c r="W2" s="248" t="s">
        <v>276</v>
      </c>
      <c r="X2" s="248" t="s">
        <v>277</v>
      </c>
      <c r="Y2" s="248" t="s">
        <v>278</v>
      </c>
      <c r="Z2" s="732" t="s">
        <v>279</v>
      </c>
    </row>
    <row r="3" spans="1:26">
      <c r="A3" s="737">
        <v>1</v>
      </c>
      <c r="B3" s="542" t="s">
        <v>280</v>
      </c>
      <c r="C3" s="28">
        <f>COUNTIF(Foundation!G3:G8, "Ajab")</f>
        <v>0</v>
      </c>
      <c r="D3" s="466"/>
      <c r="E3" s="599">
        <f>COUNTIF('UG Map L4-L6'!I3:I53, "Ajab")</f>
        <v>1</v>
      </c>
      <c r="F3" s="600">
        <f>COUNTIF('UG Map L4-L6'!J3:J52, "Ajab")</f>
        <v>0</v>
      </c>
      <c r="G3" s="593">
        <f>COUNTIF('PG Delivery &amp; Map (15 Credits)'!J3:J18, "Ajab")</f>
        <v>0</v>
      </c>
      <c r="H3" s="476"/>
      <c r="I3" s="471">
        <f>COUNTIF('PG MAIDS'!G3:G7, " ")</f>
        <v>0</v>
      </c>
      <c r="J3" s="29">
        <f>COUNTIF('PG MAIDS'!H3:H7, " ")+COUNTIF('PG MAIDS'!I3:I7, " ")</f>
        <v>0</v>
      </c>
      <c r="K3" s="779">
        <f>SUM(C3+E3+G3+I3)</f>
        <v>1</v>
      </c>
      <c r="L3" s="772">
        <f>SUM(D3+F3+H3+J3)</f>
        <v>0</v>
      </c>
      <c r="M3" s="713"/>
      <c r="N3" s="764" t="s">
        <v>281</v>
      </c>
      <c r="O3" s="766"/>
      <c r="P3" s="713"/>
      <c r="Q3" s="714" t="s">
        <v>112</v>
      </c>
      <c r="R3" s="734"/>
      <c r="S3" s="480"/>
      <c r="T3" s="480"/>
      <c r="U3" s="480"/>
      <c r="V3" s="480"/>
      <c r="W3" s="489">
        <v>1</v>
      </c>
      <c r="X3" s="489"/>
      <c r="Y3" s="489"/>
      <c r="Z3" s="488">
        <v>1</v>
      </c>
    </row>
    <row r="4" spans="1:26">
      <c r="A4" s="12">
        <v>2</v>
      </c>
      <c r="B4" s="712" t="s">
        <v>282</v>
      </c>
      <c r="C4" s="30">
        <f>COUNTIF(Foundation!G3:G8, "Andy")</f>
        <v>0</v>
      </c>
      <c r="D4" s="467"/>
      <c r="E4" s="463">
        <f>COUNTIF('UG Map L4-L6'!I3:I53, "Andy")</f>
        <v>0</v>
      </c>
      <c r="F4" s="601">
        <f>COUNTIF('UG Map L4-L6'!J3:J52, "Andy")</f>
        <v>0</v>
      </c>
      <c r="G4" s="306">
        <f>COUNTIF('PG Delivery &amp; Map (15 Credits)'!J3:J18, "Andy")</f>
        <v>0</v>
      </c>
      <c r="H4" s="477"/>
      <c r="I4" s="472">
        <f>COUNTIF('PG MAIDS'!G3:G7, " ")</f>
        <v>0</v>
      </c>
      <c r="J4" s="31">
        <f>COUNTIF('PG MAIDS'!H3:H7, " ")+COUNTIF('PG MAIDS'!I3:I7, " ")</f>
        <v>0</v>
      </c>
      <c r="K4" s="780">
        <f>SUM(C4+E4+G4+I4)</f>
        <v>0</v>
      </c>
      <c r="L4" s="773">
        <f t="shared" ref="L4:L18" si="0">SUM(D4+F4+H4+J4)</f>
        <v>0</v>
      </c>
      <c r="M4" s="713"/>
      <c r="N4" s="763"/>
      <c r="O4" s="760"/>
      <c r="P4" s="713"/>
      <c r="Q4" s="714">
        <f>SUM('Super Staff Cover'!H10)</f>
        <v>0</v>
      </c>
      <c r="R4" s="734"/>
      <c r="S4" s="481"/>
      <c r="T4" s="481"/>
      <c r="U4" s="481"/>
      <c r="V4" s="481"/>
      <c r="W4" s="481">
        <v>1</v>
      </c>
      <c r="X4" s="481"/>
      <c r="Y4" s="481"/>
      <c r="Z4" s="41"/>
    </row>
    <row r="5" spans="1:26">
      <c r="A5" s="13">
        <v>3</v>
      </c>
      <c r="B5" s="19" t="s">
        <v>83</v>
      </c>
      <c r="C5" s="30">
        <f>COUNTIF(Foundation!G3:G8, "Anthony")</f>
        <v>0</v>
      </c>
      <c r="D5" s="467"/>
      <c r="E5" s="463">
        <f>COUNTIF('UG Map L4-L6'!I3:I53, "Anthony")</f>
        <v>2</v>
      </c>
      <c r="F5" s="601">
        <f>COUNTIF('UG Map L4-L6'!J3:J52, "Anthony")</f>
        <v>0</v>
      </c>
      <c r="G5" s="306">
        <f>COUNTIF('PG Delivery &amp; Map (15 Credits)'!J3:J18, "Anthony")</f>
        <v>1</v>
      </c>
      <c r="H5" s="477"/>
      <c r="I5" s="472">
        <f>COUNTIF('PG MAIDS'!G3:G7, " ")</f>
        <v>0</v>
      </c>
      <c r="J5" s="31">
        <f>COUNTIF('PG MAIDS'!H3:H7, " ")+COUNTIF('PG MAIDS'!I3:I7, " ")</f>
        <v>0</v>
      </c>
      <c r="K5" s="780">
        <f t="shared" ref="K5:K18" si="1">SUM(C5+E5+G5+I5)</f>
        <v>3</v>
      </c>
      <c r="L5" s="773">
        <f t="shared" si="0"/>
        <v>0</v>
      </c>
      <c r="M5" s="713"/>
      <c r="N5" s="764" t="s">
        <v>281</v>
      </c>
      <c r="O5" s="760" t="s">
        <v>281</v>
      </c>
      <c r="P5" s="713"/>
      <c r="Q5" s="714">
        <f>SUM('Super Staff Cover'!H4)</f>
        <v>10</v>
      </c>
      <c r="R5" s="734"/>
      <c r="S5" s="482"/>
      <c r="T5" s="482"/>
      <c r="U5" s="482"/>
      <c r="V5" s="482"/>
      <c r="W5" s="482">
        <v>0.5</v>
      </c>
      <c r="X5" s="482"/>
      <c r="Y5" s="482"/>
      <c r="Z5" s="42"/>
    </row>
    <row r="6" spans="1:26">
      <c r="A6" s="13">
        <v>4</v>
      </c>
      <c r="B6" s="828" t="s">
        <v>227</v>
      </c>
      <c r="C6" s="30">
        <f>COUNTIF(Foundation!G3:G8, "Bacha")</f>
        <v>0</v>
      </c>
      <c r="D6" s="467"/>
      <c r="E6" s="463">
        <f>COUNTIF('UG Map L4-L6'!I3:I53, "Bacha")</f>
        <v>0</v>
      </c>
      <c r="F6" s="601">
        <f>COUNTIF('UG Map L4-L6'!J3:J52, "Bacha")</f>
        <v>0</v>
      </c>
      <c r="G6" s="306">
        <f>COUNTIF('PG Delivery &amp; Map (15 Credits)'!J3:J18, "Bacha")</f>
        <v>0</v>
      </c>
      <c r="H6" s="477"/>
      <c r="I6" s="472">
        <f>COUNTIF('PG MAIDS'!G3:G7, "Bacha")</f>
        <v>1</v>
      </c>
      <c r="J6" s="31">
        <f>COUNTIF('PG MAIDS'!H3:H7, "Bacha")+COUNTIF('PG MAIDS'!I3:I7, "Bacha")</f>
        <v>0</v>
      </c>
      <c r="K6" s="780">
        <f>SUM(C6+E6+G6+I6)</f>
        <v>1</v>
      </c>
      <c r="L6" s="773">
        <f>SUM(D6+F6+H6+J6)</f>
        <v>0</v>
      </c>
      <c r="M6" s="713"/>
      <c r="N6" s="763"/>
      <c r="O6" s="760" t="s">
        <v>281</v>
      </c>
      <c r="P6" s="713"/>
      <c r="Q6" s="714">
        <f>SUM('Super Staff Cover'!H2)</f>
        <v>0</v>
      </c>
      <c r="R6" s="734"/>
      <c r="S6" s="482"/>
      <c r="T6" s="482"/>
      <c r="U6" s="482"/>
      <c r="V6" s="482">
        <v>1</v>
      </c>
      <c r="W6" s="482"/>
      <c r="X6" s="482"/>
      <c r="Y6" s="482"/>
      <c r="Z6" s="42"/>
    </row>
    <row r="7" spans="1:26">
      <c r="A7" s="13">
        <v>5</v>
      </c>
      <c r="B7" s="19" t="s">
        <v>75</v>
      </c>
      <c r="C7" s="30"/>
      <c r="D7" s="467"/>
      <c r="E7" s="463">
        <f>COUNTIF('UG Map L4-L6'!I4:I54, "Bode")</f>
        <v>0</v>
      </c>
      <c r="F7" s="601">
        <f>COUNTIF('UG Map L4-L6'!K4:K54, "Bode")</f>
        <v>0</v>
      </c>
      <c r="G7" s="306">
        <f>COUNTIF('PG Delivery &amp; Map (15 Credits)'!J4:J19, "Bode")</f>
        <v>1</v>
      </c>
      <c r="H7" s="477">
        <f>COUNTIF('PG Delivery &amp; Map (15 Credits)'!K2:K18, "Bode")</f>
        <v>0</v>
      </c>
      <c r="I7" s="472">
        <f>COUNTIF('PG MAIDS'!G3:G7, " ")</f>
        <v>0</v>
      </c>
      <c r="J7" s="31">
        <f>COUNTIF('PG MAIDS'!H3:H7, " ")+COUNTIF('PG MAIDS'!I3:I7, "Bode")</f>
        <v>0</v>
      </c>
      <c r="K7" s="780">
        <f t="shared" si="1"/>
        <v>1</v>
      </c>
      <c r="L7" s="773">
        <f t="shared" si="0"/>
        <v>0</v>
      </c>
      <c r="M7" s="713"/>
      <c r="N7" s="764" t="s">
        <v>281</v>
      </c>
      <c r="O7" s="760" t="s">
        <v>281</v>
      </c>
      <c r="P7" s="713"/>
      <c r="Q7" s="714">
        <f>SUM('Super Staff Cover'!H3)</f>
        <v>10</v>
      </c>
      <c r="R7" s="734"/>
      <c r="S7" s="482"/>
      <c r="T7" s="482"/>
      <c r="U7" s="482"/>
      <c r="V7" s="482"/>
      <c r="W7" s="482"/>
      <c r="X7" s="482"/>
      <c r="Y7" s="482"/>
      <c r="Z7" s="42"/>
    </row>
    <row r="8" spans="1:26">
      <c r="A8" s="13">
        <v>6</v>
      </c>
      <c r="B8" s="17" t="s">
        <v>8</v>
      </c>
      <c r="C8" s="30">
        <f>COUNTIF(Foundation!G3:G8, "Darren")</f>
        <v>1</v>
      </c>
      <c r="D8" s="467"/>
      <c r="E8" s="463">
        <f>COUNTIF('UG Map L4-L6'!I3:I53, "Darren")</f>
        <v>3</v>
      </c>
      <c r="F8" s="601">
        <f>COUNTIF('UG Map L4-L6'!J3:J52, "Darren")</f>
        <v>0</v>
      </c>
      <c r="G8" s="306">
        <f>COUNTIF('PG Delivery &amp; Map (15 Credits)'!J3:J18, "Darren")</f>
        <v>0</v>
      </c>
      <c r="H8" s="477"/>
      <c r="I8" s="472">
        <f>COUNTIF('PG MAIDS'!G3:G7, " ")</f>
        <v>0</v>
      </c>
      <c r="J8" s="31">
        <f>COUNTIF('PG MAIDS'!H3:H7, " ")+COUNTIF('PG MAIDS'!I3:I7, " ")</f>
        <v>0</v>
      </c>
      <c r="K8" s="780">
        <f t="shared" si="1"/>
        <v>4</v>
      </c>
      <c r="L8" s="773">
        <f t="shared" si="0"/>
        <v>0</v>
      </c>
      <c r="M8" s="713"/>
      <c r="N8" s="764" t="s">
        <v>281</v>
      </c>
      <c r="O8" s="760"/>
      <c r="P8" s="713"/>
      <c r="Q8" s="714">
        <f>SUM('Super Staff Cover'!H5)</f>
        <v>0</v>
      </c>
      <c r="R8" s="734"/>
      <c r="S8" s="481"/>
      <c r="T8" s="481"/>
      <c r="U8" s="481"/>
      <c r="V8" s="481"/>
      <c r="W8" s="481">
        <v>1</v>
      </c>
      <c r="X8" s="481"/>
      <c r="Y8" s="481"/>
      <c r="Z8" s="41"/>
    </row>
    <row r="9" spans="1:26">
      <c r="A9" s="13">
        <v>7</v>
      </c>
      <c r="B9" s="19" t="s">
        <v>88</v>
      </c>
      <c r="C9" s="30">
        <f>COUNTIF(Foundation!G3:G8, "Drishty")</f>
        <v>0</v>
      </c>
      <c r="D9" s="467"/>
      <c r="E9" s="463">
        <f>COUNTIF('UG Map L4-L6'!I3:I53, "Drishty")</f>
        <v>2</v>
      </c>
      <c r="F9" s="601">
        <f>COUNTIF('UG Map L4-L6'!J3:J52, "Drishty")</f>
        <v>0</v>
      </c>
      <c r="G9" s="306">
        <f>COUNTIF('PG Delivery &amp; Map (15 Credits)'!J3:J18, "Drishty")</f>
        <v>0</v>
      </c>
      <c r="H9" s="477"/>
      <c r="I9" s="473">
        <f>COUNTIF('PG MAIDS'!G3:G7, "Drishty")</f>
        <v>1</v>
      </c>
      <c r="J9" s="31">
        <f>COUNTIF('PG MAIDS'!H3:H7, "Drishty")+COUNTIF('PG MAIDS'!I3:I7, "Drishty")</f>
        <v>0</v>
      </c>
      <c r="K9" s="780">
        <f t="shared" si="1"/>
        <v>3</v>
      </c>
      <c r="L9" s="773">
        <f t="shared" si="0"/>
        <v>0</v>
      </c>
      <c r="M9" s="713"/>
      <c r="N9" s="764" t="s">
        <v>281</v>
      </c>
      <c r="O9" s="760" t="s">
        <v>281</v>
      </c>
      <c r="P9" s="713"/>
      <c r="Q9" s="714">
        <f>SUM('Super Staff Cover'!H6)</f>
        <v>8</v>
      </c>
      <c r="R9" s="734"/>
      <c r="S9" s="482"/>
      <c r="T9" s="482">
        <v>1</v>
      </c>
      <c r="U9" s="482"/>
      <c r="V9" s="482"/>
      <c r="W9" s="482">
        <v>1</v>
      </c>
      <c r="X9" s="482"/>
      <c r="Y9" s="482"/>
      <c r="Z9" s="42"/>
    </row>
    <row r="10" spans="1:26">
      <c r="A10" s="13">
        <v>8</v>
      </c>
      <c r="B10" s="711" t="s">
        <v>283</v>
      </c>
      <c r="C10" s="30">
        <f>COUNTIF(Foundation!G3:G8, "Taiwo")</f>
        <v>0</v>
      </c>
      <c r="D10" s="467"/>
      <c r="E10" s="463">
        <f>COUNTIF('UG Map L4-L6'!I3:I53, "Taiwo")</f>
        <v>1</v>
      </c>
      <c r="F10" s="601">
        <f>COUNTIF('UG Map L4-L6'!J3:J52, "Taiwo")</f>
        <v>0</v>
      </c>
      <c r="G10" s="306">
        <f>COUNTIF('PG Delivery &amp; Map (15 Credits)'!J3:J18, "Taiwo")</f>
        <v>1</v>
      </c>
      <c r="H10" s="477"/>
      <c r="I10" s="472">
        <f>COUNTIF('PG MAIDS'!G3:G7, "Taiwo")</f>
        <v>0</v>
      </c>
      <c r="J10" s="31">
        <f>COUNTIF('PG MAIDS'!H3:H7, "Taiwo")+COUNTIF('PG MAIDS'!I3:I7, "Taiwo")</f>
        <v>1</v>
      </c>
      <c r="K10" s="780">
        <f t="shared" si="1"/>
        <v>2</v>
      </c>
      <c r="L10" s="773">
        <f t="shared" si="0"/>
        <v>1</v>
      </c>
      <c r="M10" s="713"/>
      <c r="N10" s="764" t="s">
        <v>281</v>
      </c>
      <c r="O10" s="760"/>
      <c r="P10" s="713"/>
      <c r="Q10" s="714">
        <f>SUM('Super Staff Cover'!H23)</f>
        <v>0</v>
      </c>
      <c r="R10" s="734"/>
      <c r="S10" s="481"/>
      <c r="T10" s="481"/>
      <c r="U10" s="481"/>
      <c r="V10" s="481"/>
      <c r="W10" s="481"/>
      <c r="X10" s="481"/>
      <c r="Y10" s="481"/>
      <c r="Z10" s="41"/>
    </row>
    <row r="11" spans="1:26">
      <c r="A11" s="13">
        <v>9</v>
      </c>
      <c r="B11" s="19" t="s">
        <v>284</v>
      </c>
      <c r="C11" s="30">
        <f>COUNTIF(Foundation!G3:G8, "Idris")</f>
        <v>0</v>
      </c>
      <c r="D11" s="467"/>
      <c r="E11" s="463">
        <f>COUNTIF('UG Map L4-L6'!I3:I53, " ")</f>
        <v>0</v>
      </c>
      <c r="F11" s="601">
        <f>COUNTIF('UG Map L4-L6'!J3:J52, "Idris")</f>
        <v>1</v>
      </c>
      <c r="G11" s="306">
        <f>COUNTIF('PG Delivery &amp; Map (15 Credits)'!J3:J18, "Idris")</f>
        <v>0</v>
      </c>
      <c r="H11" s="477"/>
      <c r="I11" s="472">
        <f>COUNTIF('PG MAIDS'!G3:G7, " ")</f>
        <v>0</v>
      </c>
      <c r="J11" s="31">
        <f>COUNTIF('PG MAIDS'!H3:H7, " ")+COUNTIF('PG MAIDS'!I3:I7, " ")</f>
        <v>0</v>
      </c>
      <c r="K11" s="780">
        <f t="shared" si="1"/>
        <v>0</v>
      </c>
      <c r="L11" s="773">
        <f t="shared" si="0"/>
        <v>1</v>
      </c>
      <c r="M11" s="713"/>
      <c r="N11" s="764" t="s">
        <v>281</v>
      </c>
      <c r="O11" s="760"/>
      <c r="P11" s="713"/>
      <c r="Q11" s="714">
        <f>SUM('Super Staff Cover'!H9)</f>
        <v>8</v>
      </c>
      <c r="R11" s="734"/>
      <c r="S11" s="482"/>
      <c r="T11" s="482"/>
      <c r="U11" s="482"/>
      <c r="V11" s="482"/>
      <c r="W11" s="482"/>
      <c r="X11" s="482">
        <v>1</v>
      </c>
      <c r="Y11" s="482"/>
      <c r="Z11" s="42"/>
    </row>
    <row r="12" spans="1:26">
      <c r="A12" s="13">
        <v>10</v>
      </c>
      <c r="B12" s="17" t="s">
        <v>54</v>
      </c>
      <c r="C12" s="30">
        <f>COUNTIF(Foundation!G3:G8, "Jarutas")</f>
        <v>0</v>
      </c>
      <c r="D12" s="467"/>
      <c r="E12" s="463">
        <f>COUNTIF('UG Map L4-L6'!I3:I53, "Jarutas")</f>
        <v>1</v>
      </c>
      <c r="F12" s="601">
        <f>COUNTIF('UG Map L4-L6'!J3:J52, "Jarutas")</f>
        <v>0</v>
      </c>
      <c r="G12" s="306">
        <f>COUNTIF('PG Delivery &amp; Map (15 Credits)'!J3:J18, "Jarutas")</f>
        <v>0</v>
      </c>
      <c r="H12" s="477"/>
      <c r="I12" s="472">
        <f>COUNTIF('PG MAIDS'!G3:G7, "Jarutas")</f>
        <v>1</v>
      </c>
      <c r="J12" s="31">
        <f>COUNTIF('PG MAIDS'!H3:H7, "Jarutas")+COUNTIF('PG MAIDS'!I3:I7, "Jarutas")</f>
        <v>0</v>
      </c>
      <c r="K12" s="780">
        <f t="shared" si="1"/>
        <v>2</v>
      </c>
      <c r="L12" s="773">
        <f t="shared" si="0"/>
        <v>0</v>
      </c>
      <c r="M12" s="713"/>
      <c r="N12" s="764" t="s">
        <v>281</v>
      </c>
      <c r="O12" s="760" t="s">
        <v>281</v>
      </c>
      <c r="P12" s="713"/>
      <c r="Q12" s="714">
        <f>SUM('Super Staff Cover'!H9)</f>
        <v>8</v>
      </c>
      <c r="R12" s="734"/>
      <c r="S12" s="481"/>
      <c r="T12" s="481"/>
      <c r="U12" s="481"/>
      <c r="V12" s="481"/>
      <c r="W12" s="481">
        <v>1</v>
      </c>
      <c r="X12" s="481"/>
      <c r="Y12" s="481"/>
      <c r="Z12" s="41"/>
    </row>
    <row r="13" spans="1:26">
      <c r="A13" s="13">
        <v>11</v>
      </c>
      <c r="B13" s="17" t="s">
        <v>12</v>
      </c>
      <c r="C13" s="30">
        <f>COUNTIF(Foundation!G3:G8, "Kalin")</f>
        <v>2</v>
      </c>
      <c r="D13" s="467"/>
      <c r="E13" s="463">
        <f>COUNTIF('UG Map L4-L6'!I3:I53, "Kalin")</f>
        <v>2</v>
      </c>
      <c r="F13" s="601">
        <f>COUNTIF('UG Map L4-L6'!J3:J52, "Joe")</f>
        <v>0</v>
      </c>
      <c r="G13" s="306">
        <f>COUNTIF('PG Delivery &amp; Map (15 Credits)'!J3:J18, "Kalin")</f>
        <v>3</v>
      </c>
      <c r="H13" s="477"/>
      <c r="I13" s="472">
        <f>COUNTIF('PG MAIDS'!G3:G7, " ")</f>
        <v>0</v>
      </c>
      <c r="J13" s="31">
        <f>COUNTIF('PG MAIDS'!H3:H7, " ")+COUNTIF('PG MAIDS'!I3:I7, " ")</f>
        <v>0</v>
      </c>
      <c r="K13" s="780">
        <f t="shared" si="1"/>
        <v>7</v>
      </c>
      <c r="L13" s="773">
        <f t="shared" si="0"/>
        <v>0</v>
      </c>
      <c r="M13" s="713"/>
      <c r="N13" s="764" t="s">
        <v>281</v>
      </c>
      <c r="O13" s="760" t="s">
        <v>281</v>
      </c>
      <c r="P13" s="713"/>
      <c r="Q13" s="714">
        <f>SUM('Super Staff Cover'!H11)</f>
        <v>4</v>
      </c>
      <c r="R13" s="734"/>
      <c r="S13" s="481">
        <v>1</v>
      </c>
      <c r="T13" s="481"/>
      <c r="U13" s="481"/>
      <c r="V13" s="481"/>
      <c r="W13" s="481"/>
      <c r="X13" s="481"/>
      <c r="Y13" s="481"/>
      <c r="Z13" s="41"/>
    </row>
    <row r="14" spans="1:26">
      <c r="A14" s="13">
        <v>12</v>
      </c>
      <c r="B14" s="19" t="s">
        <v>285</v>
      </c>
      <c r="C14" s="30">
        <f>COUNTIF(Foundation!G3:G8, "Kenton")</f>
        <v>0</v>
      </c>
      <c r="D14" s="467"/>
      <c r="E14" s="463">
        <f>COUNTIF('UG Map L4-L6'!I3:I53, "Kenton")</f>
        <v>5</v>
      </c>
      <c r="F14" s="601">
        <f>COUNTIF('UG Map L4-L6'!J3:J52, "Kenton")</f>
        <v>0</v>
      </c>
      <c r="G14" s="306">
        <f>COUNTIF('PG Delivery &amp; Map (15 Credits)'!J3:J18, "Kenton")</f>
        <v>1</v>
      </c>
      <c r="H14" s="477"/>
      <c r="I14" s="472">
        <f>COUNTIF('PG MAIDS'!G3:G7, "Kenton")</f>
        <v>0</v>
      </c>
      <c r="J14" s="31">
        <f>COUNTIF('PG MAIDS'!H3:H7, " ")+COUNTIF('PG MAIDS'!I3:I7, " ")</f>
        <v>0</v>
      </c>
      <c r="K14" s="780">
        <f t="shared" si="1"/>
        <v>6</v>
      </c>
      <c r="L14" s="773">
        <f t="shared" si="0"/>
        <v>0</v>
      </c>
      <c r="M14" s="713"/>
      <c r="N14" s="764" t="s">
        <v>281</v>
      </c>
      <c r="O14" s="760" t="s">
        <v>281</v>
      </c>
      <c r="P14" s="713"/>
      <c r="Q14" s="714">
        <f>SUM('Super Staff Cover'!H13)</f>
        <v>2</v>
      </c>
      <c r="R14" s="734"/>
      <c r="S14" s="482"/>
      <c r="T14" s="482"/>
      <c r="U14" s="482"/>
      <c r="V14" s="482"/>
      <c r="W14" s="482"/>
      <c r="X14" s="482">
        <v>1</v>
      </c>
      <c r="Y14" s="482"/>
      <c r="Z14" s="42"/>
    </row>
    <row r="15" spans="1:26">
      <c r="A15" s="13">
        <v>13</v>
      </c>
      <c r="B15" s="194" t="s">
        <v>232</v>
      </c>
      <c r="C15" s="30"/>
      <c r="D15" s="467"/>
      <c r="E15" s="463">
        <f>COUNTIF('UG Map L4-L6'!I3:I53, "Kashif")</f>
        <v>0</v>
      </c>
      <c r="F15" s="601">
        <f>COUNTIF('UG Map L4-L6'!J3:J52, "Kashif")</f>
        <v>0</v>
      </c>
      <c r="G15" s="306">
        <f>COUNTIF('PG Delivery &amp; Map (15 Credits)'!J3:J18, "Kashif")</f>
        <v>1</v>
      </c>
      <c r="H15" s="477"/>
      <c r="I15" s="472">
        <f>COUNTIF('PG MAIDS'!G3:G7, "Kashif")</f>
        <v>1</v>
      </c>
      <c r="J15" s="31">
        <f>COUNTIF('PG MAIDS'!I3:I7, "Kashif")</f>
        <v>0</v>
      </c>
      <c r="K15" s="780">
        <f>SUM(C15+E15+G15+I15)</f>
        <v>2</v>
      </c>
      <c r="L15" s="773">
        <f t="shared" si="0"/>
        <v>0</v>
      </c>
      <c r="M15" s="713"/>
      <c r="N15" s="763"/>
      <c r="O15" s="760" t="s">
        <v>281</v>
      </c>
      <c r="P15" s="713"/>
      <c r="Q15" s="714">
        <f>SUM('Super Staff Cover'!H12)</f>
        <v>4</v>
      </c>
      <c r="R15" s="734"/>
      <c r="S15" s="482"/>
      <c r="T15" s="482"/>
      <c r="U15" s="482"/>
      <c r="V15" s="482"/>
      <c r="W15" s="482">
        <v>1</v>
      </c>
      <c r="X15" s="482"/>
      <c r="Y15" s="482"/>
      <c r="Z15" s="42"/>
    </row>
    <row r="16" spans="1:26">
      <c r="A16" s="737">
        <v>14</v>
      </c>
      <c r="B16" s="195" t="s">
        <v>286</v>
      </c>
      <c r="C16" s="30">
        <f>COUNTIF(Foundation!G3:G8, "Louise")</f>
        <v>1</v>
      </c>
      <c r="D16" s="467"/>
      <c r="E16" s="464">
        <f>COUNTIF('UG Map L4-L6'!I3:I53, "Louise")</f>
        <v>1</v>
      </c>
      <c r="F16" s="601">
        <f>COUNTIF('UG Map L4-L6'!J3:J52, "Louise")</f>
        <v>0</v>
      </c>
      <c r="G16" s="306">
        <f>COUNTIF('PG Delivery &amp; Map (15 Credits)'!J3:J18, "Louise")</f>
        <v>0</v>
      </c>
      <c r="H16" s="477">
        <f>COUNTIF('PG Delivery &amp; Map (15 Credits)'!K2:K18, "Louise")</f>
        <v>0</v>
      </c>
      <c r="I16" s="472">
        <f>COUNTIF('PG MAIDS'!G3:G7, " ")</f>
        <v>0</v>
      </c>
      <c r="J16" s="31">
        <f>COUNTIF('PG MAIDS'!H3:H7, " ")+COUNTIF('PG MAIDS'!I3:I7, " ")</f>
        <v>0</v>
      </c>
      <c r="K16" s="780">
        <f t="shared" si="1"/>
        <v>2</v>
      </c>
      <c r="L16" s="773">
        <f t="shared" si="0"/>
        <v>0</v>
      </c>
      <c r="M16" s="713"/>
      <c r="N16" s="764" t="s">
        <v>281</v>
      </c>
      <c r="O16" s="760"/>
      <c r="P16" s="713"/>
      <c r="Q16" s="714" t="s">
        <v>112</v>
      </c>
      <c r="R16" s="734"/>
      <c r="S16" s="483"/>
      <c r="T16" s="483"/>
      <c r="U16" s="483"/>
      <c r="V16" s="483">
        <v>1</v>
      </c>
      <c r="W16" s="483"/>
      <c r="X16" s="483"/>
      <c r="Y16" s="483"/>
      <c r="Z16" s="76">
        <v>1</v>
      </c>
    </row>
    <row r="17" spans="1:26">
      <c r="A17" s="13">
        <v>15</v>
      </c>
      <c r="B17" s="461" t="s">
        <v>10</v>
      </c>
      <c r="C17" s="32">
        <f>COUNTIF(Foundation!G3:G8, "Martin")</f>
        <v>1</v>
      </c>
      <c r="D17" s="468"/>
      <c r="E17" s="464">
        <f>COUNTIF('UG Map L4-L6'!I3:I53, "Martin")</f>
        <v>7</v>
      </c>
      <c r="F17" s="601">
        <f>COUNTIF('UG Map L4-L6'!J3:J52, "Martin")</f>
        <v>0</v>
      </c>
      <c r="G17" s="594">
        <f>COUNTIF('PG Delivery &amp; Map (15 Credits)'!J3:J18, "Martin")</f>
        <v>2</v>
      </c>
      <c r="H17" s="478"/>
      <c r="I17" s="474">
        <f>COUNTIF('PG MAIDS'!G3:G7, " ")</f>
        <v>0</v>
      </c>
      <c r="J17" s="305">
        <f>COUNTIF('PG MAIDS'!H3:H7, " ")+COUNTIF('PG MAIDS'!I3:I7, " ")</f>
        <v>0</v>
      </c>
      <c r="K17" s="781">
        <f t="shared" si="1"/>
        <v>10</v>
      </c>
      <c r="L17" s="774">
        <f t="shared" si="0"/>
        <v>0</v>
      </c>
      <c r="M17" s="713"/>
      <c r="N17" s="764" t="s">
        <v>281</v>
      </c>
      <c r="O17" s="760" t="s">
        <v>281</v>
      </c>
      <c r="P17" s="713"/>
      <c r="Q17" s="714">
        <f>SUM('Super Staff Cover'!H15)</f>
        <v>5</v>
      </c>
      <c r="R17" s="734"/>
      <c r="S17" s="484"/>
      <c r="T17" s="484">
        <v>1</v>
      </c>
      <c r="U17" s="484"/>
      <c r="V17" s="484"/>
      <c r="W17" s="484"/>
      <c r="X17" s="484"/>
      <c r="Y17" s="484"/>
      <c r="Z17" s="479"/>
    </row>
    <row r="18" spans="1:26">
      <c r="A18" s="13">
        <v>16</v>
      </c>
      <c r="B18" s="17" t="s">
        <v>287</v>
      </c>
      <c r="C18" s="645"/>
      <c r="D18" s="646"/>
      <c r="E18" s="647"/>
      <c r="F18" s="648"/>
      <c r="G18" s="649"/>
      <c r="H18" s="650"/>
      <c r="I18" s="651"/>
      <c r="J18" s="652">
        <f>COUNTIF('PG MAIDS'!H3:H7, " ")+COUNTIF('PG MAIDS'!I3:I7, " ")</f>
        <v>0</v>
      </c>
      <c r="K18" s="780">
        <f t="shared" si="1"/>
        <v>0</v>
      </c>
      <c r="L18" s="773">
        <f t="shared" si="0"/>
        <v>0</v>
      </c>
      <c r="M18" s="713"/>
      <c r="N18" s="763"/>
      <c r="O18" s="760"/>
      <c r="P18" s="713"/>
      <c r="Q18" s="714">
        <f>SUM('Super Staff Cover'!H14)</f>
        <v>10</v>
      </c>
      <c r="R18" s="734"/>
      <c r="S18" s="74"/>
      <c r="T18" s="74"/>
      <c r="U18" s="74"/>
      <c r="V18" s="74"/>
      <c r="W18" s="74"/>
      <c r="X18" s="74"/>
      <c r="Y18" s="74"/>
      <c r="Z18" s="150"/>
    </row>
    <row r="19" spans="1:26" s="715" customFormat="1">
      <c r="A19" s="737">
        <v>17</v>
      </c>
      <c r="B19" s="462" t="s">
        <v>288</v>
      </c>
      <c r="C19" s="741">
        <f>COUNTIF(Foundation!G3:G8, "Mike")</f>
        <v>0</v>
      </c>
      <c r="D19" s="742"/>
      <c r="E19" s="743">
        <f>COUNTIF('UG Map L4-L6'!I3:I53, "Mike")</f>
        <v>0</v>
      </c>
      <c r="F19" s="744">
        <f>COUNTIF('UG Map L4-L6'!J3:J52, "Mike")</f>
        <v>3</v>
      </c>
      <c r="G19" s="745">
        <f>COUNTIF('PG Delivery &amp; Map (15 Credits)'!J3:J18, "Mike")</f>
        <v>0</v>
      </c>
      <c r="H19" s="746"/>
      <c r="I19" s="747">
        <f>COUNTIF('PG MAIDS'!G3:G7, " ")</f>
        <v>0</v>
      </c>
      <c r="J19" s="748">
        <f>COUNTIF('PG MAIDS'!H3:H7, " ")+COUNTIF('PG MAIDS'!I3:I7, " ")</f>
        <v>0</v>
      </c>
      <c r="K19" s="782">
        <f>SUM(C19+E19+G19+I19)</f>
        <v>0</v>
      </c>
      <c r="L19" s="777">
        <f>SUM(D19+F19+H19+J19)</f>
        <v>3</v>
      </c>
      <c r="M19" s="738"/>
      <c r="N19" s="764" t="s">
        <v>281</v>
      </c>
      <c r="O19" s="761"/>
      <c r="P19" s="738"/>
      <c r="Q19" s="739" t="s">
        <v>112</v>
      </c>
      <c r="R19" s="740"/>
      <c r="S19" s="489"/>
      <c r="T19" s="489"/>
      <c r="U19" s="489"/>
      <c r="V19" s="489"/>
      <c r="W19" s="489"/>
      <c r="X19" s="489"/>
      <c r="Y19" s="489">
        <v>1</v>
      </c>
      <c r="Z19" s="488"/>
    </row>
    <row r="20" spans="1:26">
      <c r="A20" s="13">
        <v>18</v>
      </c>
      <c r="B20" s="19" t="s">
        <v>43</v>
      </c>
      <c r="C20" s="32">
        <f>COUNTIF(Foundation!G3:G8, "Neville")</f>
        <v>0</v>
      </c>
      <c r="D20" s="468"/>
      <c r="E20" s="464">
        <f>COUNTIF('UG Map L4-L6'!I3:I53, "Neville")</f>
        <v>5</v>
      </c>
      <c r="F20" s="601">
        <f>COUNTIF('UG Map L4-L6'!J3:J52, "Neville")</f>
        <v>0</v>
      </c>
      <c r="G20" s="306">
        <f>COUNTIF('PG Delivery &amp; Map (15 Credits)'!J3:J18, "Neville")</f>
        <v>0</v>
      </c>
      <c r="H20" s="477"/>
      <c r="I20" s="472">
        <f>COUNTIF('PG MAIDS'!G3:G7, " ")</f>
        <v>0</v>
      </c>
      <c r="J20" s="31">
        <f>COUNTIF('PG MAIDS'!H3:H7, " ")+COUNTIF('PG MAIDS'!I3:I7, " ")</f>
        <v>0</v>
      </c>
      <c r="K20" s="783">
        <f>SUM(C20+E20+G20+I20)</f>
        <v>5</v>
      </c>
      <c r="L20" s="773">
        <f>SUM(D20+F20+H20+J20)</f>
        <v>0</v>
      </c>
      <c r="M20" s="713"/>
      <c r="N20" s="764" t="s">
        <v>281</v>
      </c>
      <c r="O20" s="760"/>
      <c r="P20" s="713"/>
      <c r="Q20" s="714">
        <f>SUM('Super Staff Cover'!H18)</f>
        <v>0</v>
      </c>
      <c r="R20" s="734"/>
      <c r="S20" s="481"/>
      <c r="T20" s="481"/>
      <c r="U20" s="481">
        <v>0.5</v>
      </c>
      <c r="V20" s="481"/>
      <c r="W20" s="481"/>
      <c r="X20" s="481"/>
      <c r="Y20" s="481"/>
      <c r="Z20" s="41"/>
    </row>
    <row r="21" spans="1:26">
      <c r="A21" s="13">
        <v>19</v>
      </c>
      <c r="B21" s="17" t="s">
        <v>59</v>
      </c>
      <c r="C21" s="33">
        <f>COUNTIF(Foundation!G3:G8, "Nick")</f>
        <v>0</v>
      </c>
      <c r="D21" s="467"/>
      <c r="E21" s="464">
        <f>COUNTIF('UG Map L4-L6'!I3:I53, "Nick")</f>
        <v>6</v>
      </c>
      <c r="F21" s="601">
        <f>COUNTIF('UG Map L4-L6'!J3:J52, "Nick")</f>
        <v>0</v>
      </c>
      <c r="G21" s="306">
        <f>COUNTIF('PG Delivery &amp; Map (15 Credits)'!J3:J18, "Nick")</f>
        <v>0</v>
      </c>
      <c r="H21" s="477"/>
      <c r="I21" s="472">
        <f>COUNTIF('PG MAIDS'!G3:G7, " ")</f>
        <v>0</v>
      </c>
      <c r="J21" s="31">
        <f>COUNTIF('PG MAIDS'!H3:H7, " ")+COUNTIF('PG MAIDS'!I3:I7, " ")</f>
        <v>0</v>
      </c>
      <c r="K21" s="780">
        <f>SUM(C21+E21+G21+I21)</f>
        <v>6</v>
      </c>
      <c r="L21" s="773">
        <f>SUM(D21+F21+H21+J21)</f>
        <v>0</v>
      </c>
      <c r="M21" s="713"/>
      <c r="N21" s="764" t="s">
        <v>281</v>
      </c>
      <c r="O21" s="760"/>
      <c r="P21" s="713"/>
      <c r="Q21" s="714">
        <f>SUM('Super Staff Cover'!H17)</f>
        <v>4</v>
      </c>
      <c r="R21" s="734"/>
      <c r="S21" s="482"/>
      <c r="T21" s="482"/>
      <c r="U21" s="482">
        <v>1</v>
      </c>
      <c r="V21" s="482"/>
      <c r="W21" s="482"/>
      <c r="X21" s="482"/>
      <c r="Y21" s="482"/>
      <c r="Z21" s="42"/>
    </row>
    <row r="22" spans="1:26">
      <c r="A22" s="13">
        <v>20</v>
      </c>
      <c r="B22" s="19" t="s">
        <v>289</v>
      </c>
      <c r="C22" s="33">
        <f>COUNTIF(Foundation!G3:G8, "Pengfei")</f>
        <v>0</v>
      </c>
      <c r="D22" s="467"/>
      <c r="E22" s="464">
        <f>COUNTIF('UG Map L4-L6'!I3:I53, "Pengfei")</f>
        <v>0</v>
      </c>
      <c r="F22" s="601">
        <f>COUNTIF('UG Map L4-L6'!J3:J52, "Pengfei")</f>
        <v>2</v>
      </c>
      <c r="G22" s="594">
        <f>COUNTIF('PG Delivery &amp; Map (15 Credits)'!J3:J18, "Pengfei")</f>
        <v>2</v>
      </c>
      <c r="H22" s="477"/>
      <c r="I22" s="472">
        <f>COUNTIF('PG Delivery &amp; Map (15 Credits)'!J3:J18, "Warren")</f>
        <v>1</v>
      </c>
      <c r="J22" s="31">
        <f>COUNTIF('PG MAIDS'!H3:H7, "Pengfei")+COUNTIF('PG MAIDS'!I3:I7, "Pengfei")</f>
        <v>0</v>
      </c>
      <c r="K22" s="780">
        <f>SUM(C22+E22+G22+I22)</f>
        <v>3</v>
      </c>
      <c r="L22" s="773">
        <f>SUM(D22+F22+H22+J22)</f>
        <v>2</v>
      </c>
      <c r="M22" s="713"/>
      <c r="N22" s="764" t="s">
        <v>281</v>
      </c>
      <c r="O22" s="760" t="s">
        <v>281</v>
      </c>
      <c r="P22" s="713"/>
      <c r="Q22" s="714">
        <f>SUM('Super Staff Cover'!H19)</f>
        <v>11</v>
      </c>
      <c r="R22" s="734"/>
      <c r="S22" s="481"/>
      <c r="T22" s="481"/>
      <c r="U22" s="481"/>
      <c r="V22" s="481"/>
      <c r="W22" s="481"/>
      <c r="X22" s="481">
        <v>1</v>
      </c>
      <c r="Y22" s="481"/>
      <c r="Z22" s="41"/>
    </row>
    <row r="23" spans="1:26">
      <c r="A23" s="13">
        <v>21</v>
      </c>
      <c r="B23" s="827" t="s">
        <v>229</v>
      </c>
      <c r="C23" s="33">
        <f>COUNTIF(Foundation!G2:G7, "Raza")</f>
        <v>0</v>
      </c>
      <c r="D23" s="467"/>
      <c r="E23" s="464">
        <f>COUNTIF('UG Map L4-L6'!I2:I52, "Raza")</f>
        <v>0</v>
      </c>
      <c r="F23" s="601">
        <f>COUNTIF('UG Map L4-L6'!K2:K51, "Raza")</f>
        <v>0</v>
      </c>
      <c r="G23" s="595">
        <f>COUNTIF('PG Delivery &amp; Map (15 Credits)'!J2:J17, "Raza")</f>
        <v>0</v>
      </c>
      <c r="H23" s="306"/>
      <c r="I23" s="472">
        <f>COUNTIF('PG MAIDS'!G2:G6, "Raza")</f>
        <v>0</v>
      </c>
      <c r="J23" s="750">
        <f>COUNTIF('PG MAIDS'!H2:H6, "Raza")+COUNTIF('PG MAIDS'!I2:I6, "Raza")</f>
        <v>1</v>
      </c>
      <c r="K23" s="780">
        <f>SUM(C23+E23+G23+I23)</f>
        <v>0</v>
      </c>
      <c r="L23" s="775">
        <f>SUM(D23+F23+H23+J23)</f>
        <v>1</v>
      </c>
      <c r="M23" s="713"/>
      <c r="N23" s="763"/>
      <c r="O23" s="760"/>
      <c r="P23" s="713"/>
      <c r="Q23" s="714">
        <f>SUM('Super Staff Cover'!H21)</f>
        <v>0</v>
      </c>
      <c r="R23" s="734"/>
      <c r="S23" s="481"/>
      <c r="T23" s="481"/>
      <c r="U23" s="481"/>
      <c r="V23" s="481"/>
      <c r="W23" s="481">
        <v>1</v>
      </c>
      <c r="X23" s="481"/>
      <c r="Y23" s="481"/>
      <c r="Z23" s="41"/>
    </row>
    <row r="24" spans="1:26">
      <c r="A24" s="13">
        <v>22</v>
      </c>
      <c r="B24" s="17" t="s">
        <v>77</v>
      </c>
      <c r="C24" s="33">
        <f>COUNTIF(Foundation!G3:G8, "Shakeel")</f>
        <v>0</v>
      </c>
      <c r="D24" s="467"/>
      <c r="E24" s="464">
        <f>COUNTIF('UG Map L4-L6'!I3:I53, "Shakeel")</f>
        <v>1</v>
      </c>
      <c r="F24" s="601">
        <f>COUNTIF('UG Map L4-L6'!J3:J52, "Shakeel")</f>
        <v>0</v>
      </c>
      <c r="G24" s="595">
        <f>COUNTIF('PG Delivery &amp; Map (15 Credits)'!J3:J18, "Shakeel")</f>
        <v>0</v>
      </c>
      <c r="H24" s="306"/>
      <c r="I24" s="472">
        <f>COUNTIF('PG MAIDS'!G3:G7, "Shakeel")</f>
        <v>1</v>
      </c>
      <c r="J24" s="31">
        <f>COUNTIF('PG MAIDS'!H3:H7, "Shakeel")+COUNTIF('PG MAIDS'!I3:I7, "Shakeel")</f>
        <v>0</v>
      </c>
      <c r="K24" s="780">
        <f>SUM(C24+E24+G24+I24)</f>
        <v>2</v>
      </c>
      <c r="L24" s="773">
        <f>SUM(D24+F24+H24+J24)</f>
        <v>0</v>
      </c>
      <c r="M24" s="713"/>
      <c r="N24" s="764" t="s">
        <v>281</v>
      </c>
      <c r="O24" s="760" t="s">
        <v>281</v>
      </c>
      <c r="P24" s="713"/>
      <c r="Q24" s="714">
        <f>SUM('Super Staff Cover'!H24)</f>
        <v>0</v>
      </c>
      <c r="R24" s="734"/>
      <c r="S24" s="482">
        <v>1</v>
      </c>
      <c r="T24" s="482">
        <v>1</v>
      </c>
      <c r="U24" s="482"/>
      <c r="V24" s="482"/>
      <c r="W24" s="482"/>
      <c r="X24" s="482"/>
      <c r="Y24" s="482"/>
      <c r="Z24" s="42"/>
    </row>
    <row r="25" spans="1:26">
      <c r="A25" s="13">
        <v>23</v>
      </c>
      <c r="B25" s="542" t="s">
        <v>290</v>
      </c>
      <c r="C25" s="33">
        <f>COUNTIF(Foundation!G3:G8, "Tomasz")</f>
        <v>0</v>
      </c>
      <c r="D25" s="467"/>
      <c r="E25" s="464">
        <f>COUNTIF('UG Map L4-L6'!I3:I53, "Tomasz")</f>
        <v>0</v>
      </c>
      <c r="F25" s="601">
        <f>COUNTIF('UG Map L4-L6'!J3:J52, "Tomasz")</f>
        <v>0</v>
      </c>
      <c r="G25" s="595">
        <f>COUNTIF('PG Delivery &amp; Map (15 Credits)'!J3:J18, "Tomasz")</f>
        <v>1</v>
      </c>
      <c r="H25" s="306"/>
      <c r="I25" s="472">
        <f>COUNTIF('PG MAIDS'!G3:G7, " ")</f>
        <v>0</v>
      </c>
      <c r="J25" s="31">
        <f>COUNTIF('PG MAIDS'!H3:H7, " ")+COUNTIF('PG MAIDS'!I3:I7, " ")</f>
        <v>0</v>
      </c>
      <c r="K25" s="780">
        <f>SUM(C25+E25+G25+I25)</f>
        <v>1</v>
      </c>
      <c r="L25" s="773">
        <f>SUM(D25+F25+H25+J25)</f>
        <v>0</v>
      </c>
      <c r="M25" s="713"/>
      <c r="N25" s="763"/>
      <c r="O25" s="760" t="s">
        <v>281</v>
      </c>
      <c r="P25" s="713"/>
      <c r="Q25" s="714" t="s">
        <v>112</v>
      </c>
      <c r="R25" s="734"/>
      <c r="S25" s="485"/>
      <c r="T25" s="485"/>
      <c r="U25" s="485"/>
      <c r="V25" s="485"/>
      <c r="W25" s="485"/>
      <c r="X25" s="485">
        <v>1</v>
      </c>
      <c r="Y25" s="485"/>
      <c r="Z25" s="307">
        <v>1</v>
      </c>
    </row>
    <row r="26" spans="1:26">
      <c r="A26" s="13">
        <v>24</v>
      </c>
      <c r="B26" s="303" t="s">
        <v>40</v>
      </c>
      <c r="C26" s="304">
        <f>COUNTIF(Foundation!G3:G8, "Warren")</f>
        <v>0</v>
      </c>
      <c r="D26" s="468"/>
      <c r="E26" s="464">
        <f>COUNTIF('UG Map L4-L6'!I3:I53, "Warren")</f>
        <v>6</v>
      </c>
      <c r="F26" s="601">
        <f>COUNTIF('UG Map L4-L6'!J3:J52, "Warren")</f>
        <v>1</v>
      </c>
      <c r="G26" s="596">
        <f>COUNTIF('PG Delivery &amp; Map (15 Credits)'!J3:J18, "Warren")</f>
        <v>1</v>
      </c>
      <c r="H26" s="478"/>
      <c r="I26" s="474">
        <f>COUNTIF('PG MAIDS'!G3:G7, " ")</f>
        <v>0</v>
      </c>
      <c r="J26" s="305">
        <f>COUNTIF('PG MAIDS'!H3:H7, " ")+COUNTIF('PG MAIDS'!I3:I7, " ")</f>
        <v>0</v>
      </c>
      <c r="K26" s="781">
        <f>SUM(C26+E26+G26+I26)</f>
        <v>7</v>
      </c>
      <c r="L26" s="774">
        <f>SUM(D26+F26+H26+J26)</f>
        <v>1</v>
      </c>
      <c r="M26" s="713"/>
      <c r="N26" s="764" t="s">
        <v>281</v>
      </c>
      <c r="O26" s="760"/>
      <c r="P26" s="713"/>
      <c r="Q26" s="714">
        <f>SUM('Super Staff Cover'!H25)</f>
        <v>1</v>
      </c>
      <c r="R26" s="734"/>
      <c r="S26" s="482"/>
      <c r="T26" s="482"/>
      <c r="U26" s="482"/>
      <c r="V26" s="482">
        <v>1</v>
      </c>
      <c r="W26" s="482"/>
      <c r="X26" s="482"/>
      <c r="Y26" s="482"/>
      <c r="Z26" s="42"/>
    </row>
    <row r="27" spans="1:26">
      <c r="A27" s="13">
        <v>25</v>
      </c>
      <c r="B27" s="195" t="s">
        <v>291</v>
      </c>
      <c r="C27" s="653">
        <f>COUNTIF(Foundation!G3:G8, "VACANT")</f>
        <v>0</v>
      </c>
      <c r="D27" s="654"/>
      <c r="E27" s="655">
        <f>COUNTIF('UG Map L4-L6'!I3:I53, "VACANT")</f>
        <v>0</v>
      </c>
      <c r="F27" s="656">
        <f>COUNTIF('UG Map L4-L6'!J3:J52, "VACANT")</f>
        <v>0</v>
      </c>
      <c r="G27" s="657">
        <f>COUNTIF('PG Delivery &amp; Map (15 Credits)'!J3:J18, "VACANT")</f>
        <v>0</v>
      </c>
      <c r="H27" s="658"/>
      <c r="I27" s="643">
        <f>COUNTIF('PG MAIDS'!G3:G7, "VACANT")</f>
        <v>0</v>
      </c>
      <c r="J27" s="644">
        <f>COUNTIF('PG MAIDS'!H3:H7, " ")+COUNTIF('PG MAIDS'!I3:I7, " ")</f>
        <v>0</v>
      </c>
      <c r="K27" s="781">
        <f>SUM(C27+E27+G27+I27)</f>
        <v>0</v>
      </c>
      <c r="L27" s="774">
        <f>SUM(D27+F27+H27+J27)</f>
        <v>0</v>
      </c>
      <c r="M27" s="713"/>
      <c r="N27" s="763"/>
      <c r="O27" s="760"/>
      <c r="P27" s="713"/>
      <c r="Q27" s="714"/>
      <c r="R27" s="734"/>
      <c r="S27" s="74"/>
      <c r="T27" s="74"/>
      <c r="U27" s="74"/>
      <c r="V27" s="74"/>
      <c r="W27" s="74"/>
      <c r="X27" s="74"/>
      <c r="Y27" s="74"/>
      <c r="Z27" s="150"/>
    </row>
    <row r="28" spans="1:26">
      <c r="A28" s="13">
        <v>26</v>
      </c>
      <c r="B28" s="759" t="s">
        <v>101</v>
      </c>
      <c r="C28" s="653">
        <f>COUNTIF(Foundation!G4:G9, "Craig")</f>
        <v>0</v>
      </c>
      <c r="D28" s="654"/>
      <c r="E28" s="655">
        <f>COUNTIF('UG Map L4-L6'!I4:I54, "Craig")</f>
        <v>1</v>
      </c>
      <c r="F28" s="656">
        <f>COUNTIF('UG Map L4-L6'!J4:J53, "Craig")+COUNTIF('UG Map L4-L6'!K4:JJ53, "Craig")</f>
        <v>1</v>
      </c>
      <c r="G28" s="657">
        <f>COUNTIF('PG Delivery &amp; Map (15 Credits)'!J4:J19, "Craig")</f>
        <v>0</v>
      </c>
      <c r="H28" s="658"/>
      <c r="I28" s="643">
        <f>COUNTIF('PG MAIDS'!G4:G8, "Craig")</f>
        <v>0</v>
      </c>
      <c r="J28" s="644">
        <f>COUNTIF('PG MAIDS'!H4:H8, "Craig")+COUNTIF('PG MAIDS'!I4:I8, "Craig")</f>
        <v>0</v>
      </c>
      <c r="K28" s="781">
        <f>SUM(C28+E28+G28+I28)</f>
        <v>1</v>
      </c>
      <c r="L28" s="774">
        <f>SUM(D28+F28+H28+J28)</f>
        <v>1</v>
      </c>
      <c r="M28" s="713"/>
      <c r="N28" s="763" t="s">
        <v>281</v>
      </c>
      <c r="O28" s="760"/>
      <c r="P28" s="713"/>
      <c r="Q28" s="714" t="e">
        <f ca="1">SUM('Super Staff Cover'!H?)</f>
        <v>#NAME?</v>
      </c>
      <c r="R28" s="734"/>
      <c r="S28" s="74"/>
      <c r="T28" s="74"/>
      <c r="U28" s="74"/>
      <c r="V28" s="74"/>
      <c r="W28" s="74"/>
      <c r="X28" s="330">
        <v>1</v>
      </c>
      <c r="Y28" s="74"/>
      <c r="Z28" s="150"/>
    </row>
    <row r="29" spans="1:26">
      <c r="A29" s="13">
        <v>27</v>
      </c>
      <c r="B29" s="711" t="s">
        <v>17</v>
      </c>
      <c r="C29" s="653">
        <f>COUNTIF(Foundation!G5:G10, "Armen")</f>
        <v>1</v>
      </c>
      <c r="D29" s="654"/>
      <c r="E29" s="655">
        <f>COUNTIF('UG Map L4-L6'!I5:I55, "Armen")</f>
        <v>1</v>
      </c>
      <c r="F29" s="656">
        <f>COUNTIF('UG Map L4-L6'!K5:K54, "Armen")</f>
        <v>0</v>
      </c>
      <c r="G29" s="657">
        <f>COUNTIF('PG Delivery &amp; Map (15 Credits)'!J5:J20, "Armen")</f>
        <v>0</v>
      </c>
      <c r="H29" s="658"/>
      <c r="I29" s="770">
        <f>COUNTIF('PG MAIDS'!G5:G9, "Armen")</f>
        <v>0</v>
      </c>
      <c r="J29" s="750">
        <f>COUNTIF('PG MAIDS'!H5:H9, "Armen")+COUNTIF('PG MAIDS'!I5:I9, "Armen")</f>
        <v>0</v>
      </c>
      <c r="K29" s="784">
        <f>SUM(C29+E29+G29+I29)</f>
        <v>2</v>
      </c>
      <c r="L29" s="776">
        <f>SUM(D29+F29+H29+J29)</f>
        <v>0</v>
      </c>
      <c r="M29" s="713"/>
      <c r="N29" s="765" t="s">
        <v>281</v>
      </c>
      <c r="O29" s="762" t="s">
        <v>281</v>
      </c>
      <c r="P29" s="713"/>
      <c r="Q29" s="714">
        <f>SUM('Super Staff Cover'!H33)</f>
        <v>0</v>
      </c>
      <c r="R29" s="734"/>
      <c r="S29" s="486"/>
      <c r="T29" s="486"/>
      <c r="U29" s="486"/>
      <c r="V29" s="486"/>
      <c r="W29" s="486"/>
      <c r="X29" s="329">
        <v>1</v>
      </c>
      <c r="Y29" s="486"/>
      <c r="Z29" s="311"/>
    </row>
    <row r="30" spans="1:26" ht="25.5" customHeight="1">
      <c r="A30" s="735" t="s">
        <v>292</v>
      </c>
      <c r="B30" s="736"/>
      <c r="C30" s="736"/>
      <c r="M30" s="11"/>
      <c r="N30" s="11"/>
      <c r="O30" s="11"/>
      <c r="P30" s="11"/>
      <c r="Q30" s="11"/>
      <c r="S30" s="487">
        <f>SUM(S3:S29)</f>
        <v>2</v>
      </c>
      <c r="T30" s="487">
        <f>SUM(T3:T29)</f>
        <v>3</v>
      </c>
      <c r="U30" s="487">
        <f>SUM(U3:U29)</f>
        <v>1.5</v>
      </c>
      <c r="V30" s="487">
        <f>SUM(V3:V29)</f>
        <v>3</v>
      </c>
      <c r="W30" s="487">
        <f>SUM(W4:W29)</f>
        <v>6.5</v>
      </c>
      <c r="X30" s="487">
        <f>SUM(X3:X29)</f>
        <v>6</v>
      </c>
      <c r="Y30" s="487">
        <f>SUM(Y3:Y29)</f>
        <v>1</v>
      </c>
      <c r="Z30" s="308">
        <f>SUM(Z3:Z29)</f>
        <v>3</v>
      </c>
    </row>
    <row r="31" spans="1:26">
      <c r="A31" s="730" t="s">
        <v>293</v>
      </c>
      <c r="B31" s="728"/>
      <c r="C31" s="728"/>
      <c r="D31" s="728"/>
      <c r="E31" s="728"/>
      <c r="F31" s="728"/>
      <c r="G31" s="729"/>
      <c r="H31" s="728" t="s">
        <v>294</v>
      </c>
      <c r="I31" s="728"/>
      <c r="J31" s="729"/>
      <c r="K31" s="624">
        <f>SUM(K3:K30)</f>
        <v>71</v>
      </c>
      <c r="S31" s="731"/>
      <c r="T31" s="731"/>
      <c r="U31" s="731"/>
      <c r="V31" s="731"/>
      <c r="W31" s="731"/>
      <c r="X31" s="731"/>
      <c r="Y31" s="731"/>
      <c r="Z31" s="73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27"/>
      <c r="V32" s="992" t="s">
        <v>295</v>
      </c>
      <c r="W32" s="993"/>
      <c r="X32" s="993"/>
      <c r="Y32" s="994"/>
      <c r="Z32" s="517">
        <f>SUM(S30:Z30)</f>
        <v>26</v>
      </c>
    </row>
    <row r="33" spans="2:34">
      <c r="H33" s="24"/>
      <c r="K33" s="701">
        <f>SUM(K26+K21+K17+K14+K13)</f>
        <v>36</v>
      </c>
      <c r="S33" s="11"/>
      <c r="T33" s="11"/>
      <c r="U33" s="11"/>
      <c r="V33" s="11"/>
      <c r="W33" s="11"/>
      <c r="X33" s="11"/>
      <c r="Y33" s="11"/>
      <c r="Z33" s="11"/>
    </row>
    <row r="34" spans="2:34">
      <c r="B34" s="623" t="s">
        <v>18</v>
      </c>
      <c r="V34" s="992" t="s">
        <v>296</v>
      </c>
      <c r="W34" s="993"/>
      <c r="X34" s="993"/>
      <c r="Y34" s="994"/>
      <c r="Z34" s="326">
        <f>SUM(Z32-Z30)</f>
        <v>23</v>
      </c>
    </row>
    <row r="36" spans="2:34"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8" spans="2:34">
      <c r="Z38" s="726"/>
      <c r="AA38" s="11"/>
      <c r="AB38" s="11"/>
      <c r="AC38" s="11"/>
      <c r="AD38" s="11"/>
      <c r="AE38" s="11"/>
      <c r="AF38" s="11"/>
    </row>
    <row r="63" spans="4:4">
      <c r="D63">
        <f>SUM(D3:D54)</f>
        <v>0</v>
      </c>
    </row>
  </sheetData>
  <sortState xmlns:xlrd2="http://schemas.microsoft.com/office/spreadsheetml/2017/richdata2" ref="A3:B26">
    <sortCondition ref="B3:B26"/>
  </sortState>
  <mergeCells count="11">
    <mergeCell ref="V32:Y32"/>
    <mergeCell ref="V34:Y34"/>
    <mergeCell ref="S1:Z1"/>
    <mergeCell ref="N1:O1"/>
    <mergeCell ref="K1:L1"/>
    <mergeCell ref="Q1:Q2"/>
    <mergeCell ref="A1:B2"/>
    <mergeCell ref="E1:F1"/>
    <mergeCell ref="C1:D1"/>
    <mergeCell ref="G1:H1"/>
    <mergeCell ref="I1:J1"/>
  </mergeCells>
  <conditionalFormatting sqref="K3:K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4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5"/>
  <sheetViews>
    <sheetView workbookViewId="0">
      <selection activeCell="C25" sqref="C25"/>
    </sheetView>
  </sheetViews>
  <sheetFormatPr defaultRowHeight="15.75" customHeight="1"/>
  <cols>
    <col min="1" max="1" width="17.5" customWidth="1"/>
    <col min="2" max="2" width="18" customWidth="1"/>
    <col min="3" max="3" width="26.625" customWidth="1"/>
    <col min="4" max="4" width="19" customWidth="1"/>
    <col min="5" max="5" width="16.2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85"/>
      <c r="B1" s="834" t="s">
        <v>297</v>
      </c>
      <c r="C1" s="841" t="s">
        <v>298</v>
      </c>
      <c r="D1" s="248" t="s">
        <v>299</v>
      </c>
      <c r="E1" s="665" t="s">
        <v>300</v>
      </c>
      <c r="F1" s="248" t="s">
        <v>301</v>
      </c>
      <c r="G1" s="248" t="s">
        <v>302</v>
      </c>
      <c r="H1" s="340" t="s">
        <v>303</v>
      </c>
      <c r="J1" s="830" t="s">
        <v>304</v>
      </c>
      <c r="K1" s="853" t="s">
        <v>305</v>
      </c>
      <c r="L1" s="642" t="s">
        <v>306</v>
      </c>
      <c r="M1" s="642" t="s">
        <v>307</v>
      </c>
      <c r="N1" s="340" t="s">
        <v>303</v>
      </c>
    </row>
    <row r="2" spans="1:14">
      <c r="A2" s="158" t="s">
        <v>227</v>
      </c>
      <c r="B2" s="835">
        <v>0</v>
      </c>
      <c r="C2" s="843"/>
      <c r="D2" s="662">
        <v>0</v>
      </c>
      <c r="E2" s="667">
        <f>COUNTIF('COM726 - Sept 23'!D3:D112, "Bacha")</f>
        <v>0</v>
      </c>
      <c r="F2" s="660">
        <f>COUNTIF('COM616 - Oct 2023'!D3:D100, "Becha")</f>
        <v>0</v>
      </c>
      <c r="G2" s="660">
        <f>COUNTIF('COM726-Jan 24'!D3:D100, "Becha")</f>
        <v>0</v>
      </c>
      <c r="H2" s="602">
        <f>SUM(B2:F2)</f>
        <v>0</v>
      </c>
      <c r="J2" s="79"/>
      <c r="K2" s="47"/>
      <c r="L2" s="330"/>
      <c r="M2" s="330"/>
      <c r="N2" s="602">
        <f>SUM(J2:M2)</f>
        <v>0</v>
      </c>
    </row>
    <row r="3" spans="1:14">
      <c r="A3" s="165" t="s">
        <v>75</v>
      </c>
      <c r="B3" s="836">
        <f>COUNTIF('COM726 - May 23'!C3:C63, "Bobe")</f>
        <v>0</v>
      </c>
      <c r="C3" s="844"/>
      <c r="D3" s="661">
        <f>COUNTIF('MAA112 May 23'!C3:C12,"Bode")+COUNTIF('MAA112 May 23'!G3:G18,"Bode")+COUNTIF('MAA112 May 23'!K3:K22,"Bode")</f>
        <v>10</v>
      </c>
      <c r="E3" s="667">
        <f>COUNTIF('COM726 - Sept 23'!D3:D112, "Bode")</f>
        <v>0</v>
      </c>
      <c r="F3" s="661">
        <f>COUNTIF('COM616 - Oct 2023'!D3:D100, "Bobe")</f>
        <v>0</v>
      </c>
      <c r="G3" s="661">
        <f>COUNTIF('COM726-Jan 24'!D3:D100, "Bobe")</f>
        <v>0</v>
      </c>
      <c r="H3" s="602">
        <f>SUM(B3:F3)</f>
        <v>10</v>
      </c>
      <c r="J3" s="79"/>
      <c r="K3" s="47"/>
      <c r="L3" s="330"/>
      <c r="M3" s="330"/>
      <c r="N3" s="602">
        <f t="shared" ref="N3" si="0">SUM(J3:M3)</f>
        <v>0</v>
      </c>
    </row>
    <row r="4" spans="1:14">
      <c r="A4" s="158" t="s">
        <v>308</v>
      </c>
      <c r="B4" s="835">
        <f>COUNTIF('COM726 - May 23'!C3:C63, "Anthony")</f>
        <v>0</v>
      </c>
      <c r="C4" s="843"/>
      <c r="D4" s="662">
        <f>COUNTIF('MAA112 May 23'!C3:C12,"Anthony")+COUNTIF('MAA112 May 23'!G3:G18,"Anthony")+COUNTIF('MAA112 May 23'!K3:K22,"Anthony")</f>
        <v>10</v>
      </c>
      <c r="E4" s="668">
        <f>COUNTIF('COM726 - Sept 23'!D3:D112, "Anthony")</f>
        <v>0</v>
      </c>
      <c r="F4" s="662">
        <f>COUNTIF('COM616 - Oct 2023'!D3:D100, "Anthony")</f>
        <v>0</v>
      </c>
      <c r="G4" s="662">
        <f>COUNTIF('COM726-Jan 24'!D3:D100, "Anthony")</f>
        <v>0</v>
      </c>
      <c r="H4" s="602">
        <f>SUM(B4:F4)</f>
        <v>10</v>
      </c>
      <c r="J4" s="79"/>
      <c r="K4" s="47"/>
      <c r="L4" s="330"/>
      <c r="M4" s="330"/>
      <c r="N4" s="602">
        <f t="shared" ref="N4" si="1">SUM(J4:M4)</f>
        <v>0</v>
      </c>
    </row>
    <row r="5" spans="1:14" ht="12.75" customHeight="1">
      <c r="A5" s="158" t="s">
        <v>8</v>
      </c>
      <c r="B5" s="835">
        <f>COUNTIF('COM726 - May 23'!C3:C63, "Darren")</f>
        <v>0</v>
      </c>
      <c r="C5" s="845">
        <f>COUNTIF('COM625 May 23'!D3:D8,"Darren")</f>
        <v>0</v>
      </c>
      <c r="D5" s="662">
        <f>COUNTIF('MAA112 May 23'!C3:C12,"Darren")+COUNTIF('MAA112 May 23'!G3:G18,"Anthony")+COUNTIF('MAA112 May 23'!K3:K22,"Anthony")</f>
        <v>0</v>
      </c>
      <c r="E5" s="667">
        <f>COUNTIF('COM726-Jan 24'!D3:D112, "Darren")</f>
        <v>0</v>
      </c>
      <c r="F5" s="662">
        <f>COUNTIF('COM616 - Oct 2023'!D3:D100, "Darren")</f>
        <v>0</v>
      </c>
      <c r="G5" s="662">
        <f>COUNTIF('COM726-Jan 24'!D3:D100, "Darren")</f>
        <v>0</v>
      </c>
      <c r="H5" s="602">
        <f>SUM(B5:F5)</f>
        <v>0</v>
      </c>
      <c r="J5" s="79"/>
      <c r="K5" s="47"/>
      <c r="L5" s="330"/>
      <c r="M5" s="330"/>
      <c r="N5" s="602">
        <f t="shared" ref="N5" si="2">SUM(J5:M5)</f>
        <v>0</v>
      </c>
    </row>
    <row r="6" spans="1:14">
      <c r="A6" s="158" t="s">
        <v>88</v>
      </c>
      <c r="B6" s="837">
        <f>COUNTIF('COM726 - May 23'!C3:C63, "Drishty")</f>
        <v>6</v>
      </c>
      <c r="C6" s="846">
        <v>2</v>
      </c>
      <c r="D6" s="662">
        <f>COUNTIF('MAA112 May 23'!C3:C12,"Drishty")+COUNTIF('MAA112 May 23'!G3:G18,"Drishty")+COUNTIF('MAA112 May 23'!K3:K22,"Drishty")</f>
        <v>0</v>
      </c>
      <c r="E6" s="667">
        <f>COUNTIF('COM726 - Sept 23'!D3:D112, "Drishty")</f>
        <v>0</v>
      </c>
      <c r="F6" s="662">
        <f>COUNTIF('COM616 - Oct 2023'!D3:D100, "Drishty")</f>
        <v>0</v>
      </c>
      <c r="G6" s="662">
        <f>COUNTIF('COM726-Jan 24'!D3:D100, "Drishty")</f>
        <v>0</v>
      </c>
      <c r="H6" s="602">
        <f>SUM(B6:F6)</f>
        <v>8</v>
      </c>
      <c r="J6" s="79"/>
      <c r="K6" s="47"/>
      <c r="L6" s="330"/>
      <c r="M6" s="330"/>
      <c r="N6" s="602">
        <f t="shared" ref="N6" si="3">SUM(J6:M6)</f>
        <v>0</v>
      </c>
    </row>
    <row r="7" spans="1:14">
      <c r="A7" s="195" t="s">
        <v>309</v>
      </c>
      <c r="B7" s="835">
        <f>COUNTIF('COM726 - May 23'!C3:C63, "Femi")</f>
        <v>8</v>
      </c>
      <c r="C7" s="843"/>
      <c r="D7" s="662">
        <f>COUNTIF('MAA112 May 23'!C3:C12,"Femi")+COUNTIF('MAA112 May 23'!G3:G18,"Femi")+COUNTIF('MAA112 May 23'!K3:K22,"Femi")</f>
        <v>0</v>
      </c>
      <c r="E7" s="667">
        <f>COUNTIF('COM726 - Sept 23'!D3:D112, "Femi")</f>
        <v>0</v>
      </c>
      <c r="F7" s="662">
        <f>COUNTIF('COM616 - Oct 2023'!D3:D100, "Femi")</f>
        <v>0</v>
      </c>
      <c r="G7" s="662">
        <f>COUNTIF('COM726-Jan 24'!D3:D100, "Femi")</f>
        <v>0</v>
      </c>
      <c r="H7" s="602">
        <f>SUM(B7:F7)</f>
        <v>8</v>
      </c>
      <c r="J7" s="79"/>
      <c r="K7" s="47"/>
      <c r="L7" s="330"/>
      <c r="M7" s="330"/>
      <c r="N7" s="602">
        <f t="shared" ref="N7" si="4">SUM(J7:M7)</f>
        <v>0</v>
      </c>
    </row>
    <row r="8" spans="1:14">
      <c r="A8" s="158" t="s">
        <v>310</v>
      </c>
      <c r="B8" s="835">
        <f>COUNTIF('COM726 - May 23'!C3:C63, "Hamid")</f>
        <v>8</v>
      </c>
      <c r="C8" s="843"/>
      <c r="D8" s="662">
        <f>COUNTIF('MAA112 May 23'!C3:C12,"Hamid")+COUNTIF('MAA112 May 23'!G3:G18,"Hamid")+COUNTIF('MAA112 May 23'!K3:K22,"Hamid")</f>
        <v>0</v>
      </c>
      <c r="E8" s="667">
        <f>COUNTIF('COM726 - Sept 23'!D3:D112, "Hamid")</f>
        <v>0</v>
      </c>
      <c r="F8" s="662">
        <f>COUNTIF('COM616 - Oct 2023'!D3:D100, "Hamid")</f>
        <v>0</v>
      </c>
      <c r="G8" s="662">
        <f>COUNTIF('COM726-Jan 24'!D3:D100, "Hamid")</f>
        <v>0</v>
      </c>
      <c r="H8" s="602">
        <f>SUM(B8:F8)</f>
        <v>8</v>
      </c>
      <c r="J8" s="79"/>
      <c r="K8" s="47"/>
      <c r="L8" s="330"/>
      <c r="M8" s="330"/>
      <c r="N8" s="602">
        <f t="shared" ref="N8" si="5">SUM(J8:M8)</f>
        <v>0</v>
      </c>
    </row>
    <row r="9" spans="1:14">
      <c r="A9" s="158" t="s">
        <v>54</v>
      </c>
      <c r="B9" s="835">
        <f>COUNTIF('COM726 - May 23'!C3:C63, "Jarutas")</f>
        <v>8</v>
      </c>
      <c r="C9" s="843"/>
      <c r="D9" s="662">
        <f>COUNTIF('MAA112 May 23'!C3:C12,"Jarutas")+COUNTIF('MAA112 May 23'!G3:G18,"Jarutas")+COUNTIF('MAA112 May 23'!K3:K22,"Jarutas")</f>
        <v>0</v>
      </c>
      <c r="E9" s="667">
        <f>COUNTIF('COM726 - Sept 23'!D3:D112, "Jarutas")</f>
        <v>0</v>
      </c>
      <c r="F9" s="662">
        <f>COUNTIF('COM616 - Oct 2023'!D3:D100, "Jarutas")</f>
        <v>0</v>
      </c>
      <c r="G9" s="662">
        <f>COUNTIF('COM726-Jan 24'!D3:D100, "Jarutas")</f>
        <v>0</v>
      </c>
      <c r="H9" s="602">
        <f>SUM(B9:F9)</f>
        <v>8</v>
      </c>
      <c r="J9" s="79"/>
      <c r="K9" s="47"/>
      <c r="L9" s="330"/>
      <c r="M9" s="330"/>
      <c r="N9" s="602">
        <f t="shared" ref="N9" si="6">SUM(J9:M9)</f>
        <v>0</v>
      </c>
    </row>
    <row r="10" spans="1:14">
      <c r="A10" s="195" t="s">
        <v>311</v>
      </c>
      <c r="B10" s="835">
        <f>COUNTIF('COM726 - May 23'!C3:C63, "Joe")</f>
        <v>0</v>
      </c>
      <c r="C10" s="845">
        <f>COUNTIF('COM625 May 23'!C3:C8,"Joe")</f>
        <v>0</v>
      </c>
      <c r="D10" s="662">
        <f>COUNTIF('MAA112 May 23'!C3:C12,"Joe")+COUNTIF('MAA112 May 23'!G3:G18,"Joe")+COUNTIF('MAA112 May 23'!K3:K22,"Joe")</f>
        <v>0</v>
      </c>
      <c r="E10" s="667">
        <f>COUNTIF('COM726 - Sept 23'!D3:D112, "Joe")</f>
        <v>0</v>
      </c>
      <c r="F10" s="662">
        <f>COUNTIF('COM616 - Oct 2023'!D3:D100, "Joe")</f>
        <v>0</v>
      </c>
      <c r="G10" s="662">
        <f>COUNTIF('COM726-Jan 24'!D3:D100, "Joe")</f>
        <v>0</v>
      </c>
      <c r="H10" s="602">
        <f>SUM(B10:F10)</f>
        <v>0</v>
      </c>
      <c r="J10" s="79"/>
      <c r="K10" s="47"/>
      <c r="L10" s="330"/>
      <c r="M10" s="330"/>
      <c r="N10" s="602">
        <f t="shared" ref="N10" si="7">SUM(J10:M10)</f>
        <v>0</v>
      </c>
    </row>
    <row r="11" spans="1:14">
      <c r="A11" s="158" t="s">
        <v>12</v>
      </c>
      <c r="B11" s="835">
        <f>COUNTIF('COM726 - May 23'!C3:C63, "Kalin")</f>
        <v>0</v>
      </c>
      <c r="C11" s="843"/>
      <c r="D11" s="662">
        <f>COUNTIF('MAA112 May 23'!C3:C12,"Kalin")+COUNTIF('MAA112 May 23'!G3:G18,"Kalin")+COUNTIF('MAA112 May 23'!K3:K22,"Kalin")</f>
        <v>4</v>
      </c>
      <c r="E11" s="667">
        <f>COUNTIF('COM726 - Sept 23'!D3:D112, "Kalin")</f>
        <v>0</v>
      </c>
      <c r="F11" s="662">
        <f>COUNTIF('COM616 - Oct 2023'!D3:D100, "Kalin")</f>
        <v>0</v>
      </c>
      <c r="G11" s="662">
        <f>COUNTIF('COM726-Jan 24'!D3:D100, "Kalin")</f>
        <v>0</v>
      </c>
      <c r="H11" s="602">
        <f>SUM(B11:F11)</f>
        <v>4</v>
      </c>
      <c r="J11" s="79"/>
      <c r="K11" s="47"/>
      <c r="L11" s="330"/>
      <c r="M11" s="330"/>
      <c r="N11" s="602">
        <f t="shared" ref="N11" si="8">SUM(J11:M11)</f>
        <v>0</v>
      </c>
    </row>
    <row r="12" spans="1:14">
      <c r="A12" s="158" t="s">
        <v>232</v>
      </c>
      <c r="B12" s="838">
        <f>COUNTIF('COM726 - May 23'!C3:C63, "Kashif")</f>
        <v>4</v>
      </c>
      <c r="C12" s="847"/>
      <c r="D12" s="663">
        <f>COUNTIF('MAA112 May 23'!C3:C12,"Kashif")+COUNTIF('MAA112 May 23'!G3:G18,"Kashif")+COUNTIF('MAA112 May 23'!K3:K22,"Kashif")</f>
        <v>0</v>
      </c>
      <c r="E12" s="669">
        <f>COUNTIF('COM726 - Sept 23'!D3:D112, "Kashif")</f>
        <v>0</v>
      </c>
      <c r="F12" s="663">
        <f>COUNTIF('COM616 - Oct 2023'!D3:D100, "Kashif")</f>
        <v>0</v>
      </c>
      <c r="G12" s="663">
        <f>COUNTIF('COM726-Jan 24'!D3:D100, "Kashif")</f>
        <v>0</v>
      </c>
      <c r="H12" s="602">
        <f>SUM(B12:F12)</f>
        <v>4</v>
      </c>
      <c r="J12" s="79"/>
      <c r="K12" s="47"/>
      <c r="L12" s="330"/>
      <c r="M12" s="330"/>
      <c r="N12" s="602">
        <f t="shared" ref="N12" si="9">SUM(J12:M12)</f>
        <v>0</v>
      </c>
    </row>
    <row r="13" spans="1:14">
      <c r="A13" s="158" t="s">
        <v>285</v>
      </c>
      <c r="B13" s="835">
        <f>COUNTIF('COM726 - May 23'!C3:C63, "Kenton")</f>
        <v>0</v>
      </c>
      <c r="C13" s="845">
        <f>COUNTIF('COM625 May 23'!C3:C8,"Kenton")</f>
        <v>2</v>
      </c>
      <c r="D13" s="662">
        <f>COUNTIF('MAA112 May 23'!C3:C12,"Kenton")+COUNTIF('MAA112 May 23'!G3:G18,"Kenton")+COUNTIF('MAA112 May 23'!K3:K22,"Kenton")</f>
        <v>0</v>
      </c>
      <c r="E13" s="667">
        <f>COUNTIF('COM726 - Sept 23'!D3:D112, "Kenton")</f>
        <v>0</v>
      </c>
      <c r="F13" s="662">
        <f>COUNTIF('COM616 - Oct 2023'!D3:D100, "Kenton")</f>
        <v>0</v>
      </c>
      <c r="G13" s="662">
        <f>COUNTIF('COM726-Jan 24'!D3:D100, "Kenton")</f>
        <v>0</v>
      </c>
      <c r="H13" s="640">
        <f>SUM(B13:F13)</f>
        <v>2</v>
      </c>
      <c r="J13" s="79"/>
      <c r="K13" s="47"/>
      <c r="L13" s="330"/>
      <c r="M13" s="330"/>
      <c r="N13" s="602">
        <f t="shared" ref="N13" si="10">SUM(J13:M13)</f>
        <v>0</v>
      </c>
    </row>
    <row r="14" spans="1:14">
      <c r="A14" s="142" t="s">
        <v>287</v>
      </c>
      <c r="B14" s="835">
        <f>COUNTIF('COM726 - May 23'!C4:C64, "Marc")</f>
        <v>0</v>
      </c>
      <c r="C14" s="843"/>
      <c r="D14" s="662">
        <f>COUNTIF('MAA112 May 23'!C3:C12,"Marc")+COUNTIF('MAA112 May 23'!G3:G18,"Marc")+COUNTIF('MAA112 May 23'!K3:K22,"Marc")</f>
        <v>10</v>
      </c>
      <c r="E14" s="667">
        <f>COUNTIF('COM726 - Sept 23'!D3:D112, "Marc")</f>
        <v>0</v>
      </c>
      <c r="F14" s="662">
        <f>COUNTIF('COM616 - Oct 2023'!D3:D100, "Marc")</f>
        <v>0</v>
      </c>
      <c r="G14" s="662">
        <f>COUNTIF('COM726-Jan 24'!D3:D100, "Marc")</f>
        <v>0</v>
      </c>
      <c r="H14" s="602">
        <f>SUM(B14:F14)</f>
        <v>10</v>
      </c>
      <c r="J14" s="79"/>
      <c r="K14" s="47"/>
      <c r="L14" s="330"/>
      <c r="M14" s="330"/>
      <c r="N14" s="602">
        <f t="shared" ref="N14" si="11">SUM(J14:M14)</f>
        <v>0</v>
      </c>
    </row>
    <row r="15" spans="1:14">
      <c r="A15" s="158" t="s">
        <v>10</v>
      </c>
      <c r="B15" s="836">
        <f>COUNTIF('COM726 - May 23'!C3:C63, "Martin")</f>
        <v>0</v>
      </c>
      <c r="C15" s="844"/>
      <c r="D15" s="661">
        <f>COUNTIF('MAA112 May 23'!C3:C12,"Martin")+COUNTIF('MAA112 May 23'!G3:G18,"Martin")+COUNTIF('MAA112 May 23'!K3:K22,"Martin")</f>
        <v>0</v>
      </c>
      <c r="E15" s="668">
        <f>COUNTIF('COM726 - Sept 23'!D3:D112, "Martin")</f>
        <v>0</v>
      </c>
      <c r="F15" s="661">
        <f>COUNTIF('COM616 - Oct 2023'!D3:D100, "Martin")</f>
        <v>5</v>
      </c>
      <c r="G15" s="661">
        <f>COUNTIF('COM726-Jan 24'!D3:D100, "Martin")</f>
        <v>0</v>
      </c>
      <c r="H15" s="341">
        <f>SUM(B15:F15)</f>
        <v>5</v>
      </c>
      <c r="J15" s="79"/>
      <c r="K15" s="47"/>
      <c r="L15" s="330"/>
      <c r="M15" s="330"/>
      <c r="N15" s="602">
        <f t="shared" ref="N15" si="12">SUM(J15:M15)</f>
        <v>0</v>
      </c>
    </row>
    <row r="16" spans="1:14">
      <c r="A16" s="158" t="s">
        <v>312</v>
      </c>
      <c r="B16" s="835">
        <f>COUNTIF('COM726 - May 23'!C3:C63, "Muntasir")</f>
        <v>9</v>
      </c>
      <c r="C16" s="843"/>
      <c r="D16" s="662">
        <f>COUNTIF('MAA112 May 23'!C3:C12,"Muntasir")+COUNTIF('MAA112 May 23'!G3:G18,"Muntasir")+COUNTIF('MAA112 May 23'!K3:K22,"Muntasir")</f>
        <v>0</v>
      </c>
      <c r="E16" s="667">
        <f>COUNTIF('COM726 - Sept 23'!D3:D112, "Muntasir")</f>
        <v>0</v>
      </c>
      <c r="F16" s="662">
        <f>COUNTIF('COM616 - Oct 2023'!D3:D100, "Muntasir")</f>
        <v>0</v>
      </c>
      <c r="G16" s="662">
        <f>COUNTIF('COM726-Jan 24'!D3:D100, "Muntasir")</f>
        <v>0</v>
      </c>
      <c r="H16" s="602">
        <f>SUM(B16:F16)</f>
        <v>9</v>
      </c>
      <c r="J16" s="79"/>
      <c r="K16" s="47"/>
      <c r="L16" s="330"/>
      <c r="M16" s="330"/>
      <c r="N16" s="602">
        <f t="shared" ref="N16" si="13">SUM(J16:M16)</f>
        <v>0</v>
      </c>
    </row>
    <row r="17" spans="1:14">
      <c r="A17" s="158" t="s">
        <v>59</v>
      </c>
      <c r="B17" s="835">
        <f>COUNTIF('COM726 - May 23'!C3:C63, "Nick")</f>
        <v>0</v>
      </c>
      <c r="C17" s="843"/>
      <c r="D17" s="662">
        <f>COUNTIF('MAA112 May 23'!C3:C12,"Nick")+COUNTIF('MAA112 May 23'!G3:G18,"Nick")+COUNTIF('MAA112 May 23'!K3:K22,"Nick")+COUNTIF('MAA112 May 23'!C13,"Nick")</f>
        <v>4</v>
      </c>
      <c r="E17" s="667">
        <f>COUNTIF('COM726 - Sept 23'!D3:D112, "Nick")</f>
        <v>0</v>
      </c>
      <c r="F17" s="662">
        <f>COUNTIF('COM616 - Oct 2023'!D3:D100, "Nick")</f>
        <v>0</v>
      </c>
      <c r="G17" s="662">
        <f>COUNTIF('COM726-Jan 24'!D3:D100, "Nick")</f>
        <v>0</v>
      </c>
      <c r="H17" s="602">
        <f>SUM(B17:F17)</f>
        <v>4</v>
      </c>
      <c r="J17" s="79"/>
      <c r="K17" s="47"/>
      <c r="L17" s="330"/>
      <c r="M17" s="330"/>
      <c r="N17" s="602">
        <f t="shared" ref="N17" si="14">SUM(J17:M17)</f>
        <v>0</v>
      </c>
    </row>
    <row r="18" spans="1:14">
      <c r="A18" s="158" t="s">
        <v>313</v>
      </c>
      <c r="B18" s="835">
        <f>COUNTIF('COM726 - May 23'!C3:C63, "Neville")</f>
        <v>0</v>
      </c>
      <c r="C18" s="843"/>
      <c r="D18" s="662">
        <f>COUNTIF('MAA112 May 23'!C3:C12,"Neville")+COUNTIF('MAA112 May 23'!G3:G18,"Neville")+COUNTIF('MAA112 May 23'!K3:K22,"Neville")</f>
        <v>0</v>
      </c>
      <c r="E18" s="667">
        <f>COUNTIF('COM726 - Sept 23'!D3:D112, "Neville")</f>
        <v>0</v>
      </c>
      <c r="F18" s="662">
        <f>COUNTIF('COM616 - Oct 2023'!D3:D100, "Neville")</f>
        <v>0</v>
      </c>
      <c r="G18" s="662">
        <f>COUNTIF('COM726-Jan 24'!D3:D100, "Neville")</f>
        <v>0</v>
      </c>
      <c r="H18" s="602">
        <f>SUM(B18:F18)</f>
        <v>0</v>
      </c>
      <c r="J18" s="79"/>
      <c r="K18" s="47"/>
      <c r="L18" s="330"/>
      <c r="M18" s="330"/>
      <c r="N18" s="602">
        <f t="shared" ref="N18" si="15">SUM(J18:M18)</f>
        <v>0</v>
      </c>
    </row>
    <row r="19" spans="1:14">
      <c r="A19" s="158" t="s">
        <v>289</v>
      </c>
      <c r="B19" s="835">
        <f>COUNTIF('COM726 - May 23'!C3:C63, "Pengfei")</f>
        <v>3</v>
      </c>
      <c r="C19" s="843"/>
      <c r="D19" s="662">
        <f>COUNTIF('MAA112 May 23'!C3:C12,"Pengfei")+COUNTIF('MAA112 May 23'!G3:G18,"Pengfei")+COUNTIF('MAA112 May 23'!K3:K22,"Pengfei")</f>
        <v>8</v>
      </c>
      <c r="E19" s="667">
        <f>COUNTIF('COM726 - Sept 23'!D3:D112, "Pengfei")</f>
        <v>0</v>
      </c>
      <c r="F19" s="662">
        <f>COUNTIF('COM616 - Oct 2023'!D3:D100, "Pengfei")</f>
        <v>0</v>
      </c>
      <c r="G19" s="662">
        <f>COUNTIF('COM726-Jan 24'!D3:D100, "Pengfei")</f>
        <v>0</v>
      </c>
      <c r="H19" s="602">
        <f>SUM(B19:F19)</f>
        <v>11</v>
      </c>
      <c r="J19" s="79"/>
      <c r="K19" s="47"/>
      <c r="L19" s="330"/>
      <c r="M19" s="330"/>
      <c r="N19" s="602">
        <f t="shared" ref="N19" si="16">SUM(J19:M19)</f>
        <v>0</v>
      </c>
    </row>
    <row r="20" spans="1:14">
      <c r="A20" s="158" t="s">
        <v>314</v>
      </c>
      <c r="B20" s="835">
        <f>COUNTIF('COM726 - May 23'!C3:C63, "Peyman")</f>
        <v>9</v>
      </c>
      <c r="C20" s="843"/>
      <c r="D20" s="662">
        <f>COUNTIF('MAA112 May 23'!C3:C12,"Peyman")+COUNTIF('MAA112 May 23'!G3:G18,"Peyman")+COUNTIF('MAA112 May 23'!K3:K22,"Peyman")</f>
        <v>0</v>
      </c>
      <c r="E20" s="667">
        <f>COUNTIF('COM726 - Sept 23'!D3:D112, "Peyman")</f>
        <v>0</v>
      </c>
      <c r="F20" s="662">
        <f>COUNTIF('COM616 - Oct 2023'!D3:D100, "Peyman")</f>
        <v>0</v>
      </c>
      <c r="G20" s="662">
        <f>COUNTIF('COM726-Jan 24'!D3:D100, "Peyman")</f>
        <v>0</v>
      </c>
      <c r="H20" s="602">
        <f>SUM(B20:F20)</f>
        <v>9</v>
      </c>
      <c r="J20" s="79"/>
      <c r="K20" s="47"/>
      <c r="L20" s="330"/>
      <c r="M20" s="330"/>
      <c r="N20" s="602">
        <f t="shared" ref="N20" si="17">SUM(J20:M20)</f>
        <v>0</v>
      </c>
    </row>
    <row r="21" spans="1:14">
      <c r="A21" s="749" t="s">
        <v>229</v>
      </c>
      <c r="B21" s="839">
        <v>0</v>
      </c>
      <c r="C21" s="848"/>
      <c r="D21" s="659">
        <v>0</v>
      </c>
      <c r="E21" s="666">
        <f>COUNTIF('COM726 - Sept 23'!D3:D112, "Raza")</f>
        <v>0</v>
      </c>
      <c r="F21" s="664">
        <f>COUNTIF('COM616 - Oct 2023'!D3:D100, "Raza")</f>
        <v>0</v>
      </c>
      <c r="G21" s="664">
        <f>COUNTIF('COM726-Jan 24'!D3:D100, "Raza")</f>
        <v>0</v>
      </c>
      <c r="H21" s="602">
        <f>SUM(B21:F21)</f>
        <v>0</v>
      </c>
      <c r="J21" s="79"/>
      <c r="K21" s="47"/>
      <c r="L21" s="330"/>
      <c r="M21" s="330"/>
      <c r="N21" s="602">
        <f t="shared" ref="N21" si="18">SUM(J21:M21)</f>
        <v>0</v>
      </c>
    </row>
    <row r="22" spans="1:14">
      <c r="A22" s="328" t="s">
        <v>77</v>
      </c>
      <c r="B22" s="838">
        <f>COUNTIF('COM726 - May 23'!C3:C63, "Shakeel")</f>
        <v>4</v>
      </c>
      <c r="C22" s="847"/>
      <c r="D22" s="663">
        <f>COUNTIF('MAA112 May 23'!C3:C12,"Shakeel")+COUNTIF('MAA112 May 23'!G3:G18,"Shakeel")+COUNTIF('MAA112 May 23'!K3:K22,"Shakeel")</f>
        <v>0</v>
      </c>
      <c r="E22" s="669">
        <f>COUNTIF('COM726 - Sept 23'!D3:D112, "Shakeel")</f>
        <v>0</v>
      </c>
      <c r="F22" s="663">
        <f>COUNTIF('COM616 - Oct 2023'!D3:D100, "Shakeel")</f>
        <v>0</v>
      </c>
      <c r="G22" s="663">
        <f>COUNTIF('COM726-Jan 24'!D3:D100, "Shakeel")</f>
        <v>0</v>
      </c>
      <c r="H22" s="602">
        <f>SUM(B22:F22)</f>
        <v>4</v>
      </c>
      <c r="J22" s="79"/>
      <c r="K22" s="47"/>
      <c r="L22" s="330"/>
      <c r="M22" s="330"/>
      <c r="N22" s="602">
        <f t="shared" ref="N22:N23" si="19">SUM(J22:M22)</f>
        <v>0</v>
      </c>
    </row>
    <row r="23" spans="1:14">
      <c r="A23" s="328" t="s">
        <v>79</v>
      </c>
      <c r="B23" s="835">
        <f>COUNTIF('COM726 - May 23'!C2:C62, "Taiwo")</f>
        <v>0</v>
      </c>
      <c r="C23" s="845">
        <f>COUNTIF('COM625 May 23'!C2:C7,"Taiwo")</f>
        <v>0</v>
      </c>
      <c r="D23" s="662">
        <f>COUNTIF('MAA112 May 23'!C2:C11,"Taiwo")+COUNTIF('MAA112 May 23'!G2:G17,"Taiwo")+COUNTIF('MAA112 May 23'!K2:K21,"Taiwo")</f>
        <v>0</v>
      </c>
      <c r="E23" s="667">
        <f>COUNTIF('COM726 - Sept 23'!D2:D111, "Taiwo")</f>
        <v>0</v>
      </c>
      <c r="F23" s="662">
        <f>COUNTIF('COM616 - Oct 2023'!D2:D99, "Taiwo")</f>
        <v>0</v>
      </c>
      <c r="G23" s="662">
        <f>COUNTIF('COM726-Jan 24'!D2:D99, "Taiwo")</f>
        <v>0</v>
      </c>
      <c r="H23" s="603">
        <f>SUM(B23:F23)</f>
        <v>0</v>
      </c>
      <c r="J23" s="79"/>
      <c r="K23" s="47"/>
      <c r="L23" s="330"/>
      <c r="M23" s="330"/>
      <c r="N23" s="602">
        <f t="shared" si="19"/>
        <v>0</v>
      </c>
    </row>
    <row r="24" spans="1:14">
      <c r="A24" s="158" t="s">
        <v>40</v>
      </c>
      <c r="B24" s="835">
        <f>COUNTIF('COM726 - May 23'!C3:C63, "Warren")</f>
        <v>0</v>
      </c>
      <c r="C24" s="845">
        <f>COUNTIF('COM625 May 23'!C3:C8,"Warren")</f>
        <v>0</v>
      </c>
      <c r="D24" s="662">
        <f>COUNTIF('MAA112 May 23'!C3:C12,"Warren")+COUNTIF('MAA112 May 23'!G3:G18,"Warren")+COUNTIF('MAA112 May 23'!K3:K22,"Warren")</f>
        <v>0</v>
      </c>
      <c r="E24" s="667">
        <f>COUNTIF('COM726 - Sept 23'!D3:D112, "Warren")</f>
        <v>0</v>
      </c>
      <c r="F24" s="662">
        <f>COUNTIF('COM616 - Oct 2023'!D3:D100, "Warren")</f>
        <v>0</v>
      </c>
      <c r="G24" s="662">
        <f>COUNTIF('COM726-Jan 24'!D3:D100, "Warren")</f>
        <v>0</v>
      </c>
      <c r="H24" s="603">
        <f>SUM(B24:F24)</f>
        <v>0</v>
      </c>
      <c r="J24" s="332"/>
      <c r="K24" s="314"/>
      <c r="L24" s="641"/>
      <c r="M24" s="641"/>
      <c r="N24" s="640">
        <f t="shared" ref="N24" si="20">SUM(J24:M24)</f>
        <v>0</v>
      </c>
    </row>
    <row r="25" spans="1:14">
      <c r="A25" s="328" t="s">
        <v>101</v>
      </c>
      <c r="B25" s="838">
        <f>COUNTIF('COM726 - May 23'!C4:C64, "Craig")</f>
        <v>0</v>
      </c>
      <c r="C25" s="849">
        <f>COUNTIF('COM625 May 23'!C4:C9,"Craig")</f>
        <v>0</v>
      </c>
      <c r="D25" s="663">
        <f>COUNTIF('MAA112 May 23'!C4:C13,"Craig")+COUNTIF('MAA112 May 23'!G4:G19,"Craig")+COUNTIF('MAA112 May 23'!K4:K23,"Craig")</f>
        <v>0</v>
      </c>
      <c r="E25" s="669">
        <f>COUNTIF('COM726 - Sept 23'!D4:D113, "Craig")</f>
        <v>1</v>
      </c>
      <c r="F25" s="663">
        <f>COUNTIF('COM616 - Oct 2023'!D4:D101, "Craig")</f>
        <v>0</v>
      </c>
      <c r="G25" s="663">
        <f>COUNTIF('COM726-Jan 24'!D4:D101, "Craig")</f>
        <v>0</v>
      </c>
      <c r="H25" s="539">
        <f>SUM(B25:F25)</f>
        <v>1</v>
      </c>
      <c r="J25" s="79"/>
      <c r="K25" s="21"/>
      <c r="L25" s="12"/>
      <c r="M25" s="12"/>
      <c r="N25" s="833">
        <f t="shared" ref="N25" si="21">SUM(J25:M25)</f>
        <v>0</v>
      </c>
    </row>
    <row r="26" spans="1:14">
      <c r="A26" s="158" t="s">
        <v>17</v>
      </c>
      <c r="B26" s="835">
        <f>COUNTIF('COM726 - May 23'!C5:C65, "Taiwo")</f>
        <v>0</v>
      </c>
      <c r="C26" s="845">
        <f>COUNTIF('COM625 May 23'!C5:C10,"Taiwo")</f>
        <v>0</v>
      </c>
      <c r="D26" s="662">
        <f>COUNTIF('MAA112 May 23'!C5:C14,"Taiwo")+COUNTIF('MAA112 May 23'!G5:G20,"Taiwo")+COUNTIF('MAA112 May 23'!K5:K24,"Taiwo")</f>
        <v>0</v>
      </c>
      <c r="E26" s="667">
        <f>COUNTIF('COM726 - Sept 23'!D5:D114, "Taiwo")</f>
        <v>0</v>
      </c>
      <c r="F26" s="662">
        <f>COUNTIF('COM616 - Oct 2023'!D5:D102, "Taiwo")</f>
        <v>0</v>
      </c>
      <c r="G26" s="662">
        <f>COUNTIF('COM726-Jan 24'!D5:D102, "Taiwo")</f>
        <v>0</v>
      </c>
      <c r="H26" s="602"/>
      <c r="J26" s="79"/>
      <c r="K26" s="21"/>
      <c r="L26" s="12"/>
      <c r="M26" s="12"/>
      <c r="N26" s="833"/>
    </row>
    <row r="27" spans="1:14">
      <c r="A27" s="17"/>
      <c r="B27" s="835"/>
      <c r="C27" s="845"/>
      <c r="D27" s="662"/>
      <c r="E27" s="667"/>
      <c r="F27" s="662"/>
      <c r="G27" s="662"/>
      <c r="H27" s="602"/>
      <c r="J27" s="79"/>
      <c r="K27" s="21"/>
      <c r="L27" s="12"/>
      <c r="M27" s="12"/>
      <c r="N27" s="833"/>
    </row>
    <row r="28" spans="1:14">
      <c r="A28" s="17"/>
      <c r="B28" s="835"/>
      <c r="C28" s="845"/>
      <c r="D28" s="662"/>
      <c r="E28" s="667"/>
      <c r="F28" s="662"/>
      <c r="G28" s="662"/>
      <c r="H28" s="602"/>
      <c r="J28" s="79"/>
      <c r="K28" s="21"/>
      <c r="L28" s="12"/>
      <c r="M28" s="12"/>
      <c r="N28" s="833"/>
    </row>
    <row r="29" spans="1:14">
      <c r="A29" s="17"/>
      <c r="B29" s="835"/>
      <c r="C29" s="845"/>
      <c r="D29" s="662"/>
      <c r="E29" s="667"/>
      <c r="F29" s="662"/>
      <c r="G29" s="662"/>
      <c r="H29" s="602"/>
      <c r="J29" s="79"/>
      <c r="K29" s="21"/>
      <c r="L29" s="12"/>
      <c r="M29" s="12"/>
      <c r="N29" s="833"/>
    </row>
    <row r="30" spans="1:14">
      <c r="A30" s="17"/>
      <c r="B30" s="835"/>
      <c r="C30" s="845"/>
      <c r="D30" s="662"/>
      <c r="E30" s="667"/>
      <c r="F30" s="662"/>
      <c r="G30" s="662"/>
      <c r="H30" s="602"/>
      <c r="J30" s="79"/>
      <c r="K30" s="21"/>
      <c r="L30" s="12"/>
      <c r="M30" s="12"/>
      <c r="N30" s="833"/>
    </row>
    <row r="31" spans="1:14">
      <c r="B31" s="840">
        <f>SUM(B2:B24)</f>
        <v>59</v>
      </c>
      <c r="C31" s="850">
        <f>SUM(C2:C25)</f>
        <v>4</v>
      </c>
      <c r="D31" s="533">
        <f>SUM(D2:D24)</f>
        <v>46</v>
      </c>
      <c r="E31" s="670">
        <f>SUM(E2:E25)</f>
        <v>1</v>
      </c>
      <c r="F31" s="533">
        <f>SUM(F2:F25)</f>
        <v>5</v>
      </c>
      <c r="G31" s="162">
        <f>SUM(G2:G25)</f>
        <v>0</v>
      </c>
      <c r="H31" s="808">
        <f>SUM(H2:H25)</f>
        <v>115</v>
      </c>
      <c r="J31" s="840">
        <f>SUM(J2:J25)</f>
        <v>0</v>
      </c>
      <c r="K31" s="842">
        <f>SUM(K2:K25)</f>
        <v>0</v>
      </c>
      <c r="L31" s="162">
        <f>SUM(L2:L25)</f>
        <v>0</v>
      </c>
      <c r="M31" s="162">
        <f>SUM(M2:M25)</f>
        <v>0</v>
      </c>
      <c r="N31" s="851"/>
    </row>
    <row r="32" spans="1:14">
      <c r="B32" s="840" t="s">
        <v>315</v>
      </c>
      <c r="C32" s="842" t="s">
        <v>315</v>
      </c>
      <c r="D32" s="248" t="s">
        <v>315</v>
      </c>
      <c r="E32" s="285"/>
      <c r="F32" s="285"/>
      <c r="G32" s="75"/>
      <c r="H32" s="337"/>
      <c r="J32" s="852"/>
      <c r="K32" s="680"/>
      <c r="L32" s="671"/>
      <c r="M32" s="671"/>
      <c r="N32" s="672"/>
    </row>
    <row r="35" spans="2:3">
      <c r="B35" s="623" t="s">
        <v>18</v>
      </c>
      <c r="C35" s="623"/>
    </row>
  </sheetData>
  <sortState xmlns:xlrd2="http://schemas.microsoft.com/office/spreadsheetml/2017/richdata2" ref="A3:A20">
    <sortCondition ref="A3:A20"/>
  </sortState>
  <conditionalFormatting sqref="B3:C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 B27:C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5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12" t="s">
        <v>316</v>
      </c>
      <c r="B2" s="1013"/>
      <c r="D2" s="1012" t="s">
        <v>317</v>
      </c>
      <c r="E2" s="1013"/>
      <c r="G2" s="1005" t="s">
        <v>318</v>
      </c>
      <c r="H2" s="1007" t="s">
        <v>319</v>
      </c>
      <c r="I2" s="1009" t="s">
        <v>320</v>
      </c>
      <c r="J2" s="95"/>
      <c r="K2" s="1016" t="s">
        <v>321</v>
      </c>
      <c r="L2" s="1017"/>
      <c r="M2" s="916"/>
    </row>
    <row r="3" spans="1:16" ht="15.75" customHeight="1">
      <c r="A3" s="71" t="s">
        <v>322</v>
      </c>
      <c r="B3" s="72">
        <v>61</v>
      </c>
      <c r="D3" s="71" t="s">
        <v>322</v>
      </c>
      <c r="E3" s="67">
        <v>46</v>
      </c>
      <c r="G3" s="1006"/>
      <c r="H3" s="1008"/>
      <c r="I3" s="1010"/>
      <c r="J3" s="95"/>
      <c r="K3" s="1018"/>
      <c r="L3" s="1019"/>
      <c r="M3" s="1020"/>
      <c r="N3" s="1011"/>
      <c r="O3" s="1011"/>
      <c r="P3" s="1011"/>
    </row>
    <row r="4" spans="1:16" ht="15">
      <c r="A4" s="73" t="s">
        <v>323</v>
      </c>
      <c r="B4" s="46">
        <f>SUM(B3*6)</f>
        <v>366</v>
      </c>
      <c r="D4" s="75" t="s">
        <v>323</v>
      </c>
      <c r="E4" s="48">
        <f>SUM(E3*6)</f>
        <v>276</v>
      </c>
      <c r="G4" s="98">
        <f>SUM(B4+E4)</f>
        <v>642</v>
      </c>
      <c r="H4" s="99">
        <f>SUM(B3+E3)</f>
        <v>107</v>
      </c>
      <c r="I4" s="101">
        <f>SUM(H4/2/18)</f>
        <v>2.9722222222222223</v>
      </c>
      <c r="J4" s="1"/>
      <c r="K4" s="1018"/>
      <c r="L4" s="1019"/>
      <c r="M4" s="1020"/>
      <c r="N4" s="1011"/>
      <c r="O4" s="1011"/>
      <c r="P4" s="1011"/>
    </row>
    <row r="5" spans="1:16">
      <c r="K5" s="1018"/>
      <c r="L5" s="1019"/>
      <c r="M5" s="1020"/>
      <c r="N5" s="1011"/>
      <c r="O5" s="1011"/>
      <c r="P5" s="1011"/>
    </row>
    <row r="6" spans="1:16" ht="15.75" customHeight="1">
      <c r="A6" s="1003" t="s">
        <v>324</v>
      </c>
      <c r="B6" s="1004"/>
      <c r="G6" s="1005" t="s">
        <v>318</v>
      </c>
      <c r="H6" s="1007" t="s">
        <v>319</v>
      </c>
      <c r="I6" s="1009" t="s">
        <v>320</v>
      </c>
      <c r="J6" s="95"/>
      <c r="K6" s="1018"/>
      <c r="L6" s="1019"/>
      <c r="M6" s="1020"/>
      <c r="N6" s="1011"/>
      <c r="O6" s="1011"/>
      <c r="P6" s="1011"/>
    </row>
    <row r="7" spans="1:16" ht="15.75" customHeight="1">
      <c r="A7" s="71" t="s">
        <v>322</v>
      </c>
      <c r="B7" s="72">
        <v>6</v>
      </c>
      <c r="G7" s="1006"/>
      <c r="H7" s="1008"/>
      <c r="I7" s="1010"/>
      <c r="J7" s="95"/>
      <c r="K7" s="1018"/>
      <c r="L7" s="1019"/>
      <c r="M7" s="1020"/>
      <c r="N7" s="1011"/>
      <c r="O7" s="1011"/>
      <c r="P7" s="1011"/>
    </row>
    <row r="8" spans="1:16">
      <c r="A8" s="73" t="s">
        <v>323</v>
      </c>
      <c r="B8" s="46">
        <f>SUM(B7*6)</f>
        <v>36</v>
      </c>
      <c r="G8" s="98">
        <f>SUM(B8+E8)</f>
        <v>36</v>
      </c>
      <c r="H8" s="99">
        <f>SUM(B7+E7)</f>
        <v>6</v>
      </c>
      <c r="I8" s="101">
        <f>SUM(H8/2/18)</f>
        <v>0.16666666666666666</v>
      </c>
      <c r="J8" s="1"/>
      <c r="K8" s="1021"/>
      <c r="L8" s="1022"/>
      <c r="M8" s="1023"/>
      <c r="N8" s="1011"/>
      <c r="O8" s="1011"/>
      <c r="P8" s="1011"/>
    </row>
    <row r="9" spans="1:16">
      <c r="N9" s="1011"/>
      <c r="O9" s="1011"/>
      <c r="P9" s="1011"/>
    </row>
    <row r="10" spans="1:16">
      <c r="A10" s="1012" t="s">
        <v>325</v>
      </c>
      <c r="B10" s="1004"/>
      <c r="D10" s="1012" t="s">
        <v>326</v>
      </c>
      <c r="E10" s="1004"/>
      <c r="G10" s="1005" t="s">
        <v>318</v>
      </c>
      <c r="H10" s="1007" t="s">
        <v>319</v>
      </c>
      <c r="I10" s="1009" t="s">
        <v>327</v>
      </c>
      <c r="J10" s="95"/>
    </row>
    <row r="11" spans="1:16">
      <c r="A11" s="71" t="s">
        <v>322</v>
      </c>
      <c r="B11" s="72">
        <v>110</v>
      </c>
      <c r="D11" s="71" t="s">
        <v>322</v>
      </c>
      <c r="E11" s="67"/>
      <c r="G11" s="1006"/>
      <c r="H11" s="1008"/>
      <c r="I11" s="1010"/>
      <c r="J11" s="95"/>
    </row>
    <row r="12" spans="1:16">
      <c r="A12" s="73" t="s">
        <v>323</v>
      </c>
      <c r="B12" s="46">
        <f>SUM(B11*6)</f>
        <v>660</v>
      </c>
      <c r="D12" s="75" t="s">
        <v>323</v>
      </c>
      <c r="E12" s="48">
        <f>SUM(E11*6)</f>
        <v>0</v>
      </c>
      <c r="G12" s="98">
        <f>SUM(B12+E12)</f>
        <v>660</v>
      </c>
      <c r="H12" s="99">
        <f>SUM(B11+E11)</f>
        <v>110</v>
      </c>
      <c r="I12" s="101">
        <f>SUM(H12/2/18)</f>
        <v>3.0555555555555554</v>
      </c>
      <c r="J12" s="96"/>
    </row>
    <row r="14" spans="1:16" ht="15.75" customHeight="1">
      <c r="A14" s="1003" t="s">
        <v>328</v>
      </c>
      <c r="B14" s="1004"/>
      <c r="D14" s="1003"/>
      <c r="E14" s="1004"/>
      <c r="G14" s="1005" t="s">
        <v>318</v>
      </c>
      <c r="H14" s="1007" t="s">
        <v>319</v>
      </c>
      <c r="I14" s="1009" t="s">
        <v>327</v>
      </c>
    </row>
    <row r="15" spans="1:16" ht="15.75" customHeight="1">
      <c r="A15" s="71" t="s">
        <v>322</v>
      </c>
      <c r="B15" s="72">
        <f>SUM('COM616 - Oct 2023'!H2)</f>
        <v>59</v>
      </c>
      <c r="D15" s="71"/>
      <c r="E15" s="72"/>
      <c r="G15" s="1006"/>
      <c r="H15" s="1008"/>
      <c r="I15" s="1010"/>
    </row>
    <row r="16" spans="1:16" ht="15" customHeight="1">
      <c r="A16" s="73" t="s">
        <v>323</v>
      </c>
      <c r="B16" s="46">
        <f>SUM(B15*6)</f>
        <v>354</v>
      </c>
      <c r="D16" s="73"/>
      <c r="E16" s="46"/>
      <c r="G16" s="43">
        <f>SUM(B16+E16)</f>
        <v>354</v>
      </c>
      <c r="H16" s="23">
        <f>SUM(B15+E15)</f>
        <v>59</v>
      </c>
      <c r="I16" s="97">
        <f>SUM(H16/2/18)</f>
        <v>1.6388888888888888</v>
      </c>
    </row>
    <row r="18" spans="1:9" ht="15.75" customHeight="1">
      <c r="A18" s="1014" t="s">
        <v>329</v>
      </c>
      <c r="B18" s="1015"/>
      <c r="D18" s="1012"/>
      <c r="E18" s="1004"/>
      <c r="G18" s="1005" t="s">
        <v>318</v>
      </c>
      <c r="H18" s="1007" t="s">
        <v>319</v>
      </c>
      <c r="I18" s="1009" t="s">
        <v>320</v>
      </c>
    </row>
    <row r="19" spans="1:9" ht="15.75" customHeight="1">
      <c r="A19" s="74" t="s">
        <v>322</v>
      </c>
      <c r="B19" s="67">
        <v>0</v>
      </c>
      <c r="D19" s="71"/>
      <c r="E19" s="67"/>
      <c r="G19" s="1006"/>
      <c r="H19" s="1008"/>
      <c r="I19" s="1010"/>
    </row>
    <row r="20" spans="1:9" ht="15.75" customHeight="1">
      <c r="A20" s="73" t="s">
        <v>323</v>
      </c>
      <c r="B20" s="46">
        <f>SUM(B19*6)</f>
        <v>0</v>
      </c>
      <c r="D20" s="75"/>
      <c r="E20" s="48"/>
      <c r="G20" s="98">
        <f>SUM(B20+E20)</f>
        <v>0</v>
      </c>
      <c r="H20" s="99"/>
      <c r="I20" s="100">
        <f>SUM(G20/2/18)</f>
        <v>0</v>
      </c>
    </row>
    <row r="22" spans="1:9" ht="15.75" customHeight="1">
      <c r="A22" s="1003" t="s">
        <v>330</v>
      </c>
      <c r="B22" s="1004"/>
      <c r="G22" s="1005" t="s">
        <v>318</v>
      </c>
      <c r="H22" s="1007" t="s">
        <v>319</v>
      </c>
      <c r="I22" s="1009" t="s">
        <v>320</v>
      </c>
    </row>
    <row r="23" spans="1:9" ht="15.75" customHeight="1">
      <c r="A23" s="71" t="s">
        <v>322</v>
      </c>
      <c r="B23" s="72"/>
      <c r="G23" s="1006"/>
      <c r="H23" s="1008"/>
      <c r="I23" s="1010"/>
    </row>
    <row r="24" spans="1:9" ht="15.75" customHeight="1">
      <c r="A24" s="73" t="s">
        <v>323</v>
      </c>
      <c r="B24" s="46"/>
      <c r="G24" s="98">
        <f>SUM(B24+E24)</f>
        <v>0</v>
      </c>
      <c r="H24" s="99">
        <f>SUM(B23+E23)</f>
        <v>0</v>
      </c>
      <c r="I24" s="101">
        <f>SUM(H24/2/18)</f>
        <v>0</v>
      </c>
    </row>
  </sheetData>
  <mergeCells count="30">
    <mergeCell ref="K2:M8"/>
    <mergeCell ref="H10:H11"/>
    <mergeCell ref="I10:I11"/>
    <mergeCell ref="G14:G15"/>
    <mergeCell ref="H14:H15"/>
    <mergeCell ref="I14:I15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A6:B6"/>
    <mergeCell ref="G6:G7"/>
    <mergeCell ref="H6:H7"/>
    <mergeCell ref="I6:I7"/>
    <mergeCell ref="A22:B22"/>
    <mergeCell ref="G22:G23"/>
    <mergeCell ref="H22:H23"/>
    <mergeCell ref="I2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10" t="s">
        <v>244</v>
      </c>
      <c r="B1" s="111"/>
      <c r="C1" s="460" t="s">
        <v>331</v>
      </c>
      <c r="E1" s="116" t="s">
        <v>332</v>
      </c>
      <c r="F1" s="117"/>
      <c r="G1" s="125" t="s">
        <v>331</v>
      </c>
      <c r="I1" s="110" t="s">
        <v>333</v>
      </c>
      <c r="J1" s="111"/>
      <c r="K1" s="460" t="s">
        <v>331</v>
      </c>
    </row>
    <row r="2" spans="1:11">
      <c r="A2" s="22"/>
      <c r="B2" s="102" t="s">
        <v>334</v>
      </c>
      <c r="C2" s="112" t="s">
        <v>6</v>
      </c>
      <c r="E2" s="22"/>
      <c r="F2" s="102" t="s">
        <v>334</v>
      </c>
      <c r="G2" s="112" t="s">
        <v>6</v>
      </c>
      <c r="I2" s="22"/>
      <c r="J2" s="102" t="s">
        <v>334</v>
      </c>
      <c r="K2" s="112" t="s">
        <v>6</v>
      </c>
    </row>
    <row r="3" spans="1:11" ht="15.75">
      <c r="A3" s="118">
        <v>1</v>
      </c>
      <c r="B3" s="105" t="s">
        <v>335</v>
      </c>
      <c r="C3" s="113" t="s">
        <v>83</v>
      </c>
      <c r="D3" s="106"/>
      <c r="E3" s="118">
        <v>1</v>
      </c>
      <c r="F3" s="107" t="s">
        <v>336</v>
      </c>
      <c r="G3" s="119" t="s">
        <v>59</v>
      </c>
      <c r="I3" s="124">
        <v>1</v>
      </c>
      <c r="J3" s="103" t="s">
        <v>337</v>
      </c>
      <c r="K3" s="67" t="s">
        <v>75</v>
      </c>
    </row>
    <row r="4" spans="1:11" ht="15.75">
      <c r="A4" s="118">
        <v>2</v>
      </c>
      <c r="B4" s="108" t="s">
        <v>338</v>
      </c>
      <c r="C4" s="113" t="s">
        <v>83</v>
      </c>
      <c r="D4" s="106"/>
      <c r="E4" s="118">
        <v>2</v>
      </c>
      <c r="F4" s="107" t="s">
        <v>339</v>
      </c>
      <c r="G4" s="119" t="s">
        <v>89</v>
      </c>
      <c r="I4" s="124">
        <v>2</v>
      </c>
      <c r="J4" s="103" t="s">
        <v>340</v>
      </c>
      <c r="K4" s="67" t="s">
        <v>75</v>
      </c>
    </row>
    <row r="5" spans="1:11" ht="15.75">
      <c r="A5" s="118">
        <v>3</v>
      </c>
      <c r="B5" s="108" t="s">
        <v>341</v>
      </c>
      <c r="C5" s="113" t="s">
        <v>83</v>
      </c>
      <c r="D5" s="106"/>
      <c r="E5" s="118">
        <v>3</v>
      </c>
      <c r="F5" s="107" t="s">
        <v>342</v>
      </c>
      <c r="G5" s="119" t="s">
        <v>75</v>
      </c>
      <c r="I5" s="124">
        <v>3</v>
      </c>
      <c r="J5" s="103" t="s">
        <v>343</v>
      </c>
      <c r="K5" s="67" t="s">
        <v>75</v>
      </c>
    </row>
    <row r="6" spans="1:11" ht="15.75">
      <c r="A6" s="118">
        <v>4</v>
      </c>
      <c r="B6" s="108" t="s">
        <v>344</v>
      </c>
      <c r="C6" s="113" t="s">
        <v>83</v>
      </c>
      <c r="D6" s="106"/>
      <c r="E6" s="118">
        <v>4</v>
      </c>
      <c r="F6" s="107" t="s">
        <v>345</v>
      </c>
      <c r="G6" s="67" t="s">
        <v>287</v>
      </c>
      <c r="I6" s="124">
        <v>4</v>
      </c>
      <c r="J6" s="103" t="s">
        <v>346</v>
      </c>
      <c r="K6" s="67" t="s">
        <v>75</v>
      </c>
    </row>
    <row r="7" spans="1:11" ht="15.75">
      <c r="A7" s="118">
        <v>5</v>
      </c>
      <c r="B7" s="108" t="s">
        <v>347</v>
      </c>
      <c r="C7" s="113" t="s">
        <v>83</v>
      </c>
      <c r="D7" s="106"/>
      <c r="E7" s="118">
        <v>5</v>
      </c>
      <c r="F7" s="107" t="s">
        <v>348</v>
      </c>
      <c r="G7" s="119" t="s">
        <v>89</v>
      </c>
      <c r="I7" s="124">
        <v>5</v>
      </c>
      <c r="J7" s="103" t="s">
        <v>349</v>
      </c>
      <c r="K7" s="67" t="s">
        <v>75</v>
      </c>
    </row>
    <row r="8" spans="1:11" ht="15.75">
      <c r="A8" s="118">
        <v>6</v>
      </c>
      <c r="B8" s="108" t="s">
        <v>350</v>
      </c>
      <c r="C8" s="113" t="s">
        <v>83</v>
      </c>
      <c r="D8" s="106"/>
      <c r="E8" s="118">
        <v>6</v>
      </c>
      <c r="F8" s="107" t="s">
        <v>351</v>
      </c>
      <c r="G8" s="119" t="s">
        <v>89</v>
      </c>
      <c r="I8" s="124">
        <v>6</v>
      </c>
      <c r="J8" s="103" t="s">
        <v>352</v>
      </c>
      <c r="K8" s="67" t="s">
        <v>287</v>
      </c>
    </row>
    <row r="9" spans="1:11" ht="15.75">
      <c r="A9" s="118">
        <v>7</v>
      </c>
      <c r="B9" s="108" t="s">
        <v>353</v>
      </c>
      <c r="C9" s="113" t="s">
        <v>83</v>
      </c>
      <c r="D9" s="106"/>
      <c r="E9" s="118">
        <v>7</v>
      </c>
      <c r="F9" s="107" t="s">
        <v>354</v>
      </c>
      <c r="G9" s="119" t="s">
        <v>59</v>
      </c>
      <c r="I9" s="124">
        <v>7</v>
      </c>
      <c r="J9" s="103" t="s">
        <v>355</v>
      </c>
      <c r="K9" s="67" t="s">
        <v>287</v>
      </c>
    </row>
    <row r="10" spans="1:11" ht="23.25">
      <c r="A10" s="118">
        <v>8</v>
      </c>
      <c r="B10" s="108" t="s">
        <v>356</v>
      </c>
      <c r="C10" s="113" t="s">
        <v>83</v>
      </c>
      <c r="D10" s="106"/>
      <c r="E10" s="118">
        <v>8</v>
      </c>
      <c r="F10" s="107" t="s">
        <v>357</v>
      </c>
      <c r="G10" s="119" t="s">
        <v>59</v>
      </c>
      <c r="I10" s="124">
        <v>8</v>
      </c>
      <c r="J10" s="103" t="s">
        <v>358</v>
      </c>
      <c r="K10" s="67" t="s">
        <v>12</v>
      </c>
    </row>
    <row r="11" spans="1:11" ht="15.75">
      <c r="A11" s="118">
        <v>9</v>
      </c>
      <c r="B11" s="108" t="s">
        <v>359</v>
      </c>
      <c r="C11" s="113" t="s">
        <v>83</v>
      </c>
      <c r="D11" s="106"/>
      <c r="E11" s="118">
        <v>9</v>
      </c>
      <c r="F11" s="107" t="s">
        <v>360</v>
      </c>
      <c r="G11" s="119" t="s">
        <v>89</v>
      </c>
      <c r="I11" s="124">
        <v>9</v>
      </c>
      <c r="J11" s="103" t="s">
        <v>361</v>
      </c>
      <c r="K11" s="67" t="s">
        <v>12</v>
      </c>
    </row>
    <row r="12" spans="1:11" ht="15.75">
      <c r="A12" s="120">
        <v>10</v>
      </c>
      <c r="B12" s="114" t="s">
        <v>362</v>
      </c>
      <c r="C12" s="115" t="s">
        <v>83</v>
      </c>
      <c r="D12" s="106"/>
      <c r="E12" s="118">
        <v>10</v>
      </c>
      <c r="F12" s="107" t="s">
        <v>363</v>
      </c>
      <c r="G12" s="67" t="s">
        <v>287</v>
      </c>
      <c r="I12" s="124">
        <v>10</v>
      </c>
      <c r="J12" s="103" t="s">
        <v>364</v>
      </c>
      <c r="K12" s="67" t="s">
        <v>287</v>
      </c>
    </row>
    <row r="13" spans="1:11" ht="15.75">
      <c r="A13" s="120">
        <v>11</v>
      </c>
      <c r="B13" s="284" t="s">
        <v>365</v>
      </c>
      <c r="C13" s="123" t="s">
        <v>59</v>
      </c>
      <c r="D13" s="106"/>
      <c r="E13" s="118">
        <v>11</v>
      </c>
      <c r="F13" s="109" t="s">
        <v>366</v>
      </c>
      <c r="G13" s="67" t="s">
        <v>287</v>
      </c>
      <c r="I13" s="124">
        <v>11</v>
      </c>
      <c r="J13" s="104" t="s">
        <v>367</v>
      </c>
      <c r="K13" s="67" t="s">
        <v>287</v>
      </c>
    </row>
    <row r="14" spans="1:11" ht="15.75">
      <c r="A14" s="106"/>
      <c r="B14" s="106"/>
      <c r="C14" s="106"/>
      <c r="D14" s="106"/>
      <c r="E14" s="118">
        <v>12</v>
      </c>
      <c r="F14" s="107" t="s">
        <v>368</v>
      </c>
      <c r="G14" s="119" t="s">
        <v>287</v>
      </c>
      <c r="I14" s="124">
        <v>12</v>
      </c>
      <c r="J14" s="103" t="s">
        <v>369</v>
      </c>
      <c r="K14" s="67" t="s">
        <v>287</v>
      </c>
    </row>
    <row r="15" spans="1:11" ht="15.75">
      <c r="A15" s="1026" t="s">
        <v>370</v>
      </c>
      <c r="B15" s="1027"/>
      <c r="C15" s="1028"/>
      <c r="D15" s="106"/>
      <c r="E15" s="118">
        <v>13</v>
      </c>
      <c r="F15" s="107" t="s">
        <v>371</v>
      </c>
      <c r="G15" s="119" t="s">
        <v>89</v>
      </c>
      <c r="I15" s="124">
        <v>13</v>
      </c>
      <c r="J15" s="103" t="s">
        <v>372</v>
      </c>
      <c r="K15" s="67" t="s">
        <v>75</v>
      </c>
    </row>
    <row r="16" spans="1:11" ht="15.75">
      <c r="A16" s="1029">
        <f>SUM('Supervision Load'!E3)</f>
        <v>46</v>
      </c>
      <c r="B16" s="1030"/>
      <c r="C16" s="1031"/>
      <c r="D16" s="106"/>
      <c r="E16" s="118">
        <v>14</v>
      </c>
      <c r="F16" s="107" t="s">
        <v>373</v>
      </c>
      <c r="G16" s="119" t="s">
        <v>89</v>
      </c>
      <c r="I16" s="124">
        <v>14</v>
      </c>
      <c r="J16" s="103" t="s">
        <v>374</v>
      </c>
      <c r="K16" s="67" t="s">
        <v>75</v>
      </c>
    </row>
    <row r="17" spans="1:11" ht="15.75">
      <c r="A17" s="1029"/>
      <c r="B17" s="1030"/>
      <c r="C17" s="1031"/>
      <c r="D17" s="106"/>
      <c r="E17" s="118">
        <v>15</v>
      </c>
      <c r="F17" s="107" t="s">
        <v>375</v>
      </c>
      <c r="G17" s="119" t="s">
        <v>89</v>
      </c>
      <c r="I17" s="124">
        <v>15</v>
      </c>
      <c r="J17" s="103" t="s">
        <v>376</v>
      </c>
      <c r="K17" s="67" t="s">
        <v>75</v>
      </c>
    </row>
    <row r="18" spans="1:11" ht="15.75">
      <c r="A18" s="1032"/>
      <c r="B18" s="1033"/>
      <c r="C18" s="1034"/>
      <c r="D18" s="106"/>
      <c r="E18" s="120">
        <v>16</v>
      </c>
      <c r="F18" s="121" t="s">
        <v>377</v>
      </c>
      <c r="G18" s="122" t="s">
        <v>89</v>
      </c>
      <c r="I18" s="124">
        <v>16</v>
      </c>
      <c r="J18" s="103" t="s">
        <v>378</v>
      </c>
      <c r="K18" s="67" t="s">
        <v>287</v>
      </c>
    </row>
    <row r="19" spans="1:11">
      <c r="I19" s="124">
        <v>17</v>
      </c>
      <c r="J19" s="103" t="s">
        <v>379</v>
      </c>
      <c r="K19" s="67" t="s">
        <v>12</v>
      </c>
    </row>
    <row r="20" spans="1:11" ht="15.75">
      <c r="B20" s="142"/>
      <c r="I20" s="124">
        <v>18</v>
      </c>
      <c r="J20" s="103" t="s">
        <v>380</v>
      </c>
      <c r="K20" s="67" t="s">
        <v>75</v>
      </c>
    </row>
    <row r="21" spans="1:11">
      <c r="I21" s="124">
        <v>19</v>
      </c>
      <c r="J21" s="103" t="s">
        <v>381</v>
      </c>
      <c r="K21" s="67" t="s">
        <v>12</v>
      </c>
    </row>
    <row r="22" spans="1:11">
      <c r="I22" s="120"/>
      <c r="J22" s="284"/>
      <c r="K22" s="123"/>
    </row>
    <row r="24" spans="1:11">
      <c r="E24" s="10"/>
      <c r="F24" s="102" t="s">
        <v>382</v>
      </c>
      <c r="G24" s="9" t="s">
        <v>383</v>
      </c>
      <c r="H24" s="102" t="s">
        <v>384</v>
      </c>
      <c r="I24" s="102"/>
      <c r="J24" s="229" t="s">
        <v>385</v>
      </c>
      <c r="K24" s="231" t="s">
        <v>386</v>
      </c>
    </row>
    <row r="25" spans="1:11">
      <c r="E25" s="60">
        <v>1</v>
      </c>
      <c r="F25" s="10" t="s">
        <v>287</v>
      </c>
      <c r="G25" s="12">
        <v>10</v>
      </c>
      <c r="H25" s="1035" t="s">
        <v>387</v>
      </c>
      <c r="I25" s="1036"/>
      <c r="J25" s="229">
        <f>COUNTIF(G3:G18:K3:K21, "Marc")</f>
        <v>10</v>
      </c>
      <c r="K25" s="231">
        <f>SUM(G25-J25)</f>
        <v>0</v>
      </c>
    </row>
    <row r="26" spans="1:11">
      <c r="E26" s="166">
        <v>2</v>
      </c>
      <c r="F26" s="10" t="s">
        <v>388</v>
      </c>
      <c r="G26" s="12">
        <v>0</v>
      </c>
      <c r="H26" s="1024" t="s">
        <v>281</v>
      </c>
      <c r="I26" s="1024"/>
      <c r="J26" s="230">
        <f>COUNTIF(G3:G18:K3:K21, "Andy")</f>
        <v>0</v>
      </c>
      <c r="K26" s="231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1024" t="s">
        <v>281</v>
      </c>
      <c r="I27" s="1024"/>
      <c r="J27" s="516">
        <f>COUNTIF(G3:G18:K3:K21, "Bode")</f>
        <v>10</v>
      </c>
      <c r="K27" s="231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24" t="s">
        <v>281</v>
      </c>
      <c r="I28" s="1024"/>
      <c r="J28" s="230">
        <f>COUNTIF(G3:G18:K3:K21, "Kalin")</f>
        <v>4</v>
      </c>
      <c r="K28" s="231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1024" t="s">
        <v>281</v>
      </c>
      <c r="I29" s="1024"/>
      <c r="J29" s="230">
        <f>COUNTIF(G3:G18:K3:K21:C3:C12, "Anthony")</f>
        <v>10</v>
      </c>
      <c r="K29" s="231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24" t="s">
        <v>281</v>
      </c>
      <c r="I30" s="1024"/>
      <c r="J30" s="230">
        <f>COUNTIF(G3:G18:C3:K13, "Nick")</f>
        <v>4</v>
      </c>
      <c r="K30" s="231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1024" t="s">
        <v>281</v>
      </c>
      <c r="I31" s="1024"/>
      <c r="J31" s="230">
        <f>COUNTIF(G4:G19:K4:K22, "Pengfei")</f>
        <v>8</v>
      </c>
      <c r="K31" s="231">
        <f>SUM(G31-J31)</f>
        <v>0</v>
      </c>
    </row>
    <row r="32" spans="1:11">
      <c r="E32" s="227"/>
      <c r="F32" s="227"/>
      <c r="G32" s="227"/>
      <c r="H32" s="1025"/>
      <c r="I32" s="1025"/>
    </row>
    <row r="34" spans="7:12">
      <c r="G34" s="517">
        <f>SUM(G25:G31)</f>
        <v>46</v>
      </c>
      <c r="J34" s="301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2023-09-05T15:36:41Z</dcterms:modified>
  <cp:category/>
  <cp:contentStatus/>
</cp:coreProperties>
</file>