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6100" documentId="8_{F910275D-011D-4B9B-94BD-9ED687CDE8E9}" xr6:coauthVersionLast="47" xr6:coauthVersionMax="47" xr10:uidLastSave="{DF3A5C3C-5465-431E-91BB-2CC2DB091AAA}"/>
  <bookViews>
    <workbookView xWindow="2835" yWindow="1605" windowWidth="22560" windowHeight="13920" firstSheet="8" activeTab="5" xr2:uid="{E69C05BD-5864-2041-BCC3-203BAAF63D0E}"/>
  </bookViews>
  <sheets>
    <sheet name="Foundation" sheetId="6" r:id="rId1"/>
    <sheet name="UG Map L4-L6" sheetId="1" r:id="rId2"/>
    <sheet name="UG Delivery" sheetId="13" r:id="rId3"/>
    <sheet name="PG Delivery &amp; Map (15 Credits)" sheetId="5" r:id="rId4"/>
    <sheet name="PG MAIDS" sheetId="3" r:id="rId5"/>
    <sheet name="Tutor Allocation" sheetId="7" r:id="rId6"/>
    <sheet name="Super Staff Cover" sheetId="15" r:id="rId7"/>
    <sheet name="Supervision Load" sheetId="8" r:id="rId8"/>
    <sheet name="MAA112 May 23" sheetId="10" r:id="rId9"/>
    <sheet name="COM726 - May 23" sheetId="9" r:id="rId10"/>
    <sheet name="COM726 - Sept 23" sheetId="11" r:id="rId11"/>
    <sheet name="COM616 - Oct 2023" sheetId="14" r:id="rId12"/>
    <sheet name="COM726-Jan 24" sheetId="16" r:id="rId13"/>
  </sheets>
  <definedNames>
    <definedName name="_xlnm._FilterDatabase" localSheetId="9" hidden="1">'COM726 - May 23'!$C$1:$C$63</definedName>
    <definedName name="_xlnm._FilterDatabase" localSheetId="3" hidden="1">'PG Delivery &amp; Map (15 Credits)'!$J$1:$J$52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4" l="1"/>
  <c r="F11" i="14"/>
  <c r="B11" i="8"/>
  <c r="G9" i="7"/>
  <c r="F9" i="7"/>
  <c r="E9" i="7"/>
  <c r="C9" i="7"/>
  <c r="I9" i="7"/>
  <c r="J27" i="7"/>
  <c r="J26" i="7"/>
  <c r="J25" i="7"/>
  <c r="J24" i="7"/>
  <c r="J21" i="7"/>
  <c r="J20" i="7"/>
  <c r="J19" i="7"/>
  <c r="J18" i="7"/>
  <c r="J17" i="7"/>
  <c r="J16" i="7"/>
  <c r="J14" i="7"/>
  <c r="J13" i="7"/>
  <c r="J12" i="7"/>
  <c r="J10" i="7"/>
  <c r="J9" i="7"/>
  <c r="J7" i="7"/>
  <c r="J6" i="7"/>
  <c r="J5" i="7"/>
  <c r="J4" i="7"/>
  <c r="J3" i="7"/>
  <c r="G12" i="7"/>
  <c r="F12" i="7"/>
  <c r="E12" i="7"/>
  <c r="K10" i="9"/>
  <c r="J10" i="9"/>
  <c r="J26" i="15"/>
  <c r="K26" i="15"/>
  <c r="L26" i="15"/>
  <c r="I26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3" i="15"/>
  <c r="M2" i="15"/>
  <c r="I27" i="7"/>
  <c r="I26" i="7"/>
  <c r="G26" i="7"/>
  <c r="F26" i="7"/>
  <c r="E26" i="7"/>
  <c r="C26" i="7"/>
  <c r="L25" i="11"/>
  <c r="L24" i="11"/>
  <c r="L23" i="11"/>
  <c r="L22" i="11"/>
  <c r="L21" i="11"/>
  <c r="L20" i="11"/>
  <c r="M21" i="11"/>
  <c r="M22" i="11"/>
  <c r="M23" i="11"/>
  <c r="M24" i="11"/>
  <c r="M25" i="11"/>
  <c r="L18" i="7"/>
  <c r="H54" i="1"/>
  <c r="E2" i="15"/>
  <c r="T18" i="1"/>
  <c r="T17" i="1"/>
  <c r="K18" i="7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4" i="1"/>
  <c r="T5" i="1"/>
  <c r="T6" i="1"/>
  <c r="T7" i="1"/>
  <c r="T8" i="1"/>
  <c r="T9" i="1"/>
  <c r="T10" i="1"/>
  <c r="T11" i="1"/>
  <c r="T12" i="1"/>
  <c r="T14" i="1"/>
  <c r="T13" i="1"/>
  <c r="T16" i="1"/>
  <c r="T15" i="1"/>
  <c r="T19" i="1"/>
  <c r="T3" i="1"/>
  <c r="J25" i="10"/>
  <c r="N25" i="14"/>
  <c r="N24" i="14"/>
  <c r="N23" i="14"/>
  <c r="N22" i="14"/>
  <c r="N21" i="14"/>
  <c r="N20" i="14"/>
  <c r="N19" i="14"/>
  <c r="N18" i="14"/>
  <c r="N17" i="14"/>
  <c r="N16" i="14"/>
  <c r="N15" i="14"/>
  <c r="N13" i="14"/>
  <c r="N12" i="14"/>
  <c r="N10" i="14"/>
  <c r="N9" i="14"/>
  <c r="N8" i="14"/>
  <c r="N7" i="14"/>
  <c r="N6" i="14"/>
  <c r="N5" i="14"/>
  <c r="N4" i="14"/>
  <c r="N3" i="14"/>
  <c r="N14" i="14"/>
  <c r="N11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N2" i="14"/>
  <c r="C15" i="15"/>
  <c r="L34" i="10"/>
  <c r="G34" i="10"/>
  <c r="K18" i="9"/>
  <c r="K8" i="9"/>
  <c r="K7" i="9"/>
  <c r="K4" i="9"/>
  <c r="K16" i="9"/>
  <c r="L9" i="9"/>
  <c r="K3" i="9"/>
  <c r="E15" i="15"/>
  <c r="F15" i="15"/>
  <c r="D15" i="15"/>
  <c r="C14" i="15"/>
  <c r="B15" i="15"/>
  <c r="G15" i="15" s="1"/>
  <c r="B14" i="15"/>
  <c r="C13" i="15"/>
  <c r="K25" i="10"/>
  <c r="C18" i="15"/>
  <c r="J30" i="10"/>
  <c r="F24" i="15"/>
  <c r="F23" i="15"/>
  <c r="F22" i="15"/>
  <c r="F21" i="15"/>
  <c r="F20" i="15"/>
  <c r="F19" i="15"/>
  <c r="F18" i="15"/>
  <c r="F17" i="15"/>
  <c r="F16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B4" i="15"/>
  <c r="B5" i="15"/>
  <c r="B6" i="15"/>
  <c r="B7" i="15"/>
  <c r="B8" i="15"/>
  <c r="B9" i="15"/>
  <c r="B10" i="15"/>
  <c r="B11" i="15"/>
  <c r="B12" i="15"/>
  <c r="B13" i="15"/>
  <c r="B16" i="15"/>
  <c r="B17" i="15"/>
  <c r="B18" i="15"/>
  <c r="B19" i="15"/>
  <c r="B20" i="15"/>
  <c r="B21" i="15"/>
  <c r="B23" i="15"/>
  <c r="B24" i="15"/>
  <c r="G25" i="15"/>
  <c r="E24" i="15"/>
  <c r="E23" i="15"/>
  <c r="E22" i="15"/>
  <c r="E21" i="15"/>
  <c r="E20" i="15"/>
  <c r="E19" i="15"/>
  <c r="E18" i="15"/>
  <c r="E17" i="15"/>
  <c r="E16" i="15"/>
  <c r="E14" i="15"/>
  <c r="E13" i="15"/>
  <c r="E12" i="15"/>
  <c r="E11" i="15"/>
  <c r="E10" i="15"/>
  <c r="E9" i="15"/>
  <c r="E8" i="15"/>
  <c r="E7" i="15"/>
  <c r="E6" i="15"/>
  <c r="E5" i="15"/>
  <c r="E4" i="15"/>
  <c r="E3" i="15"/>
  <c r="D24" i="15"/>
  <c r="D2" i="15"/>
  <c r="F26" i="15"/>
  <c r="E26" i="15"/>
  <c r="H2" i="14"/>
  <c r="D23" i="15"/>
  <c r="D22" i="15"/>
  <c r="G22" i="15" s="1"/>
  <c r="D21" i="15"/>
  <c r="D20" i="15"/>
  <c r="D19" i="15"/>
  <c r="D18" i="15"/>
  <c r="D17" i="15"/>
  <c r="D16" i="15"/>
  <c r="D14" i="15"/>
  <c r="D13" i="15"/>
  <c r="D12" i="15"/>
  <c r="D11" i="15"/>
  <c r="D10" i="15"/>
  <c r="D9" i="15"/>
  <c r="D8" i="15"/>
  <c r="D7" i="15"/>
  <c r="D5" i="15"/>
  <c r="D4" i="15"/>
  <c r="D3" i="15"/>
  <c r="G3" i="15" s="1"/>
  <c r="D6" i="15"/>
  <c r="A16" i="10"/>
  <c r="E3" i="9"/>
  <c r="L17" i="11"/>
  <c r="M17" i="11"/>
  <c r="L18" i="11"/>
  <c r="M18" i="11"/>
  <c r="L19" i="11"/>
  <c r="M19" i="11"/>
  <c r="M20" i="11"/>
  <c r="K26" i="11"/>
  <c r="L26" i="11"/>
  <c r="L29" i="11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K14" i="11"/>
  <c r="K27" i="11" s="1"/>
  <c r="L14" i="11"/>
  <c r="M29" i="11" s="1"/>
  <c r="C2" i="15"/>
  <c r="L3" i="16"/>
  <c r="C24" i="15"/>
  <c r="C23" i="15"/>
  <c r="C21" i="15"/>
  <c r="C20" i="15"/>
  <c r="C19" i="15"/>
  <c r="C17" i="15"/>
  <c r="C16" i="15"/>
  <c r="C12" i="15"/>
  <c r="C11" i="15"/>
  <c r="C10" i="15"/>
  <c r="C9" i="15"/>
  <c r="C8" i="15"/>
  <c r="C7" i="15"/>
  <c r="C6" i="15"/>
  <c r="C4" i="15"/>
  <c r="C5" i="15"/>
  <c r="B2" i="15"/>
  <c r="F11" i="7"/>
  <c r="L27" i="16"/>
  <c r="L6" i="16"/>
  <c r="L10" i="16"/>
  <c r="M10" i="16" s="1"/>
  <c r="L9" i="16"/>
  <c r="M9" i="16" s="1"/>
  <c r="L12" i="16"/>
  <c r="M12" i="16" s="1"/>
  <c r="L11" i="16"/>
  <c r="M11" i="16" s="1"/>
  <c r="L20" i="16"/>
  <c r="M20" i="16" s="1"/>
  <c r="L19" i="16"/>
  <c r="L18" i="16"/>
  <c r="L17" i="16"/>
  <c r="L13" i="16"/>
  <c r="M13" i="16" s="1"/>
  <c r="L8" i="16"/>
  <c r="M8" i="16" s="1"/>
  <c r="L7" i="16"/>
  <c r="L5" i="16"/>
  <c r="L4" i="16"/>
  <c r="K19" i="9"/>
  <c r="K17" i="9"/>
  <c r="K6" i="9"/>
  <c r="K5" i="9"/>
  <c r="U28" i="7"/>
  <c r="T28" i="7"/>
  <c r="S28" i="7"/>
  <c r="R28" i="7"/>
  <c r="Q28" i="7"/>
  <c r="P28" i="7"/>
  <c r="O28" i="7"/>
  <c r="N28" i="7"/>
  <c r="U30" i="7" s="1"/>
  <c r="U32" i="7" s="1"/>
  <c r="I22" i="7"/>
  <c r="G27" i="7"/>
  <c r="F27" i="7"/>
  <c r="L27" i="7" s="1"/>
  <c r="L26" i="7"/>
  <c r="E27" i="7"/>
  <c r="E25" i="7"/>
  <c r="E24" i="7"/>
  <c r="E23" i="7"/>
  <c r="E22" i="7"/>
  <c r="E20" i="7"/>
  <c r="E19" i="7"/>
  <c r="E17" i="7"/>
  <c r="E16" i="7"/>
  <c r="E15" i="7"/>
  <c r="E14" i="7"/>
  <c r="E11" i="7"/>
  <c r="E10" i="7"/>
  <c r="C27" i="7"/>
  <c r="K27" i="7"/>
  <c r="K26" i="7"/>
  <c r="I25" i="7"/>
  <c r="I24" i="7"/>
  <c r="I21" i="7"/>
  <c r="I20" i="7"/>
  <c r="I19" i="7"/>
  <c r="I17" i="7"/>
  <c r="I16" i="7"/>
  <c r="I14" i="7"/>
  <c r="I13" i="7"/>
  <c r="I12" i="7"/>
  <c r="I10" i="7"/>
  <c r="I7" i="7"/>
  <c r="I6" i="7"/>
  <c r="I5" i="7"/>
  <c r="I4" i="7"/>
  <c r="I3" i="7"/>
  <c r="I8" i="7"/>
  <c r="C3" i="7"/>
  <c r="L19" i="9"/>
  <c r="L8" i="9"/>
  <c r="J20" i="9"/>
  <c r="J8" i="7"/>
  <c r="J11" i="7"/>
  <c r="J22" i="7"/>
  <c r="J23" i="7"/>
  <c r="J15" i="7"/>
  <c r="I15" i="7"/>
  <c r="I11" i="7"/>
  <c r="G15" i="7"/>
  <c r="F15" i="7"/>
  <c r="L15" i="7" s="1"/>
  <c r="K15" i="7"/>
  <c r="K14" i="16"/>
  <c r="K24" i="16"/>
  <c r="M19" i="16"/>
  <c r="M18" i="16"/>
  <c r="M7" i="16"/>
  <c r="M6" i="16"/>
  <c r="M5" i="16"/>
  <c r="M4" i="16"/>
  <c r="K30" i="10"/>
  <c r="L6" i="9"/>
  <c r="K20" i="9"/>
  <c r="L3" i="9"/>
  <c r="J26" i="10"/>
  <c r="J31" i="10"/>
  <c r="K31" i="10"/>
  <c r="J29" i="10"/>
  <c r="K29" i="10" s="1"/>
  <c r="J28" i="10"/>
  <c r="K28" i="10" s="1"/>
  <c r="J27" i="10"/>
  <c r="K27" i="10" s="1"/>
  <c r="K26" i="10"/>
  <c r="C7" i="7"/>
  <c r="E21" i="7"/>
  <c r="E13" i="7"/>
  <c r="E8" i="7"/>
  <c r="E7" i="7"/>
  <c r="E5" i="7"/>
  <c r="E4" i="7"/>
  <c r="E3" i="7"/>
  <c r="H6" i="7"/>
  <c r="G6" i="7"/>
  <c r="F6" i="7"/>
  <c r="L6" i="7" s="1"/>
  <c r="E6" i="7"/>
  <c r="K6" i="7"/>
  <c r="B4" i="8"/>
  <c r="E4" i="8"/>
  <c r="G4" i="8"/>
  <c r="H4" i="8"/>
  <c r="I4" i="8"/>
  <c r="B8" i="8"/>
  <c r="E8" i="8"/>
  <c r="G8" i="8"/>
  <c r="H8" i="8"/>
  <c r="I8" i="8"/>
  <c r="H12" i="8"/>
  <c r="I12" i="8"/>
  <c r="B16" i="8"/>
  <c r="G16" i="8"/>
  <c r="I16" i="8"/>
  <c r="B12" i="8"/>
  <c r="G12" i="8"/>
  <c r="E54" i="1"/>
  <c r="H16" i="7"/>
  <c r="G3" i="7"/>
  <c r="G4" i="7"/>
  <c r="G5" i="7"/>
  <c r="G7" i="7"/>
  <c r="G8" i="7"/>
  <c r="G10" i="7"/>
  <c r="G11" i="7"/>
  <c r="G13" i="7"/>
  <c r="G14" i="7"/>
  <c r="G16" i="7"/>
  <c r="G17" i="7"/>
  <c r="G19" i="7"/>
  <c r="G20" i="7"/>
  <c r="G21" i="7"/>
  <c r="G22" i="7"/>
  <c r="G23" i="7"/>
  <c r="G24" i="7"/>
  <c r="G25" i="7"/>
  <c r="C5" i="7"/>
  <c r="C8" i="7"/>
  <c r="C10" i="7"/>
  <c r="C11" i="7"/>
  <c r="C12" i="7"/>
  <c r="C13" i="7"/>
  <c r="C14" i="7"/>
  <c r="C19" i="7"/>
  <c r="C20" i="7"/>
  <c r="C21" i="7"/>
  <c r="C22" i="7"/>
  <c r="C23" i="7"/>
  <c r="C25" i="7"/>
  <c r="C24" i="7"/>
  <c r="C16" i="7"/>
  <c r="C17" i="7"/>
  <c r="C4" i="7"/>
  <c r="F25" i="7"/>
  <c r="L25" i="7"/>
  <c r="F24" i="7"/>
  <c r="L24" i="7"/>
  <c r="F23" i="7"/>
  <c r="L23" i="7"/>
  <c r="F22" i="7"/>
  <c r="L22" i="7"/>
  <c r="F21" i="7"/>
  <c r="L21" i="7"/>
  <c r="F20" i="7"/>
  <c r="L20" i="7"/>
  <c r="F19" i="7"/>
  <c r="L19" i="7"/>
  <c r="F17" i="7"/>
  <c r="L17" i="7"/>
  <c r="F16" i="7"/>
  <c r="L16" i="7"/>
  <c r="F14" i="7"/>
  <c r="L14" i="7"/>
  <c r="F13" i="7"/>
  <c r="L13" i="7"/>
  <c r="L12" i="7"/>
  <c r="L11" i="7"/>
  <c r="F10" i="7"/>
  <c r="L10" i="7"/>
  <c r="L9" i="7"/>
  <c r="F8" i="7"/>
  <c r="L8" i="7"/>
  <c r="F7" i="7"/>
  <c r="L7" i="7"/>
  <c r="F5" i="7"/>
  <c r="L5" i="7"/>
  <c r="F4" i="7"/>
  <c r="L4" i="7"/>
  <c r="F3" i="7"/>
  <c r="L3" i="7"/>
  <c r="D61" i="7"/>
  <c r="I23" i="7"/>
  <c r="K25" i="7"/>
  <c r="K3" i="7"/>
  <c r="K4" i="7"/>
  <c r="K5" i="7"/>
  <c r="K7" i="7"/>
  <c r="K8" i="7"/>
  <c r="K9" i="7"/>
  <c r="K10" i="7"/>
  <c r="K11" i="7"/>
  <c r="K12" i="7"/>
  <c r="K13" i="7"/>
  <c r="K14" i="7"/>
  <c r="K24" i="7"/>
  <c r="K16" i="7"/>
  <c r="K17" i="7"/>
  <c r="K19" i="7"/>
  <c r="K20" i="7"/>
  <c r="K21" i="7"/>
  <c r="K22" i="7"/>
  <c r="K23" i="7"/>
  <c r="K31" i="7" l="1"/>
  <c r="O2" i="14"/>
  <c r="O26" i="14" s="1"/>
  <c r="N26" i="14"/>
  <c r="J34" i="10"/>
  <c r="G2" i="15"/>
  <c r="B26" i="15"/>
  <c r="G6" i="15"/>
  <c r="G4" i="15"/>
  <c r="G5" i="15"/>
  <c r="G7" i="15"/>
  <c r="G8" i="15"/>
  <c r="G9" i="15"/>
  <c r="G10" i="15"/>
  <c r="G11" i="15"/>
  <c r="G12" i="15"/>
  <c r="G13" i="15"/>
  <c r="G14" i="15"/>
  <c r="G16" i="15"/>
  <c r="G17" i="15"/>
  <c r="G18" i="15"/>
  <c r="G19" i="15"/>
  <c r="G20" i="15"/>
  <c r="G21" i="15"/>
  <c r="G23" i="15"/>
  <c r="G24" i="15"/>
  <c r="K25" i="16"/>
  <c r="D26" i="15"/>
  <c r="K29" i="7"/>
  <c r="M3" i="16"/>
  <c r="L14" i="16"/>
  <c r="M17" i="16"/>
  <c r="L24" i="16"/>
  <c r="K23" i="9"/>
  <c r="L7" i="9"/>
  <c r="L4" i="9"/>
  <c r="L5" i="9"/>
  <c r="L16" i="9"/>
  <c r="L17" i="9"/>
  <c r="L18" i="9"/>
  <c r="C26" i="15"/>
  <c r="L20" i="9" l="1"/>
  <c r="L10" i="9"/>
  <c r="L23" i="9" s="1"/>
  <c r="M27" i="16"/>
</calcChain>
</file>

<file path=xl/sharedStrings.xml><?xml version="1.0" encoding="utf-8"?>
<sst xmlns="http://schemas.openxmlformats.org/spreadsheetml/2006/main" count="1412" uniqueCount="535">
  <si>
    <t>Computing Foundation</t>
  </si>
  <si>
    <t>CL Delivery (hrs)</t>
  </si>
  <si>
    <t>DL Delivery (hrs)</t>
  </si>
  <si>
    <t>GL Delivery (hrs)</t>
  </si>
  <si>
    <t>Semester</t>
  </si>
  <si>
    <t>Module Leader</t>
  </si>
  <si>
    <t>Tutor</t>
  </si>
  <si>
    <t>COM300 Problem Solving</t>
  </si>
  <si>
    <t>Darren</t>
  </si>
  <si>
    <t>COM302 Group Technology Project</t>
  </si>
  <si>
    <t>Martin</t>
  </si>
  <si>
    <t>COM304 Foundation Computing</t>
  </si>
  <si>
    <t>Kalin</t>
  </si>
  <si>
    <t>COM305 Induviudual Degree Related Project</t>
  </si>
  <si>
    <t>COM306 Digital Media Technologies</t>
  </si>
  <si>
    <t>Louise</t>
  </si>
  <si>
    <t>COM307 Foundation Mathematics</t>
  </si>
  <si>
    <t>VACANT</t>
  </si>
  <si>
    <t>Staff List</t>
  </si>
  <si>
    <t>Under Grad</t>
  </si>
  <si>
    <t>Delivery Semester</t>
  </si>
  <si>
    <t>Groups 2023-24</t>
  </si>
  <si>
    <t>Tutor or TTI</t>
  </si>
  <si>
    <t>BSc Under-grad</t>
  </si>
  <si>
    <t xml:space="preserve">Apprentice </t>
  </si>
  <si>
    <t>HTQ</t>
  </si>
  <si>
    <t>Shared Modules</t>
  </si>
  <si>
    <t>DDWD (RO)</t>
  </si>
  <si>
    <t>COMP</t>
  </si>
  <si>
    <t>Sof Eng</t>
  </si>
  <si>
    <t>Cyber</t>
  </si>
  <si>
    <t>Net Eng</t>
  </si>
  <si>
    <t>BDATS L6</t>
  </si>
  <si>
    <t>Data L4</t>
  </si>
  <si>
    <t>Network</t>
  </si>
  <si>
    <t>Data</t>
  </si>
  <si>
    <t>COM411 Problem Solving Through Programming</t>
  </si>
  <si>
    <t>Mike</t>
  </si>
  <si>
    <t>X</t>
  </si>
  <si>
    <t>COM412 Intro to Networks and Security</t>
  </si>
  <si>
    <t>Warren</t>
  </si>
  <si>
    <t>COM413 Network Applications</t>
  </si>
  <si>
    <t>Neville</t>
  </si>
  <si>
    <t>COM414 Routing and Switching</t>
  </si>
  <si>
    <t>2&amp;3</t>
  </si>
  <si>
    <t>COM415 Cyber Security Essentials</t>
  </si>
  <si>
    <t>COM416 UX</t>
  </si>
  <si>
    <t>COM417 Introduction to Databases</t>
  </si>
  <si>
    <t>Kenton</t>
  </si>
  <si>
    <t xml:space="preserve">COM418 Data Analysis, Tools and Application </t>
  </si>
  <si>
    <t>Jarutas</t>
  </si>
  <si>
    <t>Idris</t>
  </si>
  <si>
    <t>COM419 Web Technologies</t>
  </si>
  <si>
    <t>COM421 Data Structures, Algorithms &amp; Mathematics</t>
  </si>
  <si>
    <t>1&amp;3</t>
  </si>
  <si>
    <t>Nick</t>
  </si>
  <si>
    <t xml:space="preserve">COM422 Software Testing and Reliability Engineering </t>
  </si>
  <si>
    <t>COM426 Computing Project  (Apprentice only module)</t>
  </si>
  <si>
    <t xml:space="preserve">COM423 Systems Analysis &amp; Design Work Based Project (Apprentice only module) </t>
  </si>
  <si>
    <t xml:space="preserve">COM427 Principles and Methods of Data Analysis  (Apprentice only module) </t>
  </si>
  <si>
    <t xml:space="preserve">Gateway EPA COM428 (Apprentice only module) </t>
  </si>
  <si>
    <t>Applied Computing Project COM429 HTQ</t>
  </si>
  <si>
    <t>Cyber Security Standards CTE403 HTQ</t>
  </si>
  <si>
    <t xml:space="preserve">COM511 Network Systems Automation </t>
  </si>
  <si>
    <t>COM512 Network Security</t>
  </si>
  <si>
    <t>Venkat</t>
  </si>
  <si>
    <t>COM513 Network Engineering</t>
  </si>
  <si>
    <t>COM514 Research Methods Project</t>
  </si>
  <si>
    <t>COM515 Enterprise Networks</t>
  </si>
  <si>
    <t>COM516 Network Implementation</t>
  </si>
  <si>
    <t>Shakeel</t>
  </si>
  <si>
    <t>COM517 Analytics and Business Intelligence</t>
  </si>
  <si>
    <t>COM518 Web Application Development</t>
  </si>
  <si>
    <t>COM519 Advanced Database Systems</t>
  </si>
  <si>
    <t>COM520 Human Computer Interaction</t>
  </si>
  <si>
    <t>Anthony</t>
  </si>
  <si>
    <t xml:space="preserve">COM521 Ethical Hacking </t>
  </si>
  <si>
    <t>COM522 Threat Intelligence Analysis</t>
  </si>
  <si>
    <t>COM526 Introduction to AI</t>
  </si>
  <si>
    <t>1&amp;2</t>
  </si>
  <si>
    <t>Drishty</t>
  </si>
  <si>
    <t>Pengfei</t>
  </si>
  <si>
    <t>COM527 Mobile Application Development</t>
  </si>
  <si>
    <t>COM528 Object Oriented Development</t>
  </si>
  <si>
    <t>4 or 5</t>
  </si>
  <si>
    <t>COM529 Economics and Financial Analysis</t>
  </si>
  <si>
    <t>Ajab</t>
  </si>
  <si>
    <t xml:space="preserve">COM530 Work Based Business Organisation (Apprentice only module) </t>
  </si>
  <si>
    <t xml:space="preserve">COM532 Work Based IT Project Management (Apprentice only module) </t>
  </si>
  <si>
    <t>COM611 Computer Systems and Architecture</t>
  </si>
  <si>
    <t>COM612 Internet of Things (UG Option)</t>
  </si>
  <si>
    <t xml:space="preserve">COM613 CyberOps </t>
  </si>
  <si>
    <t>COM614 Cloud Computing (Core to Apprentice Cyber &amp; UG Option NOT RUNNING)</t>
  </si>
  <si>
    <t>COM615 Network Management</t>
  </si>
  <si>
    <t xml:space="preserve">COM616 Dissertation Project </t>
  </si>
  <si>
    <t>Various</t>
  </si>
  <si>
    <t>COM617 Industrial Consulting Project</t>
  </si>
  <si>
    <t>COM618 Data Science (Core to Apprentice Sem 2 &amp; Option Comp &amp; Digi Design)</t>
  </si>
  <si>
    <t>COM619 DevOps</t>
  </si>
  <si>
    <t>COM620 Immersive Technologies (UG Option) NOT RUNNING?</t>
  </si>
  <si>
    <t>COM621 UX Strategies (Option Digital Design &amp; Web)</t>
  </si>
  <si>
    <t>COM622 Cyber crime (UG Option)  NOT RUNNING</t>
  </si>
  <si>
    <t>n/a</t>
  </si>
  <si>
    <t>COM623 Contemporary Web Apps (UG Option Computing &amp; core Digi Design)</t>
  </si>
  <si>
    <t>COM624 Machine Learning (UG OPTION SE)</t>
  </si>
  <si>
    <t>COM625 - Synoptic Work-Based IT Project (Apprentice only module)</t>
  </si>
  <si>
    <t>COM626 Mobile Development and 3D Graphics (UG OPTION SE)</t>
  </si>
  <si>
    <t>Totals</t>
  </si>
  <si>
    <t>Numbers in brackets are teaching hours for unique &amp; extra module instances</t>
  </si>
  <si>
    <r>
      <t xml:space="preserve">Yellow highlight are module instances that are delivered to appentices separately in </t>
    </r>
    <r>
      <rPr>
        <b/>
        <sz val="12"/>
        <color theme="1"/>
        <rFont val="Calibri"/>
        <family val="2"/>
        <scheme val="minor"/>
      </rPr>
      <t xml:space="preserve">another semester </t>
    </r>
    <r>
      <rPr>
        <sz val="12"/>
        <color theme="1"/>
        <rFont val="Calibri"/>
        <family val="2"/>
        <scheme val="minor"/>
      </rPr>
      <t>from the ordinary undergrads</t>
    </r>
  </si>
  <si>
    <t>DDWD is closed from 2023 - we did not have an intake in 2022 and is running out (RO).  This course has 4 unique modules and other modules were shared with other courses. 2022-23 Levels 5 &amp; 6 then 2023-24 will be Level 6 only.</t>
  </si>
  <si>
    <t>Blue highlight unique module to apprentices</t>
  </si>
  <si>
    <t>Level 3</t>
  </si>
  <si>
    <t>Level 4 HNC (HTQs)</t>
  </si>
  <si>
    <t>Level 4 Apprenticeship</t>
  </si>
  <si>
    <t>Under Graduate</t>
  </si>
  <si>
    <t>Degree Apprenticeship</t>
  </si>
  <si>
    <t>Cyber Security Technologist</t>
  </si>
  <si>
    <t>Network Engineer</t>
  </si>
  <si>
    <t>Data Analyst</t>
  </si>
  <si>
    <t>Data Analyst HNC Apprentice (Sept Start)</t>
  </si>
  <si>
    <t>BSc Computing</t>
  </si>
  <si>
    <t>BSc Software Engineering</t>
  </si>
  <si>
    <t>BSc Computer Systems Networks</t>
  </si>
  <si>
    <t xml:space="preserve">
BSc Cyber Security Management </t>
  </si>
  <si>
    <t>BSc BDATS Software Engineering</t>
  </si>
  <si>
    <t>BSc BDATS - Data Analyst</t>
  </si>
  <si>
    <t>BSc BDATS - Network Engineer</t>
  </si>
  <si>
    <t>BSc BDATS - Cybersecurity Specialist</t>
  </si>
  <si>
    <t>Level 4</t>
  </si>
  <si>
    <t>Level 4 - Year 1</t>
  </si>
  <si>
    <t>SEMESTER 1</t>
  </si>
  <si>
    <t>COM427 Principles &amp; Methods of Data Analysis</t>
  </si>
  <si>
    <t>SEMESTER 2</t>
  </si>
  <si>
    <t>CTE403 Cyber Security Standards</t>
  </si>
  <si>
    <t>CTEXXX Applied Computing Project</t>
  </si>
  <si>
    <t>SEMESTER 3</t>
  </si>
  <si>
    <t>COM423 - Systems Analysis &amp; Design</t>
  </si>
  <si>
    <t>COM418 Data Analysis, Tools and Application</t>
  </si>
  <si>
    <t>Level 4 - Year 2</t>
  </si>
  <si>
    <t>COM425 Introduction to Cybersecurity (0 Credit)</t>
  </si>
  <si>
    <t>Level 5</t>
  </si>
  <si>
    <t>COM421 - Data Structures, Algorithms &amp; Maths</t>
  </si>
  <si>
    <t>COM526 - Introduction to AI</t>
  </si>
  <si>
    <t>COM521 Ethical Hacking and Pen Testing</t>
  </si>
  <si>
    <t>COM515 - Enterprise Networks</t>
  </si>
  <si>
    <t>COM521 Ethical Hacking &amp; Pen Testing</t>
  </si>
  <si>
    <t>COM511 Network Systems Automation</t>
  </si>
  <si>
    <t>COM426 Computing Project</t>
  </si>
  <si>
    <t>COM526 - Introduction to AI (Repeat Delivery)</t>
  </si>
  <si>
    <t xml:space="preserve">Oct- Dec </t>
  </si>
  <si>
    <t>COM529 - Economic &amp; Financial Analysis</t>
  </si>
  <si>
    <t>COM513 - Network Engineering</t>
  </si>
  <si>
    <t>EPA</t>
  </si>
  <si>
    <t>Level 6</t>
  </si>
  <si>
    <t>COM532 - Work Based IT Project Management</t>
  </si>
  <si>
    <t xml:space="preserve">COM618 Data Science </t>
  </si>
  <si>
    <r>
      <rPr>
        <sz val="11"/>
        <color rgb="FF000000"/>
        <rFont val="Calibri"/>
      </rPr>
      <t xml:space="preserve">COM618 Data Science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</si>
  <si>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COM612 Internet of Things </t>
    </r>
    <r>
      <rPr>
        <b/>
        <sz val="11"/>
        <color rgb="FF000000"/>
        <rFont val="Calibri"/>
      </rPr>
      <t>(OPTION)</t>
    </r>
  </si>
  <si>
    <t>COM530 - Work Based Business Organisation</t>
  </si>
  <si>
    <r>
      <rPr>
        <sz val="11"/>
        <color rgb="FF000000"/>
        <rFont val="Calibri"/>
      </rPr>
      <t xml:space="preserve">COM619 DevOps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</si>
  <si>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COM622 Cyber Crime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</si>
  <si>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COM620 Immersive Technologies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</si>
  <si>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COM615 Network Management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</si>
  <si>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COM621 UX Strategies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</si>
  <si>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COM626 Mobile Development and 3D Graphics 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</si>
  <si>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COM613 CyberOps  </t>
    </r>
    <r>
      <rPr>
        <b/>
        <sz val="11"/>
        <color rgb="FF000000"/>
        <rFont val="Calibri"/>
      </rPr>
      <t>(OPTION)</t>
    </r>
  </si>
  <si>
    <t>COM613 CyberOps</t>
  </si>
  <si>
    <r>
      <rPr>
        <sz val="11"/>
        <color rgb="FF000000"/>
        <rFont val="Calibri"/>
      </rPr>
      <t xml:space="preserve">COM623 Contemporary Web Apps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</si>
  <si>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COM624 Machine Learning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</si>
  <si>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COM614 Cloud Computing </t>
    </r>
    <r>
      <rPr>
        <b/>
        <sz val="11"/>
        <color rgb="FF000000"/>
        <rFont val="Calibri"/>
      </rPr>
      <t>(OPTION)</t>
    </r>
  </si>
  <si>
    <t>COM624 - Machine Learning</t>
  </si>
  <si>
    <t>COM611 - Computer Systems &amp; Architecture</t>
  </si>
  <si>
    <t>COM621 UX Strategies</t>
  </si>
  <si>
    <t>COM618 - Data Science (Repeat Delivery)</t>
  </si>
  <si>
    <t>COM614 Cloud Computing (Repeat Delivery)</t>
  </si>
  <si>
    <t>COM625 - Synoptic Work Based IT Project</t>
  </si>
  <si>
    <t>Oct- Jan</t>
  </si>
  <si>
    <t>Post Grad</t>
  </si>
  <si>
    <t>Digital Design</t>
  </si>
  <si>
    <t>Comp Eng</t>
  </si>
  <si>
    <t>Level 7 Masters Delivery (15 Credit)</t>
  </si>
  <si>
    <t>COM700 Professional Issues &amp; Practice</t>
  </si>
  <si>
    <t>COM709 Computer Fundamentals</t>
  </si>
  <si>
    <t>Bode</t>
  </si>
  <si>
    <t>MSc Cyber</t>
  </si>
  <si>
    <t>MSc Computing Engineer</t>
  </si>
  <si>
    <t>MSc Digital Design</t>
  </si>
  <si>
    <t>COM710 Web Technologies</t>
  </si>
  <si>
    <t>COM711 Databases</t>
  </si>
  <si>
    <t>COM712 Networking</t>
  </si>
  <si>
    <t>COM713 Cyber Security Applications</t>
  </si>
  <si>
    <t>COM720 Digital Design Fundamentals</t>
  </si>
  <si>
    <t>COM714 Software Design &amp; Development</t>
  </si>
  <si>
    <t>COM716 Security &amp; Ethical Hacking</t>
  </si>
  <si>
    <t>COM721 Digital Marketing</t>
  </si>
  <si>
    <t>COM715 Cyber Security Management</t>
  </si>
  <si>
    <t>MAA103 Research Methods</t>
  </si>
  <si>
    <t>Bobe</t>
  </si>
  <si>
    <t>Tomasz</t>
  </si>
  <si>
    <t xml:space="preserve">COM722 Digital Design Management </t>
  </si>
  <si>
    <t>COM723 Usability &amp; UX Design</t>
  </si>
  <si>
    <t>COM722 Digital Design Management</t>
  </si>
  <si>
    <t>COM726 (in place of MAA111/112)</t>
  </si>
  <si>
    <t xml:space="preserve">COM726 - Dissertation </t>
  </si>
  <si>
    <t>MSc Applied AI &amp; Data Sci Sep &amp; Jan starts</t>
  </si>
  <si>
    <t>Sem</t>
  </si>
  <si>
    <t>COM724 - Applied AI in Business</t>
  </si>
  <si>
    <t>2+3</t>
  </si>
  <si>
    <t>Bacha</t>
  </si>
  <si>
    <t>COM725 - Data Analytics and Visualisation</t>
  </si>
  <si>
    <t>Raza</t>
  </si>
  <si>
    <t>3+1</t>
  </si>
  <si>
    <t>COM727 - Introduction to AI</t>
  </si>
  <si>
    <t>1+2</t>
  </si>
  <si>
    <t>Kashif</t>
  </si>
  <si>
    <t>COM728 - Programming for Problem Solving</t>
  </si>
  <si>
    <t>DO NOT EDIT THIS SHEET</t>
  </si>
  <si>
    <t>Foundation</t>
  </si>
  <si>
    <t>MAIDS</t>
  </si>
  <si>
    <t>TOTALS</t>
  </si>
  <si>
    <t>STAFF ROLES</t>
  </si>
  <si>
    <t>ML</t>
  </si>
  <si>
    <t>Tutor/TI</t>
  </si>
  <si>
    <t>Ass. Prof</t>
  </si>
  <si>
    <t>CL</t>
  </si>
  <si>
    <t>SL8</t>
  </si>
  <si>
    <t>SL7</t>
  </si>
  <si>
    <t>L</t>
  </si>
  <si>
    <t>AL</t>
  </si>
  <si>
    <t>TI</t>
  </si>
  <si>
    <t>Outside Team</t>
  </si>
  <si>
    <t>Ajab*</t>
  </si>
  <si>
    <t>?</t>
  </si>
  <si>
    <t>Andy (AL)</t>
  </si>
  <si>
    <t>Femi</t>
  </si>
  <si>
    <t>Joe</t>
  </si>
  <si>
    <t>Kenton (AL)</t>
  </si>
  <si>
    <t>Louise*</t>
  </si>
  <si>
    <t>Marc</t>
  </si>
  <si>
    <t>Mike (TI)</t>
  </si>
  <si>
    <t>Pengfei (AL)</t>
  </si>
  <si>
    <t>Tomasz*</t>
  </si>
  <si>
    <t>THIS SHEET UPDATES ITSELF BASED ON INPUT ON OTHER SHEETS</t>
  </si>
  <si>
    <t>Total Modules</t>
  </si>
  <si>
    <t>Total Staff</t>
  </si>
  <si>
    <t>Computing Staff Only</t>
  </si>
  <si>
    <t>COM726 - May 23</t>
  </si>
  <si>
    <t>MAA112 May 23</t>
  </si>
  <si>
    <t>COM726 - Sept 23</t>
  </si>
  <si>
    <t>COM616 - Oct 23</t>
  </si>
  <si>
    <t>COM726 - Jan 24</t>
  </si>
  <si>
    <t>Total May 23-24</t>
  </si>
  <si>
    <t>COM726 - May 24</t>
  </si>
  <si>
    <t>COM726 - Sept 24</t>
  </si>
  <si>
    <t>COM616 - Oct 24</t>
  </si>
  <si>
    <t>COM726 - Jan 25</t>
  </si>
  <si>
    <t>Andy</t>
  </si>
  <si>
    <t>Bacha?</t>
  </si>
  <si>
    <t>Anthony (0.5)</t>
  </si>
  <si>
    <t>Femi (External?)</t>
  </si>
  <si>
    <t>Hamid (External)</t>
  </si>
  <si>
    <t>Muntasir (External)</t>
  </si>
  <si>
    <t>Neville (0.5)</t>
  </si>
  <si>
    <t>Peyman (External)</t>
  </si>
  <si>
    <t>Raza ?</t>
  </si>
  <si>
    <t>Allocation Complete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</si>
  <si>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</si>
  <si>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</si>
  <si>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t>Total hrs</t>
  </si>
  <si>
    <t>Total Students</t>
  </si>
  <si>
    <t>FTE at 18hrs per week</t>
  </si>
  <si>
    <t>NOTE: Supervision as with teaching doubles up. 6 hours of supervision at 30mins per student per week plus 6 hours for marking  assessments, double marking &amp; poster/viva support etc.</t>
  </si>
  <si>
    <t>Student No.</t>
  </si>
  <si>
    <t>Total hrs at 6 per student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</si>
  <si>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 23 - Jan 24)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</si>
  <si>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(Sept 23 - Jan 24)</t>
    </r>
  </si>
  <si>
    <t>FTE at 18hrs  per week</t>
  </si>
  <si>
    <t>COM616 Project (Jan 24 - May 24)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</si>
  <si>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24 - Sept 24)</t>
    </r>
  </si>
  <si>
    <t>MAA112</t>
  </si>
  <si>
    <t>MSc Computer Engineering</t>
  </si>
  <si>
    <t>MSc Cyber Security Engineering</t>
  </si>
  <si>
    <t>Student</t>
  </si>
  <si>
    <t>Amanda Zheng</t>
  </si>
  <si>
    <t>Orban, Gabor</t>
  </si>
  <si>
    <t>Abdul Nazeer, Naveed Ahamed</t>
  </si>
  <si>
    <t>Chapa Ponnamperuma</t>
  </si>
  <si>
    <t>Mohamed Ishak, Inshaf Hassan</t>
  </si>
  <si>
    <t>Makbool Moulana, Seyed Ali Hussain</t>
  </si>
  <si>
    <t>Chrystal Rankine</t>
  </si>
  <si>
    <t>Taiwo, Ilias</t>
  </si>
  <si>
    <t>Perera, Mahamalage Sanjana Marion</t>
  </si>
  <si>
    <t>Olatade Daniel Igbodipe Igbodipe,</t>
  </si>
  <si>
    <t>Challapalli, Bhavan Kumar</t>
  </si>
  <si>
    <t>Yahya, Ahamed Naadhish</t>
  </si>
  <si>
    <t>Jordan Da Graca</t>
  </si>
  <si>
    <t>Balatheepan, Partheepan</t>
  </si>
  <si>
    <t>Athukorala, S A Chandika Niroshan</t>
  </si>
  <si>
    <t>Mohamed Sayed</t>
  </si>
  <si>
    <t>Borada, Ketankumar Prakashbhai</t>
  </si>
  <si>
    <t>David, Alexandra</t>
  </si>
  <si>
    <t>Rasika Barkade</t>
  </si>
  <si>
    <t>Waiala Pedige, Lucil Sandaruwan</t>
  </si>
  <si>
    <t>Staszkiewicz, Alicja</t>
  </si>
  <si>
    <t>Ronald Karimba</t>
  </si>
  <si>
    <t>Sathkumara Pathirannahalage, Isuru Dinusha Sathkumara</t>
  </si>
  <si>
    <t>Thadathil Thomas, Anu</t>
  </si>
  <si>
    <t>Bheema Shanker Kumbar</t>
  </si>
  <si>
    <t>Nguyen, Van Tai</t>
  </si>
  <si>
    <t>Ani Florance, Arya Davidson</t>
  </si>
  <si>
    <t>Shashank Degnur</t>
  </si>
  <si>
    <t>Aavula, Yeshwanth</t>
  </si>
  <si>
    <t>Smith, Freddy</t>
  </si>
  <si>
    <t>Aleksandrs Bogackins</t>
  </si>
  <si>
    <t>Shoosmith, Zara</t>
  </si>
  <si>
    <t>Vant, George</t>
  </si>
  <si>
    <t>Nasreen Fatima</t>
  </si>
  <si>
    <t>Ojo, Isaac</t>
  </si>
  <si>
    <t>May - Sept 2023</t>
  </si>
  <si>
    <t>Syed Ayaan Hussaini</t>
  </si>
  <si>
    <t>Mala, Madhav Kumar</t>
  </si>
  <si>
    <t>Ayiluri, Pushpa</t>
  </si>
  <si>
    <t>Kaur, Manpreet</t>
  </si>
  <si>
    <t>Vaja, Smita</t>
  </si>
  <si>
    <t>Nesha</t>
  </si>
  <si>
    <t>Simafar, Soheyla</t>
  </si>
  <si>
    <t>Plamparambil Narayanan Nair, Nitin</t>
  </si>
  <si>
    <t>Reshma Raj</t>
  </si>
  <si>
    <t>Jegede, Temitope</t>
  </si>
  <si>
    <t>Kapdiya, Mittal Vinodchandra</t>
  </si>
  <si>
    <t>Possibile Tutors</t>
  </si>
  <si>
    <t>Possible</t>
  </si>
  <si>
    <t>Confirmed</t>
  </si>
  <si>
    <t>Allocated</t>
  </si>
  <si>
    <t>To Allocated</t>
  </si>
  <si>
    <t>Yes</t>
  </si>
  <si>
    <t>YES</t>
  </si>
  <si>
    <t>COM726</t>
  </si>
  <si>
    <t>Possible Tutors</t>
  </si>
  <si>
    <t>Ademayowa Adeogun</t>
  </si>
  <si>
    <t>Changed from 8FTs to 6FTs due to new role</t>
  </si>
  <si>
    <t>Adewale Alex Adegoke</t>
  </si>
  <si>
    <t>Added the 2 PT Students as they are few minutes supervision over 6 mths - changed again to 3FTs</t>
  </si>
  <si>
    <t>Alan Mathew</t>
  </si>
  <si>
    <t>Andreea Panfili</t>
  </si>
  <si>
    <t>Kashif will be teaching 16 hrs over summer</t>
  </si>
  <si>
    <t>Artemiy Makeev</t>
  </si>
  <si>
    <t>Added 3 due based on Shakeel's instruction</t>
  </si>
  <si>
    <t>Avishka Jayawardana Gallath Ralalage</t>
  </si>
  <si>
    <t>Bolaji Abolade</t>
  </si>
  <si>
    <t>Hamid</t>
  </si>
  <si>
    <t>Absentee</t>
  </si>
  <si>
    <t>Callum Grant</t>
  </si>
  <si>
    <t>need checking -student not showing up</t>
  </si>
  <si>
    <t>Chinnu Mariam Shaji</t>
  </si>
  <si>
    <t>Cinwonsoko Akanya</t>
  </si>
  <si>
    <t>Muntasir</t>
  </si>
  <si>
    <t>Edafeoghene Etejere</t>
  </si>
  <si>
    <t>Ekaette Archibong</t>
  </si>
  <si>
    <t>Emmanuel Ughoo</t>
  </si>
  <si>
    <t>Externals</t>
  </si>
  <si>
    <t>Emmanuel Chenemi Aduku</t>
  </si>
  <si>
    <t>Changed to 10 Students</t>
  </si>
  <si>
    <t>Felinson Onomakpome</t>
  </si>
  <si>
    <t>Fredrick Alli</t>
  </si>
  <si>
    <t>Peyman</t>
  </si>
  <si>
    <t>Changed to 9 Students</t>
  </si>
  <si>
    <t>GODWIN OMAGU</t>
  </si>
  <si>
    <t>Hazim .</t>
  </si>
  <si>
    <r>
      <rPr>
        <sz val="11"/>
        <color rgb="FF000000"/>
        <rFont val="Calibri"/>
      </rPr>
      <t xml:space="preserve">Innocent Iheme </t>
    </r>
    <r>
      <rPr>
        <b/>
        <sz val="11"/>
        <color rgb="FFFFFFFF"/>
        <rFont val="Calibri"/>
      </rPr>
      <t>Withdrawn</t>
    </r>
  </si>
  <si>
    <t>Student not showing up</t>
  </si>
  <si>
    <t>JOHN ADIKWU</t>
  </si>
  <si>
    <t>Jude Martins</t>
  </si>
  <si>
    <t>Kalyan Undadi Arukala</t>
  </si>
  <si>
    <t>Kelelo Ngwato</t>
  </si>
  <si>
    <t>Kinkin Sulaeman</t>
  </si>
  <si>
    <t>Lucas Afolabi</t>
  </si>
  <si>
    <t>Margarita Borodinskaia</t>
  </si>
  <si>
    <t>Marvyn Niyee</t>
  </si>
  <si>
    <t>Masoumeh Vejdannia</t>
  </si>
  <si>
    <t>Miroslava Pechova</t>
  </si>
  <si>
    <t>Nithyusha Kanneganti</t>
  </si>
  <si>
    <t>Odezi Oseghe</t>
  </si>
  <si>
    <t>Olusola Obata</t>
  </si>
  <si>
    <t>Oluwabukola Odutayo</t>
  </si>
  <si>
    <t>Oluwaseun Akinkuolie</t>
  </si>
  <si>
    <t>Om Prakash Narayan Gunalan</t>
  </si>
  <si>
    <t>Omoniyi Opeyemi</t>
  </si>
  <si>
    <t>ORUME EXCEL AKPOROTU</t>
  </si>
  <si>
    <t>Pavan Ram Perumal</t>
  </si>
  <si>
    <t>Pawel Nawrocki</t>
  </si>
  <si>
    <t>PRAKYATH MANNUNGAL CHANDRAN</t>
  </si>
  <si>
    <t>Prince Anyanwu</t>
  </si>
  <si>
    <t>Radoslaw Wojcieszek</t>
  </si>
  <si>
    <t>Ravi Kundu</t>
  </si>
  <si>
    <t>ROSEMARY WASZKIEWICZ</t>
  </si>
  <si>
    <t>Sachin .</t>
  </si>
  <si>
    <t>Samuel Tyson</t>
  </si>
  <si>
    <t>Sara Nowak</t>
  </si>
  <si>
    <t>SASHA WESTLAKE</t>
  </si>
  <si>
    <t>Shamil Ibrahim Mohammadu Ibrahim</t>
  </si>
  <si>
    <t>Sivasekhar Reddy Chinnapureddy</t>
  </si>
  <si>
    <t>Swapna Kuncham</t>
  </si>
  <si>
    <t>Swetha Maatrapu</t>
  </si>
  <si>
    <t>Teja Kollipara</t>
  </si>
  <si>
    <t>Tharsan Panchanathan</t>
  </si>
  <si>
    <t>Venkat Raghunadh Vankayalapati</t>
  </si>
  <si>
    <t>VENKATA NARENDRA BEZAWADA</t>
  </si>
  <si>
    <t>Victor Chigbo</t>
  </si>
  <si>
    <t>Willapfransiskuge Sovis</t>
  </si>
  <si>
    <t>Sara Longbottom</t>
  </si>
  <si>
    <t>Imaobong Kufre</t>
  </si>
  <si>
    <t>Abigail Nyatwa</t>
  </si>
  <si>
    <t>ALL PG COURSES COM726</t>
  </si>
  <si>
    <t>Course</t>
  </si>
  <si>
    <t>Sept 2023 - Jan 24</t>
  </si>
  <si>
    <t>Abieyuwa Victor-Bennett</t>
  </si>
  <si>
    <t>Abimbola Oluwakayode</t>
  </si>
  <si>
    <t>Aesha Shah</t>
  </si>
  <si>
    <t>Albert Michael</t>
  </si>
  <si>
    <t>Aman Kala</t>
  </si>
  <si>
    <t>Amanpreet Kaur .</t>
  </si>
  <si>
    <t>Sort Allocation (22/9/2023)</t>
  </si>
  <si>
    <t>AMARACHI AGBAKA</t>
  </si>
  <si>
    <t>Ananda Unnikrishnan</t>
  </si>
  <si>
    <t>Anjali .</t>
  </si>
  <si>
    <t>Anmolpreet Kaur .</t>
  </si>
  <si>
    <t>Ashish Kagra</t>
  </si>
  <si>
    <t>Atik Arif Damaniya</t>
  </si>
  <si>
    <t>Bijal Jiten Patel</t>
  </si>
  <si>
    <t>Brenda Ekemezie</t>
  </si>
  <si>
    <t>BUKOLA ADJIKPE</t>
  </si>
  <si>
    <t>CAREN CHERUTO</t>
  </si>
  <si>
    <t>Chamali Wijayawickrama</t>
  </si>
  <si>
    <t>Darshankumar Sorthiya</t>
  </si>
  <si>
    <t>Dhaval Dineshbhai Sheladiya</t>
  </si>
  <si>
    <t>Emmanuel Ugwumsinachi Francis</t>
  </si>
  <si>
    <t>Esther Kusi</t>
  </si>
  <si>
    <t>Etido Dem</t>
  </si>
  <si>
    <t>Ezeh Ochulor</t>
  </si>
  <si>
    <t>GAURIKA WALIA</t>
  </si>
  <si>
    <t>Gbenga Aderibigbe</t>
  </si>
  <si>
    <t>Possible Total</t>
  </si>
  <si>
    <t>Gomo Tase</t>
  </si>
  <si>
    <t>Gurkirat Singh .</t>
  </si>
  <si>
    <t>Gurpreet Kaur .</t>
  </si>
  <si>
    <t>GURPREET KAUR .</t>
  </si>
  <si>
    <t>Hamid Sabihi ahvaz</t>
  </si>
  <si>
    <t>Harpal Singh .</t>
  </si>
  <si>
    <t>Henry Adeoye</t>
  </si>
  <si>
    <t>Henry Onyebuchi</t>
  </si>
  <si>
    <t>Idris Ganiyu</t>
  </si>
  <si>
    <t>Iman Askari</t>
  </si>
  <si>
    <t>Janak Pravinbhai Baldaniya</t>
  </si>
  <si>
    <t>Job Sunny</t>
  </si>
  <si>
    <t>Jugraj Singh .</t>
  </si>
  <si>
    <t>Kanchana Vishwanadee Mathotaarachchi</t>
  </si>
  <si>
    <t>Karima Roshan Shaik</t>
  </si>
  <si>
    <t>Kavinda Ashan Kulasinghe Wasalamuni Dewage</t>
  </si>
  <si>
    <t>Khadidja Mekiri</t>
  </si>
  <si>
    <t>KINJAL PRAFULBHAI BHOI</t>
  </si>
  <si>
    <t>Kiran .</t>
  </si>
  <si>
    <t>Lakshana BALARAJ</t>
  </si>
  <si>
    <t>Lathusan Sinniah Thurairajah</t>
  </si>
  <si>
    <t>Manjula Prasanna Wickramathunga</t>
  </si>
  <si>
    <t>Manpreet Kaur</t>
  </si>
  <si>
    <t>Mansiben Jiteshkumar Gajera</t>
  </si>
  <si>
    <t>Manthan Patel</t>
  </si>
  <si>
    <t>MATHEW VARGHESE .</t>
  </si>
  <si>
    <t>Mehdi Aghaye mohagheghi</t>
  </si>
  <si>
    <t>Mehul .</t>
  </si>
  <si>
    <t>Minalbahen Patel</t>
  </si>
  <si>
    <t>Mitesh Panchal</t>
  </si>
  <si>
    <t>Mohammad Arif Ammar</t>
  </si>
  <si>
    <t>Mohammed Sohail .</t>
  </si>
  <si>
    <t>Mujeebah Eniola-Giwa</t>
  </si>
  <si>
    <t>Munawer Ali Syed</t>
  </si>
  <si>
    <t>Muththa Arachchige Kalani Udayanthi</t>
  </si>
  <si>
    <t>Naga Durga Sai Neeli</t>
  </si>
  <si>
    <t>Nainika Pandeer</t>
  </si>
  <si>
    <t>Neelam Devi</t>
  </si>
  <si>
    <t>NEHA DEVI</t>
  </si>
  <si>
    <t>Nilesh Patel</t>
  </si>
  <si>
    <t>Nirali Chandrakantbhai Vaja</t>
  </si>
  <si>
    <t>Nishaben Patel</t>
  </si>
  <si>
    <t>NITHIN SANKAR MADATHIL</t>
  </si>
  <si>
    <t>Nitiksha Harikrushna Limbani</t>
  </si>
  <si>
    <t>Nwanneka Okoli</t>
  </si>
  <si>
    <t>Ofure Glory Ehimare</t>
  </si>
  <si>
    <t>Oghenekevwe Dadi</t>
  </si>
  <si>
    <t>Oladele Afolayan</t>
  </si>
  <si>
    <t>Oluseyi Adeeko</t>
  </si>
  <si>
    <t>Oluwaseun Aro</t>
  </si>
  <si>
    <t>Oluwaseun Fajemiyo</t>
  </si>
  <si>
    <t>OTHNIEL CHINEDU OBASI</t>
  </si>
  <si>
    <t>Patience Agbaraji</t>
  </si>
  <si>
    <t>PAUL OLOBATOKE</t>
  </si>
  <si>
    <t>Piladuwa Maha Bogahawattage Darshani</t>
  </si>
  <si>
    <t>POORNA SHASHANK BODAPATI</t>
  </si>
  <si>
    <t>Prashant Pravinbhai Patel</t>
  </si>
  <si>
    <t>Prathibha Binali Punchihewa</t>
  </si>
  <si>
    <t>Priscilla Sanjika Noel</t>
  </si>
  <si>
    <t>Rahul Jacob</t>
  </si>
  <si>
    <t>Rajeshkumar Malani</t>
  </si>
  <si>
    <t>Rajeshwari Sharma</t>
  </si>
  <si>
    <t>Rajwinder Kaur .</t>
  </si>
  <si>
    <t>RAMAN PREET KAUR .</t>
  </si>
  <si>
    <t>Ranga Danduga</t>
  </si>
  <si>
    <t>Roshan Gurung</t>
  </si>
  <si>
    <t>Rudolf Enyimba</t>
  </si>
  <si>
    <t>SADIK BASHA SHAIK</t>
  </si>
  <si>
    <t>Sandeep Kumar Reddy Pebbeti</t>
  </si>
  <si>
    <t>Santosh Venkatesh</t>
  </si>
  <si>
    <t>Sapini Thakur</t>
  </si>
  <si>
    <t>Shabana Patel</t>
  </si>
  <si>
    <t>Shameera Kahapalaarachchi</t>
  </si>
  <si>
    <t>Shitalben Smitkumar Sharma</t>
  </si>
  <si>
    <t>SHUBHAM VERMA</t>
  </si>
  <si>
    <t>SIMILEOLUWA OGUNSUSI</t>
  </si>
  <si>
    <t>Sohail Mohammed</t>
  </si>
  <si>
    <t>Sourabh Rameshchandra Dahate</t>
  </si>
  <si>
    <t>Spandhana Bandi</t>
  </si>
  <si>
    <t>Sushma Janga</t>
  </si>
  <si>
    <t>Taoheedat Fasanya</t>
  </si>
  <si>
    <t>Tripta Kumari</t>
  </si>
  <si>
    <t>Vishal Vinodbhai Nadiya</t>
  </si>
  <si>
    <t>W Muhandiramlage Wanigasekara</t>
  </si>
  <si>
    <t>BSc Comp Sys Network</t>
  </si>
  <si>
    <t>BSc Cyber</t>
  </si>
  <si>
    <t>BSc Digital Design &amp; Web</t>
  </si>
  <si>
    <t>BSc Soft Eng</t>
  </si>
  <si>
    <t>Oct 2023 - May 2024</t>
  </si>
  <si>
    <t>To Allocate</t>
  </si>
  <si>
    <t>Jan 2024 to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</si>
</sst>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;\-0;;@\,"/>
  </numFmts>
  <fonts count="4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sz val="12"/>
      <color rgb="FFFF0000"/>
      <name val="Calibri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</font>
    <font>
      <b/>
      <u/>
      <sz val="12"/>
      <color theme="1"/>
      <name val="Calibri"/>
      <family val="2"/>
      <scheme val="minor"/>
    </font>
    <font>
      <b/>
      <sz val="12"/>
      <color rgb="FF444444"/>
      <name val="Calibri"/>
      <family val="2"/>
      <charset val="1"/>
    </font>
    <font>
      <sz val="10"/>
      <color rgb="FF111111"/>
      <name val="Arial"/>
      <family val="2"/>
      <charset val="1"/>
    </font>
    <font>
      <sz val="10"/>
      <color rgb="FF333333"/>
      <name val="Arial"/>
      <family val="2"/>
      <charset val="1"/>
    </font>
    <font>
      <b/>
      <sz val="14"/>
      <color rgb="FF000000"/>
      <name val="Calibri"/>
    </font>
    <font>
      <sz val="10"/>
      <color rgb="FF333333"/>
      <name val="Arial"/>
      <family val="2"/>
    </font>
    <font>
      <sz val="10"/>
      <color rgb="FF111111"/>
      <name val="Arial"/>
      <family val="2"/>
    </font>
    <font>
      <sz val="10"/>
      <color rgb="FF444444"/>
      <name val="Arial"/>
      <family val="2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6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charset val="1"/>
    </font>
    <font>
      <strike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charset val="1"/>
    </font>
    <font>
      <b/>
      <sz val="12"/>
      <color rgb="FFC00000"/>
      <name val="Calibri"/>
    </font>
    <font>
      <b/>
      <sz val="12"/>
      <color rgb="FFC00000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1D2136"/>
      <name val="Calibri"/>
    </font>
    <font>
      <u/>
      <sz val="12"/>
      <color theme="10"/>
      <name val="Calibri"/>
      <family val="2"/>
      <scheme val="minor"/>
    </font>
    <font>
      <b/>
      <sz val="11"/>
      <color rgb="FFFFFFFF"/>
      <name val="Calibri"/>
    </font>
    <font>
      <b/>
      <u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B6AE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6FC95"/>
        <bgColor indexed="64"/>
      </patternFill>
    </fill>
    <fill>
      <patternFill patternType="solid">
        <fgColor rgb="FF8AE9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B5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98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3" borderId="5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5" xfId="0" applyFill="1" applyBorder="1"/>
    <xf numFmtId="0" fontId="1" fillId="7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/>
    <xf numFmtId="0" fontId="5" fillId="0" borderId="0" xfId="0" applyFont="1" applyAlignment="1">
      <alignment horizontal="center" vertical="top" wrapText="1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8" borderId="16" xfId="0" applyFill="1" applyBorder="1"/>
    <xf numFmtId="0" fontId="0" fillId="8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0" borderId="0" xfId="0" quotePrefix="1"/>
    <xf numFmtId="0" fontId="1" fillId="0" borderId="36" xfId="0" applyFont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12" borderId="40" xfId="0" applyFont="1" applyFill="1" applyBorder="1" applyAlignment="1">
      <alignment horizontal="center" vertical="center"/>
    </xf>
    <xf numFmtId="164" fontId="9" fillId="9" borderId="34" xfId="0" applyNumberFormat="1" applyFont="1" applyFill="1" applyBorder="1" applyAlignment="1">
      <alignment horizontal="center" vertical="center"/>
    </xf>
    <xf numFmtId="164" fontId="9" fillId="12" borderId="29" xfId="0" applyNumberFormat="1" applyFont="1" applyFill="1" applyBorder="1" applyAlignment="1">
      <alignment horizontal="center" vertical="center"/>
    </xf>
    <xf numFmtId="164" fontId="9" fillId="9" borderId="24" xfId="0" applyNumberFormat="1" applyFont="1" applyFill="1" applyBorder="1" applyAlignment="1">
      <alignment horizontal="center" vertical="center"/>
    </xf>
    <xf numFmtId="164" fontId="9" fillId="12" borderId="16" xfId="0" applyNumberFormat="1" applyFont="1" applyFill="1" applyBorder="1" applyAlignment="1">
      <alignment horizontal="center" vertical="center"/>
    </xf>
    <xf numFmtId="164" fontId="9" fillId="9" borderId="25" xfId="0" applyNumberFormat="1" applyFont="1" applyFill="1" applyBorder="1" applyAlignment="1">
      <alignment horizontal="center" vertical="center"/>
    </xf>
    <xf numFmtId="164" fontId="9" fillId="9" borderId="26" xfId="0" applyNumberFormat="1" applyFont="1" applyFill="1" applyBorder="1" applyAlignment="1">
      <alignment horizontal="center" vertical="center"/>
    </xf>
    <xf numFmtId="164" fontId="9" fillId="12" borderId="30" xfId="0" applyNumberFormat="1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left" vertical="top" wrapText="1"/>
    </xf>
    <xf numFmtId="0" fontId="0" fillId="7" borderId="0" xfId="0" applyFill="1"/>
    <xf numFmtId="164" fontId="10" fillId="3" borderId="26" xfId="0" applyNumberFormat="1" applyFont="1" applyFill="1" applyBorder="1" applyAlignment="1">
      <alignment horizontal="center" vertical="center"/>
    </xf>
    <xf numFmtId="164" fontId="10" fillId="3" borderId="27" xfId="0" applyNumberFormat="1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2" fillId="0" borderId="0" xfId="0" applyFont="1" applyAlignment="1">
      <alignment horizontal="right" vertical="center"/>
    </xf>
    <xf numFmtId="0" fontId="1" fillId="3" borderId="50" xfId="0" applyFont="1" applyFill="1" applyBorder="1"/>
    <xf numFmtId="0" fontId="0" fillId="0" borderId="17" xfId="0" applyBorder="1" applyAlignment="1">
      <alignment horizontal="center" vertical="center"/>
    </xf>
    <xf numFmtId="0" fontId="1" fillId="3" borderId="61" xfId="0" applyFont="1" applyFill="1" applyBorder="1"/>
    <xf numFmtId="0" fontId="0" fillId="8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6" xfId="0" applyBorder="1"/>
    <xf numFmtId="0" fontId="0" fillId="9" borderId="11" xfId="0" applyFill="1" applyBorder="1"/>
    <xf numFmtId="0" fontId="0" fillId="15" borderId="11" xfId="0" applyFill="1" applyBorder="1"/>
    <xf numFmtId="0" fontId="0" fillId="8" borderId="77" xfId="0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8" borderId="55" xfId="0" applyFill="1" applyBorder="1"/>
    <xf numFmtId="0" fontId="0" fillId="0" borderId="55" xfId="0" applyBorder="1"/>
    <xf numFmtId="0" fontId="1" fillId="2" borderId="68" xfId="0" applyFont="1" applyFill="1" applyBorder="1" applyAlignment="1">
      <alignment horizontal="center" vertical="center"/>
    </xf>
    <xf numFmtId="0" fontId="0" fillId="15" borderId="70" xfId="0" applyFill="1" applyBorder="1"/>
    <xf numFmtId="0" fontId="0" fillId="8" borderId="71" xfId="0" applyFill="1" applyBorder="1"/>
    <xf numFmtId="0" fontId="0" fillId="0" borderId="26" xfId="0" applyBorder="1"/>
    <xf numFmtId="0" fontId="0" fillId="0" borderId="79" xfId="0" applyBorder="1"/>
    <xf numFmtId="0" fontId="0" fillId="0" borderId="31" xfId="0" applyBorder="1"/>
    <xf numFmtId="0" fontId="0" fillId="0" borderId="24" xfId="0" applyBorder="1"/>
    <xf numFmtId="0" fontId="0" fillId="0" borderId="63" xfId="0" applyBorder="1"/>
    <xf numFmtId="0" fontId="6" fillId="8" borderId="58" xfId="0" applyFont="1" applyFill="1" applyBorder="1" applyAlignment="1">
      <alignment horizontal="center" vertical="center"/>
    </xf>
    <xf numFmtId="164" fontId="10" fillId="3" borderId="55" xfId="0" applyNumberFormat="1" applyFont="1" applyFill="1" applyBorder="1" applyAlignment="1">
      <alignment horizontal="center" vertical="center"/>
    </xf>
    <xf numFmtId="164" fontId="10" fillId="3" borderId="71" xfId="0" applyNumberFormat="1" applyFont="1" applyFill="1" applyBorder="1" applyAlignment="1">
      <alignment horizontal="center" vertical="center"/>
    </xf>
    <xf numFmtId="0" fontId="0" fillId="2" borderId="84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6" borderId="55" xfId="0" applyFill="1" applyBorder="1"/>
    <xf numFmtId="0" fontId="0" fillId="13" borderId="26" xfId="0" applyFill="1" applyBorder="1" applyAlignment="1">
      <alignment horizontal="center" vertical="center"/>
    </xf>
    <xf numFmtId="0" fontId="0" fillId="12" borderId="55" xfId="0" applyFill="1" applyBorder="1"/>
    <xf numFmtId="0" fontId="0" fillId="13" borderId="27" xfId="0" applyFill="1" applyBorder="1" applyAlignment="1">
      <alignment horizontal="center" vertical="center"/>
    </xf>
    <xf numFmtId="0" fontId="0" fillId="9" borderId="70" xfId="0" applyFill="1" applyBorder="1"/>
    <xf numFmtId="0" fontId="0" fillId="16" borderId="71" xfId="0" applyFill="1" applyBorder="1"/>
    <xf numFmtId="0" fontId="0" fillId="8" borderId="32" xfId="0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4" fillId="13" borderId="87" xfId="0" applyFont="1" applyFill="1" applyBorder="1" applyAlignment="1">
      <alignment horizontal="center" vertical="center"/>
    </xf>
    <xf numFmtId="0" fontId="14" fillId="9" borderId="88" xfId="0" applyFont="1" applyFill="1" applyBorder="1" applyAlignment="1">
      <alignment horizontal="center" vertical="center"/>
    </xf>
    <xf numFmtId="0" fontId="14" fillId="12" borderId="89" xfId="0" applyFon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2" borderId="7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3" borderId="50" xfId="0" applyNumberFormat="1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1" fontId="14" fillId="3" borderId="50" xfId="0" applyNumberFormat="1" applyFont="1" applyFill="1" applyBorder="1" applyAlignment="1">
      <alignment horizontal="center" vertical="center"/>
    </xf>
    <xf numFmtId="2" fontId="14" fillId="3" borderId="50" xfId="0" applyNumberFormat="1" applyFont="1" applyFill="1" applyBorder="1" applyAlignment="1">
      <alignment horizontal="center" vertical="center"/>
    </xf>
    <xf numFmtId="0" fontId="1" fillId="0" borderId="11" xfId="0" applyFont="1" applyBorder="1"/>
    <xf numFmtId="0" fontId="19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16" fillId="0" borderId="11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9" fillId="0" borderId="11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 wrapText="1"/>
    </xf>
    <xf numFmtId="0" fontId="18" fillId="0" borderId="22" xfId="0" applyFont="1" applyBorder="1"/>
    <xf numFmtId="0" fontId="0" fillId="0" borderId="66" xfId="0" applyBorder="1"/>
    <xf numFmtId="0" fontId="1" fillId="0" borderId="55" xfId="0" applyFont="1" applyBorder="1"/>
    <xf numFmtId="0" fontId="0" fillId="0" borderId="55" xfId="0" applyBorder="1" applyAlignment="1">
      <alignment horizontal="left" vertical="center"/>
    </xf>
    <xf numFmtId="0" fontId="17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18" fillId="0" borderId="42" xfId="0" applyFont="1" applyBorder="1"/>
    <xf numFmtId="0" fontId="0" fillId="0" borderId="91" xfId="0" applyBorder="1"/>
    <xf numFmtId="0" fontId="0" fillId="0" borderId="26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19" fillId="0" borderId="70" xfId="0" applyFont="1" applyBorder="1" applyAlignment="1">
      <alignment horizontal="left" vertical="center" wrapText="1"/>
    </xf>
    <xf numFmtId="0" fontId="0" fillId="0" borderId="71" xfId="0" applyBorder="1" applyAlignment="1">
      <alignment vertical="center"/>
    </xf>
    <xf numFmtId="0" fontId="0" fillId="0" borderId="71" xfId="0" applyBorder="1"/>
    <xf numFmtId="0" fontId="0" fillId="0" borderId="26" xfId="0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/>
    </xf>
    <xf numFmtId="0" fontId="0" fillId="7" borderId="11" xfId="0" applyFill="1" applyBorder="1"/>
    <xf numFmtId="0" fontId="0" fillId="7" borderId="11" xfId="0" applyFill="1" applyBorder="1" applyAlignment="1">
      <alignment horizontal="center" vertical="center"/>
    </xf>
    <xf numFmtId="0" fontId="22" fillId="0" borderId="11" xfId="0" applyFont="1" applyBorder="1"/>
    <xf numFmtId="0" fontId="1" fillId="0" borderId="18" xfId="0" applyFont="1" applyBorder="1"/>
    <xf numFmtId="0" fontId="0" fillId="0" borderId="20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53" xfId="0" applyFont="1" applyBorder="1"/>
    <xf numFmtId="0" fontId="0" fillId="7" borderId="19" xfId="0" applyFill="1" applyBorder="1"/>
    <xf numFmtId="0" fontId="0" fillId="0" borderId="19" xfId="0" applyBorder="1"/>
    <xf numFmtId="0" fontId="22" fillId="0" borderId="18" xfId="0" applyFont="1" applyBorder="1"/>
    <xf numFmtId="0" fontId="0" fillId="0" borderId="53" xfId="0" applyBorder="1"/>
    <xf numFmtId="0" fontId="1" fillId="0" borderId="18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43" xfId="0" applyBorder="1"/>
    <xf numFmtId="0" fontId="1" fillId="0" borderId="92" xfId="0" applyFont="1" applyBorder="1"/>
    <xf numFmtId="0" fontId="1" fillId="0" borderId="0" xfId="0" applyFont="1"/>
    <xf numFmtId="0" fontId="1" fillId="17" borderId="57" xfId="0" applyFont="1" applyFill="1" applyBorder="1"/>
    <xf numFmtId="0" fontId="28" fillId="17" borderId="58" xfId="0" applyFont="1" applyFill="1" applyBorder="1"/>
    <xf numFmtId="0" fontId="0" fillId="0" borderId="94" xfId="0" applyBorder="1"/>
    <xf numFmtId="0" fontId="1" fillId="9" borderId="58" xfId="0" applyFont="1" applyFill="1" applyBorder="1"/>
    <xf numFmtId="0" fontId="12" fillId="0" borderId="83" xfId="0" applyFont="1" applyBorder="1"/>
    <xf numFmtId="0" fontId="1" fillId="13" borderId="58" xfId="0" applyFont="1" applyFill="1" applyBorder="1"/>
    <xf numFmtId="0" fontId="28" fillId="13" borderId="58" xfId="0" applyFont="1" applyFill="1" applyBorder="1"/>
    <xf numFmtId="0" fontId="0" fillId="0" borderId="58" xfId="0" applyBorder="1"/>
    <xf numFmtId="0" fontId="13" fillId="17" borderId="58" xfId="0" applyFont="1" applyFill="1" applyBorder="1"/>
    <xf numFmtId="0" fontId="28" fillId="9" borderId="58" xfId="0" applyFont="1" applyFill="1" applyBorder="1"/>
    <xf numFmtId="0" fontId="28" fillId="9" borderId="85" xfId="0" applyFont="1" applyFill="1" applyBorder="1"/>
    <xf numFmtId="0" fontId="29" fillId="17" borderId="58" xfId="0" applyFont="1" applyFill="1" applyBorder="1"/>
    <xf numFmtId="0" fontId="0" fillId="0" borderId="95" xfId="0" applyBorder="1"/>
    <xf numFmtId="0" fontId="1" fillId="9" borderId="13" xfId="0" applyFont="1" applyFill="1" applyBorder="1" applyAlignment="1">
      <alignment horizontal="center" vertical="center"/>
    </xf>
    <xf numFmtId="0" fontId="0" fillId="8" borderId="70" xfId="0" applyFill="1" applyBorder="1"/>
    <xf numFmtId="0" fontId="1" fillId="0" borderId="16" xfId="0" applyFont="1" applyBorder="1"/>
    <xf numFmtId="0" fontId="0" fillId="9" borderId="52" xfId="0" applyFill="1" applyBorder="1" applyAlignment="1">
      <alignment horizontal="center" vertical="center"/>
    </xf>
    <xf numFmtId="0" fontId="0" fillId="0" borderId="98" xfId="0" applyBorder="1"/>
    <xf numFmtId="0" fontId="28" fillId="13" borderId="94" xfId="0" applyFont="1" applyFill="1" applyBorder="1"/>
    <xf numFmtId="0" fontId="1" fillId="0" borderId="63" xfId="0" applyFont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0" borderId="82" xfId="0" applyBorder="1"/>
    <xf numFmtId="0" fontId="1" fillId="0" borderId="29" xfId="0" applyFont="1" applyBorder="1"/>
    <xf numFmtId="0" fontId="0" fillId="0" borderId="21" xfId="0" applyBorder="1" applyAlignment="1">
      <alignment horizontal="center" vertical="center"/>
    </xf>
    <xf numFmtId="0" fontId="28" fillId="0" borderId="58" xfId="0" applyFont="1" applyBorder="1"/>
    <xf numFmtId="0" fontId="28" fillId="0" borderId="0" xfId="0" applyFont="1"/>
    <xf numFmtId="0" fontId="1" fillId="17" borderId="58" xfId="0" applyFont="1" applyFill="1" applyBorder="1"/>
    <xf numFmtId="0" fontId="1" fillId="4" borderId="58" xfId="0" applyFont="1" applyFill="1" applyBorder="1"/>
    <xf numFmtId="0" fontId="28" fillId="4" borderId="58" xfId="0" applyFont="1" applyFill="1" applyBorder="1"/>
    <xf numFmtId="0" fontId="28" fillId="4" borderId="85" xfId="0" applyFont="1" applyFill="1" applyBorder="1"/>
    <xf numFmtId="0" fontId="29" fillId="0" borderId="58" xfId="0" applyFont="1" applyBorder="1"/>
    <xf numFmtId="0" fontId="1" fillId="0" borderId="58" xfId="0" applyFont="1" applyBorder="1"/>
    <xf numFmtId="0" fontId="13" fillId="17" borderId="59" xfId="0" applyFont="1" applyFill="1" applyBorder="1"/>
    <xf numFmtId="0" fontId="29" fillId="0" borderId="57" xfId="0" applyFont="1" applyBorder="1"/>
    <xf numFmtId="0" fontId="29" fillId="13" borderId="58" xfId="0" applyFont="1" applyFill="1" applyBorder="1" applyAlignment="1">
      <alignment wrapText="1"/>
    </xf>
    <xf numFmtId="0" fontId="29" fillId="17" borderId="5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9" fillId="13" borderId="58" xfId="0" applyFont="1" applyFill="1" applyBorder="1" applyAlignment="1">
      <alignment vertical="center" wrapText="1"/>
    </xf>
    <xf numFmtId="0" fontId="12" fillId="7" borderId="57" xfId="0" applyFont="1" applyFill="1" applyBorder="1"/>
    <xf numFmtId="0" fontId="27" fillId="18" borderId="101" xfId="0" applyFont="1" applyFill="1" applyBorder="1"/>
    <xf numFmtId="0" fontId="26" fillId="18" borderId="61" xfId="0" applyFont="1" applyFill="1" applyBorder="1"/>
    <xf numFmtId="0" fontId="27" fillId="19" borderId="101" xfId="0" applyFont="1" applyFill="1" applyBorder="1"/>
    <xf numFmtId="0" fontId="26" fillId="19" borderId="61" xfId="0" applyFont="1" applyFill="1" applyBorder="1"/>
    <xf numFmtId="0" fontId="27" fillId="15" borderId="101" xfId="0" applyFont="1" applyFill="1" applyBorder="1"/>
    <xf numFmtId="0" fontId="26" fillId="15" borderId="61" xfId="0" applyFont="1" applyFill="1" applyBorder="1"/>
    <xf numFmtId="0" fontId="27" fillId="20" borderId="101" xfId="0" applyFont="1" applyFill="1" applyBorder="1" applyAlignment="1">
      <alignment wrapText="1"/>
    </xf>
    <xf numFmtId="0" fontId="26" fillId="20" borderId="61" xfId="0" applyFont="1" applyFill="1" applyBorder="1"/>
    <xf numFmtId="0" fontId="27" fillId="21" borderId="101" xfId="0" applyFont="1" applyFill="1" applyBorder="1"/>
    <xf numFmtId="0" fontId="26" fillId="21" borderId="61" xfId="0" applyFont="1" applyFill="1" applyBorder="1"/>
    <xf numFmtId="0" fontId="31" fillId="3" borderId="101" xfId="0" applyFont="1" applyFill="1" applyBorder="1"/>
    <xf numFmtId="0" fontId="0" fillId="3" borderId="61" xfId="0" applyFill="1" applyBorder="1"/>
    <xf numFmtId="0" fontId="0" fillId="7" borderId="16" xfId="0" applyFill="1" applyBorder="1"/>
    <xf numFmtId="0" fontId="0" fillId="8" borderId="18" xfId="0" applyFill="1" applyBorder="1" applyAlignment="1">
      <alignment horizontal="center" vertical="center"/>
    </xf>
    <xf numFmtId="0" fontId="3" fillId="0" borderId="16" xfId="0" applyFont="1" applyBorder="1"/>
    <xf numFmtId="0" fontId="25" fillId="0" borderId="11" xfId="0" applyFont="1" applyBorder="1"/>
    <xf numFmtId="0" fontId="31" fillId="23" borderId="101" xfId="0" applyFont="1" applyFill="1" applyBorder="1"/>
    <xf numFmtId="0" fontId="0" fillId="23" borderId="61" xfId="0" applyFill="1" applyBorder="1"/>
    <xf numFmtId="0" fontId="12" fillId="0" borderId="57" xfId="0" applyFont="1" applyBorder="1"/>
    <xf numFmtId="0" fontId="12" fillId="0" borderId="94" xfId="0" applyFont="1" applyBorder="1"/>
    <xf numFmtId="0" fontId="12" fillId="7" borderId="83" xfId="0" applyFont="1" applyFill="1" applyBorder="1"/>
    <xf numFmtId="0" fontId="0" fillId="24" borderId="85" xfId="0" applyFill="1" applyBorder="1"/>
    <xf numFmtId="0" fontId="1" fillId="24" borderId="58" xfId="0" applyFont="1" applyFill="1" applyBorder="1"/>
    <xf numFmtId="0" fontId="1" fillId="24" borderId="83" xfId="0" applyFont="1" applyFill="1" applyBorder="1"/>
    <xf numFmtId="0" fontId="0" fillId="0" borderId="18" xfId="0" applyBorder="1"/>
    <xf numFmtId="0" fontId="0" fillId="0" borderId="22" xfId="0" applyBorder="1" applyAlignment="1">
      <alignment horizontal="center" vertical="center"/>
    </xf>
    <xf numFmtId="0" fontId="25" fillId="0" borderId="66" xfId="0" applyFont="1" applyBorder="1"/>
    <xf numFmtId="0" fontId="0" fillId="0" borderId="54" xfId="0" applyBorder="1"/>
    <xf numFmtId="0" fontId="25" fillId="0" borderId="70" xfId="0" applyFont="1" applyBorder="1"/>
    <xf numFmtId="0" fontId="25" fillId="0" borderId="21" xfId="0" applyFont="1" applyBorder="1"/>
    <xf numFmtId="0" fontId="0" fillId="8" borderId="22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25" fillId="8" borderId="11" xfId="0" applyFont="1" applyFill="1" applyBorder="1"/>
    <xf numFmtId="0" fontId="0" fillId="8" borderId="27" xfId="0" applyFill="1" applyBorder="1" applyAlignment="1">
      <alignment horizontal="center" vertical="center"/>
    </xf>
    <xf numFmtId="0" fontId="25" fillId="8" borderId="70" xfId="0" applyFont="1" applyFill="1" applyBorder="1"/>
    <xf numFmtId="0" fontId="0" fillId="8" borderId="11" xfId="0" applyFill="1" applyBorder="1"/>
    <xf numFmtId="0" fontId="0" fillId="8" borderId="21" xfId="0" applyFill="1" applyBorder="1"/>
    <xf numFmtId="0" fontId="25" fillId="8" borderId="18" xfId="0" applyFont="1" applyFill="1" applyBorder="1"/>
    <xf numFmtId="0" fontId="0" fillId="8" borderId="23" xfId="0" applyFill="1" applyBorder="1" applyAlignment="1">
      <alignment horizontal="center" vertical="center"/>
    </xf>
    <xf numFmtId="0" fontId="0" fillId="8" borderId="82" xfId="0" applyFill="1" applyBorder="1"/>
    <xf numFmtId="0" fontId="33" fillId="0" borderId="55" xfId="0" applyFont="1" applyBorder="1"/>
    <xf numFmtId="0" fontId="33" fillId="0" borderId="71" xfId="0" applyFont="1" applyBorder="1"/>
    <xf numFmtId="0" fontId="0" fillId="0" borderId="23" xfId="0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79" xfId="0" applyFill="1" applyBorder="1"/>
    <xf numFmtId="0" fontId="25" fillId="8" borderId="21" xfId="0" applyFont="1" applyFill="1" applyBorder="1"/>
    <xf numFmtId="0" fontId="34" fillId="0" borderId="0" xfId="0" applyFont="1"/>
    <xf numFmtId="0" fontId="0" fillId="25" borderId="11" xfId="0" applyFill="1" applyBorder="1" applyAlignment="1">
      <alignment horizontal="center" vertical="center"/>
    </xf>
    <xf numFmtId="0" fontId="1" fillId="25" borderId="11" xfId="0" applyFont="1" applyFill="1" applyBorder="1" applyAlignment="1">
      <alignment horizontal="center"/>
    </xf>
    <xf numFmtId="0" fontId="1" fillId="25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0" fillId="25" borderId="18" xfId="0" applyFill="1" applyBorder="1" applyAlignment="1">
      <alignment horizontal="center" vertical="center"/>
    </xf>
    <xf numFmtId="0" fontId="0" fillId="0" borderId="28" xfId="0" applyBorder="1"/>
    <xf numFmtId="0" fontId="0" fillId="0" borderId="27" xfId="0" applyBorder="1"/>
    <xf numFmtId="0" fontId="0" fillId="25" borderId="11" xfId="0" applyFill="1" applyBorder="1" applyAlignment="1">
      <alignment horizontal="center" vertical="center" wrapText="1"/>
    </xf>
    <xf numFmtId="0" fontId="1" fillId="4" borderId="55" xfId="0" applyFont="1" applyFill="1" applyBorder="1" applyAlignment="1">
      <alignment horizontal="center" vertical="center"/>
    </xf>
    <xf numFmtId="0" fontId="1" fillId="0" borderId="35" xfId="0" applyFont="1" applyBorder="1"/>
    <xf numFmtId="0" fontId="0" fillId="0" borderId="23" xfId="0" applyBorder="1"/>
    <xf numFmtId="0" fontId="1" fillId="25" borderId="36" xfId="0" applyFont="1" applyFill="1" applyBorder="1" applyAlignment="1">
      <alignment horizontal="center"/>
    </xf>
    <xf numFmtId="0" fontId="1" fillId="4" borderId="81" xfId="0" applyFont="1" applyFill="1" applyBorder="1" applyAlignment="1">
      <alignment horizontal="center" vertical="center"/>
    </xf>
    <xf numFmtId="0" fontId="0" fillId="25" borderId="21" xfId="0" applyFill="1" applyBorder="1" applyAlignment="1">
      <alignment horizontal="center" vertical="center"/>
    </xf>
    <xf numFmtId="0" fontId="33" fillId="0" borderId="11" xfId="0" applyFont="1" applyBorder="1"/>
    <xf numFmtId="0" fontId="22" fillId="0" borderId="16" xfId="0" applyFont="1" applyBorder="1"/>
    <xf numFmtId="0" fontId="0" fillId="7" borderId="21" xfId="0" applyFill="1" applyBorder="1"/>
    <xf numFmtId="0" fontId="0" fillId="14" borderId="19" xfId="0" applyFill="1" applyBorder="1"/>
    <xf numFmtId="0" fontId="0" fillId="13" borderId="19" xfId="0" applyFill="1" applyBorder="1"/>
    <xf numFmtId="0" fontId="0" fillId="14" borderId="90" xfId="0" applyFill="1" applyBorder="1"/>
    <xf numFmtId="0" fontId="1" fillId="0" borderId="41" xfId="0" applyFont="1" applyBorder="1" applyAlignment="1">
      <alignment horizontal="center" vertical="center"/>
    </xf>
    <xf numFmtId="0" fontId="25" fillId="26" borderId="0" xfId="0" applyFont="1" applyFill="1"/>
    <xf numFmtId="0" fontId="0" fillId="26" borderId="0" xfId="0" applyFill="1"/>
    <xf numFmtId="0" fontId="0" fillId="26" borderId="0" xfId="0" applyFill="1" applyAlignment="1">
      <alignment vertical="center"/>
    </xf>
    <xf numFmtId="0" fontId="0" fillId="26" borderId="64" xfId="0" applyFill="1" applyBorder="1"/>
    <xf numFmtId="0" fontId="1" fillId="26" borderId="33" xfId="0" applyFont="1" applyFill="1" applyBorder="1"/>
    <xf numFmtId="0" fontId="1" fillId="26" borderId="0" xfId="0" applyFont="1" applyFill="1"/>
    <xf numFmtId="0" fontId="1" fillId="26" borderId="62" xfId="0" applyFont="1" applyFill="1" applyBorder="1"/>
    <xf numFmtId="0" fontId="0" fillId="26" borderId="33" xfId="0" applyFill="1" applyBorder="1"/>
    <xf numFmtId="0" fontId="0" fillId="26" borderId="62" xfId="0" applyFill="1" applyBorder="1"/>
    <xf numFmtId="0" fontId="28" fillId="26" borderId="33" xfId="0" applyFont="1" applyFill="1" applyBorder="1"/>
    <xf numFmtId="0" fontId="35" fillId="0" borderId="0" xfId="0" applyFont="1" applyAlignment="1">
      <alignment horizontal="center" vertical="center"/>
    </xf>
    <xf numFmtId="0" fontId="31" fillId="0" borderId="0" xfId="0" applyFont="1"/>
    <xf numFmtId="0" fontId="12" fillId="0" borderId="0" xfId="0" applyFont="1"/>
    <xf numFmtId="0" fontId="31" fillId="27" borderId="101" xfId="0" applyFont="1" applyFill="1" applyBorder="1"/>
    <xf numFmtId="0" fontId="0" fillId="27" borderId="61" xfId="0" applyFill="1" applyBorder="1"/>
    <xf numFmtId="0" fontId="31" fillId="28" borderId="101" xfId="0" applyFont="1" applyFill="1" applyBorder="1"/>
    <xf numFmtId="0" fontId="0" fillId="28" borderId="61" xfId="0" applyFill="1" applyBorder="1"/>
    <xf numFmtId="0" fontId="31" fillId="26" borderId="0" xfId="0" applyFont="1" applyFill="1"/>
    <xf numFmtId="0" fontId="12" fillId="26" borderId="0" xfId="0" applyFont="1" applyFill="1"/>
    <xf numFmtId="0" fontId="28" fillId="26" borderId="0" xfId="0" applyFont="1" applyFill="1"/>
    <xf numFmtId="0" fontId="0" fillId="26" borderId="63" xfId="0" applyFill="1" applyBorder="1"/>
    <xf numFmtId="0" fontId="12" fillId="0" borderId="94" xfId="0" applyFont="1" applyBorder="1" applyAlignment="1">
      <alignment horizontal="left" vertical="center"/>
    </xf>
    <xf numFmtId="0" fontId="1" fillId="17" borderId="58" xfId="0" applyFont="1" applyFill="1" applyBorder="1" applyAlignment="1">
      <alignment horizontal="left" vertical="center"/>
    </xf>
    <xf numFmtId="0" fontId="28" fillId="17" borderId="58" xfId="0" applyFont="1" applyFill="1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" fillId="9" borderId="58" xfId="0" applyFont="1" applyFill="1" applyBorder="1" applyAlignment="1">
      <alignment horizontal="left" vertical="center"/>
    </xf>
    <xf numFmtId="0" fontId="28" fillId="9" borderId="58" xfId="0" applyFont="1" applyFill="1" applyBorder="1" applyAlignment="1">
      <alignment horizontal="left" vertical="center"/>
    </xf>
    <xf numFmtId="0" fontId="28" fillId="9" borderId="85" xfId="0" applyFont="1" applyFill="1" applyBorder="1" applyAlignment="1">
      <alignment horizontal="left" vertical="center"/>
    </xf>
    <xf numFmtId="0" fontId="0" fillId="3" borderId="50" xfId="0" applyFill="1" applyBorder="1" applyAlignment="1">
      <alignment horizontal="left" vertical="center"/>
    </xf>
    <xf numFmtId="0" fontId="0" fillId="8" borderId="30" xfId="0" applyFill="1" applyBorder="1"/>
    <xf numFmtId="0" fontId="0" fillId="2" borderId="70" xfId="0" applyFill="1" applyBorder="1" applyAlignment="1">
      <alignment horizontal="center"/>
    </xf>
    <xf numFmtId="0" fontId="31" fillId="29" borderId="101" xfId="0" applyFont="1" applyFill="1" applyBorder="1"/>
    <xf numFmtId="0" fontId="0" fillId="29" borderId="61" xfId="0" applyFill="1" applyBorder="1"/>
    <xf numFmtId="0" fontId="31" fillId="30" borderId="101" xfId="0" applyFont="1" applyFill="1" applyBorder="1"/>
    <xf numFmtId="0" fontId="0" fillId="30" borderId="61" xfId="0" applyFill="1" applyBorder="1"/>
    <xf numFmtId="0" fontId="0" fillId="0" borderId="70" xfId="0" applyBorder="1"/>
    <xf numFmtId="0" fontId="0" fillId="0" borderId="41" xfId="0" applyBorder="1"/>
    <xf numFmtId="0" fontId="0" fillId="0" borderId="87" xfId="0" applyBorder="1"/>
    <xf numFmtId="0" fontId="0" fillId="27" borderId="94" xfId="0" applyFill="1" applyBorder="1"/>
    <xf numFmtId="0" fontId="0" fillId="28" borderId="94" xfId="0" applyFill="1" applyBorder="1"/>
    <xf numFmtId="0" fontId="0" fillId="29" borderId="94" xfId="0" applyFill="1" applyBorder="1"/>
    <xf numFmtId="0" fontId="1" fillId="17" borderId="83" xfId="0" applyFont="1" applyFill="1" applyBorder="1"/>
    <xf numFmtId="0" fontId="1" fillId="17" borderId="83" xfId="0" applyFont="1" applyFill="1" applyBorder="1" applyAlignment="1">
      <alignment horizontal="left" vertical="center"/>
    </xf>
    <xf numFmtId="0" fontId="1" fillId="9" borderId="83" xfId="0" applyFont="1" applyFill="1" applyBorder="1"/>
    <xf numFmtId="0" fontId="1" fillId="9" borderId="83" xfId="0" applyFont="1" applyFill="1" applyBorder="1" applyAlignment="1">
      <alignment horizontal="left" vertical="center"/>
    </xf>
    <xf numFmtId="0" fontId="1" fillId="28" borderId="83" xfId="0" applyFont="1" applyFill="1" applyBorder="1"/>
    <xf numFmtId="0" fontId="1" fillId="28" borderId="83" xfId="0" applyFont="1" applyFill="1" applyBorder="1" applyAlignment="1">
      <alignment horizontal="left" vertical="center"/>
    </xf>
    <xf numFmtId="0" fontId="0" fillId="26" borderId="62" xfId="0" applyFill="1" applyBorder="1" applyAlignment="1">
      <alignment horizontal="left" vertical="center"/>
    </xf>
    <xf numFmtId="0" fontId="1" fillId="0" borderId="63" xfId="0" applyFont="1" applyBorder="1" applyAlignment="1">
      <alignment horizontal="center"/>
    </xf>
    <xf numFmtId="0" fontId="1" fillId="4" borderId="27" xfId="0" applyFont="1" applyFill="1" applyBorder="1" applyAlignment="1">
      <alignment horizontal="center" vertical="center"/>
    </xf>
    <xf numFmtId="0" fontId="1" fillId="25" borderId="71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25" borderId="50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97" xfId="0" applyBorder="1"/>
    <xf numFmtId="164" fontId="9" fillId="9" borderId="28" xfId="0" applyNumberFormat="1" applyFont="1" applyFill="1" applyBorder="1" applyAlignment="1">
      <alignment horizontal="center" vertical="center"/>
    </xf>
    <xf numFmtId="164" fontId="9" fillId="12" borderId="20" xfId="0" applyNumberFormat="1" applyFont="1" applyFill="1" applyBorder="1" applyAlignment="1">
      <alignment horizontal="center" vertical="center"/>
    </xf>
    <xf numFmtId="164" fontId="10" fillId="3" borderId="28" xfId="0" applyNumberFormat="1" applyFont="1" applyFill="1" applyBorder="1" applyAlignment="1">
      <alignment horizontal="center" vertical="center"/>
    </xf>
    <xf numFmtId="164" fontId="10" fillId="3" borderId="79" xfId="0" applyNumberFormat="1" applyFont="1" applyFill="1" applyBorder="1" applyAlignment="1">
      <alignment horizontal="center" vertical="center"/>
    </xf>
    <xf numFmtId="164" fontId="9" fillId="11" borderId="17" xfId="0" applyNumberFormat="1" applyFont="1" applyFill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0" fillId="0" borderId="76" xfId="0" applyBorder="1"/>
    <xf numFmtId="0" fontId="1" fillId="3" borderId="65" xfId="0" applyFont="1" applyFill="1" applyBorder="1" applyAlignment="1">
      <alignment horizontal="center" vertical="center"/>
    </xf>
    <xf numFmtId="0" fontId="9" fillId="8" borderId="57" xfId="0" applyFont="1" applyFill="1" applyBorder="1" applyAlignment="1">
      <alignment horizontal="center" vertical="center"/>
    </xf>
    <xf numFmtId="0" fontId="0" fillId="8" borderId="58" xfId="0" applyFill="1" applyBorder="1"/>
    <xf numFmtId="0" fontId="0" fillId="0" borderId="18" xfId="0" applyBorder="1" applyAlignment="1">
      <alignment horizontal="left" vertical="center"/>
    </xf>
    <xf numFmtId="0" fontId="1" fillId="4" borderId="41" xfId="0" applyFont="1" applyFill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1" fillId="4" borderId="9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" fillId="25" borderId="89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4" borderId="42" xfId="0" applyFont="1" applyFill="1" applyBorder="1"/>
    <xf numFmtId="0" fontId="1" fillId="25" borderId="80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25" borderId="54" xfId="0" applyFont="1" applyFill="1" applyBorder="1" applyAlignment="1">
      <alignment horizontal="center" vertical="center"/>
    </xf>
    <xf numFmtId="0" fontId="36" fillId="0" borderId="11" xfId="0" applyFont="1" applyBorder="1"/>
    <xf numFmtId="0" fontId="1" fillId="0" borderId="37" xfId="0" applyFont="1" applyBorder="1" applyAlignment="1">
      <alignment horizontal="center"/>
    </xf>
    <xf numFmtId="0" fontId="1" fillId="3" borderId="56" xfId="0" applyFont="1" applyFill="1" applyBorder="1" applyAlignment="1">
      <alignment horizontal="center" vertical="center"/>
    </xf>
    <xf numFmtId="0" fontId="1" fillId="0" borderId="50" xfId="0" applyFont="1" applyBorder="1"/>
    <xf numFmtId="0" fontId="1" fillId="0" borderId="20" xfId="0" applyFont="1" applyBorder="1"/>
    <xf numFmtId="0" fontId="1" fillId="0" borderId="73" xfId="0" applyFont="1" applyBorder="1"/>
    <xf numFmtId="0" fontId="0" fillId="8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2" fillId="22" borderId="47" xfId="0" applyFont="1" applyFill="1" applyBorder="1"/>
    <xf numFmtId="0" fontId="22" fillId="0" borderId="48" xfId="0" applyFont="1" applyBorder="1"/>
    <xf numFmtId="0" fontId="22" fillId="22" borderId="48" xfId="0" applyFont="1" applyFill="1" applyBorder="1"/>
    <xf numFmtId="0" fontId="22" fillId="22" borderId="68" xfId="0" applyFont="1" applyFill="1" applyBorder="1"/>
    <xf numFmtId="0" fontId="0" fillId="0" borderId="50" xfId="0" applyBorder="1"/>
    <xf numFmtId="0" fontId="1" fillId="0" borderId="37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1" fillId="0" borderId="101" xfId="0" applyFont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20" xfId="0" applyFont="1" applyBorder="1"/>
    <xf numFmtId="0" fontId="33" fillId="0" borderId="19" xfId="0" applyFont="1" applyBorder="1"/>
    <xf numFmtId="0" fontId="0" fillId="7" borderId="52" xfId="0" applyFill="1" applyBorder="1"/>
    <xf numFmtId="0" fontId="0" fillId="0" borderId="26" xfId="0" applyBorder="1" applyAlignment="1">
      <alignment horizontal="left" vertical="top"/>
    </xf>
    <xf numFmtId="0" fontId="0" fillId="0" borderId="31" xfId="0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1" fillId="0" borderId="106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2" borderId="83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2" borderId="110" xfId="0" applyFill="1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0" fillId="12" borderId="99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99" xfId="0" applyFont="1" applyFill="1" applyBorder="1" applyAlignment="1">
      <alignment horizontal="center" vertical="center"/>
    </xf>
    <xf numFmtId="0" fontId="0" fillId="12" borderId="7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97" xfId="0" applyFill="1" applyBorder="1" applyAlignment="1">
      <alignment horizontal="center" vertical="center"/>
    </xf>
    <xf numFmtId="0" fontId="0" fillId="12" borderId="7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99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9" fillId="12" borderId="74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0" fillId="12" borderId="30" xfId="0" applyFill="1" applyBorder="1"/>
    <xf numFmtId="0" fontId="0" fillId="0" borderId="58" xfId="0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0" fillId="0" borderId="109" xfId="0" applyBorder="1" applyAlignment="1">
      <alignment horizontal="center"/>
    </xf>
    <xf numFmtId="0" fontId="0" fillId="2" borderId="110" xfId="0" applyFill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0" xfId="0" applyBorder="1" applyAlignment="1">
      <alignment horizontal="center"/>
    </xf>
    <xf numFmtId="0" fontId="0" fillId="0" borderId="101" xfId="0" applyBorder="1" applyAlignment="1">
      <alignment horizontal="center"/>
    </xf>
    <xf numFmtId="0" fontId="4" fillId="0" borderId="110" xfId="0" applyFont="1" applyBorder="1" applyAlignment="1">
      <alignment horizontal="center"/>
    </xf>
    <xf numFmtId="0" fontId="0" fillId="8" borderId="85" xfId="0" applyFill="1" applyBorder="1" applyAlignment="1">
      <alignment horizontal="center"/>
    </xf>
    <xf numFmtId="0" fontId="0" fillId="2" borderId="7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00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00" xfId="0" applyFont="1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0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9" borderId="6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0" fillId="9" borderId="90" xfId="0" applyFill="1" applyBorder="1"/>
    <xf numFmtId="0" fontId="0" fillId="2" borderId="17" xfId="0" applyFill="1" applyBorder="1" applyAlignment="1">
      <alignment horizontal="center" vertical="center"/>
    </xf>
    <xf numFmtId="0" fontId="0" fillId="13" borderId="76" xfId="0" applyFill="1" applyBorder="1" applyAlignment="1">
      <alignment horizontal="center" vertical="center"/>
    </xf>
    <xf numFmtId="0" fontId="0" fillId="13" borderId="96" xfId="0" applyFill="1" applyBorder="1" applyAlignment="1">
      <alignment horizontal="center" vertical="center"/>
    </xf>
    <xf numFmtId="0" fontId="0" fillId="13" borderId="98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1" fillId="13" borderId="46" xfId="0" applyFont="1" applyFill="1" applyBorder="1" applyAlignment="1">
      <alignment horizontal="center" vertical="center"/>
    </xf>
    <xf numFmtId="0" fontId="1" fillId="13" borderId="95" xfId="0" applyFont="1" applyFill="1" applyBorder="1" applyAlignment="1">
      <alignment horizontal="center" vertical="center"/>
    </xf>
    <xf numFmtId="0" fontId="1" fillId="13" borderId="75" xfId="0" applyFont="1" applyFill="1" applyBorder="1" applyAlignment="1">
      <alignment horizontal="center" vertical="center"/>
    </xf>
    <xf numFmtId="0" fontId="0" fillId="13" borderId="95" xfId="0" applyFill="1" applyBorder="1" applyAlignment="1">
      <alignment horizontal="center" vertical="center"/>
    </xf>
    <xf numFmtId="0" fontId="9" fillId="13" borderId="76" xfId="0" applyFont="1" applyFill="1" applyBorder="1" applyAlignment="1">
      <alignment horizontal="center" vertical="center"/>
    </xf>
    <xf numFmtId="0" fontId="9" fillId="13" borderId="46" xfId="0" applyFont="1" applyFill="1" applyBorder="1" applyAlignment="1">
      <alignment horizontal="center" vertical="center"/>
    </xf>
    <xf numFmtId="0" fontId="4" fillId="13" borderId="46" xfId="0" applyFont="1" applyFill="1" applyBorder="1" applyAlignment="1">
      <alignment horizontal="center" vertical="center"/>
    </xf>
    <xf numFmtId="0" fontId="0" fillId="13" borderId="102" xfId="0" applyFill="1" applyBorder="1"/>
    <xf numFmtId="0" fontId="1" fillId="2" borderId="58" xfId="0" applyFont="1" applyFill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8" fillId="2" borderId="110" xfId="0" applyFont="1" applyFill="1" applyBorder="1" applyAlignment="1">
      <alignment horizontal="center" vertical="center"/>
    </xf>
    <xf numFmtId="0" fontId="4" fillId="2" borderId="110" xfId="0" applyFont="1" applyFill="1" applyBorder="1" applyAlignment="1">
      <alignment horizontal="center" vertical="center"/>
    </xf>
    <xf numFmtId="0" fontId="4" fillId="0" borderId="111" xfId="0" applyFont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4" fillId="2" borderId="111" xfId="0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4" fillId="8" borderId="61" xfId="0" applyFont="1" applyFill="1" applyBorder="1" applyAlignment="1">
      <alignment horizontal="center" vertical="center"/>
    </xf>
    <xf numFmtId="0" fontId="0" fillId="0" borderId="17" xfId="0" applyBorder="1"/>
    <xf numFmtId="0" fontId="0" fillId="2" borderId="17" xfId="0" applyFill="1" applyBorder="1"/>
    <xf numFmtId="0" fontId="0" fillId="2" borderId="76" xfId="0" applyFill="1" applyBorder="1"/>
    <xf numFmtId="0" fontId="1" fillId="2" borderId="76" xfId="0" applyFont="1" applyFill="1" applyBorder="1"/>
    <xf numFmtId="0" fontId="7" fillId="2" borderId="75" xfId="0" applyFont="1" applyFill="1" applyBorder="1"/>
    <xf numFmtId="0" fontId="0" fillId="0" borderId="96" xfId="0" applyBorder="1"/>
    <xf numFmtId="0" fontId="1" fillId="0" borderId="86" xfId="0" applyFont="1" applyBorder="1"/>
    <xf numFmtId="0" fontId="1" fillId="0" borderId="75" xfId="0" applyFont="1" applyBorder="1"/>
    <xf numFmtId="0" fontId="0" fillId="2" borderId="46" xfId="0" applyFill="1" applyBorder="1"/>
    <xf numFmtId="0" fontId="9" fillId="2" borderId="76" xfId="0" applyFont="1" applyFill="1" applyBorder="1"/>
    <xf numFmtId="0" fontId="9" fillId="2" borderId="46" xfId="0" applyFont="1" applyFill="1" applyBorder="1"/>
    <xf numFmtId="0" fontId="4" fillId="0" borderId="46" xfId="0" applyFont="1" applyBorder="1"/>
    <xf numFmtId="0" fontId="0" fillId="2" borderId="95" xfId="0" applyFill="1" applyBorder="1"/>
    <xf numFmtId="0" fontId="1" fillId="0" borderId="76" xfId="0" applyFont="1" applyBorder="1"/>
    <xf numFmtId="0" fontId="0" fillId="8" borderId="65" xfId="0" applyFill="1" applyBorder="1"/>
    <xf numFmtId="0" fontId="3" fillId="0" borderId="106" xfId="0" applyFont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8" borderId="85" xfId="0" applyFill="1" applyBorder="1"/>
    <xf numFmtId="0" fontId="0" fillId="2" borderId="25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9" fillId="2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32" xfId="0" applyFill="1" applyBorder="1"/>
    <xf numFmtId="0" fontId="0" fillId="0" borderId="28" xfId="0" applyBorder="1" applyAlignment="1">
      <alignment horizontal="center" vertical="center"/>
    </xf>
    <xf numFmtId="0" fontId="39" fillId="2" borderId="44" xfId="0" applyFont="1" applyFill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39" fillId="8" borderId="17" xfId="0" applyFont="1" applyFill="1" applyBorder="1" applyAlignment="1">
      <alignment horizontal="center" vertical="center"/>
    </xf>
    <xf numFmtId="0" fontId="22" fillId="32" borderId="16" xfId="0" applyFont="1" applyFill="1" applyBorder="1"/>
    <xf numFmtId="0" fontId="1" fillId="0" borderId="54" xfId="0" applyFont="1" applyBorder="1" applyAlignment="1">
      <alignment horizontal="left" vertical="center"/>
    </xf>
    <xf numFmtId="0" fontId="0" fillId="8" borderId="20" xfId="0" applyFill="1" applyBorder="1"/>
    <xf numFmtId="0" fontId="3" fillId="0" borderId="29" xfId="0" applyFont="1" applyBorder="1"/>
    <xf numFmtId="164" fontId="10" fillId="3" borderId="23" xfId="0" applyNumberFormat="1" applyFont="1" applyFill="1" applyBorder="1" applyAlignment="1">
      <alignment horizontal="center" vertical="center"/>
    </xf>
    <xf numFmtId="164" fontId="9" fillId="10" borderId="26" xfId="0" applyNumberFormat="1" applyFont="1" applyFill="1" applyBorder="1" applyAlignment="1">
      <alignment horizontal="center" vertical="center"/>
    </xf>
    <xf numFmtId="164" fontId="8" fillId="10" borderId="26" xfId="0" applyNumberFormat="1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164" fontId="9" fillId="9" borderId="29" xfId="0" applyNumberFormat="1" applyFont="1" applyFill="1" applyBorder="1" applyAlignment="1">
      <alignment horizontal="center" vertical="center"/>
    </xf>
    <xf numFmtId="164" fontId="9" fillId="9" borderId="16" xfId="0" applyNumberFormat="1" applyFont="1" applyFill="1" applyBorder="1" applyAlignment="1">
      <alignment horizontal="center" vertical="center"/>
    </xf>
    <xf numFmtId="164" fontId="9" fillId="9" borderId="20" xfId="0" applyNumberFormat="1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64" fontId="9" fillId="12" borderId="34" xfId="0" applyNumberFormat="1" applyFont="1" applyFill="1" applyBorder="1" applyAlignment="1">
      <alignment horizontal="center" vertical="center"/>
    </xf>
    <xf numFmtId="164" fontId="9" fillId="12" borderId="24" xfId="0" applyNumberFormat="1" applyFont="1" applyFill="1" applyBorder="1" applyAlignment="1">
      <alignment horizontal="center" vertical="center"/>
    </xf>
    <xf numFmtId="164" fontId="0" fillId="12" borderId="33" xfId="0" applyNumberFormat="1" applyFill="1" applyBorder="1" applyAlignment="1">
      <alignment horizontal="center"/>
    </xf>
    <xf numFmtId="164" fontId="9" fillId="12" borderId="25" xfId="0" applyNumberFormat="1" applyFont="1" applyFill="1" applyBorder="1" applyAlignment="1">
      <alignment horizontal="center" vertical="center"/>
    </xf>
    <xf numFmtId="164" fontId="9" fillId="12" borderId="31" xfId="0" applyNumberFormat="1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164" fontId="9" fillId="11" borderId="29" xfId="0" applyNumberFormat="1" applyFont="1" applyFill="1" applyBorder="1" applyAlignment="1">
      <alignment horizontal="center" vertical="center"/>
    </xf>
    <xf numFmtId="164" fontId="9" fillId="11" borderId="16" xfId="0" applyNumberFormat="1" applyFont="1" applyFill="1" applyBorder="1" applyAlignment="1">
      <alignment horizontal="center" vertical="center"/>
    </xf>
    <xf numFmtId="164" fontId="9" fillId="11" borderId="20" xfId="0" applyNumberFormat="1" applyFont="1" applyFill="1" applyBorder="1" applyAlignment="1">
      <alignment horizontal="center" vertical="center"/>
    </xf>
    <xf numFmtId="0" fontId="0" fillId="12" borderId="16" xfId="0" applyFill="1" applyBorder="1"/>
    <xf numFmtId="0" fontId="9" fillId="0" borderId="59" xfId="0" applyFont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8" borderId="24" xfId="0" applyFill="1" applyBorder="1"/>
    <xf numFmtId="0" fontId="1" fillId="3" borderId="63" xfId="0" applyFont="1" applyFill="1" applyBorder="1" applyAlignment="1">
      <alignment horizontal="center" vertical="center"/>
    </xf>
    <xf numFmtId="0" fontId="6" fillId="8" borderId="57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1" fillId="3" borderId="96" xfId="0" applyFont="1" applyFill="1" applyBorder="1" applyAlignment="1">
      <alignment horizontal="center" vertical="center"/>
    </xf>
    <xf numFmtId="0" fontId="1" fillId="4" borderId="89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5" borderId="36" xfId="0" applyFont="1" applyFill="1" applyBorder="1" applyAlignment="1">
      <alignment horizontal="center" vertical="center"/>
    </xf>
    <xf numFmtId="0" fontId="3" fillId="0" borderId="31" xfId="0" applyFont="1" applyBorder="1"/>
    <xf numFmtId="0" fontId="1" fillId="4" borderId="50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86" xfId="0" applyFont="1" applyFill="1" applyBorder="1" applyAlignment="1">
      <alignment horizontal="center" vertical="center"/>
    </xf>
    <xf numFmtId="0" fontId="1" fillId="0" borderId="41" xfId="0" applyFont="1" applyBorder="1"/>
    <xf numFmtId="0" fontId="0" fillId="0" borderId="34" xfId="0" applyBorder="1"/>
    <xf numFmtId="0" fontId="0" fillId="0" borderId="25" xfId="0" applyBorder="1"/>
    <xf numFmtId="0" fontId="1" fillId="25" borderId="56" xfId="0" applyFont="1" applyFill="1" applyBorder="1" applyAlignment="1">
      <alignment horizontal="center"/>
    </xf>
    <xf numFmtId="0" fontId="0" fillId="25" borderId="86" xfId="0" applyFill="1" applyBorder="1" applyAlignment="1">
      <alignment horizontal="center" vertical="center"/>
    </xf>
    <xf numFmtId="0" fontId="0" fillId="25" borderId="76" xfId="0" applyFill="1" applyBorder="1" applyAlignment="1">
      <alignment horizontal="center" vertical="center"/>
    </xf>
    <xf numFmtId="0" fontId="1" fillId="0" borderId="37" xfId="0" applyFont="1" applyBorder="1"/>
    <xf numFmtId="0" fontId="1" fillId="4" borderId="85" xfId="0" applyFont="1" applyFill="1" applyBorder="1" applyAlignment="1">
      <alignment horizontal="center" vertical="center"/>
    </xf>
    <xf numFmtId="0" fontId="1" fillId="25" borderId="41" xfId="0" applyFont="1" applyFill="1" applyBorder="1" applyAlignment="1">
      <alignment horizontal="center"/>
    </xf>
    <xf numFmtId="0" fontId="0" fillId="25" borderId="25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 wrapText="1"/>
    </xf>
    <xf numFmtId="0" fontId="0" fillId="25" borderId="31" xfId="0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25" borderId="86" xfId="0" applyFont="1" applyFill="1" applyBorder="1" applyAlignment="1">
      <alignment horizontal="center" vertical="center"/>
    </xf>
    <xf numFmtId="0" fontId="3" fillId="4" borderId="86" xfId="0" applyFont="1" applyFill="1" applyBorder="1" applyAlignment="1">
      <alignment horizontal="center" vertical="center"/>
    </xf>
    <xf numFmtId="0" fontId="3" fillId="0" borderId="27" xfId="0" applyFont="1" applyBorder="1"/>
    <xf numFmtId="0" fontId="40" fillId="25" borderId="11" xfId="0" quotePrefix="1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25" fillId="8" borderId="29" xfId="0" applyFont="1" applyFill="1" applyBorder="1"/>
    <xf numFmtId="0" fontId="25" fillId="8" borderId="16" xfId="0" applyFont="1" applyFill="1" applyBorder="1"/>
    <xf numFmtId="0" fontId="25" fillId="8" borderId="20" xfId="0" applyFont="1" applyFill="1" applyBorder="1"/>
    <xf numFmtId="0" fontId="25" fillId="0" borderId="99" xfId="0" applyFont="1" applyBorder="1"/>
    <xf numFmtId="0" fontId="25" fillId="0" borderId="16" xfId="0" applyFont="1" applyBorder="1"/>
    <xf numFmtId="0" fontId="25" fillId="0" borderId="30" xfId="0" applyFont="1" applyBorder="1"/>
    <xf numFmtId="0" fontId="25" fillId="8" borderId="30" xfId="0" applyFont="1" applyFill="1" applyBorder="1"/>
    <xf numFmtId="0" fontId="25" fillId="0" borderId="29" xfId="0" applyFont="1" applyBorder="1"/>
    <xf numFmtId="0" fontId="0" fillId="8" borderId="29" xfId="0" applyFill="1" applyBorder="1"/>
    <xf numFmtId="0" fontId="1" fillId="0" borderId="18" xfId="0" applyFont="1" applyBorder="1" applyAlignment="1">
      <alignment horizontal="center" vertical="center"/>
    </xf>
    <xf numFmtId="0" fontId="1" fillId="25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8" borderId="31" xfId="0" applyFill="1" applyBorder="1"/>
    <xf numFmtId="0" fontId="1" fillId="3" borderId="83" xfId="0" applyFont="1" applyFill="1" applyBorder="1" applyAlignment="1">
      <alignment horizontal="center" vertical="center"/>
    </xf>
    <xf numFmtId="0" fontId="1" fillId="3" borderId="94" xfId="0" applyFont="1" applyFill="1" applyBorder="1" applyAlignment="1">
      <alignment horizontal="center" vertical="center"/>
    </xf>
    <xf numFmtId="0" fontId="41" fillId="9" borderId="58" xfId="0" applyFont="1" applyFill="1" applyBorder="1"/>
    <xf numFmtId="3" fontId="42" fillId="0" borderId="0" xfId="0" applyNumberFormat="1" applyFont="1"/>
    <xf numFmtId="164" fontId="10" fillId="3" borderId="96" xfId="0" applyNumberFormat="1" applyFont="1" applyFill="1" applyBorder="1" applyAlignment="1">
      <alignment horizontal="center" vertical="center"/>
    </xf>
    <xf numFmtId="0" fontId="3" fillId="8" borderId="16" xfId="0" applyFont="1" applyFill="1" applyBorder="1"/>
    <xf numFmtId="0" fontId="0" fillId="16" borderId="16" xfId="0" applyFill="1" applyBorder="1"/>
    <xf numFmtId="0" fontId="0" fillId="2" borderId="15" xfId="0" applyFill="1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39" fillId="8" borderId="24" xfId="0" applyFont="1" applyFill="1" applyBorder="1" applyAlignment="1">
      <alignment horizontal="center" vertical="center"/>
    </xf>
    <xf numFmtId="0" fontId="43" fillId="2" borderId="3" xfId="1" applyFill="1" applyBorder="1"/>
    <xf numFmtId="0" fontId="43" fillId="0" borderId="3" xfId="1" applyBorder="1"/>
    <xf numFmtId="0" fontId="43" fillId="0" borderId="69" xfId="1" applyBorder="1"/>
    <xf numFmtId="0" fontId="43" fillId="0" borderId="17" xfId="1" applyBorder="1"/>
    <xf numFmtId="0" fontId="43" fillId="2" borderId="17" xfId="1" applyFill="1" applyBorder="1"/>
    <xf numFmtId="0" fontId="43" fillId="2" borderId="77" xfId="1" applyFill="1" applyBorder="1"/>
    <xf numFmtId="0" fontId="43" fillId="0" borderId="97" xfId="1" applyBorder="1"/>
    <xf numFmtId="0" fontId="43" fillId="0" borderId="67" xfId="1" applyBorder="1"/>
    <xf numFmtId="0" fontId="43" fillId="0" borderId="15" xfId="1" applyBorder="1"/>
    <xf numFmtId="0" fontId="43" fillId="2" borderId="4" xfId="1" applyFill="1" applyBorder="1"/>
    <xf numFmtId="0" fontId="43" fillId="0" borderId="4" xfId="1" applyBorder="1"/>
    <xf numFmtId="0" fontId="43" fillId="0" borderId="14" xfId="1" applyBorder="1"/>
    <xf numFmtId="0" fontId="43" fillId="8" borderId="32" xfId="1" applyFill="1" applyBorder="1"/>
    <xf numFmtId="0" fontId="0" fillId="31" borderId="37" xfId="0" applyFill="1" applyBorder="1" applyAlignment="1">
      <alignment vertical="center"/>
    </xf>
    <xf numFmtId="0" fontId="0" fillId="31" borderId="33" xfId="0" applyFill="1" applyBorder="1" applyAlignment="1">
      <alignment vertical="center"/>
    </xf>
    <xf numFmtId="0" fontId="0" fillId="31" borderId="63" xfId="0" applyFill="1" applyBorder="1" applyAlignment="1">
      <alignment vertical="center"/>
    </xf>
    <xf numFmtId="0" fontId="1" fillId="2" borderId="59" xfId="0" applyFont="1" applyFill="1" applyBorder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7" fillId="9" borderId="52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0" fillId="31" borderId="0" xfId="0" applyFill="1" applyAlignment="1">
      <alignment vertical="center"/>
    </xf>
    <xf numFmtId="0" fontId="0" fillId="6" borderId="20" xfId="0" applyFill="1" applyBorder="1" applyAlignment="1">
      <alignment horizontal="center" vertical="center"/>
    </xf>
    <xf numFmtId="0" fontId="7" fillId="2" borderId="94" xfId="0" applyFont="1" applyFill="1" applyBorder="1" applyAlignment="1">
      <alignment horizontal="center" vertical="center"/>
    </xf>
    <xf numFmtId="0" fontId="0" fillId="13" borderId="83" xfId="0" applyFill="1" applyBorder="1" applyAlignment="1">
      <alignment horizontal="center" vertical="center"/>
    </xf>
    <xf numFmtId="0" fontId="0" fillId="13" borderId="58" xfId="0" applyFill="1" applyBorder="1" applyAlignment="1">
      <alignment horizontal="center" vertical="center"/>
    </xf>
    <xf numFmtId="0" fontId="1" fillId="13" borderId="58" xfId="0" applyFont="1" applyFill="1" applyBorder="1" applyAlignment="1">
      <alignment horizontal="center" vertical="center"/>
    </xf>
    <xf numFmtId="0" fontId="7" fillId="13" borderId="58" xfId="0" applyFont="1" applyFill="1" applyBorder="1" applyAlignment="1">
      <alignment horizontal="center" vertical="center"/>
    </xf>
    <xf numFmtId="0" fontId="1" fillId="13" borderId="59" xfId="0" applyFont="1" applyFill="1" applyBorder="1" applyAlignment="1">
      <alignment horizontal="center" vertical="center"/>
    </xf>
    <xf numFmtId="0" fontId="7" fillId="17" borderId="58" xfId="0" applyFont="1" applyFill="1" applyBorder="1" applyAlignment="1">
      <alignment horizontal="center" vertical="center"/>
    </xf>
    <xf numFmtId="0" fontId="7" fillId="17" borderId="61" xfId="0" applyFont="1" applyFill="1" applyBorder="1" applyAlignment="1">
      <alignment horizontal="center" vertical="center"/>
    </xf>
    <xf numFmtId="0" fontId="0" fillId="2" borderId="67" xfId="0" applyFill="1" applyBorder="1"/>
    <xf numFmtId="0" fontId="7" fillId="8" borderId="77" xfId="0" applyFont="1" applyFill="1" applyBorder="1"/>
    <xf numFmtId="0" fontId="7" fillId="13" borderId="96" xfId="0" applyFont="1" applyFill="1" applyBorder="1" applyAlignment="1">
      <alignment horizontal="center" vertical="center"/>
    </xf>
    <xf numFmtId="0" fontId="0" fillId="31" borderId="38" xfId="0" applyFill="1" applyBorder="1" applyAlignment="1">
      <alignment vertical="center"/>
    </xf>
    <xf numFmtId="0" fontId="0" fillId="8" borderId="63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8" borderId="87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2" borderId="9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4" borderId="20" xfId="0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8" borderId="76" xfId="0" applyFill="1" applyBorder="1" applyAlignment="1">
      <alignment horizontal="center" vertical="center"/>
    </xf>
    <xf numFmtId="0" fontId="0" fillId="8" borderId="86" xfId="0" applyFill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8" borderId="73" xfId="0" applyFill="1" applyBorder="1" applyAlignment="1">
      <alignment horizontal="center" vertical="center"/>
    </xf>
    <xf numFmtId="0" fontId="0" fillId="8" borderId="62" xfId="0" applyFill="1" applyBorder="1" applyAlignment="1">
      <alignment horizontal="center" vertical="center"/>
    </xf>
    <xf numFmtId="0" fontId="0" fillId="31" borderId="39" xfId="0" applyFill="1" applyBorder="1" applyAlignment="1">
      <alignment vertical="center"/>
    </xf>
    <xf numFmtId="0" fontId="0" fillId="31" borderId="62" xfId="0" applyFill="1" applyBorder="1" applyAlignment="1">
      <alignment vertical="center"/>
    </xf>
    <xf numFmtId="0" fontId="0" fillId="31" borderId="64" xfId="0" applyFill="1" applyBorder="1" applyAlignment="1">
      <alignment vertical="center"/>
    </xf>
    <xf numFmtId="0" fontId="0" fillId="31" borderId="65" xfId="0" applyFill="1" applyBorder="1" applyAlignment="1">
      <alignment vertical="center"/>
    </xf>
    <xf numFmtId="0" fontId="8" fillId="2" borderId="59" xfId="0" applyFont="1" applyFill="1" applyBorder="1" applyAlignment="1">
      <alignment horizontal="center" vertical="center"/>
    </xf>
    <xf numFmtId="0" fontId="38" fillId="8" borderId="61" xfId="0" applyFont="1" applyFill="1" applyBorder="1" applyAlignment="1">
      <alignment horizontal="center" vertical="center"/>
    </xf>
    <xf numFmtId="0" fontId="0" fillId="2" borderId="75" xfId="0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2" borderId="76" xfId="0" applyFill="1" applyBorder="1" applyAlignment="1">
      <alignment horizontal="center"/>
    </xf>
    <xf numFmtId="0" fontId="4" fillId="2" borderId="76" xfId="0" applyFont="1" applyFill="1" applyBorder="1" applyAlignment="1">
      <alignment horizontal="center"/>
    </xf>
    <xf numFmtId="0" fontId="38" fillId="2" borderId="86" xfId="0" applyFont="1" applyFill="1" applyBorder="1" applyAlignment="1">
      <alignment horizontal="center"/>
    </xf>
    <xf numFmtId="0" fontId="38" fillId="8" borderId="65" xfId="0" applyFont="1" applyFill="1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97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9" fillId="11" borderId="77" xfId="0" applyNumberFormat="1" applyFont="1" applyFill="1" applyBorder="1" applyAlignment="1">
      <alignment horizontal="center" vertical="center"/>
    </xf>
    <xf numFmtId="164" fontId="9" fillId="11" borderId="97" xfId="0" applyNumberFormat="1" applyFont="1" applyFill="1" applyBorder="1" applyAlignment="1">
      <alignment horizontal="center" vertical="center"/>
    </xf>
    <xf numFmtId="164" fontId="9" fillId="11" borderId="19" xfId="0" applyNumberFormat="1" applyFont="1" applyFill="1" applyBorder="1" applyAlignment="1">
      <alignment horizontal="center" vertical="center"/>
    </xf>
    <xf numFmtId="164" fontId="9" fillId="11" borderId="0" xfId="0" applyNumberFormat="1" applyFont="1" applyFill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164" fontId="9" fillId="10" borderId="22" xfId="0" applyNumberFormat="1" applyFont="1" applyFill="1" applyBorder="1" applyAlignment="1">
      <alignment horizontal="center" vertical="center"/>
    </xf>
    <xf numFmtId="164" fontId="9" fillId="10" borderId="54" xfId="0" applyNumberFormat="1" applyFont="1" applyFill="1" applyBorder="1" applyAlignment="1">
      <alignment horizontal="center" vertical="center"/>
    </xf>
    <xf numFmtId="164" fontId="9" fillId="10" borderId="55" xfId="0" applyNumberFormat="1" applyFont="1" applyFill="1" applyBorder="1" applyAlignment="1">
      <alignment horizontal="center" vertical="center"/>
    </xf>
    <xf numFmtId="164" fontId="11" fillId="10" borderId="55" xfId="0" applyNumberFormat="1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43" fillId="0" borderId="58" xfId="1" applyBorder="1"/>
    <xf numFmtId="0" fontId="43" fillId="2" borderId="58" xfId="1" applyFill="1" applyBorder="1"/>
    <xf numFmtId="0" fontId="43" fillId="8" borderId="61" xfId="1" applyFill="1" applyBorder="1"/>
    <xf numFmtId="0" fontId="1" fillId="0" borderId="24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4" fillId="8" borderId="6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43" fillId="2" borderId="57" xfId="1" applyFill="1" applyBorder="1"/>
    <xf numFmtId="0" fontId="0" fillId="8" borderId="76" xfId="0" applyFill="1" applyBorder="1" applyAlignment="1">
      <alignment horizontal="center"/>
    </xf>
    <xf numFmtId="0" fontId="0" fillId="0" borderId="86" xfId="0" applyBorder="1" applyAlignment="1">
      <alignment horizontal="center"/>
    </xf>
    <xf numFmtId="0" fontId="8" fillId="0" borderId="58" xfId="0" applyFont="1" applyBorder="1" applyAlignment="1">
      <alignment horizontal="center" vertical="center"/>
    </xf>
    <xf numFmtId="0" fontId="38" fillId="0" borderId="76" xfId="0" applyFont="1" applyBorder="1" applyAlignment="1">
      <alignment horizontal="center"/>
    </xf>
    <xf numFmtId="0" fontId="4" fillId="0" borderId="34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/>
    </xf>
    <xf numFmtId="0" fontId="4" fillId="8" borderId="76" xfId="0" applyFont="1" applyFill="1" applyBorder="1" applyAlignment="1">
      <alignment horizontal="center" vertical="center"/>
    </xf>
    <xf numFmtId="0" fontId="7" fillId="8" borderId="17" xfId="0" applyFont="1" applyFill="1" applyBorder="1"/>
    <xf numFmtId="0" fontId="1" fillId="0" borderId="86" xfId="0" applyFont="1" applyBorder="1" applyAlignment="1">
      <alignment horizontal="center" vertical="center"/>
    </xf>
    <xf numFmtId="0" fontId="1" fillId="0" borderId="97" xfId="0" applyFont="1" applyBorder="1"/>
    <xf numFmtId="0" fontId="7" fillId="8" borderId="76" xfId="0" applyFont="1" applyFill="1" applyBorder="1" applyAlignment="1">
      <alignment horizontal="center" vertical="center"/>
    </xf>
    <xf numFmtId="0" fontId="43" fillId="0" borderId="58" xfId="1" applyFill="1" applyBorder="1"/>
    <xf numFmtId="0" fontId="1" fillId="0" borderId="76" xfId="0" applyFont="1" applyBorder="1" applyAlignment="1">
      <alignment horizontal="center" vertical="center"/>
    </xf>
    <xf numFmtId="0" fontId="1" fillId="0" borderId="17" xfId="0" applyFont="1" applyBorder="1"/>
    <xf numFmtId="0" fontId="43" fillId="0" borderId="59" xfId="1" applyFill="1" applyBorder="1"/>
    <xf numFmtId="0" fontId="43" fillId="8" borderId="59" xfId="1" applyFill="1" applyBorder="1"/>
    <xf numFmtId="0" fontId="43" fillId="8" borderId="58" xfId="1" applyFill="1" applyBorder="1"/>
    <xf numFmtId="0" fontId="0" fillId="8" borderId="17" xfId="0" applyFill="1" applyBorder="1"/>
    <xf numFmtId="0" fontId="43" fillId="17" borderId="58" xfId="1" applyFill="1" applyBorder="1"/>
    <xf numFmtId="0" fontId="43" fillId="17" borderId="85" xfId="1" applyFill="1" applyBorder="1"/>
    <xf numFmtId="0" fontId="43" fillId="9" borderId="58" xfId="1" applyFill="1" applyBorder="1"/>
    <xf numFmtId="0" fontId="43" fillId="28" borderId="85" xfId="1" applyFill="1" applyBorder="1"/>
    <xf numFmtId="0" fontId="43" fillId="9" borderId="85" xfId="1" applyFill="1" applyBorder="1"/>
    <xf numFmtId="0" fontId="43" fillId="2" borderId="69" xfId="1" applyFill="1" applyBorder="1"/>
    <xf numFmtId="0" fontId="43" fillId="0" borderId="0" xfId="1"/>
    <xf numFmtId="164" fontId="1" fillId="3" borderId="56" xfId="0" applyNumberFormat="1" applyFont="1" applyFill="1" applyBorder="1" applyAlignment="1">
      <alignment horizontal="center" vertical="center"/>
    </xf>
    <xf numFmtId="0" fontId="43" fillId="3" borderId="17" xfId="1" applyFill="1" applyBorder="1"/>
    <xf numFmtId="0" fontId="43" fillId="3" borderId="4" xfId="1" applyFill="1" applyBorder="1"/>
    <xf numFmtId="0" fontId="43" fillId="3" borderId="3" xfId="1" applyFill="1" applyBorder="1"/>
    <xf numFmtId="0" fontId="0" fillId="25" borderId="11" xfId="0" applyFill="1" applyBorder="1" applyAlignment="1">
      <alignment horizontal="center"/>
    </xf>
    <xf numFmtId="0" fontId="1" fillId="0" borderId="42" xfId="0" applyFont="1" applyBorder="1"/>
    <xf numFmtId="0" fontId="1" fillId="0" borderId="91" xfId="0" applyFont="1" applyBorder="1" applyAlignment="1">
      <alignment horizontal="center" vertical="center"/>
    </xf>
    <xf numFmtId="0" fontId="0" fillId="25" borderId="91" xfId="0" applyFill="1" applyBorder="1" applyAlignment="1">
      <alignment horizontal="center" vertical="center" wrapText="1"/>
    </xf>
    <xf numFmtId="0" fontId="1" fillId="4" borderId="80" xfId="0" applyFont="1" applyFill="1" applyBorder="1"/>
    <xf numFmtId="0" fontId="0" fillId="0" borderId="22" xfId="0" applyBorder="1"/>
    <xf numFmtId="0" fontId="0" fillId="0" borderId="66" xfId="0" applyBorder="1" applyAlignment="1">
      <alignment horizontal="center"/>
    </xf>
    <xf numFmtId="0" fontId="0" fillId="25" borderId="66" xfId="0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25" borderId="70" xfId="0" applyFill="1" applyBorder="1" applyAlignment="1">
      <alignment horizontal="center"/>
    </xf>
    <xf numFmtId="0" fontId="1" fillId="4" borderId="71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6" fillId="12" borderId="25" xfId="0" applyNumberFormat="1" applyFont="1" applyFill="1" applyBorder="1" applyAlignment="1">
      <alignment horizontal="center" vertical="center"/>
    </xf>
    <xf numFmtId="164" fontId="6" fillId="12" borderId="20" xfId="0" applyNumberFormat="1" applyFont="1" applyFill="1" applyBorder="1" applyAlignment="1">
      <alignment horizontal="center" vertical="center"/>
    </xf>
    <xf numFmtId="164" fontId="0" fillId="9" borderId="26" xfId="0" applyNumberFormat="1" applyFill="1" applyBorder="1"/>
    <xf numFmtId="164" fontId="0" fillId="9" borderId="16" xfId="0" applyNumberFormat="1" applyFill="1" applyBorder="1"/>
    <xf numFmtId="164" fontId="0" fillId="10" borderId="26" xfId="0" applyNumberFormat="1" applyFill="1" applyBorder="1"/>
    <xf numFmtId="164" fontId="0" fillId="10" borderId="55" xfId="0" applyNumberFormat="1" applyFill="1" applyBorder="1"/>
    <xf numFmtId="164" fontId="0" fillId="11" borderId="19" xfId="0" applyNumberFormat="1" applyFill="1" applyBorder="1"/>
    <xf numFmtId="164" fontId="0" fillId="11" borderId="16" xfId="0" applyNumberFormat="1" applyFill="1" applyBorder="1"/>
    <xf numFmtId="164" fontId="0" fillId="12" borderId="26" xfId="0" applyNumberFormat="1" applyFill="1" applyBorder="1"/>
    <xf numFmtId="164" fontId="0" fillId="12" borderId="16" xfId="0" applyNumberFormat="1" applyFill="1" applyBorder="1"/>
    <xf numFmtId="164" fontId="3" fillId="9" borderId="26" xfId="0" applyNumberFormat="1" applyFont="1" applyFill="1" applyBorder="1" applyAlignment="1">
      <alignment horizontal="center" vertical="center"/>
    </xf>
    <xf numFmtId="164" fontId="3" fillId="9" borderId="16" xfId="0" applyNumberFormat="1" applyFont="1" applyFill="1" applyBorder="1"/>
    <xf numFmtId="164" fontId="3" fillId="10" borderId="26" xfId="0" applyNumberFormat="1" applyFont="1" applyFill="1" applyBorder="1" applyAlignment="1">
      <alignment horizontal="center" vertical="center"/>
    </xf>
    <xf numFmtId="164" fontId="3" fillId="10" borderId="55" xfId="0" applyNumberFormat="1" applyFont="1" applyFill="1" applyBorder="1" applyAlignment="1">
      <alignment horizontal="center" vertical="center"/>
    </xf>
    <xf numFmtId="164" fontId="3" fillId="11" borderId="19" xfId="0" applyNumberFormat="1" applyFont="1" applyFill="1" applyBorder="1" applyAlignment="1">
      <alignment horizontal="center" vertical="center"/>
    </xf>
    <xf numFmtId="164" fontId="3" fillId="11" borderId="16" xfId="0" applyNumberFormat="1" applyFont="1" applyFill="1" applyBorder="1"/>
    <xf numFmtId="164" fontId="0" fillId="9" borderId="27" xfId="0" applyNumberFormat="1" applyFill="1" applyBorder="1" applyAlignment="1">
      <alignment horizontal="center" vertical="center"/>
    </xf>
    <xf numFmtId="164" fontId="0" fillId="9" borderId="30" xfId="0" applyNumberFormat="1" applyFill="1" applyBorder="1"/>
    <xf numFmtId="164" fontId="0" fillId="10" borderId="27" xfId="0" applyNumberFormat="1" applyFill="1" applyBorder="1" applyAlignment="1">
      <alignment horizontal="center" vertical="center"/>
    </xf>
    <xf numFmtId="164" fontId="0" fillId="10" borderId="71" xfId="0" applyNumberFormat="1" applyFill="1" applyBorder="1" applyAlignment="1">
      <alignment horizontal="center" vertical="center"/>
    </xf>
    <xf numFmtId="164" fontId="0" fillId="11" borderId="90" xfId="0" applyNumberFormat="1" applyFill="1" applyBorder="1" applyAlignment="1">
      <alignment horizontal="center" vertical="center"/>
    </xf>
    <xf numFmtId="164" fontId="0" fillId="11" borderId="30" xfId="0" applyNumberFormat="1" applyFill="1" applyBorder="1"/>
    <xf numFmtId="164" fontId="0" fillId="0" borderId="3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0" fontId="1" fillId="8" borderId="41" xfId="0" applyFont="1" applyFill="1" applyBorder="1" applyAlignment="1">
      <alignment horizontal="center" vertical="center"/>
    </xf>
    <xf numFmtId="164" fontId="0" fillId="8" borderId="33" xfId="0" applyNumberFormat="1" applyFill="1" applyBorder="1" applyAlignment="1">
      <alignment horizontal="center" vertical="center"/>
    </xf>
    <xf numFmtId="164" fontId="0" fillId="8" borderId="24" xfId="0" applyNumberFormat="1" applyFill="1" applyBorder="1" applyAlignment="1">
      <alignment horizontal="center" vertical="center"/>
    </xf>
    <xf numFmtId="164" fontId="0" fillId="8" borderId="34" xfId="0" applyNumberFormat="1" applyFill="1" applyBorder="1" applyAlignment="1">
      <alignment horizontal="center" vertical="center"/>
    </xf>
    <xf numFmtId="164" fontId="0" fillId="8" borderId="24" xfId="0" applyNumberFormat="1" applyFill="1" applyBorder="1" applyAlignment="1">
      <alignment horizontal="center" vertical="center" wrapText="1"/>
    </xf>
    <xf numFmtId="164" fontId="0" fillId="8" borderId="25" xfId="0" applyNumberFormat="1" applyFill="1" applyBorder="1" applyAlignment="1">
      <alignment horizontal="center" vertical="center"/>
    </xf>
    <xf numFmtId="164" fontId="0" fillId="8" borderId="31" xfId="0" applyNumberFormat="1" applyFill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164" fontId="0" fillId="0" borderId="31" xfId="0" applyNumberFormat="1" applyBorder="1" applyAlignment="1">
      <alignment horizontal="center"/>
    </xf>
    <xf numFmtId="164" fontId="0" fillId="0" borderId="31" xfId="0" applyNumberFormat="1" applyBorder="1"/>
    <xf numFmtId="0" fontId="0" fillId="0" borderId="64" xfId="0" applyBorder="1"/>
    <xf numFmtId="0" fontId="0" fillId="0" borderId="63" xfId="0" applyBorder="1" applyAlignment="1">
      <alignment horizontal="center" vertical="center"/>
    </xf>
    <xf numFmtId="0" fontId="0" fillId="0" borderId="61" xfId="0" applyBorder="1"/>
    <xf numFmtId="0" fontId="1" fillId="3" borderId="41" xfId="0" applyFont="1" applyFill="1" applyBorder="1"/>
    <xf numFmtId="0" fontId="1" fillId="3" borderId="51" xfId="0" applyFont="1" applyFill="1" applyBorder="1"/>
    <xf numFmtId="0" fontId="1" fillId="3" borderId="56" xfId="0" applyFont="1" applyFill="1" applyBorder="1"/>
    <xf numFmtId="0" fontId="38" fillId="2" borderId="34" xfId="0" applyFont="1" applyFill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44" xfId="0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82" xfId="0" applyFont="1" applyFill="1" applyBorder="1" applyAlignment="1">
      <alignment horizontal="center" vertical="center"/>
    </xf>
    <xf numFmtId="0" fontId="43" fillId="3" borderId="15" xfId="1" applyFill="1" applyBorder="1"/>
    <xf numFmtId="0" fontId="32" fillId="22" borderId="49" xfId="0" applyFont="1" applyFill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22" borderId="3" xfId="0" applyFont="1" applyFill="1" applyBorder="1" applyAlignment="1">
      <alignment horizontal="center"/>
    </xf>
    <xf numFmtId="0" fontId="32" fillId="22" borderId="69" xfId="0" applyFont="1" applyFill="1" applyBorder="1" applyAlignment="1">
      <alignment horizontal="center"/>
    </xf>
    <xf numFmtId="0" fontId="0" fillId="25" borderId="66" xfId="0" applyFill="1" applyBorder="1" applyAlignment="1">
      <alignment horizontal="center" vertical="center"/>
    </xf>
    <xf numFmtId="0" fontId="1" fillId="4" borderId="75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25" borderId="70" xfId="0" applyFill="1" applyBorder="1" applyAlignment="1">
      <alignment horizontal="center" vertical="center"/>
    </xf>
    <xf numFmtId="0" fontId="1" fillId="4" borderId="102" xfId="0" applyFont="1" applyFill="1" applyBorder="1" applyAlignment="1">
      <alignment horizontal="center" vertical="center"/>
    </xf>
    <xf numFmtId="0" fontId="1" fillId="25" borderId="91" xfId="0" applyFont="1" applyFill="1" applyBorder="1" applyAlignment="1">
      <alignment horizontal="center"/>
    </xf>
    <xf numFmtId="0" fontId="1" fillId="4" borderId="80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/>
    </xf>
    <xf numFmtId="0" fontId="1" fillId="25" borderId="65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1" fillId="25" borderId="61" xfId="0" applyFont="1" applyFill="1" applyBorder="1" applyAlignment="1">
      <alignment horizontal="center" vertical="center"/>
    </xf>
    <xf numFmtId="0" fontId="37" fillId="0" borderId="11" xfId="0" applyFont="1" applyBorder="1"/>
    <xf numFmtId="0" fontId="22" fillId="0" borderId="29" xfId="0" applyFont="1" applyBorder="1"/>
    <xf numFmtId="0" fontId="0" fillId="0" borderId="21" xfId="0" applyBorder="1"/>
    <xf numFmtId="0" fontId="0" fillId="25" borderId="11" xfId="0" applyFill="1" applyBorder="1"/>
    <xf numFmtId="0" fontId="0" fillId="25" borderId="70" xfId="0" applyFill="1" applyBorder="1"/>
    <xf numFmtId="0" fontId="0" fillId="4" borderId="55" xfId="0" applyFill="1" applyBorder="1"/>
    <xf numFmtId="0" fontId="0" fillId="4" borderId="71" xfId="0" applyFill="1" applyBorder="1"/>
    <xf numFmtId="0" fontId="0" fillId="3" borderId="3" xfId="0" applyFill="1" applyBorder="1"/>
    <xf numFmtId="0" fontId="34" fillId="3" borderId="16" xfId="0" applyFont="1" applyFill="1" applyBorder="1"/>
    <xf numFmtId="0" fontId="29" fillId="32" borderId="16" xfId="0" applyFont="1" applyFill="1" applyBorder="1"/>
    <xf numFmtId="0" fontId="12" fillId="7" borderId="94" xfId="0" applyFont="1" applyFill="1" applyBorder="1"/>
    <xf numFmtId="0" fontId="0" fillId="26" borderId="94" xfId="0" applyFill="1" applyBorder="1"/>
    <xf numFmtId="0" fontId="39" fillId="0" borderId="32" xfId="0" applyFont="1" applyBorder="1" applyAlignment="1">
      <alignment horizontal="center" vertical="center" wrapText="1"/>
    </xf>
    <xf numFmtId="164" fontId="0" fillId="0" borderId="0" xfId="0" applyNumberFormat="1"/>
    <xf numFmtId="0" fontId="1" fillId="25" borderId="41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2" fillId="4" borderId="94" xfId="0" applyFont="1" applyFill="1" applyBorder="1" applyAlignment="1">
      <alignment horizontal="center" vertical="center"/>
    </xf>
    <xf numFmtId="0" fontId="0" fillId="3" borderId="55" xfId="0" applyFill="1" applyBorder="1" applyAlignment="1">
      <alignment vertical="center"/>
    </xf>
    <xf numFmtId="0" fontId="0" fillId="3" borderId="71" xfId="0" applyFill="1" applyBorder="1"/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75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13" borderId="78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 wrapText="1"/>
    </xf>
    <xf numFmtId="0" fontId="1" fillId="9" borderId="66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12" borderId="54" xfId="0" applyFont="1" applyFill="1" applyBorder="1" applyAlignment="1">
      <alignment horizontal="center" vertical="center" wrapText="1"/>
    </xf>
    <xf numFmtId="0" fontId="1" fillId="12" borderId="79" xfId="0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3" borderId="94" xfId="0" applyFont="1" applyFill="1" applyBorder="1" applyAlignment="1">
      <alignment horizontal="center" vertical="center" wrapText="1"/>
    </xf>
    <xf numFmtId="0" fontId="1" fillId="28" borderId="41" xfId="0" applyFont="1" applyFill="1" applyBorder="1" applyAlignment="1">
      <alignment horizontal="center" vertical="center"/>
    </xf>
    <xf numFmtId="0" fontId="1" fillId="28" borderId="51" xfId="0" applyFont="1" applyFill="1" applyBorder="1" applyAlignment="1">
      <alignment horizontal="center" vertical="center"/>
    </xf>
    <xf numFmtId="0" fontId="1" fillId="28" borderId="56" xfId="0" applyFont="1" applyFill="1" applyBorder="1" applyAlignment="1">
      <alignment horizontal="center" vertical="center"/>
    </xf>
    <xf numFmtId="0" fontId="1" fillId="4" borderId="107" xfId="0" applyFont="1" applyFill="1" applyBorder="1" applyAlignment="1">
      <alignment horizontal="center" vertical="center"/>
    </xf>
    <xf numFmtId="0" fontId="1" fillId="4" borderId="105" xfId="0" applyFont="1" applyFill="1" applyBorder="1" applyAlignment="1">
      <alignment horizontal="center" vertical="center"/>
    </xf>
    <xf numFmtId="0" fontId="1" fillId="4" borderId="108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 wrapText="1"/>
    </xf>
    <xf numFmtId="0" fontId="1" fillId="13" borderId="62" xfId="0" applyFont="1" applyFill="1" applyBorder="1" applyAlignment="1">
      <alignment horizontal="center" vertical="center" wrapText="1"/>
    </xf>
    <xf numFmtId="0" fontId="1" fillId="9" borderId="38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2" borderId="9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3" fillId="0" borderId="75" xfId="0" applyFont="1" applyBorder="1" applyAlignment="1">
      <alignment horizontal="center" wrapText="1"/>
    </xf>
    <xf numFmtId="0" fontId="2" fillId="0" borderId="86" xfId="0" applyFont="1" applyBorder="1" applyAlignment="1">
      <alignment horizontal="center" wrapText="1"/>
    </xf>
    <xf numFmtId="0" fontId="1" fillId="0" borderId="39" xfId="0" applyFont="1" applyBorder="1" applyAlignment="1">
      <alignment horizontal="center" wrapText="1"/>
    </xf>
    <xf numFmtId="0" fontId="1" fillId="0" borderId="65" xfId="0" applyFont="1" applyBorder="1" applyAlignment="1">
      <alignment horizont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35" fillId="26" borderId="37" xfId="0" applyFont="1" applyFill="1" applyBorder="1" applyAlignment="1">
      <alignment horizontal="center" vertical="center"/>
    </xf>
    <xf numFmtId="0" fontId="35" fillId="26" borderId="38" xfId="0" applyFont="1" applyFill="1" applyBorder="1" applyAlignment="1">
      <alignment horizontal="center" vertical="center"/>
    </xf>
    <xf numFmtId="0" fontId="35" fillId="26" borderId="39" xfId="0" applyFont="1" applyFill="1" applyBorder="1" applyAlignment="1">
      <alignment horizontal="center" vertical="center"/>
    </xf>
    <xf numFmtId="0" fontId="35" fillId="26" borderId="33" xfId="0" applyFont="1" applyFill="1" applyBorder="1" applyAlignment="1">
      <alignment horizontal="center" vertical="center"/>
    </xf>
    <xf numFmtId="0" fontId="35" fillId="26" borderId="0" xfId="0" applyFont="1" applyFill="1" applyAlignment="1">
      <alignment horizontal="center" vertical="center"/>
    </xf>
    <xf numFmtId="0" fontId="35" fillId="26" borderId="62" xfId="0" applyFont="1" applyFill="1" applyBorder="1" applyAlignment="1">
      <alignment horizontal="center" vertical="center"/>
    </xf>
    <xf numFmtId="0" fontId="35" fillId="26" borderId="101" xfId="0" applyFont="1" applyFill="1" applyBorder="1" applyAlignment="1">
      <alignment horizontal="center" vertical="center"/>
    </xf>
    <xf numFmtId="0" fontId="35" fillId="26" borderId="6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3" borderId="37" xfId="0" applyFont="1" applyFill="1" applyBorder="1" applyAlignment="1">
      <alignment horizontal="center" vertical="center" wrapText="1"/>
    </xf>
    <xf numFmtId="0" fontId="1" fillId="13" borderId="33" xfId="0" applyFont="1" applyFill="1" applyBorder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wrapText="1"/>
    </xf>
    <xf numFmtId="0" fontId="1" fillId="9" borderId="73" xfId="0" applyFont="1" applyFill="1" applyBorder="1" applyAlignment="1">
      <alignment horizontal="center" vertical="center" wrapText="1"/>
    </xf>
    <xf numFmtId="0" fontId="15" fillId="0" borderId="83" xfId="0" applyFont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7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13" borderId="38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42" xfId="0" applyFont="1" applyFill="1" applyBorder="1" applyAlignment="1">
      <alignment horizontal="center"/>
    </xf>
    <xf numFmtId="0" fontId="1" fillId="10" borderId="43" xfId="0" applyFont="1" applyFill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7" borderId="62" xfId="0" applyFont="1" applyFill="1" applyBorder="1" applyAlignment="1">
      <alignment horizontal="center"/>
    </xf>
    <xf numFmtId="0" fontId="1" fillId="7" borderId="94" xfId="0" applyFont="1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1" fillId="9" borderId="42" xfId="0" applyFont="1" applyFill="1" applyBorder="1" applyAlignment="1">
      <alignment horizontal="center"/>
    </xf>
    <xf numFmtId="0" fontId="1" fillId="9" borderId="43" xfId="0" applyFont="1" applyFill="1" applyBorder="1" applyAlignment="1">
      <alignment horizontal="center"/>
    </xf>
    <xf numFmtId="0" fontId="1" fillId="11" borderId="37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2" borderId="37" xfId="0" applyFont="1" applyFill="1" applyBorder="1" applyAlignment="1">
      <alignment horizontal="center"/>
    </xf>
    <xf numFmtId="0" fontId="1" fillId="12" borderId="38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81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64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top" wrapText="1"/>
    </xf>
    <xf numFmtId="0" fontId="1" fillId="3" borderId="5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8" xfId="0" applyFont="1" applyFill="1" applyBorder="1" applyAlignment="1">
      <alignment horizontal="center" vertical="top" wrapText="1"/>
    </xf>
    <xf numFmtId="0" fontId="13" fillId="0" borderId="0" xfId="0" applyFont="1" applyAlignment="1">
      <alignment horizontal="center" vertical="center" wrapText="1"/>
    </xf>
    <xf numFmtId="0" fontId="10" fillId="0" borderId="78" xfId="0" applyFont="1" applyBorder="1" applyAlignment="1">
      <alignment horizontal="left"/>
    </xf>
    <xf numFmtId="0" fontId="1" fillId="0" borderId="83" xfId="0" applyFont="1" applyBorder="1" applyAlignment="1">
      <alignment horizontal="left"/>
    </xf>
    <xf numFmtId="0" fontId="1" fillId="0" borderId="75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" fillId="0" borderId="8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34" fillId="0" borderId="0" xfId="0" applyFont="1" applyAlignment="1">
      <alignment horizontal="center"/>
    </xf>
    <xf numFmtId="0" fontId="1" fillId="3" borderId="37" xfId="0" applyFont="1" applyFill="1" applyBorder="1" applyAlignment="1">
      <alignment horizontal="center" vertical="top" wrapText="1"/>
    </xf>
    <xf numFmtId="0" fontId="1" fillId="3" borderId="38" xfId="0" applyFont="1" applyFill="1" applyBorder="1" applyAlignment="1">
      <alignment horizontal="center" vertical="top" wrapText="1"/>
    </xf>
    <xf numFmtId="0" fontId="1" fillId="3" borderId="39" xfId="0" applyFont="1" applyFill="1" applyBorder="1" applyAlignment="1">
      <alignment horizontal="center" vertical="top" wrapText="1"/>
    </xf>
    <xf numFmtId="0" fontId="24" fillId="3" borderId="33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62" xfId="0" applyFont="1" applyFill="1" applyBorder="1" applyAlignment="1">
      <alignment horizontal="center" vertical="center"/>
    </xf>
    <xf numFmtId="0" fontId="24" fillId="3" borderId="63" xfId="0" applyFont="1" applyFill="1" applyBorder="1" applyAlignment="1">
      <alignment horizontal="center" vertical="center"/>
    </xf>
    <xf numFmtId="0" fontId="24" fillId="3" borderId="64" xfId="0" applyFont="1" applyFill="1" applyBorder="1" applyAlignment="1">
      <alignment horizontal="center" vertical="center"/>
    </xf>
    <xf numFmtId="0" fontId="24" fillId="3" borderId="6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23" fillId="3" borderId="33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62" xfId="0" applyFont="1" applyFill="1" applyBorder="1" applyAlignment="1">
      <alignment horizontal="center" vertical="center"/>
    </xf>
    <xf numFmtId="0" fontId="23" fillId="3" borderId="63" xfId="0" applyFont="1" applyFill="1" applyBorder="1" applyAlignment="1">
      <alignment horizontal="center" vertical="center"/>
    </xf>
    <xf numFmtId="0" fontId="23" fillId="3" borderId="64" xfId="0" applyFont="1" applyFill="1" applyBorder="1" applyAlignment="1">
      <alignment horizontal="center" vertical="center"/>
    </xf>
    <xf numFmtId="0" fontId="23" fillId="3" borderId="65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97" xfId="0" applyFont="1" applyFill="1" applyBorder="1" applyAlignment="1">
      <alignment horizontal="center" vertical="center"/>
    </xf>
    <xf numFmtId="0" fontId="23" fillId="3" borderId="53" xfId="0" applyFont="1" applyFill="1" applyBorder="1" applyAlignment="1">
      <alignment horizontal="center" vertical="center"/>
    </xf>
    <xf numFmtId="0" fontId="23" fillId="3" borderId="73" xfId="0" applyFont="1" applyFill="1" applyBorder="1" applyAlignment="1">
      <alignment horizontal="center" vertical="center"/>
    </xf>
    <xf numFmtId="0" fontId="23" fillId="3" borderId="93" xfId="0" applyFont="1" applyFill="1" applyBorder="1" applyAlignment="1">
      <alignment horizontal="center" vertical="center"/>
    </xf>
    <xf numFmtId="0" fontId="23" fillId="3" borderId="29" xfId="0" applyFont="1" applyFill="1" applyBorder="1" applyAlignment="1">
      <alignment horizontal="center" vertical="center"/>
    </xf>
    <xf numFmtId="0" fontId="23" fillId="3" borderId="77" xfId="0" applyFont="1" applyFill="1" applyBorder="1" applyAlignment="1">
      <alignment horizontal="center" vertical="center"/>
    </xf>
    <xf numFmtId="0" fontId="23" fillId="3" borderId="5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top" wrapText="1"/>
    </xf>
    <xf numFmtId="0" fontId="1" fillId="3" borderId="17" xfId="0" applyFont="1" applyFill="1" applyBorder="1" applyAlignment="1">
      <alignment horizontal="center" vertical="top" wrapText="1"/>
    </xf>
    <xf numFmtId="0" fontId="18" fillId="0" borderId="34" xfId="0" applyFont="1" applyBorder="1" applyAlignment="1">
      <alignment horizontal="left"/>
    </xf>
    <xf numFmtId="0" fontId="18" fillId="0" borderId="77" xfId="0" applyFont="1" applyBorder="1" applyAlignment="1">
      <alignment horizontal="left"/>
    </xf>
    <xf numFmtId="0" fontId="18" fillId="0" borderId="52" xfId="0" applyFont="1" applyBorder="1" applyAlignment="1">
      <alignment horizontal="left"/>
    </xf>
    <xf numFmtId="0" fontId="1" fillId="0" borderId="41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45" fillId="25" borderId="101" xfId="0" applyFont="1" applyFill="1" applyBorder="1" applyAlignment="1">
      <alignment horizontal="center" vertical="center"/>
    </xf>
    <xf numFmtId="0" fontId="45" fillId="25" borderId="94" xfId="0" applyFont="1" applyFill="1" applyBorder="1" applyAlignment="1">
      <alignment horizontal="center" vertical="center"/>
    </xf>
    <xf numFmtId="0" fontId="45" fillId="25" borderId="61" xfId="0" applyFont="1" applyFill="1" applyBorder="1" applyAlignment="1">
      <alignment horizontal="center" vertical="center"/>
    </xf>
    <xf numFmtId="0" fontId="46" fillId="4" borderId="94" xfId="0" applyFont="1" applyFill="1" applyBorder="1" applyAlignment="1">
      <alignment horizontal="center" vertical="center"/>
    </xf>
    <xf numFmtId="0" fontId="46" fillId="4" borderId="61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93" xfId="0" applyFont="1" applyBorder="1" applyAlignment="1">
      <alignment horizontal="left"/>
    </xf>
    <xf numFmtId="0" fontId="23" fillId="3" borderId="25" xfId="0" applyFont="1" applyFill="1" applyBorder="1" applyAlignment="1">
      <alignment horizontal="center" vertical="center"/>
    </xf>
    <xf numFmtId="0" fontId="23" fillId="3" borderId="86" xfId="0" applyFont="1" applyFill="1" applyBorder="1" applyAlignment="1">
      <alignment horizontal="center" vertical="center"/>
    </xf>
    <xf numFmtId="0" fontId="1" fillId="3" borderId="78" xfId="0" applyFont="1" applyFill="1" applyBorder="1" applyAlignment="1">
      <alignment horizontal="center" vertical="top" wrapText="1"/>
    </xf>
    <xf numFmtId="0" fontId="1" fillId="3" borderId="67" xfId="0" applyFont="1" applyFill="1" applyBorder="1" applyAlignment="1">
      <alignment horizontal="center" vertical="top" wrapText="1"/>
    </xf>
    <xf numFmtId="0" fontId="1" fillId="3" borderId="75" xfId="0" applyFont="1" applyFill="1" applyBorder="1" applyAlignment="1">
      <alignment horizontal="center" vertical="top" wrapText="1"/>
    </xf>
    <xf numFmtId="0" fontId="1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47" fillId="32" borderId="0" xfId="0" applyFont="1" applyFill="1" applyAlignment="1">
      <alignment horizontal="center" vertical="center" wrapText="1"/>
    </xf>
    <xf numFmtId="0" fontId="47" fillId="32" borderId="62" xfId="0" applyFont="1" applyFill="1" applyBorder="1" applyAlignment="1">
      <alignment horizontal="center" vertical="center" wrapText="1"/>
    </xf>
    <xf numFmtId="0" fontId="47" fillId="32" borderId="77" xfId="0" applyFont="1" applyFill="1" applyBorder="1" applyAlignment="1">
      <alignment horizontal="center" vertical="center" wrapText="1"/>
    </xf>
    <xf numFmtId="0" fontId="47" fillId="32" borderId="9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A4ED"/>
      <color rgb="FFA6FC95"/>
      <color rgb="FF8AE9FF"/>
      <color rgb="FFEB5050"/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304" TargetMode="External"/><Relationship Id="rId7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302" TargetMode="External"/><Relationship Id="rId1" Type="http://schemas.openxmlformats.org/officeDocument/2006/relationships/hyperlink" Target="http://learn.solent.ac.uk/course/search.php?search=COM300" TargetMode="External"/><Relationship Id="rId6" Type="http://schemas.openxmlformats.org/officeDocument/2006/relationships/hyperlink" Target="http://learn.solent.ac.uk/course/search.php?search=COM307" TargetMode="External"/><Relationship Id="rId5" Type="http://schemas.openxmlformats.org/officeDocument/2006/relationships/hyperlink" Target="http://learn.solent.ac.uk/course/search.php?search=COM306" TargetMode="External"/><Relationship Id="rId4" Type="http://schemas.openxmlformats.org/officeDocument/2006/relationships/hyperlink" Target="http://learn.solent.ac.uk/course/search.php?search=COM30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earn.solent.ac.uk/course/search.php?search=COM427" TargetMode="External"/><Relationship Id="rId18" Type="http://schemas.openxmlformats.org/officeDocument/2006/relationships/hyperlink" Target="http://learn.solent.ac.uk/course/search.php?search=COM513" TargetMode="External"/><Relationship Id="rId26" Type="http://schemas.openxmlformats.org/officeDocument/2006/relationships/hyperlink" Target="http://learn.solent.ac.uk/course/search.php?search=COM521" TargetMode="External"/><Relationship Id="rId39" Type="http://schemas.openxmlformats.org/officeDocument/2006/relationships/hyperlink" Target="http://learn.solent.ac.uk/course/search.php?search=COM616" TargetMode="External"/><Relationship Id="rId21" Type="http://schemas.openxmlformats.org/officeDocument/2006/relationships/hyperlink" Target="http://learn.solent.ac.uk/course/search.php?search=COM516" TargetMode="External"/><Relationship Id="rId34" Type="http://schemas.openxmlformats.org/officeDocument/2006/relationships/hyperlink" Target="http://learn.solent.ac.uk/course/search.php?search=COM611" TargetMode="External"/><Relationship Id="rId42" Type="http://schemas.openxmlformats.org/officeDocument/2006/relationships/hyperlink" Target="http://learn.solent.ac.uk/course/search.php?search=COM619" TargetMode="External"/><Relationship Id="rId47" Type="http://schemas.openxmlformats.org/officeDocument/2006/relationships/hyperlink" Target="http://learn.solent.ac.uk/course/search.php?search=COM624" TargetMode="External"/><Relationship Id="rId50" Type="http://schemas.openxmlformats.org/officeDocument/2006/relationships/hyperlink" Target="http://learn.solent.ac.uk/course/search.php?search=COM429" TargetMode="External"/><Relationship Id="rId7" Type="http://schemas.openxmlformats.org/officeDocument/2006/relationships/hyperlink" Target="http://learn.solent.ac.uk/course/search.php?search=COM417" TargetMode="External"/><Relationship Id="rId2" Type="http://schemas.openxmlformats.org/officeDocument/2006/relationships/hyperlink" Target="http://learn.solent.ac.uk/course/search.php?search=COM412" TargetMode="External"/><Relationship Id="rId16" Type="http://schemas.openxmlformats.org/officeDocument/2006/relationships/hyperlink" Target="http://learn.solent.ac.uk/course/search.php?search=COM511" TargetMode="External"/><Relationship Id="rId29" Type="http://schemas.openxmlformats.org/officeDocument/2006/relationships/hyperlink" Target="http://learn.solent.ac.uk/course/search.php?search=COM527" TargetMode="External"/><Relationship Id="rId11" Type="http://schemas.openxmlformats.org/officeDocument/2006/relationships/hyperlink" Target="http://learn.solent.ac.uk/course/search.php?search=COM426" TargetMode="External"/><Relationship Id="rId24" Type="http://schemas.openxmlformats.org/officeDocument/2006/relationships/hyperlink" Target="http://learn.solent.ac.uk/course/search.php?search=COM519" TargetMode="External"/><Relationship Id="rId32" Type="http://schemas.openxmlformats.org/officeDocument/2006/relationships/hyperlink" Target="http://learn.solent.ac.uk/course/search.php?search=COM530" TargetMode="External"/><Relationship Id="rId37" Type="http://schemas.openxmlformats.org/officeDocument/2006/relationships/hyperlink" Target="http://learn.solent.ac.uk/course/search.php?search=COM614" TargetMode="External"/><Relationship Id="rId40" Type="http://schemas.openxmlformats.org/officeDocument/2006/relationships/hyperlink" Target="http://learn.solent.ac.uk/course/search.php?search=COM617" TargetMode="External"/><Relationship Id="rId45" Type="http://schemas.openxmlformats.org/officeDocument/2006/relationships/hyperlink" Target="http://learn.solent.ac.uk/course/search.php?search=COM622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learn.solent.ac.uk/course/search.php?search=COM415" TargetMode="External"/><Relationship Id="rId10" Type="http://schemas.openxmlformats.org/officeDocument/2006/relationships/hyperlink" Target="http://learn.solent.ac.uk/course/search.php?search=COM421" TargetMode="External"/><Relationship Id="rId19" Type="http://schemas.openxmlformats.org/officeDocument/2006/relationships/hyperlink" Target="http://learn.solent.ac.uk/course/search.php?search=COM514" TargetMode="External"/><Relationship Id="rId31" Type="http://schemas.openxmlformats.org/officeDocument/2006/relationships/hyperlink" Target="http://learn.solent.ac.uk/course/search.php?search=COM529" TargetMode="External"/><Relationship Id="rId44" Type="http://schemas.openxmlformats.org/officeDocument/2006/relationships/hyperlink" Target="http://learn.solent.ac.uk/course/search.php?search=COM621" TargetMode="External"/><Relationship Id="rId52" Type="http://schemas.openxmlformats.org/officeDocument/2006/relationships/hyperlink" Target="https://learn.solent.ac.uk/course/view.php?id=22663&#167;ion=1" TargetMode="External"/><Relationship Id="rId4" Type="http://schemas.openxmlformats.org/officeDocument/2006/relationships/hyperlink" Target="http://learn.solent.ac.uk/course/search.php?search=COM414" TargetMode="External"/><Relationship Id="rId9" Type="http://schemas.openxmlformats.org/officeDocument/2006/relationships/hyperlink" Target="http://learn.solent.ac.uk/course/search.php?search=COM419" TargetMode="External"/><Relationship Id="rId14" Type="http://schemas.openxmlformats.org/officeDocument/2006/relationships/hyperlink" Target="http://learn.solent.ac.uk/course/search.php?search=COM423" TargetMode="External"/><Relationship Id="rId22" Type="http://schemas.openxmlformats.org/officeDocument/2006/relationships/hyperlink" Target="http://learn.solent.ac.uk/course/search.php?search=COM517" TargetMode="External"/><Relationship Id="rId27" Type="http://schemas.openxmlformats.org/officeDocument/2006/relationships/hyperlink" Target="http://learn.solent.ac.uk/course/search.php?search=COM522" TargetMode="External"/><Relationship Id="rId30" Type="http://schemas.openxmlformats.org/officeDocument/2006/relationships/hyperlink" Target="http://learn.solent.ac.uk/course/search.php?search=COM528" TargetMode="External"/><Relationship Id="rId35" Type="http://schemas.openxmlformats.org/officeDocument/2006/relationships/hyperlink" Target="http://learn.solent.ac.uk/course/search.php?search=COM612" TargetMode="External"/><Relationship Id="rId43" Type="http://schemas.openxmlformats.org/officeDocument/2006/relationships/hyperlink" Target="http://learn.solent.ac.uk/course/search.php?search=COM620" TargetMode="External"/><Relationship Id="rId48" Type="http://schemas.openxmlformats.org/officeDocument/2006/relationships/hyperlink" Target="http://learn.solent.ac.uk/course/search.php?search=COM625" TargetMode="External"/><Relationship Id="rId8" Type="http://schemas.openxmlformats.org/officeDocument/2006/relationships/hyperlink" Target="http://learn.solent.ac.uk/course/search.php?search=COM418" TargetMode="External"/><Relationship Id="rId51" Type="http://schemas.openxmlformats.org/officeDocument/2006/relationships/hyperlink" Target="http://learn.solent.ac.uk/course/search.php?search=COM428" TargetMode="External"/><Relationship Id="rId3" Type="http://schemas.openxmlformats.org/officeDocument/2006/relationships/hyperlink" Target="http://learn.solent.ac.uk/course/search.php?search=COM413" TargetMode="External"/><Relationship Id="rId12" Type="http://schemas.openxmlformats.org/officeDocument/2006/relationships/hyperlink" Target="http://learn.solent.ac.uk/course/search.php?search=COM422" TargetMode="External"/><Relationship Id="rId17" Type="http://schemas.openxmlformats.org/officeDocument/2006/relationships/hyperlink" Target="http://learn.solent.ac.uk/course/search.php?search=COM512" TargetMode="External"/><Relationship Id="rId25" Type="http://schemas.openxmlformats.org/officeDocument/2006/relationships/hyperlink" Target="http://learn.solent.ac.uk/course/search.php?search=COM520" TargetMode="External"/><Relationship Id="rId33" Type="http://schemas.openxmlformats.org/officeDocument/2006/relationships/hyperlink" Target="http://learn.solent.ac.uk/course/search.php?search=COM532" TargetMode="External"/><Relationship Id="rId38" Type="http://schemas.openxmlformats.org/officeDocument/2006/relationships/hyperlink" Target="http://learn.solent.ac.uk/course/search.php?search=COM615" TargetMode="External"/><Relationship Id="rId46" Type="http://schemas.openxmlformats.org/officeDocument/2006/relationships/hyperlink" Target="http://learn.solent.ac.uk/course/search.php?search=COM623" TargetMode="External"/><Relationship Id="rId20" Type="http://schemas.openxmlformats.org/officeDocument/2006/relationships/hyperlink" Target="http://learn.solent.ac.uk/course/search.php?search=COM515" TargetMode="External"/><Relationship Id="rId41" Type="http://schemas.openxmlformats.org/officeDocument/2006/relationships/hyperlink" Target="http://learn.solent.ac.uk/course/search.php?search=COM618" TargetMode="External"/><Relationship Id="rId1" Type="http://schemas.openxmlformats.org/officeDocument/2006/relationships/hyperlink" Target="http://learn.solent.ac.uk/course/search.php?search=COM411" TargetMode="External"/><Relationship Id="rId6" Type="http://schemas.openxmlformats.org/officeDocument/2006/relationships/hyperlink" Target="http://learn.solent.ac.uk/course/search.php?search=COM416" TargetMode="External"/><Relationship Id="rId15" Type="http://schemas.openxmlformats.org/officeDocument/2006/relationships/hyperlink" Target="http://learn.solent.ac.uk/course/search.php?search=CTE303" TargetMode="External"/><Relationship Id="rId23" Type="http://schemas.openxmlformats.org/officeDocument/2006/relationships/hyperlink" Target="http://learn.solent.ac.uk/course/search.php?search=COM518" TargetMode="External"/><Relationship Id="rId28" Type="http://schemas.openxmlformats.org/officeDocument/2006/relationships/hyperlink" Target="http://learn.solent.ac.uk/course/search.php?search=COM526" TargetMode="External"/><Relationship Id="rId36" Type="http://schemas.openxmlformats.org/officeDocument/2006/relationships/hyperlink" Target="http://learn.solent.ac.uk/course/search.php?search=COM613" TargetMode="External"/><Relationship Id="rId49" Type="http://schemas.openxmlformats.org/officeDocument/2006/relationships/hyperlink" Target="http://learn.solent.ac.uk/course/search.php?search=COM62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earn.solent.ac.uk/course/search.php?search=MAA103" TargetMode="External"/><Relationship Id="rId13" Type="http://schemas.openxmlformats.org/officeDocument/2006/relationships/hyperlink" Target="http://learn.solent.ac.uk/course/search.php?search=COM713" TargetMode="External"/><Relationship Id="rId18" Type="http://schemas.openxmlformats.org/officeDocument/2006/relationships/hyperlink" Target="http://learn.solent.ac.uk/course/search.php?search=COM726" TargetMode="External"/><Relationship Id="rId26" Type="http://schemas.openxmlformats.org/officeDocument/2006/relationships/hyperlink" Target="http://learn.solent.ac.uk/course/search.php?search=COM711" TargetMode="External"/><Relationship Id="rId3" Type="http://schemas.openxmlformats.org/officeDocument/2006/relationships/hyperlink" Target="http://learn.solent.ac.uk/course/search.php?search=COM716" TargetMode="External"/><Relationship Id="rId21" Type="http://schemas.openxmlformats.org/officeDocument/2006/relationships/hyperlink" Target="http://learn.solent.ac.uk/course/search.php?search=COM715" TargetMode="External"/><Relationship Id="rId7" Type="http://schemas.openxmlformats.org/officeDocument/2006/relationships/hyperlink" Target="http://learn.solent.ac.uk/course/search.php?search=COM716" TargetMode="External"/><Relationship Id="rId12" Type="http://schemas.openxmlformats.org/officeDocument/2006/relationships/hyperlink" Target="http://learn.solent.ac.uk/course/search.php?search=COM710" TargetMode="External"/><Relationship Id="rId17" Type="http://schemas.openxmlformats.org/officeDocument/2006/relationships/hyperlink" Target="http://learn.solent.ac.uk/course/search.php?search=COM710" TargetMode="External"/><Relationship Id="rId25" Type="http://schemas.openxmlformats.org/officeDocument/2006/relationships/hyperlink" Target="http://learn.solent.ac.uk/course/search.php?search=COM721" TargetMode="External"/><Relationship Id="rId2" Type="http://schemas.openxmlformats.org/officeDocument/2006/relationships/hyperlink" Target="http://learn.solent.ac.uk/course/search.php?search=COM712" TargetMode="External"/><Relationship Id="rId16" Type="http://schemas.openxmlformats.org/officeDocument/2006/relationships/hyperlink" Target="http://learn.solent.ac.uk/course/search.php?search=COM700" TargetMode="External"/><Relationship Id="rId20" Type="http://schemas.openxmlformats.org/officeDocument/2006/relationships/hyperlink" Target="http://learn.solent.ac.uk/course/search.php?search=COM726" TargetMode="External"/><Relationship Id="rId1" Type="http://schemas.openxmlformats.org/officeDocument/2006/relationships/hyperlink" Target="http://learn.solent.ac.uk/course/search.php?search=COM709" TargetMode="External"/><Relationship Id="rId6" Type="http://schemas.openxmlformats.org/officeDocument/2006/relationships/hyperlink" Target="http://learn.solent.ac.uk/course/search.php?search=COM712" TargetMode="External"/><Relationship Id="rId11" Type="http://schemas.openxmlformats.org/officeDocument/2006/relationships/hyperlink" Target="http://learn.solent.ac.uk/course/search.php?search=COM700" TargetMode="External"/><Relationship Id="rId24" Type="http://schemas.openxmlformats.org/officeDocument/2006/relationships/hyperlink" Target="http://learn.solent.ac.uk/course/search.php?search=COM723" TargetMode="External"/><Relationship Id="rId5" Type="http://schemas.openxmlformats.org/officeDocument/2006/relationships/hyperlink" Target="http://learn.solent.ac.uk/course/search.php?search=COM709" TargetMode="External"/><Relationship Id="rId15" Type="http://schemas.openxmlformats.org/officeDocument/2006/relationships/hyperlink" Target="http://learn.solent.ac.uk/course/search.php?search=COM710" TargetMode="External"/><Relationship Id="rId23" Type="http://schemas.openxmlformats.org/officeDocument/2006/relationships/hyperlink" Target="http://learn.solent.ac.uk/course/search.php?search=COM720" TargetMode="External"/><Relationship Id="rId28" Type="http://schemas.openxmlformats.org/officeDocument/2006/relationships/hyperlink" Target="https://learn.solent.ac.uk/course/view.php?id=22663&#167;ion=1" TargetMode="External"/><Relationship Id="rId10" Type="http://schemas.openxmlformats.org/officeDocument/2006/relationships/hyperlink" Target="http://learn.solent.ac.uk/course/search.php?search=MAA103" TargetMode="External"/><Relationship Id="rId19" Type="http://schemas.openxmlformats.org/officeDocument/2006/relationships/hyperlink" Target="http://learn.solent.ac.uk/course/search.php?search=COM726" TargetMode="External"/><Relationship Id="rId4" Type="http://schemas.openxmlformats.org/officeDocument/2006/relationships/hyperlink" Target="http://learn.solent.ac.uk/course/search.php?search=MAA103" TargetMode="External"/><Relationship Id="rId9" Type="http://schemas.openxmlformats.org/officeDocument/2006/relationships/hyperlink" Target="http://learn.solent.ac.uk/course/search.php?search=COM709" TargetMode="External"/><Relationship Id="rId14" Type="http://schemas.openxmlformats.org/officeDocument/2006/relationships/hyperlink" Target="http://learn.solent.ac.uk/course/search.php?search=COM700" TargetMode="External"/><Relationship Id="rId22" Type="http://schemas.openxmlformats.org/officeDocument/2006/relationships/hyperlink" Target="http://learn.solent.ac.uk/course/search.php?search=COM722" TargetMode="External"/><Relationship Id="rId27" Type="http://schemas.openxmlformats.org/officeDocument/2006/relationships/hyperlink" Target="http://learn.solent.ac.uk/course/search.php?search=COM71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726" TargetMode="External"/><Relationship Id="rId2" Type="http://schemas.openxmlformats.org/officeDocument/2006/relationships/hyperlink" Target="http://learn.solent.ac.uk/course/search.php?search=COM725" TargetMode="External"/><Relationship Id="rId1" Type="http://schemas.openxmlformats.org/officeDocument/2006/relationships/hyperlink" Target="http://learn.solent.ac.uk/course/search.php?search=COM724" TargetMode="External"/><Relationship Id="rId6" Type="http://schemas.openxmlformats.org/officeDocument/2006/relationships/hyperlink" Target="https://learn.solent.ac.uk/course/view.php?id=22663&#167;ion=1" TargetMode="External"/><Relationship Id="rId5" Type="http://schemas.openxmlformats.org/officeDocument/2006/relationships/hyperlink" Target="http://learn.solent.ac.uk/course/search.php?search=COM728" TargetMode="External"/><Relationship Id="rId4" Type="http://schemas.openxmlformats.org/officeDocument/2006/relationships/hyperlink" Target="http://learn.solent.ac.uk/course/search.php?search=COM72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sheetPr>
    <tabColor rgb="FFA6FC95"/>
  </sheetPr>
  <dimension ref="A1:H10"/>
  <sheetViews>
    <sheetView workbookViewId="0">
      <selection activeCell="G8" sqref="G8"/>
    </sheetView>
  </sheetViews>
  <sheetFormatPr defaultColWidth="11" defaultRowHeight="15.75" customHeight="1"/>
  <cols>
    <col min="1" max="1" width="6.5" customWidth="1"/>
    <col min="2" max="2" width="41" customWidth="1"/>
    <col min="3" max="6" width="8.75" customWidth="1"/>
    <col min="7" max="7" width="14.125" style="2" customWidth="1"/>
  </cols>
  <sheetData>
    <row r="1" spans="1:8" ht="29.1" customHeight="1">
      <c r="A1" s="809" t="s">
        <v>0</v>
      </c>
      <c r="B1" s="810"/>
      <c r="C1" s="817" t="s">
        <v>1</v>
      </c>
      <c r="D1" s="819" t="s">
        <v>2</v>
      </c>
      <c r="E1" s="821" t="s">
        <v>3</v>
      </c>
      <c r="F1" s="823" t="s">
        <v>4</v>
      </c>
      <c r="G1" s="813" t="s">
        <v>5</v>
      </c>
      <c r="H1" s="815" t="s">
        <v>6</v>
      </c>
    </row>
    <row r="2" spans="1:8" ht="29.1" customHeight="1">
      <c r="A2" s="811"/>
      <c r="B2" s="812"/>
      <c r="C2" s="818"/>
      <c r="D2" s="820"/>
      <c r="E2" s="822"/>
      <c r="F2" s="824"/>
      <c r="G2" s="814"/>
      <c r="H2" s="816"/>
    </row>
    <row r="3" spans="1:8" ht="16.5">
      <c r="A3" s="39">
        <v>1</v>
      </c>
      <c r="B3" s="582" t="s">
        <v>7</v>
      </c>
      <c r="C3" s="97">
        <v>2</v>
      </c>
      <c r="D3" s="55"/>
      <c r="E3" s="96"/>
      <c r="F3" s="20">
        <v>2</v>
      </c>
      <c r="G3" s="68" t="s">
        <v>8</v>
      </c>
      <c r="H3" s="56"/>
    </row>
    <row r="4" spans="1:8" ht="16.5">
      <c r="A4" s="38">
        <v>2</v>
      </c>
      <c r="B4" s="583" t="s">
        <v>9</v>
      </c>
      <c r="C4" s="97">
        <v>2</v>
      </c>
      <c r="D4" s="55"/>
      <c r="E4" s="96"/>
      <c r="F4" s="103">
        <v>1</v>
      </c>
      <c r="G4" s="54" t="s">
        <v>10</v>
      </c>
      <c r="H4" s="57"/>
    </row>
    <row r="5" spans="1:8" ht="16.5">
      <c r="A5" s="39">
        <v>3</v>
      </c>
      <c r="B5" s="582" t="s">
        <v>11</v>
      </c>
      <c r="C5" s="97">
        <v>2</v>
      </c>
      <c r="D5" s="55"/>
      <c r="E5" s="96"/>
      <c r="F5" s="20">
        <v>1</v>
      </c>
      <c r="G5" s="53" t="s">
        <v>12</v>
      </c>
      <c r="H5" s="56"/>
    </row>
    <row r="6" spans="1:8" ht="16.5">
      <c r="A6" s="38">
        <v>4</v>
      </c>
      <c r="B6" s="583" t="s">
        <v>13</v>
      </c>
      <c r="C6" s="97">
        <v>2</v>
      </c>
      <c r="D6" s="55"/>
      <c r="E6" s="96"/>
      <c r="F6" s="103">
        <v>2</v>
      </c>
      <c r="G6" s="54" t="s">
        <v>12</v>
      </c>
      <c r="H6" s="57"/>
    </row>
    <row r="7" spans="1:8" ht="16.5">
      <c r="A7" s="39">
        <v>5</v>
      </c>
      <c r="B7" s="582" t="s">
        <v>14</v>
      </c>
      <c r="C7" s="97">
        <v>2</v>
      </c>
      <c r="D7" s="55"/>
      <c r="E7" s="96"/>
      <c r="F7" s="20">
        <v>2</v>
      </c>
      <c r="G7" s="53" t="s">
        <v>15</v>
      </c>
      <c r="H7" s="56"/>
    </row>
    <row r="8" spans="1:8" ht="16.5">
      <c r="A8" s="58">
        <v>6</v>
      </c>
      <c r="B8" s="584" t="s">
        <v>16</v>
      </c>
      <c r="C8" s="101">
        <v>2</v>
      </c>
      <c r="D8" s="59"/>
      <c r="E8" s="102"/>
      <c r="F8" s="104">
        <v>1</v>
      </c>
      <c r="G8" s="801" t="s">
        <v>17</v>
      </c>
      <c r="H8" s="60"/>
    </row>
    <row r="10" spans="1:8" ht="15.75" customHeight="1">
      <c r="B10" s="702" t="s">
        <v>18</v>
      </c>
    </row>
  </sheetData>
  <mergeCells count="7">
    <mergeCell ref="A1:B2"/>
    <mergeCell ref="G1:G2"/>
    <mergeCell ref="H1:H2"/>
    <mergeCell ref="C1:C2"/>
    <mergeCell ref="D1:D2"/>
    <mergeCell ref="E1:E2"/>
    <mergeCell ref="F1:F2"/>
  </mergeCells>
  <hyperlinks>
    <hyperlink ref="B3" r:id="rId1" xr:uid="{6D293232-9AA8-4BA4-BCC9-4D00AEC0C487}"/>
    <hyperlink ref="B4" r:id="rId2" xr:uid="{4CF1189A-421E-45A5-8F16-1B3E7D4D1D6F}"/>
    <hyperlink ref="B5" r:id="rId3" xr:uid="{0E4EFF64-9143-4EDB-B961-7942E1194A30}"/>
    <hyperlink ref="B6" r:id="rId4" xr:uid="{602CF4A4-DA23-490E-8C6A-E0274C14CB51}"/>
    <hyperlink ref="B7" r:id="rId5" xr:uid="{D98B9176-AEB9-45D0-9B79-E91FCBBF21B2}"/>
    <hyperlink ref="B8" r:id="rId6" xr:uid="{4C205928-90B0-4034-B208-C13D35EC25EB}"/>
    <hyperlink ref="B10" r:id="rId7" location="tabs-tree-start" xr:uid="{FDD353F0-E37B-4CA3-ADFE-2256886C72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98D9-7EFB-4B79-92A1-484383707647}">
  <sheetPr>
    <tabColor rgb="FF8AE9FF"/>
  </sheetPr>
  <dimension ref="A1:P63"/>
  <sheetViews>
    <sheetView workbookViewId="0">
      <selection activeCell="K19" sqref="K19"/>
    </sheetView>
  </sheetViews>
  <sheetFormatPr defaultRowHeight="15.75"/>
  <cols>
    <col min="1" max="1" width="4.375" customWidth="1"/>
    <col min="2" max="2" width="38.25" customWidth="1"/>
    <col min="3" max="3" width="22.375" customWidth="1"/>
    <col min="9" max="9" width="17.625" customWidth="1"/>
    <col min="10" max="10" width="8.625" customWidth="1"/>
    <col min="11" max="11" width="12.25" customWidth="1"/>
    <col min="12" max="12" width="11.75" customWidth="1"/>
    <col min="13" max="13" width="12.625" customWidth="1"/>
  </cols>
  <sheetData>
    <row r="1" spans="1:16" ht="18.75">
      <c r="A1" s="126" t="s">
        <v>219</v>
      </c>
      <c r="B1" s="150"/>
      <c r="C1" s="9" t="s">
        <v>338</v>
      </c>
      <c r="D1" s="149"/>
      <c r="E1" s="149"/>
      <c r="F1" s="149"/>
    </row>
    <row r="2" spans="1:16">
      <c r="B2" s="139" t="s">
        <v>283</v>
      </c>
      <c r="C2" s="151" t="s">
        <v>6</v>
      </c>
      <c r="E2" s="932" t="s">
        <v>319</v>
      </c>
      <c r="F2" s="933"/>
      <c r="G2" s="934"/>
      <c r="I2" s="532" t="s">
        <v>339</v>
      </c>
      <c r="J2" s="44" t="s">
        <v>332</v>
      </c>
      <c r="K2" s="535" t="s">
        <v>334</v>
      </c>
      <c r="L2" s="530" t="s">
        <v>335</v>
      </c>
    </row>
    <row r="3" spans="1:16">
      <c r="A3" s="18">
        <v>1</v>
      </c>
      <c r="B3" s="254" t="s">
        <v>340</v>
      </c>
      <c r="C3" s="136" t="s">
        <v>235</v>
      </c>
      <c r="E3" s="943">
        <f>SUM('Supervision Load'!B3)</f>
        <v>61</v>
      </c>
      <c r="F3" s="944"/>
      <c r="G3" s="945"/>
      <c r="H3">
        <v>1</v>
      </c>
      <c r="I3" s="533" t="s">
        <v>80</v>
      </c>
      <c r="J3" s="346">
        <v>6</v>
      </c>
      <c r="K3" s="536">
        <f>COUNTIF(C3:C63, "Drishty")</f>
        <v>6</v>
      </c>
      <c r="L3" s="329">
        <f>SUM(J3-K3)</f>
        <v>0</v>
      </c>
      <c r="M3" t="s">
        <v>341</v>
      </c>
    </row>
    <row r="4" spans="1:16">
      <c r="A4" s="137">
        <v>2</v>
      </c>
      <c r="B4" s="254" t="s">
        <v>342</v>
      </c>
      <c r="C4" s="136" t="s">
        <v>80</v>
      </c>
      <c r="E4" s="943"/>
      <c r="F4" s="944"/>
      <c r="G4" s="945"/>
      <c r="H4">
        <v>2</v>
      </c>
      <c r="I4" s="78" t="s">
        <v>70</v>
      </c>
      <c r="J4" s="85">
        <v>4</v>
      </c>
      <c r="K4" s="536">
        <f>COUNTIF(C3:C64, "Shakeel")</f>
        <v>4</v>
      </c>
      <c r="L4" s="330">
        <f t="shared" ref="L4:L5" si="0">SUM(J4-K4)</f>
        <v>0</v>
      </c>
      <c r="M4" t="s">
        <v>343</v>
      </c>
    </row>
    <row r="5" spans="1:16">
      <c r="A5" s="12">
        <v>3</v>
      </c>
      <c r="B5" s="254" t="s">
        <v>344</v>
      </c>
      <c r="C5" s="136" t="s">
        <v>215</v>
      </c>
      <c r="E5" s="946"/>
      <c r="F5" s="947"/>
      <c r="G5" s="948"/>
      <c r="H5">
        <v>3</v>
      </c>
      <c r="I5" s="78" t="s">
        <v>50</v>
      </c>
      <c r="J5" s="85">
        <v>8</v>
      </c>
      <c r="K5" s="537">
        <f>COUNTIF(C3:C63, "Jarutas")</f>
        <v>8</v>
      </c>
      <c r="L5" s="330">
        <f t="shared" si="0"/>
        <v>0</v>
      </c>
    </row>
    <row r="6" spans="1:16">
      <c r="A6" s="137">
        <v>4</v>
      </c>
      <c r="B6" s="254" t="s">
        <v>345</v>
      </c>
      <c r="C6" s="136" t="s">
        <v>50</v>
      </c>
      <c r="H6">
        <v>4</v>
      </c>
      <c r="I6" s="534" t="s">
        <v>215</v>
      </c>
      <c r="J6" s="347">
        <v>4</v>
      </c>
      <c r="K6" s="536">
        <f>COUNTIF(C3:C63, "Kashif")</f>
        <v>4</v>
      </c>
      <c r="L6" s="330">
        <f>SUM(J6-K6)</f>
        <v>0</v>
      </c>
      <c r="M6" s="949" t="s">
        <v>346</v>
      </c>
      <c r="N6" s="950"/>
      <c r="O6" s="950"/>
      <c r="P6" s="950"/>
    </row>
    <row r="7" spans="1:16">
      <c r="A7" s="12">
        <v>5</v>
      </c>
      <c r="B7" s="254" t="s">
        <v>347</v>
      </c>
      <c r="C7" s="253" t="s">
        <v>70</v>
      </c>
      <c r="H7">
        <v>5</v>
      </c>
      <c r="I7" s="534" t="s">
        <v>81</v>
      </c>
      <c r="J7" s="347">
        <v>3</v>
      </c>
      <c r="K7" s="536">
        <f>COUNTIF(C3:C67, "Pengfei")</f>
        <v>3</v>
      </c>
      <c r="L7" s="330">
        <f>SUM(J7-K7)</f>
        <v>0</v>
      </c>
      <c r="M7" t="s">
        <v>348</v>
      </c>
    </row>
    <row r="8" spans="1:16">
      <c r="A8" s="137">
        <v>6</v>
      </c>
      <c r="B8" s="254" t="s">
        <v>349</v>
      </c>
      <c r="C8" s="136" t="s">
        <v>50</v>
      </c>
      <c r="H8">
        <v>6</v>
      </c>
      <c r="I8" s="534" t="s">
        <v>239</v>
      </c>
      <c r="J8" s="347">
        <v>0</v>
      </c>
      <c r="K8" s="536">
        <f>COUNTIF(C3:C68, "Marc")</f>
        <v>0</v>
      </c>
      <c r="L8" s="531">
        <f>SUM(J8-K8)</f>
        <v>0</v>
      </c>
    </row>
    <row r="9" spans="1:16">
      <c r="A9" s="12">
        <v>7</v>
      </c>
      <c r="B9" s="254" t="s">
        <v>350</v>
      </c>
      <c r="C9" s="136" t="s">
        <v>351</v>
      </c>
      <c r="H9">
        <v>7</v>
      </c>
      <c r="I9" s="527" t="s">
        <v>352</v>
      </c>
      <c r="J9" s="544">
        <v>2</v>
      </c>
      <c r="K9" s="545">
        <v>0</v>
      </c>
      <c r="L9" s="546">
        <f>SUM(J9-K9)</f>
        <v>2</v>
      </c>
    </row>
    <row r="10" spans="1:16">
      <c r="A10" s="137">
        <v>8</v>
      </c>
      <c r="B10" s="488" t="s">
        <v>353</v>
      </c>
      <c r="C10" s="547" t="s">
        <v>352</v>
      </c>
      <c r="D10" t="s">
        <v>354</v>
      </c>
      <c r="J10" s="525">
        <f>SUM(J3:J9)</f>
        <v>27</v>
      </c>
      <c r="K10" s="526">
        <f>SUM(K3:K9)</f>
        <v>25</v>
      </c>
      <c r="L10" s="251">
        <f>SUM(L3:L9)</f>
        <v>2</v>
      </c>
    </row>
    <row r="11" spans="1:16">
      <c r="A11" s="12">
        <v>9</v>
      </c>
      <c r="B11" s="254" t="s">
        <v>355</v>
      </c>
      <c r="C11" s="136" t="s">
        <v>351</v>
      </c>
    </row>
    <row r="12" spans="1:16">
      <c r="A12" s="137">
        <v>10</v>
      </c>
      <c r="B12" s="254" t="s">
        <v>356</v>
      </c>
      <c r="C12" s="253" t="s">
        <v>357</v>
      </c>
      <c r="J12" s="5"/>
      <c r="K12" s="11"/>
    </row>
    <row r="13" spans="1:16">
      <c r="A13" s="12">
        <v>11</v>
      </c>
      <c r="B13" s="254" t="s">
        <v>358</v>
      </c>
      <c r="C13" s="136" t="s">
        <v>351</v>
      </c>
    </row>
    <row r="14" spans="1:16">
      <c r="A14" s="137">
        <v>12</v>
      </c>
      <c r="B14" s="254" t="s">
        <v>359</v>
      </c>
      <c r="C14" s="136" t="s">
        <v>357</v>
      </c>
    </row>
    <row r="15" spans="1:16">
      <c r="A15" s="12">
        <v>13</v>
      </c>
      <c r="B15" s="254" t="s">
        <v>360</v>
      </c>
      <c r="C15" s="136" t="s">
        <v>80</v>
      </c>
      <c r="I15" s="538" t="s">
        <v>361</v>
      </c>
      <c r="J15" s="259" t="s">
        <v>332</v>
      </c>
      <c r="K15" s="540" t="s">
        <v>334</v>
      </c>
      <c r="L15" s="528" t="s">
        <v>335</v>
      </c>
    </row>
    <row r="16" spans="1:16">
      <c r="A16" s="137">
        <v>14</v>
      </c>
      <c r="B16" s="254" t="s">
        <v>362</v>
      </c>
      <c r="C16" s="136" t="s">
        <v>50</v>
      </c>
      <c r="H16">
        <v>1</v>
      </c>
      <c r="I16" s="78" t="s">
        <v>357</v>
      </c>
      <c r="J16" s="354">
        <v>9</v>
      </c>
      <c r="K16" s="541">
        <f>COUNTIF(C3:C76, "Muntasir")</f>
        <v>9</v>
      </c>
      <c r="L16" s="529">
        <f>SUM(J16-K16)</f>
        <v>0</v>
      </c>
      <c r="M16" t="s">
        <v>363</v>
      </c>
    </row>
    <row r="17" spans="1:13">
      <c r="A17" s="12">
        <v>15</v>
      </c>
      <c r="B17" s="254" t="s">
        <v>364</v>
      </c>
      <c r="C17" s="253" t="s">
        <v>351</v>
      </c>
      <c r="H17">
        <v>2</v>
      </c>
      <c r="I17" s="78" t="s">
        <v>351</v>
      </c>
      <c r="J17" s="354">
        <v>8</v>
      </c>
      <c r="K17" s="542">
        <f>COUNTIF(C3:C63, "Hamid")</f>
        <v>8</v>
      </c>
      <c r="L17" s="529">
        <f>SUM(J17-K17)</f>
        <v>0</v>
      </c>
    </row>
    <row r="18" spans="1:13">
      <c r="A18" s="137">
        <v>16</v>
      </c>
      <c r="B18" s="254" t="s">
        <v>365</v>
      </c>
      <c r="C18" s="136" t="s">
        <v>357</v>
      </c>
      <c r="H18">
        <v>3</v>
      </c>
      <c r="I18" s="78" t="s">
        <v>366</v>
      </c>
      <c r="J18" s="354">
        <v>9</v>
      </c>
      <c r="K18" s="541">
        <f>COUNTIF(C3:C78, "Peyman")</f>
        <v>9</v>
      </c>
      <c r="L18" s="529">
        <f>SUM(J18-K18)</f>
        <v>0</v>
      </c>
      <c r="M18" t="s">
        <v>367</v>
      </c>
    </row>
    <row r="19" spans="1:13">
      <c r="A19" s="12">
        <v>17</v>
      </c>
      <c r="B19" s="254" t="s">
        <v>368</v>
      </c>
      <c r="C19" s="253" t="s">
        <v>366</v>
      </c>
      <c r="H19">
        <v>4</v>
      </c>
      <c r="I19" s="77" t="s">
        <v>235</v>
      </c>
      <c r="J19" s="362">
        <v>8</v>
      </c>
      <c r="K19" s="543">
        <f>COUNTIF(C3:C63, "Femi")</f>
        <v>8</v>
      </c>
      <c r="L19" s="539">
        <f>SUM(J19-K19)</f>
        <v>0</v>
      </c>
    </row>
    <row r="20" spans="1:13">
      <c r="A20" s="137">
        <v>18</v>
      </c>
      <c r="B20" s="254" t="s">
        <v>369</v>
      </c>
      <c r="C20" s="136" t="s">
        <v>70</v>
      </c>
      <c r="J20" s="308">
        <f>SUM(J16:J19)</f>
        <v>34</v>
      </c>
      <c r="K20" s="332">
        <f>SUM(K16:K19)</f>
        <v>34</v>
      </c>
      <c r="L20" s="524">
        <f>SUM(L16:L19)</f>
        <v>0</v>
      </c>
    </row>
    <row r="21" spans="1:13">
      <c r="A21" s="12">
        <v>19</v>
      </c>
      <c r="B21" s="798" t="s">
        <v>370</v>
      </c>
      <c r="C21" s="547" t="s">
        <v>352</v>
      </c>
      <c r="D21" t="s">
        <v>371</v>
      </c>
    </row>
    <row r="22" spans="1:13">
      <c r="A22" s="137">
        <v>20</v>
      </c>
      <c r="B22" s="254" t="s">
        <v>372</v>
      </c>
      <c r="C22" s="136" t="s">
        <v>366</v>
      </c>
      <c r="K22" s="335" t="s">
        <v>334</v>
      </c>
      <c r="L22" s="334" t="s">
        <v>335</v>
      </c>
    </row>
    <row r="23" spans="1:13">
      <c r="A23" s="12">
        <v>21</v>
      </c>
      <c r="B23" s="254" t="s">
        <v>373</v>
      </c>
      <c r="C23" s="136" t="s">
        <v>235</v>
      </c>
      <c r="K23" s="310">
        <f>SUM(K10,K20)</f>
        <v>59</v>
      </c>
      <c r="L23" s="309">
        <f>SUM(L10+L20)</f>
        <v>2</v>
      </c>
    </row>
    <row r="24" spans="1:13">
      <c r="A24" s="137">
        <v>22</v>
      </c>
      <c r="B24" s="254" t="s">
        <v>374</v>
      </c>
      <c r="C24" s="253" t="s">
        <v>50</v>
      </c>
    </row>
    <row r="25" spans="1:13">
      <c r="A25" s="12">
        <v>23</v>
      </c>
      <c r="B25" s="254" t="s">
        <v>375</v>
      </c>
      <c r="C25" s="136" t="s">
        <v>80</v>
      </c>
    </row>
    <row r="26" spans="1:13">
      <c r="A26" s="137">
        <v>24</v>
      </c>
      <c r="B26" s="254" t="s">
        <v>376</v>
      </c>
      <c r="C26" s="253" t="s">
        <v>366</v>
      </c>
    </row>
    <row r="27" spans="1:13">
      <c r="A27" s="12">
        <v>25</v>
      </c>
      <c r="B27" s="254" t="s">
        <v>377</v>
      </c>
      <c r="C27" s="136" t="s">
        <v>235</v>
      </c>
    </row>
    <row r="28" spans="1:13">
      <c r="A28" s="137">
        <v>26</v>
      </c>
      <c r="B28" s="254" t="s">
        <v>378</v>
      </c>
      <c r="C28" s="136" t="s">
        <v>357</v>
      </c>
    </row>
    <row r="29" spans="1:13">
      <c r="A29" s="12">
        <v>27</v>
      </c>
      <c r="B29" s="254" t="s">
        <v>379</v>
      </c>
      <c r="C29" s="253" t="s">
        <v>366</v>
      </c>
    </row>
    <row r="30" spans="1:13">
      <c r="A30" s="137">
        <v>28</v>
      </c>
      <c r="B30" s="254" t="s">
        <v>380</v>
      </c>
      <c r="C30" s="136" t="s">
        <v>80</v>
      </c>
    </row>
    <row r="31" spans="1:13">
      <c r="A31" s="12">
        <v>29</v>
      </c>
      <c r="B31" s="254" t="s">
        <v>381</v>
      </c>
      <c r="C31" s="253" t="s">
        <v>50</v>
      </c>
    </row>
    <row r="32" spans="1:13">
      <c r="A32" s="137">
        <v>30</v>
      </c>
      <c r="B32" s="138" t="s">
        <v>382</v>
      </c>
      <c r="C32" s="255" t="s">
        <v>366</v>
      </c>
    </row>
    <row r="33" spans="1:3">
      <c r="A33" s="12">
        <v>31</v>
      </c>
      <c r="B33" s="138" t="s">
        <v>383</v>
      </c>
      <c r="C33" s="136" t="s">
        <v>81</v>
      </c>
    </row>
    <row r="34" spans="1:3">
      <c r="A34" s="137">
        <v>32</v>
      </c>
      <c r="B34" s="138" t="s">
        <v>384</v>
      </c>
      <c r="C34" s="136" t="s">
        <v>351</v>
      </c>
    </row>
    <row r="35" spans="1:3">
      <c r="A35" s="12">
        <v>33</v>
      </c>
      <c r="B35" s="138" t="s">
        <v>385</v>
      </c>
      <c r="C35" s="136" t="s">
        <v>50</v>
      </c>
    </row>
    <row r="36" spans="1:3">
      <c r="A36" s="137">
        <v>34</v>
      </c>
      <c r="B36" s="138" t="s">
        <v>386</v>
      </c>
      <c r="C36" s="136" t="s">
        <v>357</v>
      </c>
    </row>
    <row r="37" spans="1:3">
      <c r="A37" s="12">
        <v>35</v>
      </c>
      <c r="B37" s="138" t="s">
        <v>387</v>
      </c>
      <c r="C37" s="136" t="s">
        <v>80</v>
      </c>
    </row>
    <row r="38" spans="1:3">
      <c r="A38" s="137">
        <v>36</v>
      </c>
      <c r="B38" s="138" t="s">
        <v>388</v>
      </c>
      <c r="C38" s="136" t="s">
        <v>81</v>
      </c>
    </row>
    <row r="39" spans="1:3">
      <c r="A39" s="12">
        <v>37</v>
      </c>
      <c r="B39" s="138" t="s">
        <v>389</v>
      </c>
      <c r="C39" s="136" t="s">
        <v>357</v>
      </c>
    </row>
    <row r="40" spans="1:3">
      <c r="A40" s="137">
        <v>38</v>
      </c>
      <c r="B40" s="138" t="s">
        <v>390</v>
      </c>
      <c r="C40" s="136" t="s">
        <v>351</v>
      </c>
    </row>
    <row r="41" spans="1:3">
      <c r="A41" s="12">
        <v>39</v>
      </c>
      <c r="B41" s="138" t="s">
        <v>391</v>
      </c>
      <c r="C41" s="136" t="s">
        <v>215</v>
      </c>
    </row>
    <row r="42" spans="1:3">
      <c r="A42" s="137">
        <v>40</v>
      </c>
      <c r="B42" s="138" t="s">
        <v>392</v>
      </c>
      <c r="C42" s="136" t="s">
        <v>357</v>
      </c>
    </row>
    <row r="43" spans="1:3">
      <c r="A43" s="12">
        <v>41</v>
      </c>
      <c r="B43" s="138" t="s">
        <v>393</v>
      </c>
      <c r="C43" s="10" t="s">
        <v>215</v>
      </c>
    </row>
    <row r="44" spans="1:3">
      <c r="A44" s="137">
        <v>42</v>
      </c>
      <c r="B44" s="138" t="s">
        <v>394</v>
      </c>
      <c r="C44" s="10" t="s">
        <v>235</v>
      </c>
    </row>
    <row r="45" spans="1:3">
      <c r="A45" s="12">
        <v>43</v>
      </c>
      <c r="B45" s="138" t="s">
        <v>395</v>
      </c>
      <c r="C45" s="10" t="s">
        <v>235</v>
      </c>
    </row>
    <row r="46" spans="1:3">
      <c r="A46" s="137">
        <v>44</v>
      </c>
      <c r="B46" s="138" t="s">
        <v>396</v>
      </c>
      <c r="C46" s="10" t="s">
        <v>50</v>
      </c>
    </row>
    <row r="47" spans="1:3">
      <c r="A47" s="12">
        <v>45</v>
      </c>
      <c r="B47" s="138" t="s">
        <v>397</v>
      </c>
      <c r="C47" s="10" t="s">
        <v>215</v>
      </c>
    </row>
    <row r="48" spans="1:3">
      <c r="A48" s="137">
        <v>46</v>
      </c>
      <c r="B48" s="138" t="s">
        <v>398</v>
      </c>
      <c r="C48" s="10" t="s">
        <v>235</v>
      </c>
    </row>
    <row r="49" spans="1:3">
      <c r="A49" s="12">
        <v>47</v>
      </c>
      <c r="B49" s="138" t="s">
        <v>399</v>
      </c>
      <c r="C49" s="10" t="s">
        <v>80</v>
      </c>
    </row>
    <row r="50" spans="1:3">
      <c r="A50" s="137">
        <v>48</v>
      </c>
      <c r="B50" s="138" t="s">
        <v>400</v>
      </c>
      <c r="C50" s="10" t="s">
        <v>50</v>
      </c>
    </row>
    <row r="51" spans="1:3">
      <c r="A51" s="12">
        <v>49</v>
      </c>
      <c r="B51" s="138" t="s">
        <v>401</v>
      </c>
      <c r="C51" s="10" t="s">
        <v>366</v>
      </c>
    </row>
    <row r="52" spans="1:3">
      <c r="A52" s="137">
        <v>50</v>
      </c>
      <c r="B52" s="138" t="s">
        <v>402</v>
      </c>
      <c r="C52" s="10" t="s">
        <v>357</v>
      </c>
    </row>
    <row r="53" spans="1:3">
      <c r="A53" s="12">
        <v>51</v>
      </c>
      <c r="B53" s="138" t="s">
        <v>403</v>
      </c>
      <c r="C53" s="10" t="s">
        <v>235</v>
      </c>
    </row>
    <row r="54" spans="1:3">
      <c r="A54" s="137">
        <v>52</v>
      </c>
      <c r="B54" s="138" t="s">
        <v>404</v>
      </c>
      <c r="C54" s="10" t="s">
        <v>351</v>
      </c>
    </row>
    <row r="55" spans="1:3">
      <c r="A55" s="12">
        <v>53</v>
      </c>
      <c r="B55" s="138" t="s">
        <v>405</v>
      </c>
      <c r="C55" s="10" t="s">
        <v>366</v>
      </c>
    </row>
    <row r="56" spans="1:3">
      <c r="A56" s="137">
        <v>54</v>
      </c>
      <c r="B56" s="138" t="s">
        <v>406</v>
      </c>
      <c r="C56" s="10" t="s">
        <v>366</v>
      </c>
    </row>
    <row r="57" spans="1:3">
      <c r="A57" s="12">
        <v>55</v>
      </c>
      <c r="B57" s="138" t="s">
        <v>407</v>
      </c>
      <c r="C57" s="10" t="s">
        <v>357</v>
      </c>
    </row>
    <row r="58" spans="1:3">
      <c r="A58" s="137">
        <v>56</v>
      </c>
      <c r="B58" s="138" t="s">
        <v>408</v>
      </c>
      <c r="C58" s="10" t="s">
        <v>366</v>
      </c>
    </row>
    <row r="59" spans="1:3">
      <c r="A59" s="12">
        <v>57</v>
      </c>
      <c r="B59" s="138" t="s">
        <v>409</v>
      </c>
      <c r="C59" s="10" t="s">
        <v>235</v>
      </c>
    </row>
    <row r="60" spans="1:3">
      <c r="A60" s="137">
        <v>58</v>
      </c>
      <c r="B60" s="146" t="s">
        <v>410</v>
      </c>
      <c r="C60" s="216" t="s">
        <v>351</v>
      </c>
    </row>
    <row r="61" spans="1:3">
      <c r="A61" s="18">
        <v>59</v>
      </c>
      <c r="B61" s="313" t="s">
        <v>411</v>
      </c>
      <c r="C61" s="313" t="s">
        <v>70</v>
      </c>
    </row>
    <row r="62" spans="1:3">
      <c r="A62" s="12">
        <v>60</v>
      </c>
      <c r="B62" s="326" t="s">
        <v>412</v>
      </c>
      <c r="C62" s="326" t="s">
        <v>70</v>
      </c>
    </row>
    <row r="63" spans="1:3">
      <c r="A63" s="142">
        <v>61</v>
      </c>
      <c r="B63" s="338" t="s">
        <v>413</v>
      </c>
      <c r="C63" s="145" t="s">
        <v>81</v>
      </c>
    </row>
  </sheetData>
  <mergeCells count="3">
    <mergeCell ref="E2:G2"/>
    <mergeCell ref="E3:G5"/>
    <mergeCell ref="M6:P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F1B3-C35E-43C3-B35D-71DCD0F1E5DF}">
  <sheetPr>
    <tabColor rgb="FF8AE9FF"/>
  </sheetPr>
  <dimension ref="A1:M111"/>
  <sheetViews>
    <sheetView workbookViewId="0">
      <selection activeCell="G10" sqref="G10"/>
    </sheetView>
  </sheetViews>
  <sheetFormatPr defaultRowHeight="15.75"/>
  <cols>
    <col min="1" max="1" width="4.375" customWidth="1"/>
    <col min="2" max="2" width="36.5" customWidth="1"/>
    <col min="3" max="3" width="18.875" customWidth="1"/>
    <col min="4" max="4" width="22.375" customWidth="1"/>
    <col min="5" max="5" width="3.75" customWidth="1"/>
    <col min="9" max="9" width="5.375" customWidth="1"/>
    <col min="10" max="10" width="13.375" customWidth="1"/>
    <col min="11" max="11" width="11.25" customWidth="1"/>
    <col min="12" max="12" width="11.125" customWidth="1"/>
    <col min="13" max="13" width="12.375" customWidth="1"/>
  </cols>
  <sheetData>
    <row r="1" spans="1:13" ht="18.75" customHeight="1">
      <c r="A1" s="961" t="s">
        <v>414</v>
      </c>
      <c r="B1" s="962"/>
      <c r="C1" s="962"/>
      <c r="D1" s="963"/>
      <c r="E1" s="148"/>
      <c r="F1" s="148"/>
    </row>
    <row r="2" spans="1:13" ht="15.75" customHeight="1">
      <c r="A2" s="140"/>
      <c r="B2" s="168" t="s">
        <v>283</v>
      </c>
      <c r="C2" s="112" t="s">
        <v>415</v>
      </c>
      <c r="D2" s="143" t="s">
        <v>6</v>
      </c>
      <c r="F2" s="959" t="s">
        <v>416</v>
      </c>
      <c r="G2" s="960"/>
      <c r="H2" s="917"/>
      <c r="J2" s="248" t="s">
        <v>339</v>
      </c>
      <c r="K2" s="25" t="s">
        <v>332</v>
      </c>
      <c r="L2" s="250" t="s">
        <v>334</v>
      </c>
      <c r="M2" s="251" t="s">
        <v>335</v>
      </c>
    </row>
    <row r="3" spans="1:13" ht="15.75" customHeight="1">
      <c r="A3" s="141">
        <v>1</v>
      </c>
      <c r="B3" s="254" t="s">
        <v>417</v>
      </c>
      <c r="C3" s="10"/>
      <c r="D3" s="144"/>
      <c r="F3" s="951">
        <v>109</v>
      </c>
      <c r="G3" s="952"/>
      <c r="H3" s="953"/>
      <c r="I3">
        <v>1</v>
      </c>
      <c r="J3" s="249" t="s">
        <v>80</v>
      </c>
      <c r="K3" s="331">
        <v>8</v>
      </c>
      <c r="L3" s="252">
        <f>COUNTIF(D3:D112, "Drishty")</f>
        <v>0</v>
      </c>
      <c r="M3" s="329">
        <f>SUM(K3-L3)</f>
        <v>8</v>
      </c>
    </row>
    <row r="4" spans="1:13" ht="15.75" customHeight="1">
      <c r="A4" s="142">
        <v>2</v>
      </c>
      <c r="B4" s="254" t="s">
        <v>418</v>
      </c>
      <c r="C4" s="10"/>
      <c r="D4" s="144"/>
      <c r="F4" s="954"/>
      <c r="G4" s="944"/>
      <c r="H4" s="955"/>
      <c r="I4">
        <v>2</v>
      </c>
      <c r="J4" s="75" t="s">
        <v>70</v>
      </c>
      <c r="K4" s="51">
        <v>4</v>
      </c>
      <c r="L4" s="239">
        <f>COUNTIF(D3:D112, "Shakeel")</f>
        <v>0</v>
      </c>
      <c r="M4" s="330">
        <f>SUM(K4-L4)</f>
        <v>4</v>
      </c>
    </row>
    <row r="5" spans="1:13" ht="15.75" customHeight="1">
      <c r="A5" s="141">
        <v>3</v>
      </c>
      <c r="B5" s="254" t="s">
        <v>419</v>
      </c>
      <c r="C5" s="10"/>
      <c r="D5" s="144"/>
      <c r="F5" s="956"/>
      <c r="G5" s="957"/>
      <c r="H5" s="958"/>
      <c r="I5">
        <v>3</v>
      </c>
      <c r="J5" s="75" t="s">
        <v>50</v>
      </c>
      <c r="K5" s="51">
        <v>8</v>
      </c>
      <c r="L5" s="239">
        <f>COUNTIF(D3:D112, "Jarutas")</f>
        <v>0</v>
      </c>
      <c r="M5" s="330">
        <f>SUM(K5-L5)</f>
        <v>8</v>
      </c>
    </row>
    <row r="6" spans="1:13">
      <c r="A6" s="142">
        <v>4</v>
      </c>
      <c r="B6" s="254" t="s">
        <v>420</v>
      </c>
      <c r="C6" s="10"/>
      <c r="D6" s="144"/>
      <c r="I6">
        <v>4</v>
      </c>
      <c r="J6" s="75" t="s">
        <v>239</v>
      </c>
      <c r="K6" s="51"/>
      <c r="L6" s="239">
        <f>COUNTIF(D3:D112, " ")</f>
        <v>0</v>
      </c>
      <c r="M6" s="330">
        <f>SUM(K6-L6)</f>
        <v>0</v>
      </c>
    </row>
    <row r="7" spans="1:13">
      <c r="A7" s="141">
        <v>5</v>
      </c>
      <c r="B7" s="254" t="s">
        <v>421</v>
      </c>
      <c r="C7" s="10"/>
      <c r="D7" s="144"/>
      <c r="I7">
        <v>5</v>
      </c>
      <c r="J7" s="75" t="s">
        <v>215</v>
      </c>
      <c r="K7" s="51">
        <v>4</v>
      </c>
      <c r="L7" s="239">
        <f>COUNTIF(D2:D112, "Kashif")</f>
        <v>0</v>
      </c>
      <c r="M7" s="330">
        <f>SUM(K7-L7)</f>
        <v>4</v>
      </c>
    </row>
    <row r="8" spans="1:13">
      <c r="A8" s="142">
        <v>6</v>
      </c>
      <c r="B8" s="254" t="s">
        <v>422</v>
      </c>
      <c r="C8" s="10"/>
      <c r="D8" s="144"/>
      <c r="F8" s="964" t="s">
        <v>423</v>
      </c>
      <c r="G8" s="965"/>
      <c r="H8" s="966"/>
      <c r="I8">
        <v>6</v>
      </c>
      <c r="J8" s="75" t="s">
        <v>81</v>
      </c>
      <c r="K8" s="51">
        <v>10</v>
      </c>
      <c r="L8" s="239">
        <f>COUNTIF(D2:D112, "Pengfei")</f>
        <v>0</v>
      </c>
      <c r="M8" s="330">
        <f>SUM(K8-L8)</f>
        <v>10</v>
      </c>
    </row>
    <row r="9" spans="1:13">
      <c r="A9" s="141">
        <v>7</v>
      </c>
      <c r="B9" s="254" t="s">
        <v>424</v>
      </c>
      <c r="C9" s="10"/>
      <c r="D9" s="144"/>
      <c r="I9">
        <v>7</v>
      </c>
      <c r="J9" s="75" t="s">
        <v>258</v>
      </c>
      <c r="K9" s="51">
        <v>10</v>
      </c>
      <c r="L9" s="239">
        <f>COUNTIF(D2:D112, "Bacha")</f>
        <v>0</v>
      </c>
      <c r="M9" s="330">
        <f>SUM(K9-L9)</f>
        <v>10</v>
      </c>
    </row>
    <row r="10" spans="1:13">
      <c r="A10" s="142">
        <v>8</v>
      </c>
      <c r="B10" s="254" t="s">
        <v>425</v>
      </c>
      <c r="C10" s="10"/>
      <c r="D10" s="144"/>
      <c r="I10">
        <v>8</v>
      </c>
      <c r="J10" s="244" t="s">
        <v>265</v>
      </c>
      <c r="K10" s="328">
        <v>10</v>
      </c>
      <c r="L10" s="239">
        <f>COUNTIF(D2:D112, "Raza")</f>
        <v>0</v>
      </c>
      <c r="M10" s="330">
        <f>SUM(K10-L10)</f>
        <v>10</v>
      </c>
    </row>
    <row r="11" spans="1:13">
      <c r="A11" s="141">
        <v>9</v>
      </c>
      <c r="B11" s="254" t="s">
        <v>426</v>
      </c>
      <c r="C11" s="10"/>
      <c r="D11" s="144"/>
      <c r="I11">
        <v>9</v>
      </c>
      <c r="J11" s="75"/>
      <c r="K11" s="17"/>
      <c r="L11" s="239">
        <f>COUNTIF(D2:D112, " ")</f>
        <v>0</v>
      </c>
      <c r="M11" s="330">
        <f>SUM(K11-L11)</f>
        <v>0</v>
      </c>
    </row>
    <row r="12" spans="1:13">
      <c r="A12" s="142">
        <v>10</v>
      </c>
      <c r="B12" s="254" t="s">
        <v>427</v>
      </c>
      <c r="C12" s="10"/>
      <c r="D12" s="144"/>
      <c r="I12">
        <v>10</v>
      </c>
      <c r="J12" s="75"/>
      <c r="K12" s="17"/>
      <c r="L12" s="239">
        <f>COUNTIF(D2:D112, " ")</f>
        <v>0</v>
      </c>
      <c r="M12" s="330">
        <f>SUM(K12-L12)</f>
        <v>0</v>
      </c>
    </row>
    <row r="13" spans="1:13">
      <c r="A13" s="141">
        <v>11</v>
      </c>
      <c r="B13" s="254" t="s">
        <v>428</v>
      </c>
      <c r="C13" s="10"/>
      <c r="D13" s="144"/>
      <c r="I13">
        <v>11</v>
      </c>
      <c r="J13" s="297"/>
      <c r="K13" s="5"/>
      <c r="L13" s="243">
        <f>COUNTIF(D2:D112, " ")</f>
        <v>0</v>
      </c>
      <c r="M13" s="330">
        <f>SUM(K13-L13)</f>
        <v>0</v>
      </c>
    </row>
    <row r="14" spans="1:13">
      <c r="A14" s="142">
        <v>12</v>
      </c>
      <c r="B14" s="254" t="s">
        <v>429</v>
      </c>
      <c r="C14" s="10"/>
      <c r="D14" s="144"/>
      <c r="K14" s="311">
        <f>SUM(K3:K13)</f>
        <v>54</v>
      </c>
      <c r="L14" s="333">
        <f>SUM(L3:L13)</f>
        <v>0</v>
      </c>
    </row>
    <row r="15" spans="1:13">
      <c r="A15" s="141">
        <v>13</v>
      </c>
      <c r="B15" s="254" t="s">
        <v>430</v>
      </c>
      <c r="C15" s="10"/>
      <c r="D15" s="144"/>
    </row>
    <row r="16" spans="1:13">
      <c r="A16" s="142">
        <v>14</v>
      </c>
      <c r="B16" s="254" t="s">
        <v>431</v>
      </c>
      <c r="C16" s="10"/>
      <c r="D16" s="144"/>
      <c r="J16" s="708" t="s">
        <v>361</v>
      </c>
      <c r="K16" s="709"/>
      <c r="L16" s="710"/>
      <c r="M16" s="711"/>
    </row>
    <row r="17" spans="1:13">
      <c r="A17" s="141">
        <v>15</v>
      </c>
      <c r="B17" s="254" t="s">
        <v>432</v>
      </c>
      <c r="C17" s="10"/>
      <c r="D17" s="144"/>
      <c r="I17">
        <v>1</v>
      </c>
      <c r="J17" s="712" t="s">
        <v>357</v>
      </c>
      <c r="K17" s="713">
        <v>10</v>
      </c>
      <c r="L17" s="714">
        <f>COUNTIF(D3:D112, "Muntasir")</f>
        <v>0</v>
      </c>
      <c r="M17" s="715">
        <f>SUM(K17-L17)</f>
        <v>10</v>
      </c>
    </row>
    <row r="18" spans="1:13">
      <c r="A18" s="142">
        <v>16</v>
      </c>
      <c r="B18" s="254" t="s">
        <v>433</v>
      </c>
      <c r="C18" s="10"/>
      <c r="D18" s="144"/>
      <c r="I18">
        <v>2</v>
      </c>
      <c r="J18" s="75" t="s">
        <v>351</v>
      </c>
      <c r="K18" s="64">
        <v>10</v>
      </c>
      <c r="L18" s="246">
        <f>COUNTIF(D3:D112, "Hamid")</f>
        <v>0</v>
      </c>
      <c r="M18" s="247">
        <f>SUM(K18-L18)</f>
        <v>10</v>
      </c>
    </row>
    <row r="19" spans="1:13">
      <c r="A19" s="141">
        <v>17</v>
      </c>
      <c r="B19" s="254" t="s">
        <v>434</v>
      </c>
      <c r="C19" s="10"/>
      <c r="D19" s="144"/>
      <c r="I19">
        <v>3</v>
      </c>
      <c r="J19" s="75" t="s">
        <v>366</v>
      </c>
      <c r="K19" s="64">
        <v>10</v>
      </c>
      <c r="L19" s="246">
        <f>COUNTIF(D3:D112, "Peyman")</f>
        <v>0</v>
      </c>
      <c r="M19" s="247">
        <f>SUM(K19-L19)</f>
        <v>10</v>
      </c>
    </row>
    <row r="20" spans="1:13">
      <c r="A20" s="142">
        <v>18</v>
      </c>
      <c r="B20" s="254" t="s">
        <v>435</v>
      </c>
      <c r="C20" s="10"/>
      <c r="D20" s="144"/>
      <c r="I20">
        <v>4</v>
      </c>
      <c r="J20" s="75"/>
      <c r="K20" s="64"/>
      <c r="L20" s="707">
        <f>COUNTIF(D2:D112, " ")</f>
        <v>0</v>
      </c>
      <c r="M20" s="247">
        <f>SUM(K20-L20)</f>
        <v>0</v>
      </c>
    </row>
    <row r="21" spans="1:13">
      <c r="A21" s="141">
        <v>19</v>
      </c>
      <c r="B21" s="254" t="s">
        <v>436</v>
      </c>
      <c r="C21" s="10"/>
      <c r="D21" s="144"/>
      <c r="I21">
        <v>5</v>
      </c>
      <c r="J21" s="75"/>
      <c r="K21" s="64"/>
      <c r="L21" s="707">
        <f>COUNTIF(D3:D113, " ")</f>
        <v>0</v>
      </c>
      <c r="M21" s="247">
        <f t="shared" ref="M21:M25" si="0">SUM(K21-L21)</f>
        <v>0</v>
      </c>
    </row>
    <row r="22" spans="1:13">
      <c r="A22" s="142">
        <v>20</v>
      </c>
      <c r="B22" s="254" t="s">
        <v>437</v>
      </c>
      <c r="C22" s="10"/>
      <c r="D22" s="144"/>
      <c r="I22">
        <v>6</v>
      </c>
      <c r="J22" s="75"/>
      <c r="K22" s="64"/>
      <c r="L22" s="707">
        <f>COUNTIF(D4:D114, " ")</f>
        <v>0</v>
      </c>
      <c r="M22" s="247">
        <f t="shared" si="0"/>
        <v>0</v>
      </c>
    </row>
    <row r="23" spans="1:13">
      <c r="A23" s="141">
        <v>21</v>
      </c>
      <c r="B23" s="254" t="s">
        <v>438</v>
      </c>
      <c r="C23" s="10"/>
      <c r="D23" s="144"/>
      <c r="I23">
        <v>7</v>
      </c>
      <c r="J23" s="75"/>
      <c r="K23" s="64"/>
      <c r="L23" s="707">
        <f>COUNTIF(D5:D115, " ")</f>
        <v>0</v>
      </c>
      <c r="M23" s="247">
        <f t="shared" si="0"/>
        <v>0</v>
      </c>
    </row>
    <row r="24" spans="1:13">
      <c r="A24" s="142">
        <v>22</v>
      </c>
      <c r="B24" s="254" t="s">
        <v>439</v>
      </c>
      <c r="C24" s="10"/>
      <c r="D24" s="144"/>
      <c r="I24">
        <v>8</v>
      </c>
      <c r="J24" s="75"/>
      <c r="K24" s="64"/>
      <c r="L24" s="707">
        <f>COUNTIF(D6:D116, " ")</f>
        <v>0</v>
      </c>
      <c r="M24" s="247">
        <f t="shared" si="0"/>
        <v>0</v>
      </c>
    </row>
    <row r="25" spans="1:13">
      <c r="A25" s="141">
        <v>23</v>
      </c>
      <c r="B25" s="254" t="s">
        <v>440</v>
      </c>
      <c r="C25" s="10"/>
      <c r="D25" s="144"/>
      <c r="I25">
        <v>9</v>
      </c>
      <c r="J25" s="245"/>
      <c r="K25" s="716"/>
      <c r="L25" s="717">
        <f>COUNTIF(D7:D117, " ")</f>
        <v>0</v>
      </c>
      <c r="M25" s="718">
        <f t="shared" si="0"/>
        <v>0</v>
      </c>
    </row>
    <row r="26" spans="1:13">
      <c r="A26" s="142">
        <v>24</v>
      </c>
      <c r="B26" s="254" t="s">
        <v>441</v>
      </c>
      <c r="C26" s="10"/>
      <c r="D26" s="144"/>
      <c r="K26" s="339">
        <f>SUM(K17:K19)</f>
        <v>30</v>
      </c>
      <c r="L26" s="312">
        <f>SUM(L16:L20)</f>
        <v>0</v>
      </c>
    </row>
    <row r="27" spans="1:13">
      <c r="A27" s="141">
        <v>25</v>
      </c>
      <c r="B27" s="254" t="s">
        <v>442</v>
      </c>
      <c r="C27" s="10"/>
      <c r="D27" s="144"/>
      <c r="J27" s="341" t="s">
        <v>443</v>
      </c>
      <c r="K27" s="340">
        <f>SUM(K14+K26)</f>
        <v>84</v>
      </c>
    </row>
    <row r="28" spans="1:13">
      <c r="A28" s="142">
        <v>26</v>
      </c>
      <c r="B28" s="254" t="s">
        <v>444</v>
      </c>
      <c r="C28" s="10"/>
      <c r="D28" s="144"/>
      <c r="L28" s="336" t="s">
        <v>335</v>
      </c>
      <c r="M28" s="337" t="s">
        <v>334</v>
      </c>
    </row>
    <row r="29" spans="1:13">
      <c r="A29" s="141">
        <v>27</v>
      </c>
      <c r="B29" s="254" t="s">
        <v>445</v>
      </c>
      <c r="C29" s="10"/>
      <c r="D29" s="144"/>
      <c r="L29" s="327">
        <f>SUM(F3)</f>
        <v>109</v>
      </c>
      <c r="M29" s="310">
        <f>SUM(L14+L26)</f>
        <v>0</v>
      </c>
    </row>
    <row r="30" spans="1:13">
      <c r="A30" s="142">
        <v>28</v>
      </c>
      <c r="B30" s="254" t="s">
        <v>446</v>
      </c>
      <c r="C30" s="10"/>
      <c r="D30" s="144"/>
    </row>
    <row r="31" spans="1:13">
      <c r="A31" s="141">
        <v>29</v>
      </c>
      <c r="B31" s="254" t="s">
        <v>447</v>
      </c>
      <c r="C31" s="10"/>
      <c r="D31" s="144"/>
    </row>
    <row r="32" spans="1:13">
      <c r="A32" s="142">
        <v>30</v>
      </c>
      <c r="B32" s="254" t="s">
        <v>448</v>
      </c>
      <c r="C32" s="10"/>
      <c r="D32" s="144"/>
    </row>
    <row r="33" spans="1:4">
      <c r="A33" s="141">
        <v>31</v>
      </c>
      <c r="B33" s="254" t="s">
        <v>449</v>
      </c>
      <c r="C33" s="10"/>
      <c r="D33" s="144"/>
    </row>
    <row r="34" spans="1:4">
      <c r="A34" s="142">
        <v>32</v>
      </c>
      <c r="B34" s="254" t="s">
        <v>450</v>
      </c>
      <c r="C34" s="10"/>
      <c r="D34" s="144"/>
    </row>
    <row r="35" spans="1:4">
      <c r="A35" s="141">
        <v>33</v>
      </c>
      <c r="B35" s="254" t="s">
        <v>451</v>
      </c>
      <c r="C35" s="10"/>
      <c r="D35" s="144"/>
    </row>
    <row r="36" spans="1:4">
      <c r="A36" s="142">
        <v>34</v>
      </c>
      <c r="B36" s="254" t="s">
        <v>452</v>
      </c>
      <c r="C36" s="10"/>
      <c r="D36" s="144"/>
    </row>
    <row r="37" spans="1:4">
      <c r="A37" s="141">
        <v>35</v>
      </c>
      <c r="B37" s="254" t="s">
        <v>453</v>
      </c>
      <c r="C37" s="10"/>
      <c r="D37" s="144"/>
    </row>
    <row r="38" spans="1:4">
      <c r="A38" s="142">
        <v>36</v>
      </c>
      <c r="B38" s="254" t="s">
        <v>454</v>
      </c>
      <c r="C38" s="10"/>
      <c r="D38" s="144"/>
    </row>
    <row r="39" spans="1:4">
      <c r="A39" s="141">
        <v>37</v>
      </c>
      <c r="B39" s="254" t="s">
        <v>455</v>
      </c>
      <c r="C39" s="10"/>
      <c r="D39" s="144"/>
    </row>
    <row r="40" spans="1:4">
      <c r="A40" s="142">
        <v>38</v>
      </c>
      <c r="B40" s="254" t="s">
        <v>456</v>
      </c>
      <c r="C40" s="10"/>
      <c r="D40" s="144"/>
    </row>
    <row r="41" spans="1:4">
      <c r="A41" s="141">
        <v>39</v>
      </c>
      <c r="B41" s="254" t="s">
        <v>457</v>
      </c>
      <c r="C41" s="10"/>
      <c r="D41" s="144"/>
    </row>
    <row r="42" spans="1:4">
      <c r="A42" s="142">
        <v>40</v>
      </c>
      <c r="B42" s="254" t="s">
        <v>458</v>
      </c>
      <c r="C42" s="10"/>
      <c r="D42" s="144"/>
    </row>
    <row r="43" spans="1:4">
      <c r="A43" s="141">
        <v>41</v>
      </c>
      <c r="B43" s="254" t="s">
        <v>459</v>
      </c>
      <c r="C43" s="10"/>
      <c r="D43" s="145"/>
    </row>
    <row r="44" spans="1:4">
      <c r="A44" s="142">
        <v>42</v>
      </c>
      <c r="B44" s="254" t="s">
        <v>460</v>
      </c>
      <c r="C44" s="10"/>
      <c r="D44" s="145"/>
    </row>
    <row r="45" spans="1:4">
      <c r="A45" s="141">
        <v>43</v>
      </c>
      <c r="B45" s="254" t="s">
        <v>461</v>
      </c>
      <c r="C45" s="10"/>
      <c r="D45" s="145"/>
    </row>
    <row r="46" spans="1:4">
      <c r="A46" s="142">
        <v>44</v>
      </c>
      <c r="B46" s="254" t="s">
        <v>462</v>
      </c>
      <c r="C46" s="10"/>
      <c r="D46" s="145"/>
    </row>
    <row r="47" spans="1:4">
      <c r="A47" s="141">
        <v>45</v>
      </c>
      <c r="B47" s="254" t="s">
        <v>463</v>
      </c>
      <c r="C47" s="10"/>
      <c r="D47" s="145"/>
    </row>
    <row r="48" spans="1:4">
      <c r="A48" s="142">
        <v>46</v>
      </c>
      <c r="B48" s="254" t="s">
        <v>464</v>
      </c>
      <c r="C48" s="10"/>
      <c r="D48" s="145"/>
    </row>
    <row r="49" spans="1:7">
      <c r="A49" s="141">
        <v>47</v>
      </c>
      <c r="B49" s="254" t="s">
        <v>465</v>
      </c>
      <c r="C49" s="10"/>
      <c r="D49" s="145"/>
    </row>
    <row r="50" spans="1:7">
      <c r="A50" s="142">
        <v>48</v>
      </c>
      <c r="B50" s="254" t="s">
        <v>466</v>
      </c>
      <c r="C50" s="10"/>
      <c r="D50" s="145"/>
    </row>
    <row r="51" spans="1:7">
      <c r="A51" s="141">
        <v>49</v>
      </c>
      <c r="B51" s="254" t="s">
        <v>467</v>
      </c>
      <c r="C51" s="10"/>
      <c r="D51" s="145"/>
    </row>
    <row r="52" spans="1:7">
      <c r="A52" s="142">
        <v>50</v>
      </c>
      <c r="B52" s="254" t="s">
        <v>468</v>
      </c>
      <c r="C52" s="10"/>
      <c r="D52" s="145"/>
    </row>
    <row r="53" spans="1:7">
      <c r="A53" s="141">
        <v>51</v>
      </c>
      <c r="B53" s="254" t="s">
        <v>469</v>
      </c>
      <c r="C53" s="10"/>
      <c r="D53" s="145"/>
      <c r="G53" s="702"/>
    </row>
    <row r="54" spans="1:7">
      <c r="A54" s="142">
        <v>52</v>
      </c>
      <c r="B54" s="254" t="s">
        <v>470</v>
      </c>
      <c r="C54" s="10"/>
      <c r="D54" s="145"/>
    </row>
    <row r="55" spans="1:7">
      <c r="A55" s="141">
        <v>53</v>
      </c>
      <c r="B55" s="254" t="s">
        <v>471</v>
      </c>
      <c r="C55" s="10"/>
      <c r="D55" s="145"/>
    </row>
    <row r="56" spans="1:7">
      <c r="A56" s="142">
        <v>54</v>
      </c>
      <c r="B56" s="254" t="s">
        <v>472</v>
      </c>
      <c r="C56" s="10"/>
      <c r="D56" s="145"/>
    </row>
    <row r="57" spans="1:7">
      <c r="A57" s="141">
        <v>55</v>
      </c>
      <c r="B57" s="254" t="s">
        <v>473</v>
      </c>
      <c r="C57" s="10"/>
      <c r="D57" s="145"/>
    </row>
    <row r="58" spans="1:7">
      <c r="A58" s="142">
        <v>56</v>
      </c>
      <c r="B58" s="254" t="s">
        <v>474</v>
      </c>
      <c r="C58" s="10"/>
      <c r="D58" s="145"/>
    </row>
    <row r="59" spans="1:7">
      <c r="A59" s="141">
        <v>57</v>
      </c>
      <c r="B59" s="358" t="s">
        <v>475</v>
      </c>
      <c r="C59" s="10"/>
      <c r="D59" s="147"/>
    </row>
    <row r="60" spans="1:7">
      <c r="A60" s="142">
        <v>58</v>
      </c>
      <c r="B60" s="254" t="s">
        <v>476</v>
      </c>
      <c r="C60" s="10"/>
      <c r="D60" s="145"/>
    </row>
    <row r="61" spans="1:7">
      <c r="A61" s="141">
        <v>59</v>
      </c>
      <c r="B61" s="254" t="s">
        <v>477</v>
      </c>
      <c r="C61" s="10"/>
      <c r="D61" s="145"/>
    </row>
    <row r="62" spans="1:7">
      <c r="A62" s="142">
        <v>60</v>
      </c>
      <c r="B62" s="254" t="s">
        <v>478</v>
      </c>
      <c r="C62" s="10"/>
      <c r="D62" s="145"/>
    </row>
    <row r="63" spans="1:7">
      <c r="A63" s="141">
        <v>61</v>
      </c>
      <c r="B63" s="254" t="s">
        <v>479</v>
      </c>
      <c r="C63" s="10"/>
      <c r="D63" s="145"/>
    </row>
    <row r="64" spans="1:7">
      <c r="A64" s="142">
        <v>62</v>
      </c>
      <c r="B64" s="254" t="s">
        <v>480</v>
      </c>
      <c r="C64" s="10"/>
      <c r="D64" s="145"/>
    </row>
    <row r="65" spans="1:4">
      <c r="A65" s="141">
        <v>63</v>
      </c>
      <c r="B65" s="254" t="s">
        <v>481</v>
      </c>
      <c r="C65" s="10"/>
      <c r="D65" s="145"/>
    </row>
    <row r="66" spans="1:4">
      <c r="A66" s="142">
        <v>64</v>
      </c>
      <c r="B66" s="254" t="s">
        <v>482</v>
      </c>
      <c r="C66" s="10"/>
      <c r="D66" s="145"/>
    </row>
    <row r="67" spans="1:4">
      <c r="A67" s="141">
        <v>65</v>
      </c>
      <c r="B67" s="254" t="s">
        <v>483</v>
      </c>
      <c r="C67" s="10"/>
      <c r="D67" s="145"/>
    </row>
    <row r="68" spans="1:4">
      <c r="A68" s="142">
        <v>66</v>
      </c>
      <c r="B68" s="254" t="s">
        <v>484</v>
      </c>
      <c r="C68" s="10"/>
      <c r="D68" s="145"/>
    </row>
    <row r="69" spans="1:4">
      <c r="A69" s="141">
        <v>67</v>
      </c>
      <c r="B69" s="254" t="s">
        <v>485</v>
      </c>
      <c r="C69" s="10"/>
      <c r="D69" s="145"/>
    </row>
    <row r="70" spans="1:4">
      <c r="A70" s="142">
        <v>68</v>
      </c>
      <c r="B70" s="254" t="s">
        <v>486</v>
      </c>
      <c r="C70" s="10"/>
      <c r="D70" s="145"/>
    </row>
    <row r="71" spans="1:4">
      <c r="A71" s="141">
        <v>69</v>
      </c>
      <c r="B71" s="254" t="s">
        <v>487</v>
      </c>
      <c r="C71" s="10"/>
      <c r="D71" s="145"/>
    </row>
    <row r="72" spans="1:4">
      <c r="A72" s="142">
        <v>70</v>
      </c>
      <c r="B72" s="254" t="s">
        <v>488</v>
      </c>
      <c r="C72" s="10"/>
      <c r="D72" s="145"/>
    </row>
    <row r="73" spans="1:4">
      <c r="A73" s="141">
        <v>71</v>
      </c>
      <c r="B73" s="254" t="s">
        <v>489</v>
      </c>
      <c r="C73" s="10"/>
      <c r="D73" s="145"/>
    </row>
    <row r="74" spans="1:4">
      <c r="A74" s="142">
        <v>72</v>
      </c>
      <c r="B74" s="254" t="s">
        <v>490</v>
      </c>
      <c r="C74" s="10"/>
      <c r="D74" s="145"/>
    </row>
    <row r="75" spans="1:4">
      <c r="A75" s="141">
        <v>73</v>
      </c>
      <c r="B75" s="254" t="s">
        <v>491</v>
      </c>
      <c r="C75" s="10"/>
      <c r="D75" s="145"/>
    </row>
    <row r="76" spans="1:4">
      <c r="A76" s="142">
        <v>74</v>
      </c>
      <c r="B76" s="254" t="s">
        <v>492</v>
      </c>
      <c r="C76" s="10"/>
      <c r="D76" s="145"/>
    </row>
    <row r="77" spans="1:4">
      <c r="A77" s="141">
        <v>75</v>
      </c>
      <c r="B77" s="254" t="s">
        <v>493</v>
      </c>
      <c r="C77" s="10"/>
      <c r="D77" s="145"/>
    </row>
    <row r="78" spans="1:4">
      <c r="A78" s="142">
        <v>76</v>
      </c>
      <c r="B78" s="254" t="s">
        <v>494</v>
      </c>
      <c r="C78" s="10"/>
      <c r="D78" s="145"/>
    </row>
    <row r="79" spans="1:4">
      <c r="A79" s="141">
        <v>77</v>
      </c>
      <c r="B79" s="254" t="s">
        <v>495</v>
      </c>
      <c r="C79" s="10"/>
      <c r="D79" s="145"/>
    </row>
    <row r="80" spans="1:4">
      <c r="A80" s="142">
        <v>78</v>
      </c>
      <c r="B80" s="254" t="s">
        <v>496</v>
      </c>
      <c r="C80" s="10"/>
      <c r="D80" s="145"/>
    </row>
    <row r="81" spans="1:4">
      <c r="A81" s="141">
        <v>79</v>
      </c>
      <c r="B81" s="254" t="s">
        <v>497</v>
      </c>
      <c r="C81" s="10"/>
      <c r="D81" s="145"/>
    </row>
    <row r="82" spans="1:4">
      <c r="A82" s="142">
        <v>80</v>
      </c>
      <c r="B82" s="254" t="s">
        <v>498</v>
      </c>
      <c r="C82" s="10"/>
      <c r="D82" s="145"/>
    </row>
    <row r="83" spans="1:4">
      <c r="A83" s="141">
        <v>81</v>
      </c>
      <c r="B83" s="254" t="s">
        <v>499</v>
      </c>
      <c r="C83" s="10"/>
      <c r="D83" s="145"/>
    </row>
    <row r="84" spans="1:4">
      <c r="A84" s="142">
        <v>82</v>
      </c>
      <c r="B84" s="254" t="s">
        <v>500</v>
      </c>
      <c r="C84" s="10"/>
      <c r="D84" s="145"/>
    </row>
    <row r="85" spans="1:4">
      <c r="A85" s="141">
        <v>83</v>
      </c>
      <c r="B85" s="254" t="s">
        <v>501</v>
      </c>
      <c r="C85" s="10"/>
      <c r="D85" s="145"/>
    </row>
    <row r="86" spans="1:4">
      <c r="A86" s="142">
        <v>84</v>
      </c>
      <c r="B86" s="254" t="s">
        <v>502</v>
      </c>
      <c r="C86" s="10"/>
      <c r="D86" s="145"/>
    </row>
    <row r="87" spans="1:4">
      <c r="A87" s="141">
        <v>85</v>
      </c>
      <c r="B87" s="254" t="s">
        <v>503</v>
      </c>
      <c r="C87" s="10"/>
      <c r="D87" s="145"/>
    </row>
    <row r="88" spans="1:4">
      <c r="A88" s="142">
        <v>86</v>
      </c>
      <c r="B88" s="254" t="s">
        <v>504</v>
      </c>
      <c r="C88" s="10"/>
      <c r="D88" s="145"/>
    </row>
    <row r="89" spans="1:4">
      <c r="A89" s="141">
        <v>87</v>
      </c>
      <c r="B89" s="254" t="s">
        <v>505</v>
      </c>
      <c r="C89" s="10"/>
      <c r="D89" s="145"/>
    </row>
    <row r="90" spans="1:4">
      <c r="A90" s="142">
        <v>88</v>
      </c>
      <c r="B90" s="254" t="s">
        <v>506</v>
      </c>
      <c r="C90" s="10"/>
      <c r="D90" s="145"/>
    </row>
    <row r="91" spans="1:4">
      <c r="A91" s="141">
        <v>89</v>
      </c>
      <c r="B91" s="254" t="s">
        <v>507</v>
      </c>
      <c r="C91" s="10"/>
      <c r="D91" s="145"/>
    </row>
    <row r="92" spans="1:4">
      <c r="A92" s="142">
        <v>90</v>
      </c>
      <c r="B92" s="254" t="s">
        <v>508</v>
      </c>
      <c r="C92" s="10"/>
      <c r="D92" s="145"/>
    </row>
    <row r="93" spans="1:4">
      <c r="A93" s="141">
        <v>91</v>
      </c>
      <c r="B93" s="254" t="s">
        <v>509</v>
      </c>
      <c r="C93" s="10"/>
      <c r="D93" s="145"/>
    </row>
    <row r="94" spans="1:4">
      <c r="A94" s="142">
        <v>92</v>
      </c>
      <c r="B94" s="254" t="s">
        <v>510</v>
      </c>
      <c r="C94" s="10"/>
      <c r="D94" s="145"/>
    </row>
    <row r="95" spans="1:4">
      <c r="A95" s="141">
        <v>93</v>
      </c>
      <c r="B95" s="254" t="s">
        <v>511</v>
      </c>
      <c r="C95" s="10"/>
      <c r="D95" s="145"/>
    </row>
    <row r="96" spans="1:4">
      <c r="A96" s="142">
        <v>94</v>
      </c>
      <c r="B96" s="254" t="s">
        <v>512</v>
      </c>
      <c r="C96" s="10"/>
      <c r="D96" s="145"/>
    </row>
    <row r="97" spans="1:4">
      <c r="A97" s="141">
        <v>95</v>
      </c>
      <c r="B97" s="254" t="s">
        <v>513</v>
      </c>
      <c r="C97" s="10"/>
      <c r="D97" s="145"/>
    </row>
    <row r="98" spans="1:4">
      <c r="A98" s="142">
        <v>96</v>
      </c>
      <c r="B98" s="254" t="s">
        <v>514</v>
      </c>
      <c r="C98" s="10"/>
      <c r="D98" s="145"/>
    </row>
    <row r="99" spans="1:4">
      <c r="A99" s="141">
        <v>97</v>
      </c>
      <c r="B99" s="254" t="s">
        <v>515</v>
      </c>
      <c r="C99" s="10"/>
      <c r="D99" s="145"/>
    </row>
    <row r="100" spans="1:4">
      <c r="A100" s="142">
        <v>98</v>
      </c>
      <c r="B100" s="254" t="s">
        <v>516</v>
      </c>
      <c r="C100" s="10"/>
      <c r="D100" s="145"/>
    </row>
    <row r="101" spans="1:4">
      <c r="A101" s="141">
        <v>99</v>
      </c>
      <c r="B101" s="254" t="s">
        <v>517</v>
      </c>
      <c r="C101" s="10"/>
      <c r="D101" s="145"/>
    </row>
    <row r="102" spans="1:4">
      <c r="A102" s="142">
        <v>100</v>
      </c>
      <c r="B102" s="254" t="s">
        <v>518</v>
      </c>
      <c r="C102" s="10"/>
      <c r="D102" s="145"/>
    </row>
    <row r="103" spans="1:4">
      <c r="A103" s="141">
        <v>101</v>
      </c>
      <c r="B103" s="254" t="s">
        <v>519</v>
      </c>
      <c r="C103" s="10"/>
      <c r="D103" s="145"/>
    </row>
    <row r="104" spans="1:4">
      <c r="A104" s="142">
        <v>102</v>
      </c>
      <c r="B104" s="254" t="s">
        <v>520</v>
      </c>
      <c r="C104" s="10"/>
      <c r="D104" s="145"/>
    </row>
    <row r="105" spans="1:4">
      <c r="A105" s="141">
        <v>103</v>
      </c>
      <c r="B105" s="254" t="s">
        <v>521</v>
      </c>
      <c r="C105" s="10"/>
      <c r="D105" s="145"/>
    </row>
    <row r="106" spans="1:4">
      <c r="A106" s="142">
        <v>104</v>
      </c>
      <c r="B106" s="254" t="s">
        <v>522</v>
      </c>
      <c r="C106" s="10"/>
      <c r="D106" s="145"/>
    </row>
    <row r="107" spans="1:4">
      <c r="A107" s="141">
        <v>105</v>
      </c>
      <c r="B107" s="254" t="s">
        <v>523</v>
      </c>
      <c r="C107" s="10"/>
      <c r="D107" s="145"/>
    </row>
    <row r="108" spans="1:4">
      <c r="A108" s="142">
        <v>106</v>
      </c>
      <c r="B108" s="254" t="s">
        <v>524</v>
      </c>
      <c r="C108" s="10"/>
      <c r="D108" s="145"/>
    </row>
    <row r="109" spans="1:4">
      <c r="A109" s="141">
        <v>107</v>
      </c>
      <c r="B109" s="254" t="s">
        <v>525</v>
      </c>
      <c r="C109" s="10"/>
      <c r="D109" s="145"/>
    </row>
    <row r="110" spans="1:4">
      <c r="A110" s="142">
        <v>108</v>
      </c>
      <c r="B110" s="254" t="s">
        <v>526</v>
      </c>
      <c r="C110" s="10"/>
      <c r="D110" s="145"/>
    </row>
    <row r="111" spans="1:4">
      <c r="A111" s="141">
        <v>109</v>
      </c>
      <c r="B111" s="254" t="s">
        <v>527</v>
      </c>
      <c r="C111" s="10"/>
      <c r="D111" s="145"/>
    </row>
  </sheetData>
  <mergeCells count="4">
    <mergeCell ref="F3:H5"/>
    <mergeCell ref="F2:H2"/>
    <mergeCell ref="A1:D1"/>
    <mergeCell ref="F8:H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89D-41DD-45C9-AEF5-A600C6E75A0A}">
  <sheetPr>
    <tabColor rgb="FF8AE9FF"/>
  </sheetPr>
  <dimension ref="A1:O60"/>
  <sheetViews>
    <sheetView workbookViewId="0">
      <selection activeCell="G5" sqref="G5"/>
    </sheetView>
  </sheetViews>
  <sheetFormatPr defaultRowHeight="15.75"/>
  <cols>
    <col min="1" max="1" width="8" style="5" customWidth="1"/>
    <col min="2" max="3" width="23.625" customWidth="1"/>
    <col min="4" max="4" width="27.5" customWidth="1"/>
    <col min="5" max="5" width="4.25" customWidth="1"/>
    <col min="6" max="6" width="20.5" customWidth="1"/>
    <col min="7" max="7" width="7.375" customWidth="1"/>
    <col min="10" max="10" width="3.5" customWidth="1"/>
    <col min="11" max="11" width="15.625" customWidth="1"/>
    <col min="12" max="12" width="10.625" customWidth="1"/>
    <col min="13" max="13" width="11.875" customWidth="1"/>
    <col min="14" max="14" width="10.25" customWidth="1"/>
    <col min="15" max="15" width="13.375" customWidth="1"/>
    <col min="16" max="16" width="13.75" customWidth="1"/>
  </cols>
  <sheetData>
    <row r="1" spans="1:15">
      <c r="B1" s="296" t="s">
        <v>415</v>
      </c>
      <c r="C1" s="296" t="s">
        <v>283</v>
      </c>
      <c r="D1" s="352" t="s">
        <v>6</v>
      </c>
      <c r="K1" s="112" t="s">
        <v>331</v>
      </c>
      <c r="L1" s="559" t="s">
        <v>332</v>
      </c>
      <c r="M1" s="562" t="s">
        <v>333</v>
      </c>
      <c r="N1" s="560" t="s">
        <v>334</v>
      </c>
      <c r="O1" s="561" t="s">
        <v>335</v>
      </c>
    </row>
    <row r="2" spans="1:15">
      <c r="A2" s="222">
        <v>1</v>
      </c>
      <c r="B2" s="237" t="s">
        <v>121</v>
      </c>
      <c r="C2" s="550"/>
      <c r="D2" s="231"/>
      <c r="F2" s="348" t="s">
        <v>121</v>
      </c>
      <c r="G2" s="774">
        <v>11</v>
      </c>
      <c r="H2" s="967">
        <f>SUM(G2:G6)</f>
        <v>59</v>
      </c>
      <c r="J2" s="142">
        <v>1</v>
      </c>
      <c r="K2" s="17" t="s">
        <v>257</v>
      </c>
      <c r="L2" s="12"/>
      <c r="M2" s="12"/>
      <c r="N2" s="564">
        <f>COUNTIF(D2:D65, "Andy")</f>
        <v>0</v>
      </c>
      <c r="O2" s="563">
        <f>SUM(L2-N2)</f>
        <v>0</v>
      </c>
    </row>
    <row r="3" spans="1:15">
      <c r="A3" s="223">
        <v>2</v>
      </c>
      <c r="B3" s="224" t="s">
        <v>121</v>
      </c>
      <c r="C3" s="551"/>
      <c r="D3" s="70"/>
      <c r="F3" s="349" t="s">
        <v>528</v>
      </c>
      <c r="G3" s="775">
        <v>8</v>
      </c>
      <c r="H3" s="968"/>
      <c r="J3" s="142">
        <v>2</v>
      </c>
      <c r="K3" s="17" t="s">
        <v>258</v>
      </c>
      <c r="L3" s="12"/>
      <c r="M3" s="12"/>
      <c r="N3" s="564">
        <f>COUNTIF(D2:D65, "Bacha")</f>
        <v>0</v>
      </c>
      <c r="O3" s="563">
        <f t="shared" ref="O3:O25" si="0">SUM(L3-N3)</f>
        <v>0</v>
      </c>
    </row>
    <row r="4" spans="1:15">
      <c r="A4" s="223">
        <v>3</v>
      </c>
      <c r="B4" s="224" t="s">
        <v>121</v>
      </c>
      <c r="C4" s="551"/>
      <c r="D4" s="70"/>
      <c r="F4" s="350" t="s">
        <v>529</v>
      </c>
      <c r="G4" s="776">
        <v>10</v>
      </c>
      <c r="H4" s="968"/>
      <c r="J4" s="142">
        <v>3</v>
      </c>
      <c r="K4" s="17" t="s">
        <v>198</v>
      </c>
      <c r="L4" s="12"/>
      <c r="M4" s="12"/>
      <c r="N4" s="564">
        <f>COUNTIF(D2:D65, "Bode")</f>
        <v>0</v>
      </c>
      <c r="O4" s="563">
        <f t="shared" si="0"/>
        <v>0</v>
      </c>
    </row>
    <row r="5" spans="1:15">
      <c r="A5" s="223">
        <v>4</v>
      </c>
      <c r="B5" s="224" t="s">
        <v>121</v>
      </c>
      <c r="C5" s="551"/>
      <c r="D5" s="70"/>
      <c r="F5" s="349" t="s">
        <v>530</v>
      </c>
      <c r="G5" s="775">
        <v>5</v>
      </c>
      <c r="H5" s="968"/>
      <c r="J5" s="142">
        <v>4</v>
      </c>
      <c r="K5" s="17" t="s">
        <v>259</v>
      </c>
      <c r="L5" s="12"/>
      <c r="M5" s="12"/>
      <c r="N5" s="564">
        <f>COUNTIF(D2:D65, "Anthony")</f>
        <v>0</v>
      </c>
      <c r="O5" s="563">
        <f t="shared" si="0"/>
        <v>0</v>
      </c>
    </row>
    <row r="6" spans="1:15">
      <c r="A6" s="223">
        <v>5</v>
      </c>
      <c r="B6" s="224" t="s">
        <v>121</v>
      </c>
      <c r="C6" s="551"/>
      <c r="D6" s="70"/>
      <c r="F6" s="351" t="s">
        <v>531</v>
      </c>
      <c r="G6" s="777">
        <v>25</v>
      </c>
      <c r="H6" s="969"/>
      <c r="J6" s="142">
        <v>5</v>
      </c>
      <c r="K6" s="17" t="s">
        <v>8</v>
      </c>
      <c r="L6" s="12"/>
      <c r="M6" s="12"/>
      <c r="N6" s="564">
        <f>COUNTIF(D2:D65, "Darren")</f>
        <v>0</v>
      </c>
      <c r="O6" s="563">
        <f t="shared" si="0"/>
        <v>0</v>
      </c>
    </row>
    <row r="7" spans="1:15">
      <c r="A7" s="223">
        <v>6</v>
      </c>
      <c r="B7" s="224" t="s">
        <v>121</v>
      </c>
      <c r="C7" s="551"/>
      <c r="D7" s="70"/>
      <c r="J7" s="142">
        <v>6</v>
      </c>
      <c r="K7" s="17" t="s">
        <v>80</v>
      </c>
      <c r="L7" s="12"/>
      <c r="M7" s="12"/>
      <c r="N7" s="564">
        <f>COUNTIF(D2:D65, "Drishty")</f>
        <v>0</v>
      </c>
      <c r="O7" s="563">
        <f t="shared" si="0"/>
        <v>0</v>
      </c>
    </row>
    <row r="8" spans="1:15">
      <c r="A8" s="223">
        <v>7</v>
      </c>
      <c r="B8" s="224" t="s">
        <v>121</v>
      </c>
      <c r="C8" s="551"/>
      <c r="D8" s="70"/>
      <c r="G8" s="5"/>
      <c r="J8" s="142">
        <v>7</v>
      </c>
      <c r="K8" s="17" t="s">
        <v>50</v>
      </c>
      <c r="L8" s="12"/>
      <c r="M8" s="12"/>
      <c r="N8" s="564">
        <f>COUNTIF(D2:D65, "Jarutas")</f>
        <v>0</v>
      </c>
      <c r="O8" s="563">
        <f t="shared" si="0"/>
        <v>0</v>
      </c>
    </row>
    <row r="9" spans="1:15">
      <c r="A9" s="223">
        <v>8</v>
      </c>
      <c r="B9" s="224" t="s">
        <v>121</v>
      </c>
      <c r="C9" s="551"/>
      <c r="D9" s="70"/>
      <c r="F9" s="528" t="s">
        <v>532</v>
      </c>
      <c r="J9" s="142">
        <v>8</v>
      </c>
      <c r="K9" s="17" t="s">
        <v>236</v>
      </c>
      <c r="L9" s="12"/>
      <c r="M9" s="12"/>
      <c r="N9" s="564">
        <f>COUNTIF(D2:D65, "Joe")</f>
        <v>0</v>
      </c>
      <c r="O9" s="563">
        <f t="shared" si="0"/>
        <v>0</v>
      </c>
    </row>
    <row r="10" spans="1:15" ht="15.75" customHeight="1">
      <c r="A10" s="223">
        <v>9</v>
      </c>
      <c r="B10" s="224" t="s">
        <v>121</v>
      </c>
      <c r="C10" s="551"/>
      <c r="D10" s="70"/>
      <c r="F10" s="806" t="s">
        <v>533</v>
      </c>
      <c r="J10" s="142">
        <v>9</v>
      </c>
      <c r="K10" s="17" t="s">
        <v>12</v>
      </c>
      <c r="L10" s="12"/>
      <c r="M10" s="12"/>
      <c r="N10" s="564">
        <f>COUNTIF(D2:D65, "Kalin")</f>
        <v>0</v>
      </c>
      <c r="O10" s="563">
        <f t="shared" si="0"/>
        <v>0</v>
      </c>
    </row>
    <row r="11" spans="1:15" ht="15.75" customHeight="1">
      <c r="A11" s="223">
        <v>10</v>
      </c>
      <c r="B11" s="224" t="s">
        <v>121</v>
      </c>
      <c r="C11" s="551"/>
      <c r="D11" s="70"/>
      <c r="F11" s="970">
        <f>SUM(H2-N26)</f>
        <v>54</v>
      </c>
      <c r="J11" s="142">
        <v>10</v>
      </c>
      <c r="K11" s="17" t="s">
        <v>215</v>
      </c>
      <c r="L11" s="12"/>
      <c r="M11" s="12"/>
      <c r="N11" s="564">
        <f t="shared" ref="N3:N25" si="1">COUNTIF(D11:D74, "Andy")</f>
        <v>0</v>
      </c>
      <c r="O11" s="563">
        <f t="shared" si="0"/>
        <v>0</v>
      </c>
    </row>
    <row r="12" spans="1:15" ht="15.75" customHeight="1">
      <c r="A12" s="235">
        <v>11</v>
      </c>
      <c r="B12" s="229" t="s">
        <v>121</v>
      </c>
      <c r="C12" s="552"/>
      <c r="D12" s="236"/>
      <c r="F12" s="971"/>
      <c r="J12" s="142">
        <v>11</v>
      </c>
      <c r="K12" s="17" t="s">
        <v>237</v>
      </c>
      <c r="L12" s="12"/>
      <c r="M12" s="12"/>
      <c r="N12" s="564">
        <f>COUNTIF(D2:D65, "Kashif")</f>
        <v>0</v>
      </c>
      <c r="O12" s="563">
        <f t="shared" si="0"/>
        <v>0</v>
      </c>
    </row>
    <row r="13" spans="1:15">
      <c r="A13" s="217">
        <v>12</v>
      </c>
      <c r="B13" s="218" t="s">
        <v>528</v>
      </c>
      <c r="C13" s="553"/>
      <c r="D13" s="219"/>
      <c r="J13" s="142">
        <v>12</v>
      </c>
      <c r="K13" s="17" t="s">
        <v>239</v>
      </c>
      <c r="L13" s="12"/>
      <c r="M13" s="12"/>
      <c r="N13" s="564">
        <f>COUNTIF(D2:D65, "Marc")</f>
        <v>0</v>
      </c>
      <c r="O13" s="563">
        <f t="shared" si="0"/>
        <v>0</v>
      </c>
    </row>
    <row r="14" spans="1:15">
      <c r="A14" s="128">
        <v>13</v>
      </c>
      <c r="B14" s="207" t="s">
        <v>528</v>
      </c>
      <c r="C14" s="554"/>
      <c r="D14" s="71"/>
      <c r="J14" s="142">
        <v>13</v>
      </c>
      <c r="K14" s="17" t="s">
        <v>10</v>
      </c>
      <c r="L14" s="12">
        <v>5</v>
      </c>
      <c r="M14" s="12" t="s">
        <v>337</v>
      </c>
      <c r="N14" s="564">
        <f>COUNTIF(D2:D65, "Martin")</f>
        <v>5</v>
      </c>
      <c r="O14" s="563">
        <f t="shared" si="0"/>
        <v>0</v>
      </c>
    </row>
    <row r="15" spans="1:15">
      <c r="A15" s="128">
        <v>14</v>
      </c>
      <c r="B15" s="207" t="s">
        <v>528</v>
      </c>
      <c r="C15" s="554"/>
      <c r="D15" s="71"/>
      <c r="J15" s="142">
        <v>14</v>
      </c>
      <c r="K15" s="17" t="s">
        <v>55</v>
      </c>
      <c r="L15" s="12"/>
      <c r="M15" s="12"/>
      <c r="N15" s="564">
        <f>COUNTIF(D2:D65, "Nick")</f>
        <v>0</v>
      </c>
      <c r="O15" s="563">
        <f t="shared" si="0"/>
        <v>0</v>
      </c>
    </row>
    <row r="16" spans="1:15">
      <c r="A16" s="128">
        <v>15</v>
      </c>
      <c r="B16" s="207" t="s">
        <v>528</v>
      </c>
      <c r="C16" s="554"/>
      <c r="D16" s="71"/>
      <c r="J16" s="142">
        <v>15</v>
      </c>
      <c r="K16" s="17" t="s">
        <v>263</v>
      </c>
      <c r="L16" s="12"/>
      <c r="M16" s="12"/>
      <c r="N16" s="564">
        <f>COUNTIF(D2:D65, "Neville")</f>
        <v>0</v>
      </c>
      <c r="O16" s="563">
        <f t="shared" si="0"/>
        <v>0</v>
      </c>
    </row>
    <row r="17" spans="1:15">
      <c r="A17" s="128">
        <v>16</v>
      </c>
      <c r="B17" s="207" t="s">
        <v>528</v>
      </c>
      <c r="C17" s="554"/>
      <c r="D17" s="71"/>
      <c r="J17" s="142">
        <v>16</v>
      </c>
      <c r="K17" s="17" t="s">
        <v>241</v>
      </c>
      <c r="L17" s="12"/>
      <c r="M17" s="12"/>
      <c r="N17" s="564">
        <f>COUNTIF(D2:D65, "Pengfei")</f>
        <v>0</v>
      </c>
      <c r="O17" s="563">
        <f t="shared" si="0"/>
        <v>0</v>
      </c>
    </row>
    <row r="18" spans="1:15">
      <c r="A18" s="128">
        <v>17</v>
      </c>
      <c r="B18" s="207" t="s">
        <v>528</v>
      </c>
      <c r="C18" s="554"/>
      <c r="D18" s="71"/>
      <c r="J18" s="142">
        <v>17</v>
      </c>
      <c r="K18" s="17" t="s">
        <v>265</v>
      </c>
      <c r="L18" s="12"/>
      <c r="M18" s="12"/>
      <c r="N18" s="564">
        <f>COUNTIF(D2:D65, "Raza")</f>
        <v>0</v>
      </c>
      <c r="O18" s="563">
        <f t="shared" si="0"/>
        <v>0</v>
      </c>
    </row>
    <row r="19" spans="1:15">
      <c r="A19" s="128">
        <v>18</v>
      </c>
      <c r="B19" s="207" t="s">
        <v>528</v>
      </c>
      <c r="C19" s="554"/>
      <c r="D19" s="71"/>
      <c r="J19" s="142">
        <v>18</v>
      </c>
      <c r="K19" s="17" t="s">
        <v>70</v>
      </c>
      <c r="L19" s="12"/>
      <c r="M19" s="12"/>
      <c r="N19" s="564">
        <f>COUNTIF(D2:D65, "Shakeel")</f>
        <v>0</v>
      </c>
      <c r="O19" s="563">
        <f t="shared" si="0"/>
        <v>0</v>
      </c>
    </row>
    <row r="20" spans="1:15">
      <c r="A20" s="130">
        <v>19</v>
      </c>
      <c r="B20" s="220" t="s">
        <v>528</v>
      </c>
      <c r="C20" s="555"/>
      <c r="D20" s="133"/>
      <c r="J20" s="142">
        <v>19</v>
      </c>
      <c r="K20" s="17" t="s">
        <v>40</v>
      </c>
      <c r="L20" s="12"/>
      <c r="M20" s="12"/>
      <c r="N20" s="564">
        <f>COUNTIF(D2:D65, "Warren")</f>
        <v>0</v>
      </c>
      <c r="O20" s="563">
        <f t="shared" si="0"/>
        <v>0</v>
      </c>
    </row>
    <row r="21" spans="1:15">
      <c r="A21" s="230">
        <v>20</v>
      </c>
      <c r="B21" s="237" t="s">
        <v>529</v>
      </c>
      <c r="C21" s="550"/>
      <c r="D21" s="231"/>
      <c r="J21" s="142">
        <v>20</v>
      </c>
      <c r="K21" s="17"/>
      <c r="L21" s="12"/>
      <c r="M21" s="12"/>
      <c r="N21" s="564">
        <f>COUNTIF(D2:D65, " ")</f>
        <v>0</v>
      </c>
      <c r="O21" s="563">
        <f t="shared" si="0"/>
        <v>0</v>
      </c>
    </row>
    <row r="22" spans="1:15">
      <c r="A22" s="223">
        <v>21</v>
      </c>
      <c r="B22" s="224" t="s">
        <v>529</v>
      </c>
      <c r="C22" s="551"/>
      <c r="D22" s="70"/>
      <c r="J22" s="142">
        <v>21</v>
      </c>
      <c r="K22" s="17"/>
      <c r="L22" s="12"/>
      <c r="M22" s="12"/>
      <c r="N22" s="564">
        <f>COUNTIF(D2:D65, " ")</f>
        <v>0</v>
      </c>
      <c r="O22" s="563">
        <f t="shared" si="0"/>
        <v>0</v>
      </c>
    </row>
    <row r="23" spans="1:15">
      <c r="A23" s="223">
        <v>22</v>
      </c>
      <c r="B23" s="224" t="s">
        <v>529</v>
      </c>
      <c r="C23" s="551"/>
      <c r="D23" s="70"/>
      <c r="J23" s="142">
        <v>22</v>
      </c>
      <c r="K23" s="17"/>
      <c r="L23" s="12"/>
      <c r="M23" s="12"/>
      <c r="N23" s="564">
        <f>COUNTIF(D2:D65, " ")</f>
        <v>0</v>
      </c>
      <c r="O23" s="563">
        <f t="shared" si="0"/>
        <v>0</v>
      </c>
    </row>
    <row r="24" spans="1:15">
      <c r="A24" s="223">
        <v>23</v>
      </c>
      <c r="B24" s="224" t="s">
        <v>529</v>
      </c>
      <c r="C24" s="551"/>
      <c r="D24" s="70"/>
      <c r="J24" s="142">
        <v>23</v>
      </c>
      <c r="K24" s="17"/>
      <c r="L24" s="12"/>
      <c r="M24" s="12"/>
      <c r="N24" s="564">
        <f>COUNTIF(D2:D65, " ")</f>
        <v>0</v>
      </c>
      <c r="O24" s="563">
        <f t="shared" si="0"/>
        <v>0</v>
      </c>
    </row>
    <row r="25" spans="1:15">
      <c r="A25" s="223">
        <v>24</v>
      </c>
      <c r="B25" s="224" t="s">
        <v>529</v>
      </c>
      <c r="C25" s="551"/>
      <c r="D25" s="70"/>
      <c r="J25" s="142">
        <v>24</v>
      </c>
      <c r="K25" s="17"/>
      <c r="L25" s="18"/>
      <c r="M25" s="12"/>
      <c r="N25" s="804">
        <f>COUNTIF(D2:D65, " ")</f>
        <v>0</v>
      </c>
      <c r="O25" s="805">
        <f t="shared" si="0"/>
        <v>0</v>
      </c>
    </row>
    <row r="26" spans="1:15">
      <c r="A26" s="223">
        <v>25</v>
      </c>
      <c r="B26" s="224" t="s">
        <v>529</v>
      </c>
      <c r="C26" s="551"/>
      <c r="D26" s="70"/>
      <c r="L26" s="44">
        <f>SUM(L2:L25)</f>
        <v>5</v>
      </c>
      <c r="N26" s="803">
        <f>SUM(N2:N25)</f>
        <v>5</v>
      </c>
      <c r="O26" s="528">
        <f>SUM(O2:O25)</f>
        <v>0</v>
      </c>
    </row>
    <row r="27" spans="1:15">
      <c r="A27" s="223">
        <v>26</v>
      </c>
      <c r="B27" s="224" t="s">
        <v>529</v>
      </c>
      <c r="C27" s="551"/>
      <c r="D27" s="70"/>
    </row>
    <row r="28" spans="1:15">
      <c r="A28" s="223">
        <v>27</v>
      </c>
      <c r="B28" s="224" t="s">
        <v>529</v>
      </c>
      <c r="C28" s="551"/>
      <c r="D28" s="70"/>
    </row>
    <row r="29" spans="1:15">
      <c r="A29" s="223">
        <v>28</v>
      </c>
      <c r="B29" s="224" t="s">
        <v>529</v>
      </c>
      <c r="C29" s="551"/>
      <c r="D29" s="70"/>
    </row>
    <row r="30" spans="1:15">
      <c r="A30" s="225">
        <v>29</v>
      </c>
      <c r="B30" s="226" t="s">
        <v>529</v>
      </c>
      <c r="C30" s="556"/>
      <c r="D30" s="74"/>
    </row>
    <row r="31" spans="1:15">
      <c r="A31" s="234">
        <v>30</v>
      </c>
      <c r="B31" s="221" t="s">
        <v>530</v>
      </c>
      <c r="C31" s="557"/>
      <c r="D31" s="174" t="s">
        <v>10</v>
      </c>
    </row>
    <row r="32" spans="1:15">
      <c r="A32" s="128">
        <v>31</v>
      </c>
      <c r="B32" s="207" t="s">
        <v>530</v>
      </c>
      <c r="C32" s="554"/>
      <c r="D32" s="232" t="s">
        <v>10</v>
      </c>
    </row>
    <row r="33" spans="1:4">
      <c r="A33" s="128">
        <v>32</v>
      </c>
      <c r="B33" s="207" t="s">
        <v>530</v>
      </c>
      <c r="C33" s="554"/>
      <c r="D33" s="232" t="s">
        <v>10</v>
      </c>
    </row>
    <row r="34" spans="1:4">
      <c r="A34" s="128">
        <v>33</v>
      </c>
      <c r="B34" s="207" t="s">
        <v>530</v>
      </c>
      <c r="C34" s="554"/>
      <c r="D34" s="232" t="s">
        <v>10</v>
      </c>
    </row>
    <row r="35" spans="1:4">
      <c r="A35" s="130">
        <v>34</v>
      </c>
      <c r="B35" s="220" t="s">
        <v>530</v>
      </c>
      <c r="C35" s="555"/>
      <c r="D35" s="233" t="s">
        <v>10</v>
      </c>
    </row>
    <row r="36" spans="1:4">
      <c r="A36" s="230">
        <v>35</v>
      </c>
      <c r="B36" s="228" t="s">
        <v>531</v>
      </c>
      <c r="C36" s="558"/>
      <c r="D36" s="231"/>
    </row>
    <row r="37" spans="1:4">
      <c r="A37" s="223">
        <v>36</v>
      </c>
      <c r="B37" s="227" t="s">
        <v>531</v>
      </c>
      <c r="C37" s="19"/>
      <c r="D37" s="70"/>
    </row>
    <row r="38" spans="1:4">
      <c r="A38" s="223">
        <v>37</v>
      </c>
      <c r="B38" s="227" t="s">
        <v>531</v>
      </c>
      <c r="C38" s="19"/>
      <c r="D38" s="70"/>
    </row>
    <row r="39" spans="1:4">
      <c r="A39" s="223">
        <v>38</v>
      </c>
      <c r="B39" s="227" t="s">
        <v>531</v>
      </c>
      <c r="C39" s="19"/>
      <c r="D39" s="70"/>
    </row>
    <row r="40" spans="1:4">
      <c r="A40" s="223">
        <v>39</v>
      </c>
      <c r="B40" s="227" t="s">
        <v>531</v>
      </c>
      <c r="C40" s="19"/>
      <c r="D40" s="70"/>
    </row>
    <row r="41" spans="1:4">
      <c r="A41" s="223">
        <v>40</v>
      </c>
      <c r="B41" s="227" t="s">
        <v>531</v>
      </c>
      <c r="C41" s="19"/>
      <c r="D41" s="70"/>
    </row>
    <row r="42" spans="1:4">
      <c r="A42" s="223">
        <v>41</v>
      </c>
      <c r="B42" s="227" t="s">
        <v>531</v>
      </c>
      <c r="C42" s="19"/>
      <c r="D42" s="70"/>
    </row>
    <row r="43" spans="1:4">
      <c r="A43" s="223">
        <v>42</v>
      </c>
      <c r="B43" s="227" t="s">
        <v>531</v>
      </c>
      <c r="C43" s="19"/>
      <c r="D43" s="70"/>
    </row>
    <row r="44" spans="1:4">
      <c r="A44" s="223">
        <v>43</v>
      </c>
      <c r="B44" s="227" t="s">
        <v>531</v>
      </c>
      <c r="C44" s="19"/>
      <c r="D44" s="70"/>
    </row>
    <row r="45" spans="1:4">
      <c r="A45" s="223">
        <v>44</v>
      </c>
      <c r="B45" s="227" t="s">
        <v>531</v>
      </c>
      <c r="C45" s="19"/>
      <c r="D45" s="70"/>
    </row>
    <row r="46" spans="1:4">
      <c r="A46" s="223">
        <v>45</v>
      </c>
      <c r="B46" s="227" t="s">
        <v>531</v>
      </c>
      <c r="C46" s="19"/>
      <c r="D46" s="70"/>
    </row>
    <row r="47" spans="1:4">
      <c r="A47" s="223">
        <v>46</v>
      </c>
      <c r="B47" s="227" t="s">
        <v>531</v>
      </c>
      <c r="C47" s="19"/>
      <c r="D47" s="70"/>
    </row>
    <row r="48" spans="1:4">
      <c r="A48" s="223">
        <v>47</v>
      </c>
      <c r="B48" s="227" t="s">
        <v>531</v>
      </c>
      <c r="C48" s="19"/>
      <c r="D48" s="70"/>
    </row>
    <row r="49" spans="1:4">
      <c r="A49" s="223">
        <v>48</v>
      </c>
      <c r="B49" s="227" t="s">
        <v>531</v>
      </c>
      <c r="C49" s="19"/>
      <c r="D49" s="70"/>
    </row>
    <row r="50" spans="1:4">
      <c r="A50" s="223">
        <v>49</v>
      </c>
      <c r="B50" s="227" t="s">
        <v>531</v>
      </c>
      <c r="C50" s="19"/>
      <c r="D50" s="70"/>
    </row>
    <row r="51" spans="1:4">
      <c r="A51" s="223">
        <v>50</v>
      </c>
      <c r="B51" s="227" t="s">
        <v>531</v>
      </c>
      <c r="C51" s="19"/>
      <c r="D51" s="70"/>
    </row>
    <row r="52" spans="1:4">
      <c r="A52" s="223">
        <v>51</v>
      </c>
      <c r="B52" s="227" t="s">
        <v>531</v>
      </c>
      <c r="C52" s="19"/>
      <c r="D52" s="70"/>
    </row>
    <row r="53" spans="1:4">
      <c r="A53" s="223">
        <v>52</v>
      </c>
      <c r="B53" s="227" t="s">
        <v>531</v>
      </c>
      <c r="C53" s="19"/>
      <c r="D53" s="70"/>
    </row>
    <row r="54" spans="1:4">
      <c r="A54" s="223">
        <v>53</v>
      </c>
      <c r="B54" s="227" t="s">
        <v>531</v>
      </c>
      <c r="C54" s="19"/>
      <c r="D54" s="70"/>
    </row>
    <row r="55" spans="1:4">
      <c r="A55" s="223">
        <v>54</v>
      </c>
      <c r="B55" s="227" t="s">
        <v>531</v>
      </c>
      <c r="C55" s="19"/>
      <c r="D55" s="70"/>
    </row>
    <row r="56" spans="1:4">
      <c r="A56" s="223">
        <v>55</v>
      </c>
      <c r="B56" s="227" t="s">
        <v>531</v>
      </c>
      <c r="C56" s="19"/>
      <c r="D56" s="70"/>
    </row>
    <row r="57" spans="1:4">
      <c r="A57" s="223">
        <v>56</v>
      </c>
      <c r="B57" s="227" t="s">
        <v>531</v>
      </c>
      <c r="C57" s="19"/>
      <c r="D57" s="70"/>
    </row>
    <row r="58" spans="1:4">
      <c r="A58" s="223">
        <v>57</v>
      </c>
      <c r="B58" s="227" t="s">
        <v>531</v>
      </c>
      <c r="C58" s="19"/>
      <c r="D58" s="70"/>
    </row>
    <row r="59" spans="1:4">
      <c r="A59" s="223">
        <v>58</v>
      </c>
      <c r="B59" s="227" t="s">
        <v>531</v>
      </c>
      <c r="C59" s="19"/>
      <c r="D59" s="70"/>
    </row>
    <row r="60" spans="1:4">
      <c r="A60" s="225">
        <v>59</v>
      </c>
      <c r="B60" s="167" t="s">
        <v>531</v>
      </c>
      <c r="C60" s="289"/>
      <c r="D60" s="74"/>
    </row>
  </sheetData>
  <mergeCells count="2">
    <mergeCell ref="H2:H6"/>
    <mergeCell ref="F11:F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E036-F509-4E16-9841-456CCE316EDA}">
  <sheetPr>
    <tabColor rgb="FF8AE9FF"/>
  </sheetPr>
  <dimension ref="A1:M112"/>
  <sheetViews>
    <sheetView workbookViewId="0">
      <selection activeCell="O8" sqref="O8"/>
    </sheetView>
  </sheetViews>
  <sheetFormatPr defaultRowHeight="15.75"/>
  <cols>
    <col min="1" max="1" width="7" customWidth="1"/>
    <col min="2" max="2" width="30" customWidth="1"/>
    <col min="3" max="3" width="18.875" customWidth="1"/>
    <col min="4" max="4" width="19.375" customWidth="1"/>
    <col min="9" max="9" width="9.375" customWidth="1"/>
    <col min="10" max="10" width="13.5" customWidth="1"/>
    <col min="11" max="11" width="9.125" customWidth="1"/>
    <col min="12" max="12" width="10.5" customWidth="1"/>
    <col min="13" max="13" width="11.75" customWidth="1"/>
  </cols>
  <sheetData>
    <row r="1" spans="1:13" ht="18.75">
      <c r="A1" s="961" t="s">
        <v>414</v>
      </c>
      <c r="B1" s="972"/>
      <c r="C1" s="972"/>
      <c r="D1" s="973"/>
      <c r="E1" s="149"/>
      <c r="F1" s="149"/>
    </row>
    <row r="2" spans="1:13" ht="15.75" customHeight="1">
      <c r="A2" s="140"/>
      <c r="B2" s="112" t="s">
        <v>283</v>
      </c>
      <c r="C2" s="789" t="s">
        <v>415</v>
      </c>
      <c r="D2" s="112" t="s">
        <v>6</v>
      </c>
      <c r="F2" s="976" t="s">
        <v>534</v>
      </c>
      <c r="G2" s="977"/>
      <c r="H2" s="978"/>
      <c r="J2" s="708" t="s">
        <v>339</v>
      </c>
      <c r="K2" s="709" t="s">
        <v>332</v>
      </c>
      <c r="L2" s="783" t="s">
        <v>334</v>
      </c>
      <c r="M2" s="784" t="s">
        <v>335</v>
      </c>
    </row>
    <row r="3" spans="1:13">
      <c r="A3" s="137">
        <v>1</v>
      </c>
      <c r="B3" s="790"/>
      <c r="C3" s="791"/>
      <c r="D3" s="360"/>
      <c r="F3" s="974">
        <v>110</v>
      </c>
      <c r="G3" s="952"/>
      <c r="H3" s="975"/>
      <c r="I3">
        <v>1</v>
      </c>
      <c r="J3" s="712" t="s">
        <v>80</v>
      </c>
      <c r="K3" s="647">
        <v>8</v>
      </c>
      <c r="L3" s="778">
        <f>COUNTIF(D3:D112, "Drishty")</f>
        <v>0</v>
      </c>
      <c r="M3" s="779">
        <f>SUM(K3-L3)</f>
        <v>8</v>
      </c>
    </row>
    <row r="4" spans="1:13">
      <c r="A4" s="12">
        <v>2</v>
      </c>
      <c r="B4" s="254"/>
      <c r="C4" s="10"/>
      <c r="D4" s="144"/>
      <c r="F4" s="946"/>
      <c r="G4" s="947"/>
      <c r="H4" s="948"/>
      <c r="I4">
        <v>2</v>
      </c>
      <c r="J4" s="75" t="s">
        <v>70</v>
      </c>
      <c r="K4" s="51">
        <v>4</v>
      </c>
      <c r="L4" s="239">
        <f>COUNTIF(D3:D112, "Shakeel")</f>
        <v>0</v>
      </c>
      <c r="M4" s="330">
        <f t="shared" ref="M4:M7" si="0">SUM(K4-L4)</f>
        <v>4</v>
      </c>
    </row>
    <row r="5" spans="1:13" ht="18" customHeight="1">
      <c r="A5" s="137">
        <v>3</v>
      </c>
      <c r="B5" s="254"/>
      <c r="C5" s="10"/>
      <c r="D5" s="144"/>
      <c r="F5" s="357"/>
      <c r="G5" s="357"/>
      <c r="H5" s="357"/>
      <c r="I5">
        <v>3</v>
      </c>
      <c r="J5" s="361" t="s">
        <v>50</v>
      </c>
      <c r="K5" s="51">
        <v>8</v>
      </c>
      <c r="L5" s="239">
        <f>COUNTIF(D3:D112, "Jarutas")</f>
        <v>0</v>
      </c>
      <c r="M5" s="330">
        <f t="shared" si="0"/>
        <v>8</v>
      </c>
    </row>
    <row r="6" spans="1:13">
      <c r="A6" s="12">
        <v>4</v>
      </c>
      <c r="B6" s="254"/>
      <c r="C6" s="10"/>
      <c r="D6" s="144"/>
      <c r="I6">
        <v>4</v>
      </c>
      <c r="J6" s="75"/>
      <c r="K6" s="51"/>
      <c r="L6" s="239">
        <f>COUNTIF(D3:D112, " ")</f>
        <v>0</v>
      </c>
      <c r="M6" s="330">
        <f t="shared" si="0"/>
        <v>0</v>
      </c>
    </row>
    <row r="7" spans="1:13">
      <c r="A7" s="137">
        <v>5</v>
      </c>
      <c r="B7" s="254"/>
      <c r="C7" s="10"/>
      <c r="D7" s="359"/>
      <c r="I7">
        <v>5</v>
      </c>
      <c r="J7" s="75" t="s">
        <v>215</v>
      </c>
      <c r="K7" s="51">
        <v>4</v>
      </c>
      <c r="L7" s="239">
        <f>COUNTIF(D2:D112, "Kashif")</f>
        <v>0</v>
      </c>
      <c r="M7" s="330">
        <f>SUM(K7-L7)</f>
        <v>4</v>
      </c>
    </row>
    <row r="8" spans="1:13">
      <c r="A8" s="12">
        <v>6</v>
      </c>
      <c r="B8" s="254"/>
      <c r="C8" s="10"/>
      <c r="D8" s="144"/>
      <c r="I8">
        <v>6</v>
      </c>
      <c r="J8" s="75" t="s">
        <v>81</v>
      </c>
      <c r="K8" s="51">
        <v>10</v>
      </c>
      <c r="L8" s="239">
        <f>COUNTIF(D2:D112, "Pengfei")</f>
        <v>0</v>
      </c>
      <c r="M8" s="330">
        <f>SUM(K8-L8)</f>
        <v>10</v>
      </c>
    </row>
    <row r="9" spans="1:13">
      <c r="A9" s="137">
        <v>7</v>
      </c>
      <c r="B9" s="254"/>
      <c r="C9" s="10"/>
      <c r="D9" s="144"/>
      <c r="I9">
        <v>7</v>
      </c>
      <c r="J9" s="75" t="s">
        <v>258</v>
      </c>
      <c r="K9" s="51">
        <v>10</v>
      </c>
      <c r="L9" s="239">
        <f>COUNTIF(D2:D112, "Bacha")</f>
        <v>0</v>
      </c>
      <c r="M9" s="330">
        <f>SUM(K9-L9)</f>
        <v>10</v>
      </c>
    </row>
    <row r="10" spans="1:13">
      <c r="A10" s="12">
        <v>8</v>
      </c>
      <c r="B10" s="254"/>
      <c r="C10" s="10"/>
      <c r="D10" s="144"/>
      <c r="I10">
        <v>8</v>
      </c>
      <c r="J10" s="244" t="s">
        <v>265</v>
      </c>
      <c r="K10" s="328">
        <v>10</v>
      </c>
      <c r="L10" s="239">
        <f>COUNTIF(D2:D112, "Raza")</f>
        <v>0</v>
      </c>
      <c r="M10" s="330">
        <f>SUM(K10-L10)</f>
        <v>10</v>
      </c>
    </row>
    <row r="11" spans="1:13">
      <c r="A11" s="137">
        <v>9</v>
      </c>
      <c r="B11" s="254"/>
      <c r="C11" s="10"/>
      <c r="D11" s="144"/>
      <c r="I11">
        <v>9</v>
      </c>
      <c r="J11" s="75"/>
      <c r="K11" s="17"/>
      <c r="L11" s="239">
        <f>COUNTIF(D2:D112, " ")</f>
        <v>0</v>
      </c>
      <c r="M11" s="330">
        <f>SUM(K11-L11)</f>
        <v>0</v>
      </c>
    </row>
    <row r="12" spans="1:13">
      <c r="A12" s="12">
        <v>10</v>
      </c>
      <c r="B12" s="254"/>
      <c r="C12" s="10"/>
      <c r="D12" s="359"/>
      <c r="I12">
        <v>10</v>
      </c>
      <c r="J12" s="75"/>
      <c r="K12" s="17"/>
      <c r="L12" s="239">
        <f>COUNTIF(D2:D112, " ")</f>
        <v>0</v>
      </c>
      <c r="M12" s="330">
        <f>SUM(K12-L12)</f>
        <v>0</v>
      </c>
    </row>
    <row r="13" spans="1:13">
      <c r="A13" s="137">
        <v>11</v>
      </c>
      <c r="B13" s="254"/>
      <c r="C13" s="10"/>
      <c r="D13" s="144"/>
      <c r="F13" s="574"/>
      <c r="I13">
        <v>11</v>
      </c>
      <c r="J13" s="297"/>
      <c r="K13" s="780"/>
      <c r="L13" s="781">
        <f>COUNTIF(D2:D112, " ")</f>
        <v>0</v>
      </c>
      <c r="M13" s="782">
        <f>SUM(K13-L13)</f>
        <v>0</v>
      </c>
    </row>
    <row r="14" spans="1:13">
      <c r="A14" s="12">
        <v>12</v>
      </c>
      <c r="B14" s="254"/>
      <c r="C14" s="10"/>
      <c r="D14" s="144"/>
      <c r="K14" s="785">
        <f>SUM(K3:K13)</f>
        <v>54</v>
      </c>
      <c r="L14" s="786">
        <f>SUM(L3:L13)</f>
        <v>0</v>
      </c>
    </row>
    <row r="15" spans="1:13">
      <c r="A15" s="137">
        <v>13</v>
      </c>
      <c r="B15" s="254"/>
      <c r="C15" s="10"/>
      <c r="D15" s="144"/>
    </row>
    <row r="16" spans="1:13">
      <c r="A16" s="12">
        <v>14</v>
      </c>
      <c r="B16" s="254"/>
      <c r="C16" s="10"/>
      <c r="D16" s="144"/>
      <c r="J16" s="708" t="s">
        <v>361</v>
      </c>
      <c r="K16" s="709"/>
      <c r="L16" s="710"/>
      <c r="M16" s="711"/>
    </row>
    <row r="17" spans="1:13">
      <c r="A17" s="137">
        <v>15</v>
      </c>
      <c r="B17" s="254"/>
      <c r="C17" s="10"/>
      <c r="D17" s="359"/>
      <c r="I17">
        <v>1</v>
      </c>
      <c r="J17" s="712" t="s">
        <v>357</v>
      </c>
      <c r="K17" s="713">
        <v>10</v>
      </c>
      <c r="L17" s="714">
        <f>COUNTIF(D3:D112, "Muntasir")</f>
        <v>0</v>
      </c>
      <c r="M17" s="715">
        <f>SUM(K17-L17)</f>
        <v>10</v>
      </c>
    </row>
    <row r="18" spans="1:13">
      <c r="A18" s="137">
        <v>16</v>
      </c>
      <c r="B18" s="254"/>
      <c r="C18" s="10"/>
      <c r="D18" s="144"/>
      <c r="I18">
        <v>2</v>
      </c>
      <c r="J18" s="75" t="s">
        <v>351</v>
      </c>
      <c r="K18" s="64">
        <v>10</v>
      </c>
      <c r="L18" s="246">
        <f>COUNTIF(D3:D112, "Hamid")</f>
        <v>0</v>
      </c>
      <c r="M18" s="247">
        <f>SUM(K18-L18)</f>
        <v>10</v>
      </c>
    </row>
    <row r="19" spans="1:13">
      <c r="A19" s="12">
        <v>17</v>
      </c>
      <c r="B19" s="254"/>
      <c r="C19" s="10"/>
      <c r="D19" s="359"/>
      <c r="I19">
        <v>3</v>
      </c>
      <c r="J19" s="75" t="s">
        <v>366</v>
      </c>
      <c r="K19" s="64">
        <v>10</v>
      </c>
      <c r="L19" s="246">
        <f>COUNTIF(D3:D112, "Peyman")</f>
        <v>0</v>
      </c>
      <c r="M19" s="247">
        <f>SUM(K19-L19)</f>
        <v>10</v>
      </c>
    </row>
    <row r="20" spans="1:13">
      <c r="A20" s="137">
        <v>18</v>
      </c>
      <c r="B20" s="254"/>
      <c r="C20" s="10"/>
      <c r="D20" s="144"/>
      <c r="I20">
        <v>4</v>
      </c>
      <c r="J20" s="75" t="s">
        <v>235</v>
      </c>
      <c r="K20" s="64">
        <v>10</v>
      </c>
      <c r="L20" s="707">
        <f>COUNTIF(D2:D112, "Femi")</f>
        <v>0</v>
      </c>
      <c r="M20" s="247">
        <f>SUM(K20-L20)</f>
        <v>10</v>
      </c>
    </row>
    <row r="21" spans="1:13">
      <c r="A21" s="12">
        <v>19</v>
      </c>
      <c r="B21" s="254"/>
      <c r="C21" s="10"/>
      <c r="D21" s="144"/>
      <c r="I21">
        <v>5</v>
      </c>
      <c r="J21" s="75"/>
      <c r="K21" s="10"/>
      <c r="L21" s="792"/>
      <c r="M21" s="794"/>
    </row>
    <row r="22" spans="1:13">
      <c r="A22" s="137">
        <v>20</v>
      </c>
      <c r="B22" s="254"/>
      <c r="C22" s="10"/>
      <c r="D22" s="144"/>
      <c r="I22">
        <v>6</v>
      </c>
      <c r="J22" s="75"/>
      <c r="K22" s="10"/>
      <c r="L22" s="792"/>
      <c r="M22" s="794"/>
    </row>
    <row r="23" spans="1:13">
      <c r="A23" s="12">
        <v>21</v>
      </c>
      <c r="B23" s="254"/>
      <c r="C23" s="10"/>
      <c r="D23" s="144"/>
      <c r="I23">
        <v>7</v>
      </c>
      <c r="J23" s="245"/>
      <c r="K23" s="295"/>
      <c r="L23" s="793"/>
      <c r="M23" s="795"/>
    </row>
    <row r="24" spans="1:13">
      <c r="A24" s="137">
        <v>22</v>
      </c>
      <c r="B24" s="254"/>
      <c r="C24" s="10"/>
      <c r="D24" s="359"/>
      <c r="K24" s="787">
        <f>SUM(K17:K19)</f>
        <v>30</v>
      </c>
      <c r="L24" s="788">
        <f>SUM(L16:L20)</f>
        <v>0</v>
      </c>
    </row>
    <row r="25" spans="1:13">
      <c r="A25" s="12">
        <v>23</v>
      </c>
      <c r="B25" s="254"/>
      <c r="C25" s="10"/>
      <c r="D25" s="144"/>
      <c r="J25" s="341" t="s">
        <v>443</v>
      </c>
      <c r="K25" s="340">
        <f>SUM(K14+K24)</f>
        <v>84</v>
      </c>
    </row>
    <row r="26" spans="1:13">
      <c r="A26" s="137">
        <v>24</v>
      </c>
      <c r="B26" s="254"/>
      <c r="C26" s="10"/>
      <c r="D26" s="359"/>
      <c r="L26" s="336" t="s">
        <v>335</v>
      </c>
      <c r="M26" s="337" t="s">
        <v>334</v>
      </c>
    </row>
    <row r="27" spans="1:13">
      <c r="A27" s="12">
        <v>25</v>
      </c>
      <c r="B27" s="254"/>
      <c r="C27" s="10"/>
      <c r="D27" s="144"/>
      <c r="L27" s="327">
        <f>SUM(F3)</f>
        <v>110</v>
      </c>
      <c r="M27" s="310">
        <f>SUM(L14+L24)</f>
        <v>0</v>
      </c>
    </row>
    <row r="28" spans="1:13">
      <c r="A28" s="137">
        <v>26</v>
      </c>
      <c r="B28" s="254"/>
      <c r="C28" s="10"/>
      <c r="D28" s="144"/>
    </row>
    <row r="29" spans="1:13">
      <c r="A29" s="12">
        <v>27</v>
      </c>
      <c r="B29" s="254"/>
      <c r="C29" s="10"/>
      <c r="D29" s="359"/>
    </row>
    <row r="30" spans="1:13">
      <c r="A30" s="137">
        <v>28</v>
      </c>
      <c r="B30" s="254"/>
      <c r="C30" s="10"/>
      <c r="D30" s="144"/>
    </row>
    <row r="31" spans="1:13">
      <c r="A31" s="12">
        <v>29</v>
      </c>
      <c r="B31" s="254"/>
      <c r="C31" s="10"/>
      <c r="D31" s="359"/>
    </row>
    <row r="32" spans="1:13">
      <c r="A32" s="137">
        <v>30</v>
      </c>
      <c r="B32" s="254"/>
      <c r="C32" s="10"/>
      <c r="D32" s="360"/>
    </row>
    <row r="33" spans="1:4">
      <c r="A33" s="137">
        <v>31</v>
      </c>
      <c r="B33" s="254"/>
      <c r="C33" s="10"/>
      <c r="D33" s="144"/>
    </row>
    <row r="34" spans="1:4">
      <c r="A34" s="12">
        <v>32</v>
      </c>
      <c r="B34" s="254"/>
      <c r="C34" s="10"/>
      <c r="D34" s="144"/>
    </row>
    <row r="35" spans="1:4">
      <c r="A35" s="137">
        <v>33</v>
      </c>
      <c r="B35" s="254"/>
      <c r="C35" s="10"/>
      <c r="D35" s="144"/>
    </row>
    <row r="36" spans="1:4">
      <c r="A36" s="12">
        <v>34</v>
      </c>
      <c r="B36" s="254"/>
      <c r="C36" s="10"/>
      <c r="D36" s="144"/>
    </row>
    <row r="37" spans="1:4">
      <c r="A37" s="137">
        <v>35</v>
      </c>
      <c r="B37" s="254"/>
      <c r="C37" s="10"/>
      <c r="D37" s="144"/>
    </row>
    <row r="38" spans="1:4">
      <c r="A38" s="12">
        <v>36</v>
      </c>
      <c r="B38" s="254"/>
      <c r="C38" s="10"/>
      <c r="D38" s="144"/>
    </row>
    <row r="39" spans="1:4">
      <c r="A39" s="137">
        <v>37</v>
      </c>
      <c r="B39" s="254"/>
      <c r="C39" s="10"/>
      <c r="D39" s="144"/>
    </row>
    <row r="40" spans="1:4">
      <c r="A40" s="12">
        <v>38</v>
      </c>
      <c r="B40" s="254"/>
      <c r="C40" s="10"/>
      <c r="D40" s="144"/>
    </row>
    <row r="41" spans="1:4">
      <c r="A41" s="137">
        <v>39</v>
      </c>
      <c r="B41" s="254"/>
      <c r="C41" s="10"/>
      <c r="D41" s="144"/>
    </row>
    <row r="42" spans="1:4">
      <c r="A42" s="12">
        <v>40</v>
      </c>
      <c r="B42" s="254"/>
      <c r="C42" s="10"/>
      <c r="D42" s="144"/>
    </row>
    <row r="43" spans="1:4">
      <c r="A43" s="137">
        <v>41</v>
      </c>
      <c r="B43" s="254"/>
      <c r="C43" s="10"/>
      <c r="D43" s="145"/>
    </row>
    <row r="44" spans="1:4">
      <c r="A44" s="12">
        <v>42</v>
      </c>
      <c r="B44" s="254"/>
      <c r="C44" s="10"/>
      <c r="D44" s="145"/>
    </row>
    <row r="45" spans="1:4">
      <c r="A45" s="137">
        <v>43</v>
      </c>
      <c r="B45" s="254"/>
      <c r="C45" s="10"/>
      <c r="D45" s="145"/>
    </row>
    <row r="46" spans="1:4">
      <c r="A46" s="12">
        <v>44</v>
      </c>
      <c r="B46" s="254"/>
      <c r="C46" s="10"/>
      <c r="D46" s="145"/>
    </row>
    <row r="47" spans="1:4">
      <c r="A47" s="137">
        <v>45</v>
      </c>
      <c r="B47" s="254"/>
      <c r="C47" s="10"/>
      <c r="D47" s="145"/>
    </row>
    <row r="48" spans="1:4">
      <c r="A48" s="137">
        <v>46</v>
      </c>
      <c r="B48" s="254"/>
      <c r="C48" s="10"/>
      <c r="D48" s="145"/>
    </row>
    <row r="49" spans="1:4">
      <c r="A49" s="12">
        <v>47</v>
      </c>
      <c r="B49" s="254"/>
      <c r="C49" s="10"/>
      <c r="D49" s="145"/>
    </row>
    <row r="50" spans="1:4">
      <c r="A50" s="137">
        <v>48</v>
      </c>
      <c r="B50" s="254"/>
      <c r="C50" s="10"/>
      <c r="D50" s="145"/>
    </row>
    <row r="51" spans="1:4">
      <c r="A51" s="12">
        <v>49</v>
      </c>
      <c r="B51" s="254"/>
      <c r="C51" s="10"/>
      <c r="D51" s="145"/>
    </row>
    <row r="52" spans="1:4">
      <c r="A52" s="137">
        <v>50</v>
      </c>
      <c r="B52" s="254"/>
      <c r="C52" s="10"/>
      <c r="D52" s="145"/>
    </row>
    <row r="53" spans="1:4">
      <c r="A53" s="12">
        <v>51</v>
      </c>
      <c r="B53" s="254"/>
      <c r="C53" s="10"/>
      <c r="D53" s="145"/>
    </row>
    <row r="54" spans="1:4">
      <c r="A54" s="137">
        <v>52</v>
      </c>
      <c r="B54" s="254"/>
      <c r="C54" s="10"/>
      <c r="D54" s="145"/>
    </row>
    <row r="55" spans="1:4">
      <c r="A55" s="12">
        <v>53</v>
      </c>
      <c r="B55" s="254"/>
      <c r="C55" s="10"/>
      <c r="D55" s="145"/>
    </row>
    <row r="56" spans="1:4">
      <c r="A56" s="137">
        <v>54</v>
      </c>
      <c r="B56" s="254"/>
      <c r="C56" s="10"/>
      <c r="D56" s="145"/>
    </row>
    <row r="57" spans="1:4">
      <c r="A57" s="12">
        <v>55</v>
      </c>
      <c r="B57" s="254"/>
      <c r="C57" s="10"/>
      <c r="D57" s="145"/>
    </row>
    <row r="58" spans="1:4">
      <c r="A58" s="137">
        <v>56</v>
      </c>
      <c r="B58" s="254"/>
      <c r="C58" s="10"/>
      <c r="D58" s="145"/>
    </row>
    <row r="59" spans="1:4">
      <c r="A59" s="12">
        <v>57</v>
      </c>
      <c r="B59" s="254"/>
      <c r="C59" s="10"/>
      <c r="D59" s="145"/>
    </row>
    <row r="60" spans="1:4">
      <c r="A60" s="137">
        <v>58</v>
      </c>
      <c r="B60" s="358"/>
      <c r="C60" s="10"/>
      <c r="D60" s="147"/>
    </row>
    <row r="61" spans="1:4">
      <c r="A61" s="12">
        <v>59</v>
      </c>
      <c r="B61" s="142"/>
      <c r="C61" s="10"/>
      <c r="D61" s="21"/>
    </row>
    <row r="62" spans="1:4">
      <c r="A62" s="137">
        <v>60</v>
      </c>
      <c r="B62" s="140"/>
      <c r="C62" s="10"/>
      <c r="D62" s="69"/>
    </row>
    <row r="63" spans="1:4">
      <c r="A63" s="141">
        <v>61</v>
      </c>
      <c r="B63" s="17"/>
      <c r="C63" s="10"/>
      <c r="D63" s="145"/>
    </row>
    <row r="64" spans="1:4">
      <c r="A64" s="142">
        <v>62</v>
      </c>
      <c r="B64" s="17"/>
      <c r="C64" s="10"/>
      <c r="D64" s="145"/>
    </row>
    <row r="65" spans="1:4">
      <c r="A65" s="141">
        <v>63</v>
      </c>
      <c r="B65" s="17"/>
      <c r="C65" s="10"/>
      <c r="D65" s="145"/>
    </row>
    <row r="66" spans="1:4">
      <c r="A66" s="142">
        <v>64</v>
      </c>
      <c r="B66" s="17"/>
      <c r="C66" s="10"/>
      <c r="D66" s="145"/>
    </row>
    <row r="67" spans="1:4">
      <c r="A67" s="141">
        <v>65</v>
      </c>
      <c r="B67" s="17"/>
      <c r="C67" s="10"/>
      <c r="D67" s="145"/>
    </row>
    <row r="68" spans="1:4">
      <c r="A68" s="142">
        <v>66</v>
      </c>
      <c r="B68" s="17"/>
      <c r="C68" s="10"/>
      <c r="D68" s="145"/>
    </row>
    <row r="69" spans="1:4">
      <c r="A69" s="141">
        <v>67</v>
      </c>
      <c r="B69" s="17"/>
      <c r="C69" s="10"/>
      <c r="D69" s="145"/>
    </row>
    <row r="70" spans="1:4">
      <c r="A70" s="142">
        <v>68</v>
      </c>
      <c r="B70" s="17"/>
      <c r="C70" s="10"/>
      <c r="D70" s="145"/>
    </row>
    <row r="71" spans="1:4">
      <c r="A71" s="141">
        <v>69</v>
      </c>
      <c r="B71" s="17"/>
      <c r="C71" s="10"/>
      <c r="D71" s="145"/>
    </row>
    <row r="72" spans="1:4">
      <c r="A72" s="142">
        <v>70</v>
      </c>
      <c r="B72" s="17"/>
      <c r="C72" s="10"/>
      <c r="D72" s="145"/>
    </row>
    <row r="73" spans="1:4">
      <c r="A73" s="141">
        <v>71</v>
      </c>
      <c r="B73" s="17"/>
      <c r="C73" s="10"/>
      <c r="D73" s="145"/>
    </row>
    <row r="74" spans="1:4">
      <c r="A74" s="142">
        <v>72</v>
      </c>
      <c r="B74" s="17"/>
      <c r="C74" s="10"/>
      <c r="D74" s="145"/>
    </row>
    <row r="75" spans="1:4">
      <c r="A75" s="141">
        <v>73</v>
      </c>
      <c r="B75" s="17"/>
      <c r="C75" s="10"/>
      <c r="D75" s="145"/>
    </row>
    <row r="76" spans="1:4">
      <c r="A76" s="142">
        <v>74</v>
      </c>
      <c r="B76" s="17"/>
      <c r="C76" s="10"/>
      <c r="D76" s="145"/>
    </row>
    <row r="77" spans="1:4">
      <c r="A77" s="141">
        <v>75</v>
      </c>
      <c r="B77" s="17"/>
      <c r="C77" s="10"/>
      <c r="D77" s="145"/>
    </row>
    <row r="78" spans="1:4">
      <c r="A78" s="141">
        <v>76</v>
      </c>
      <c r="B78" s="17"/>
      <c r="C78" s="10"/>
      <c r="D78" s="145"/>
    </row>
    <row r="79" spans="1:4">
      <c r="A79" s="142">
        <v>77</v>
      </c>
      <c r="B79" s="17"/>
      <c r="C79" s="10"/>
      <c r="D79" s="145"/>
    </row>
    <row r="80" spans="1:4">
      <c r="A80" s="141">
        <v>78</v>
      </c>
      <c r="B80" s="17"/>
      <c r="C80" s="10"/>
      <c r="D80" s="145"/>
    </row>
    <row r="81" spans="1:4">
      <c r="A81" s="142">
        <v>79</v>
      </c>
      <c r="B81" s="17"/>
      <c r="C81" s="10"/>
      <c r="D81" s="145"/>
    </row>
    <row r="82" spans="1:4">
      <c r="A82" s="141">
        <v>80</v>
      </c>
      <c r="B82" s="17"/>
      <c r="C82" s="10"/>
      <c r="D82" s="145"/>
    </row>
    <row r="83" spans="1:4">
      <c r="A83" s="142">
        <v>81</v>
      </c>
      <c r="B83" s="17"/>
      <c r="C83" s="10"/>
      <c r="D83" s="145"/>
    </row>
    <row r="84" spans="1:4">
      <c r="A84" s="141">
        <v>82</v>
      </c>
      <c r="B84" s="17"/>
      <c r="C84" s="10"/>
      <c r="D84" s="145"/>
    </row>
    <row r="85" spans="1:4">
      <c r="A85" s="142">
        <v>83</v>
      </c>
      <c r="B85" s="17"/>
      <c r="C85" s="10"/>
      <c r="D85" s="145"/>
    </row>
    <row r="86" spans="1:4">
      <c r="A86" s="141">
        <v>84</v>
      </c>
      <c r="B86" s="17"/>
      <c r="C86" s="10"/>
      <c r="D86" s="145"/>
    </row>
    <row r="87" spans="1:4">
      <c r="A87" s="142">
        <v>85</v>
      </c>
      <c r="B87" s="17"/>
      <c r="C87" s="10"/>
      <c r="D87" s="145"/>
    </row>
    <row r="88" spans="1:4">
      <c r="A88" s="141">
        <v>86</v>
      </c>
      <c r="B88" s="17"/>
      <c r="C88" s="10"/>
      <c r="D88" s="145"/>
    </row>
    <row r="89" spans="1:4">
      <c r="A89" s="142">
        <v>87</v>
      </c>
      <c r="B89" s="17"/>
      <c r="C89" s="10"/>
      <c r="D89" s="145"/>
    </row>
    <row r="90" spans="1:4">
      <c r="A90" s="141">
        <v>88</v>
      </c>
      <c r="B90" s="17"/>
      <c r="C90" s="10"/>
      <c r="D90" s="145"/>
    </row>
    <row r="91" spans="1:4">
      <c r="A91" s="142">
        <v>89</v>
      </c>
      <c r="B91" s="17"/>
      <c r="C91" s="10"/>
      <c r="D91" s="145"/>
    </row>
    <row r="92" spans="1:4">
      <c r="A92" s="141">
        <v>90</v>
      </c>
      <c r="B92" s="17"/>
      <c r="C92" s="10"/>
      <c r="D92" s="145"/>
    </row>
    <row r="93" spans="1:4">
      <c r="A93" s="141">
        <v>91</v>
      </c>
      <c r="B93" s="17"/>
      <c r="C93" s="10"/>
      <c r="D93" s="145"/>
    </row>
    <row r="94" spans="1:4">
      <c r="A94" s="142">
        <v>92</v>
      </c>
      <c r="B94" s="17"/>
      <c r="C94" s="10"/>
      <c r="D94" s="145"/>
    </row>
    <row r="95" spans="1:4">
      <c r="A95" s="141">
        <v>93</v>
      </c>
      <c r="B95" s="17"/>
      <c r="C95" s="10"/>
      <c r="D95" s="145"/>
    </row>
    <row r="96" spans="1:4">
      <c r="A96" s="142">
        <v>94</v>
      </c>
      <c r="B96" s="17"/>
      <c r="C96" s="10"/>
      <c r="D96" s="145"/>
    </row>
    <row r="97" spans="1:4">
      <c r="A97" s="141">
        <v>95</v>
      </c>
      <c r="B97" s="17"/>
      <c r="C97" s="10"/>
      <c r="D97" s="145"/>
    </row>
    <row r="98" spans="1:4">
      <c r="A98" s="142">
        <v>96</v>
      </c>
      <c r="B98" s="17"/>
      <c r="C98" s="10"/>
      <c r="D98" s="145"/>
    </row>
    <row r="99" spans="1:4">
      <c r="A99" s="141">
        <v>97</v>
      </c>
      <c r="B99" s="17"/>
      <c r="C99" s="10"/>
      <c r="D99" s="145"/>
    </row>
    <row r="100" spans="1:4">
      <c r="A100" s="142">
        <v>98</v>
      </c>
      <c r="B100" s="17"/>
      <c r="C100" s="10"/>
      <c r="D100" s="145"/>
    </row>
    <row r="101" spans="1:4">
      <c r="A101" s="141">
        <v>99</v>
      </c>
      <c r="B101" s="17"/>
      <c r="C101" s="10"/>
      <c r="D101" s="145"/>
    </row>
    <row r="102" spans="1:4">
      <c r="A102" s="142">
        <v>100</v>
      </c>
      <c r="B102" s="17"/>
      <c r="C102" s="10"/>
      <c r="D102" s="145"/>
    </row>
    <row r="103" spans="1:4">
      <c r="A103" s="141">
        <v>101</v>
      </c>
      <c r="B103" s="17"/>
      <c r="C103" s="10"/>
      <c r="D103" s="145"/>
    </row>
    <row r="104" spans="1:4">
      <c r="A104" s="142">
        <v>102</v>
      </c>
      <c r="B104" s="17"/>
      <c r="C104" s="10"/>
      <c r="D104" s="145"/>
    </row>
    <row r="105" spans="1:4">
      <c r="A105" s="141">
        <v>103</v>
      </c>
      <c r="B105" s="17"/>
      <c r="C105" s="10"/>
      <c r="D105" s="145"/>
    </row>
    <row r="106" spans="1:4">
      <c r="A106" s="142">
        <v>104</v>
      </c>
      <c r="B106" s="17"/>
      <c r="C106" s="10"/>
      <c r="D106" s="145"/>
    </row>
    <row r="107" spans="1:4">
      <c r="A107" s="141">
        <v>105</v>
      </c>
      <c r="B107" s="17"/>
      <c r="C107" s="10"/>
      <c r="D107" s="145"/>
    </row>
    <row r="108" spans="1:4">
      <c r="A108" s="141">
        <v>106</v>
      </c>
      <c r="B108" s="17"/>
      <c r="C108" s="10"/>
      <c r="D108" s="145"/>
    </row>
    <row r="109" spans="1:4">
      <c r="A109" s="142">
        <v>107</v>
      </c>
      <c r="B109" s="17"/>
      <c r="C109" s="10"/>
      <c r="D109" s="145"/>
    </row>
    <row r="110" spans="1:4">
      <c r="A110" s="141">
        <v>108</v>
      </c>
      <c r="B110" s="17"/>
      <c r="C110" s="10"/>
      <c r="D110" s="145"/>
    </row>
    <row r="111" spans="1:4">
      <c r="A111" s="142">
        <v>109</v>
      </c>
      <c r="B111" s="17"/>
      <c r="C111" s="10"/>
      <c r="D111" s="145"/>
    </row>
    <row r="112" spans="1:4">
      <c r="A112" s="141">
        <v>110</v>
      </c>
      <c r="B112" s="17"/>
      <c r="C112" s="10"/>
      <c r="D112" s="145"/>
    </row>
  </sheetData>
  <mergeCells count="3">
    <mergeCell ref="A1:D1"/>
    <mergeCell ref="F3:H4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26D5-4215-1D47-A0E4-BF6B097FFA25}">
  <sheetPr>
    <tabColor rgb="FFF5A4ED"/>
  </sheetPr>
  <dimension ref="A1:T59"/>
  <sheetViews>
    <sheetView topLeftCell="A18" workbookViewId="0">
      <selection activeCell="B49" sqref="B49"/>
    </sheetView>
  </sheetViews>
  <sheetFormatPr defaultColWidth="11" defaultRowHeight="15.75" customHeight="1"/>
  <cols>
    <col min="1" max="1" width="6.125" customWidth="1"/>
    <col min="2" max="2" width="73.875" customWidth="1"/>
    <col min="3" max="3" width="10.375" customWidth="1"/>
    <col min="4" max="4" width="10.625" customWidth="1"/>
    <col min="5" max="7" width="8.5" customWidth="1"/>
    <col min="8" max="8" width="14" style="11" customWidth="1"/>
    <col min="9" max="9" width="13" style="11" customWidth="1"/>
    <col min="10" max="10" width="12.125" customWidth="1"/>
    <col min="14" max="14" width="11.625" customWidth="1"/>
    <col min="15" max="15" width="13.5" customWidth="1"/>
    <col min="16" max="16" width="12.125" customWidth="1"/>
    <col min="20" max="20" width="12.625" customWidth="1"/>
  </cols>
  <sheetData>
    <row r="1" spans="1:20" ht="26.1" customHeight="1">
      <c r="A1" s="833" t="s">
        <v>19</v>
      </c>
      <c r="B1" s="834"/>
      <c r="C1" s="845" t="s">
        <v>20</v>
      </c>
      <c r="D1" s="843" t="s">
        <v>21</v>
      </c>
      <c r="E1" s="837" t="s">
        <v>1</v>
      </c>
      <c r="F1" s="839" t="s">
        <v>2</v>
      </c>
      <c r="G1" s="841" t="s">
        <v>3</v>
      </c>
      <c r="H1" s="854" t="s">
        <v>5</v>
      </c>
      <c r="I1" s="856" t="s">
        <v>22</v>
      </c>
      <c r="J1" s="830" t="s">
        <v>23</v>
      </c>
      <c r="K1" s="831"/>
      <c r="L1" s="831"/>
      <c r="M1" s="831"/>
      <c r="N1" s="832"/>
      <c r="O1" s="850" t="s">
        <v>24</v>
      </c>
      <c r="P1" s="851"/>
      <c r="Q1" s="827" t="s">
        <v>25</v>
      </c>
      <c r="R1" s="828"/>
      <c r="S1" s="829"/>
      <c r="T1" s="825" t="s">
        <v>26</v>
      </c>
    </row>
    <row r="2" spans="1:20" ht="28.5" customHeight="1">
      <c r="A2" s="835"/>
      <c r="B2" s="836"/>
      <c r="C2" s="846"/>
      <c r="D2" s="844"/>
      <c r="E2" s="838"/>
      <c r="F2" s="840"/>
      <c r="G2" s="842"/>
      <c r="H2" s="855"/>
      <c r="I2" s="857"/>
      <c r="J2" s="470" t="s">
        <v>27</v>
      </c>
      <c r="K2" s="353" t="s">
        <v>28</v>
      </c>
      <c r="L2" s="353" t="s">
        <v>29</v>
      </c>
      <c r="M2" s="355" t="s">
        <v>30</v>
      </c>
      <c r="N2" s="368" t="s">
        <v>31</v>
      </c>
      <c r="O2" s="363" t="s">
        <v>32</v>
      </c>
      <c r="P2" s="364" t="s">
        <v>33</v>
      </c>
      <c r="Q2" s="1" t="s">
        <v>30</v>
      </c>
      <c r="R2" s="565" t="s">
        <v>34</v>
      </c>
      <c r="S2" s="565" t="s">
        <v>35</v>
      </c>
      <c r="T2" s="826"/>
    </row>
    <row r="3" spans="1:20">
      <c r="A3" s="676">
        <v>1</v>
      </c>
      <c r="B3" s="677" t="s">
        <v>36</v>
      </c>
      <c r="C3" s="618">
        <v>1</v>
      </c>
      <c r="D3" s="613"/>
      <c r="E3" s="606">
        <v>3</v>
      </c>
      <c r="F3" s="417"/>
      <c r="G3" s="379"/>
      <c r="H3" s="370" t="s">
        <v>8</v>
      </c>
      <c r="I3" s="641" t="s">
        <v>37</v>
      </c>
      <c r="J3" s="616"/>
      <c r="K3" s="409" t="s">
        <v>38</v>
      </c>
      <c r="L3" s="409" t="s">
        <v>38</v>
      </c>
      <c r="M3" s="409" t="s">
        <v>38</v>
      </c>
      <c r="N3" s="409" t="s">
        <v>38</v>
      </c>
      <c r="O3" s="365" t="s">
        <v>38</v>
      </c>
      <c r="P3" s="624" t="s">
        <v>38</v>
      </c>
      <c r="Q3" s="623" t="s">
        <v>38</v>
      </c>
      <c r="R3" s="628" t="s">
        <v>38</v>
      </c>
      <c r="S3" s="647" t="s">
        <v>38</v>
      </c>
      <c r="T3" s="571">
        <f>COUNTIF(K3:S3, "X")</f>
        <v>9</v>
      </c>
    </row>
    <row r="4" spans="1:20">
      <c r="A4" s="671">
        <v>2</v>
      </c>
      <c r="B4" s="668" t="s">
        <v>39</v>
      </c>
      <c r="C4" s="619">
        <v>1</v>
      </c>
      <c r="D4" s="455"/>
      <c r="E4" s="607"/>
      <c r="F4" s="61"/>
      <c r="G4" s="380"/>
      <c r="H4" s="85" t="s">
        <v>40</v>
      </c>
      <c r="I4" s="642" t="s">
        <v>37</v>
      </c>
      <c r="J4" s="603"/>
      <c r="K4" s="345" t="s">
        <v>38</v>
      </c>
      <c r="L4" s="345" t="s">
        <v>38</v>
      </c>
      <c r="M4" s="345" t="s">
        <v>38</v>
      </c>
      <c r="N4" s="345" t="s">
        <v>38</v>
      </c>
      <c r="O4" s="128" t="s">
        <v>38</v>
      </c>
      <c r="P4" s="142"/>
      <c r="Q4" s="85" t="s">
        <v>38</v>
      </c>
      <c r="R4" s="619" t="s">
        <v>38</v>
      </c>
      <c r="S4" s="51"/>
      <c r="T4" s="356">
        <f t="shared" ref="T4:T37" si="0">COUNTIF(K4:S4, "X")</f>
        <v>7</v>
      </c>
    </row>
    <row r="5" spans="1:20">
      <c r="A5" s="672">
        <v>3</v>
      </c>
      <c r="B5" s="669" t="s">
        <v>41</v>
      </c>
      <c r="C5" s="620">
        <v>1</v>
      </c>
      <c r="D5" s="456"/>
      <c r="E5" s="607"/>
      <c r="F5" s="61"/>
      <c r="G5" s="380"/>
      <c r="H5" s="371" t="s">
        <v>42</v>
      </c>
      <c r="I5" s="643"/>
      <c r="J5" s="603"/>
      <c r="K5" s="410"/>
      <c r="L5" s="410"/>
      <c r="M5" s="410" t="s">
        <v>38</v>
      </c>
      <c r="N5" s="410" t="s">
        <v>38</v>
      </c>
      <c r="O5" s="366"/>
      <c r="P5" s="625"/>
      <c r="Q5" s="86" t="s">
        <v>38</v>
      </c>
      <c r="R5" s="629" t="s">
        <v>38</v>
      </c>
      <c r="S5" s="648"/>
      <c r="T5" s="356">
        <f t="shared" si="0"/>
        <v>4</v>
      </c>
    </row>
    <row r="6" spans="1:20">
      <c r="A6" s="671">
        <v>4</v>
      </c>
      <c r="B6" s="668" t="s">
        <v>43</v>
      </c>
      <c r="C6" s="619" t="s">
        <v>44</v>
      </c>
      <c r="D6" s="455"/>
      <c r="E6" s="607"/>
      <c r="F6" s="61"/>
      <c r="G6" s="380"/>
      <c r="H6" s="85" t="s">
        <v>40</v>
      </c>
      <c r="I6" s="642"/>
      <c r="J6" s="603"/>
      <c r="K6" s="345"/>
      <c r="L6" s="345"/>
      <c r="M6" s="345" t="s">
        <v>38</v>
      </c>
      <c r="N6" s="345" t="s">
        <v>38</v>
      </c>
      <c r="O6" s="128" t="s">
        <v>38</v>
      </c>
      <c r="P6" s="142"/>
      <c r="Q6" s="85" t="s">
        <v>38</v>
      </c>
      <c r="R6" s="619" t="s">
        <v>38</v>
      </c>
      <c r="S6" s="51"/>
      <c r="T6" s="356">
        <f t="shared" si="0"/>
        <v>5</v>
      </c>
    </row>
    <row r="7" spans="1:20">
      <c r="A7" s="672">
        <v>5</v>
      </c>
      <c r="B7" s="669" t="s">
        <v>45</v>
      </c>
      <c r="C7" s="620">
        <v>1</v>
      </c>
      <c r="D7" s="456"/>
      <c r="E7" s="607">
        <v>3</v>
      </c>
      <c r="F7" s="61"/>
      <c r="G7" s="380"/>
      <c r="H7" s="371" t="s">
        <v>42</v>
      </c>
      <c r="I7" s="643"/>
      <c r="J7" s="603"/>
      <c r="K7" s="410"/>
      <c r="L7" s="410"/>
      <c r="M7" s="410" t="s">
        <v>38</v>
      </c>
      <c r="N7" s="410" t="s">
        <v>38</v>
      </c>
      <c r="O7" s="366" t="s">
        <v>38</v>
      </c>
      <c r="P7" s="625"/>
      <c r="Q7" s="86" t="s">
        <v>38</v>
      </c>
      <c r="R7" s="629" t="s">
        <v>38</v>
      </c>
      <c r="S7" s="648"/>
      <c r="T7" s="356">
        <f t="shared" si="0"/>
        <v>5</v>
      </c>
    </row>
    <row r="8" spans="1:20">
      <c r="A8" s="671">
        <v>6</v>
      </c>
      <c r="B8" s="668" t="s">
        <v>46</v>
      </c>
      <c r="C8" s="619">
        <v>1</v>
      </c>
      <c r="D8" s="455"/>
      <c r="E8" s="607">
        <v>3</v>
      </c>
      <c r="F8" s="61"/>
      <c r="G8" s="380"/>
      <c r="H8" s="85" t="s">
        <v>15</v>
      </c>
      <c r="I8" s="642"/>
      <c r="J8" s="603"/>
      <c r="K8" s="345" t="s">
        <v>38</v>
      </c>
      <c r="L8" s="345"/>
      <c r="M8" s="345"/>
      <c r="N8" s="345"/>
      <c r="O8" s="128"/>
      <c r="P8" s="142"/>
      <c r="Q8" s="85"/>
      <c r="R8" s="619"/>
      <c r="S8" s="51"/>
      <c r="T8" s="356">
        <f t="shared" si="0"/>
        <v>1</v>
      </c>
    </row>
    <row r="9" spans="1:20">
      <c r="A9" s="672">
        <v>7</v>
      </c>
      <c r="B9" s="669" t="s">
        <v>47</v>
      </c>
      <c r="C9" s="620">
        <v>2</v>
      </c>
      <c r="D9" s="456"/>
      <c r="E9" s="607"/>
      <c r="F9" s="61"/>
      <c r="G9" s="380"/>
      <c r="H9" s="371" t="s">
        <v>48</v>
      </c>
      <c r="I9" s="643"/>
      <c r="J9" s="603"/>
      <c r="K9" s="410" t="s">
        <v>38</v>
      </c>
      <c r="L9" s="410" t="s">
        <v>38</v>
      </c>
      <c r="M9" s="410" t="s">
        <v>38</v>
      </c>
      <c r="N9" s="410" t="s">
        <v>38</v>
      </c>
      <c r="O9" s="366" t="s">
        <v>38</v>
      </c>
      <c r="P9" s="625" t="s">
        <v>38</v>
      </c>
      <c r="Q9" s="86"/>
      <c r="R9" s="629"/>
      <c r="S9" s="648" t="s">
        <v>38</v>
      </c>
      <c r="T9" s="356">
        <f t="shared" si="0"/>
        <v>7</v>
      </c>
    </row>
    <row r="10" spans="1:20">
      <c r="A10" s="671">
        <v>8</v>
      </c>
      <c r="B10" s="668" t="s">
        <v>49</v>
      </c>
      <c r="C10" s="619">
        <v>2</v>
      </c>
      <c r="D10" s="455"/>
      <c r="E10" s="607"/>
      <c r="F10" s="61"/>
      <c r="G10" s="380"/>
      <c r="H10" s="85" t="s">
        <v>50</v>
      </c>
      <c r="I10" s="642" t="s">
        <v>51</v>
      </c>
      <c r="J10" s="603"/>
      <c r="K10" s="345" t="s">
        <v>38</v>
      </c>
      <c r="L10" s="345"/>
      <c r="M10" s="345"/>
      <c r="N10" s="345"/>
      <c r="O10" s="128" t="s">
        <v>38</v>
      </c>
      <c r="P10" s="142" t="s">
        <v>38</v>
      </c>
      <c r="Q10" s="85"/>
      <c r="R10" s="619"/>
      <c r="S10" s="51" t="s">
        <v>38</v>
      </c>
      <c r="T10" s="356">
        <f t="shared" si="0"/>
        <v>4</v>
      </c>
    </row>
    <row r="11" spans="1:20">
      <c r="A11" s="672">
        <v>9</v>
      </c>
      <c r="B11" s="669" t="s">
        <v>52</v>
      </c>
      <c r="C11" s="620">
        <v>2</v>
      </c>
      <c r="D11" s="456"/>
      <c r="E11" s="607">
        <v>4</v>
      </c>
      <c r="F11" s="61"/>
      <c r="G11" s="380"/>
      <c r="H11" s="371" t="s">
        <v>8</v>
      </c>
      <c r="I11" s="643"/>
      <c r="J11" s="603"/>
      <c r="K11" s="410" t="s">
        <v>38</v>
      </c>
      <c r="L11" s="410" t="s">
        <v>38</v>
      </c>
      <c r="M11" s="410"/>
      <c r="N11" s="410"/>
      <c r="O11" s="366"/>
      <c r="P11" s="625"/>
      <c r="Q11" s="86"/>
      <c r="R11" s="629"/>
      <c r="S11" s="648"/>
      <c r="T11" s="356">
        <f t="shared" si="0"/>
        <v>2</v>
      </c>
    </row>
    <row r="12" spans="1:20">
      <c r="A12" s="671">
        <v>10</v>
      </c>
      <c r="B12" s="689" t="s">
        <v>53</v>
      </c>
      <c r="C12" s="619" t="s">
        <v>54</v>
      </c>
      <c r="D12" s="455"/>
      <c r="E12" s="607">
        <v>4</v>
      </c>
      <c r="F12" s="61"/>
      <c r="G12" s="380"/>
      <c r="H12" s="85" t="s">
        <v>55</v>
      </c>
      <c r="I12" s="642"/>
      <c r="J12" s="603"/>
      <c r="K12" s="410"/>
      <c r="L12" s="410" t="s">
        <v>38</v>
      </c>
      <c r="M12" s="410"/>
      <c r="N12" s="410"/>
      <c r="O12" s="367" t="s">
        <v>38</v>
      </c>
      <c r="P12" s="625"/>
      <c r="Q12" s="85"/>
      <c r="R12" s="619"/>
      <c r="S12" s="51"/>
      <c r="T12" s="356">
        <f t="shared" si="0"/>
        <v>2</v>
      </c>
    </row>
    <row r="13" spans="1:20">
      <c r="A13" s="671">
        <v>11</v>
      </c>
      <c r="B13" s="694" t="s">
        <v>56</v>
      </c>
      <c r="C13" s="629">
        <v>2</v>
      </c>
      <c r="D13" s="695"/>
      <c r="E13" s="607">
        <v>3</v>
      </c>
      <c r="F13" s="418"/>
      <c r="G13" s="381"/>
      <c r="H13" s="86" t="s">
        <v>8</v>
      </c>
      <c r="I13" s="678"/>
      <c r="J13" s="603"/>
      <c r="K13" s="345"/>
      <c r="L13" s="345" t="s">
        <v>38</v>
      </c>
      <c r="M13" s="345"/>
      <c r="N13" s="345"/>
      <c r="O13" s="128" t="s">
        <v>38</v>
      </c>
      <c r="P13" s="142"/>
      <c r="Q13" s="85"/>
      <c r="R13" s="619"/>
      <c r="S13" s="51"/>
      <c r="T13" s="356">
        <f>COUNTIF(K13:S13, "X")</f>
        <v>2</v>
      </c>
    </row>
    <row r="14" spans="1:20">
      <c r="A14" s="672">
        <v>12</v>
      </c>
      <c r="B14" s="689" t="s">
        <v>57</v>
      </c>
      <c r="C14" s="690">
        <v>3</v>
      </c>
      <c r="D14" s="691"/>
      <c r="E14" s="608">
        <v>2</v>
      </c>
      <c r="F14" s="418"/>
      <c r="G14" s="381"/>
      <c r="H14" s="85" t="s">
        <v>10</v>
      </c>
      <c r="I14" s="642"/>
      <c r="J14" s="603"/>
      <c r="K14" s="410"/>
      <c r="L14" s="410"/>
      <c r="M14" s="410"/>
      <c r="N14" s="410"/>
      <c r="O14" s="366"/>
      <c r="P14" s="626" t="s">
        <v>38</v>
      </c>
      <c r="Q14" s="86"/>
      <c r="R14" s="629"/>
      <c r="S14" s="648"/>
      <c r="T14" s="356">
        <f t="shared" si="0"/>
        <v>1</v>
      </c>
    </row>
    <row r="15" spans="1:20">
      <c r="A15" s="671">
        <v>13</v>
      </c>
      <c r="B15" s="694" t="s">
        <v>58</v>
      </c>
      <c r="C15" s="688">
        <v>3</v>
      </c>
      <c r="D15" s="685"/>
      <c r="E15" s="609">
        <v>2</v>
      </c>
      <c r="F15" s="419"/>
      <c r="G15" s="382"/>
      <c r="H15" s="372" t="s">
        <v>10</v>
      </c>
      <c r="I15" s="644"/>
      <c r="J15" s="603"/>
      <c r="K15" s="410"/>
      <c r="L15" s="410"/>
      <c r="M15" s="410"/>
      <c r="N15" s="410"/>
      <c r="O15" s="852" t="s">
        <v>38</v>
      </c>
      <c r="P15" s="853"/>
      <c r="Q15" s="85"/>
      <c r="R15" s="619"/>
      <c r="S15" s="51" t="s">
        <v>38</v>
      </c>
      <c r="T15" s="572">
        <f>COUNTIF(K15:S15, "X")</f>
        <v>2</v>
      </c>
    </row>
    <row r="16" spans="1:20">
      <c r="A16" s="672">
        <v>14</v>
      </c>
      <c r="B16" s="692" t="s">
        <v>59</v>
      </c>
      <c r="C16" s="686">
        <v>1</v>
      </c>
      <c r="D16" s="687"/>
      <c r="E16" s="610">
        <v>2</v>
      </c>
      <c r="F16" s="599"/>
      <c r="G16" s="600"/>
      <c r="H16" s="347" t="s">
        <v>48</v>
      </c>
      <c r="I16" s="679"/>
      <c r="J16" s="603"/>
      <c r="K16" s="534"/>
      <c r="L16" s="534"/>
      <c r="M16" s="534"/>
      <c r="N16" s="534"/>
      <c r="O16" s="244"/>
      <c r="P16" s="604" t="s">
        <v>38</v>
      </c>
      <c r="Q16" s="522"/>
      <c r="R16" s="630"/>
      <c r="S16" s="649" t="s">
        <v>38</v>
      </c>
      <c r="T16" s="661">
        <f t="shared" si="0"/>
        <v>2</v>
      </c>
    </row>
    <row r="17" spans="1:20">
      <c r="A17" s="673">
        <v>17</v>
      </c>
      <c r="B17" s="693" t="s">
        <v>60</v>
      </c>
      <c r="C17" s="684">
        <v>3</v>
      </c>
      <c r="D17" s="685"/>
      <c r="E17" s="609"/>
      <c r="F17" s="419"/>
      <c r="G17" s="382"/>
      <c r="H17" s="639" t="s">
        <v>48</v>
      </c>
      <c r="I17" s="645"/>
      <c r="J17" s="603"/>
      <c r="K17" s="473"/>
      <c r="L17" s="473"/>
      <c r="M17" s="473"/>
      <c r="N17" s="473"/>
      <c r="O17" s="484"/>
      <c r="P17" s="627" t="s">
        <v>38</v>
      </c>
      <c r="Q17" s="347"/>
      <c r="R17" s="631"/>
      <c r="S17" s="328"/>
      <c r="T17" s="661">
        <f t="shared" si="0"/>
        <v>1</v>
      </c>
    </row>
    <row r="18" spans="1:20" ht="15.75" customHeight="1">
      <c r="A18" s="671">
        <v>15</v>
      </c>
      <c r="B18" s="668" t="s">
        <v>61</v>
      </c>
      <c r="C18" s="619">
        <v>2</v>
      </c>
      <c r="D18" s="455"/>
      <c r="E18" s="611"/>
      <c r="F18" s="419"/>
      <c r="G18" s="382"/>
      <c r="H18" s="680" t="s">
        <v>10</v>
      </c>
      <c r="I18" s="681"/>
      <c r="J18" s="603"/>
      <c r="K18" s="78"/>
      <c r="L18" s="78"/>
      <c r="M18" s="78"/>
      <c r="N18" s="78"/>
      <c r="O18" s="75"/>
      <c r="P18" s="17"/>
      <c r="Q18" s="160"/>
      <c r="R18" s="619" t="s">
        <v>38</v>
      </c>
      <c r="S18" s="51" t="s">
        <v>38</v>
      </c>
      <c r="T18" s="661">
        <f t="shared" si="0"/>
        <v>2</v>
      </c>
    </row>
    <row r="19" spans="1:20">
      <c r="A19" s="674">
        <v>16</v>
      </c>
      <c r="B19" s="670" t="s">
        <v>62</v>
      </c>
      <c r="C19" s="675">
        <v>2</v>
      </c>
      <c r="D19" s="614"/>
      <c r="E19" s="612"/>
      <c r="F19" s="601"/>
      <c r="G19" s="602"/>
      <c r="H19" s="640" t="s">
        <v>17</v>
      </c>
      <c r="I19" s="646"/>
      <c r="J19" s="603"/>
      <c r="K19" s="617"/>
      <c r="L19" s="617"/>
      <c r="M19" s="617"/>
      <c r="N19" s="617"/>
      <c r="O19" s="621"/>
      <c r="P19" s="633"/>
      <c r="Q19" s="522" t="s">
        <v>38</v>
      </c>
      <c r="R19" s="634"/>
      <c r="S19" s="650"/>
      <c r="T19" s="662">
        <f t="shared" si="0"/>
        <v>1</v>
      </c>
    </row>
    <row r="20" spans="1:20">
      <c r="A20" s="667">
        <v>18</v>
      </c>
      <c r="B20" s="587" t="s">
        <v>63</v>
      </c>
      <c r="C20" s="605">
        <v>1</v>
      </c>
      <c r="D20" s="459"/>
      <c r="E20" s="615"/>
      <c r="F20" s="420"/>
      <c r="G20" s="383"/>
      <c r="H20" s="682" t="s">
        <v>42</v>
      </c>
      <c r="I20" s="683"/>
      <c r="J20" s="596"/>
      <c r="K20" s="411"/>
      <c r="L20" s="411"/>
      <c r="M20" s="373" t="s">
        <v>38</v>
      </c>
      <c r="N20" s="173" t="s">
        <v>38</v>
      </c>
      <c r="O20" s="622" t="s">
        <v>38</v>
      </c>
      <c r="P20" s="595"/>
      <c r="Q20" s="616"/>
      <c r="R20" s="616"/>
      <c r="S20" s="635"/>
      <c r="T20" s="523">
        <f t="shared" si="0"/>
        <v>3</v>
      </c>
    </row>
    <row r="21" spans="1:20">
      <c r="A21" s="663">
        <v>19</v>
      </c>
      <c r="B21" s="585" t="s">
        <v>64</v>
      </c>
      <c r="C21" s="85">
        <v>2</v>
      </c>
      <c r="D21" s="322"/>
      <c r="E21" s="432"/>
      <c r="F21" s="61"/>
      <c r="G21" s="380"/>
      <c r="H21" s="410" t="s">
        <v>42</v>
      </c>
      <c r="I21" s="401" t="s">
        <v>65</v>
      </c>
      <c r="J21" s="596"/>
      <c r="K21" s="411"/>
      <c r="L21" s="411"/>
      <c r="M21" s="373" t="s">
        <v>38</v>
      </c>
      <c r="N21" s="173" t="s">
        <v>38</v>
      </c>
      <c r="O21" s="411" t="s">
        <v>38</v>
      </c>
      <c r="P21" s="596"/>
      <c r="Q21" s="603"/>
      <c r="R21" s="603"/>
      <c r="S21" s="636"/>
      <c r="T21" s="523">
        <f t="shared" si="0"/>
        <v>3</v>
      </c>
    </row>
    <row r="22" spans="1:20">
      <c r="A22" s="444">
        <v>20</v>
      </c>
      <c r="B22" s="585" t="s">
        <v>66</v>
      </c>
      <c r="C22" s="85">
        <v>2</v>
      </c>
      <c r="D22" s="460"/>
      <c r="E22" s="433"/>
      <c r="F22" s="169"/>
      <c r="G22" s="384"/>
      <c r="H22" s="345" t="s">
        <v>40</v>
      </c>
      <c r="I22" s="399" t="s">
        <v>37</v>
      </c>
      <c r="J22" s="596"/>
      <c r="K22" s="345"/>
      <c r="L22" s="345"/>
      <c r="M22" s="85"/>
      <c r="N22" s="51" t="s">
        <v>38</v>
      </c>
      <c r="O22" s="345" t="s">
        <v>38</v>
      </c>
      <c r="P22" s="596"/>
      <c r="Q22" s="603"/>
      <c r="R22" s="603"/>
      <c r="S22" s="636"/>
      <c r="T22" s="523">
        <f t="shared" si="0"/>
        <v>2</v>
      </c>
    </row>
    <row r="23" spans="1:20">
      <c r="A23" s="663">
        <v>21</v>
      </c>
      <c r="B23" s="704" t="s">
        <v>67</v>
      </c>
      <c r="C23" s="371">
        <v>2</v>
      </c>
      <c r="D23" s="457"/>
      <c r="E23" s="432">
        <v>2</v>
      </c>
      <c r="F23" s="61"/>
      <c r="G23" s="385"/>
      <c r="H23" s="768" t="s">
        <v>17</v>
      </c>
      <c r="I23" s="400"/>
      <c r="J23" s="596"/>
      <c r="K23" s="410" t="s">
        <v>38</v>
      </c>
      <c r="L23" s="410" t="s">
        <v>38</v>
      </c>
      <c r="M23" s="371" t="s">
        <v>38</v>
      </c>
      <c r="N23" s="431" t="s">
        <v>38</v>
      </c>
      <c r="O23" s="410"/>
      <c r="P23" s="596"/>
      <c r="Q23" s="603"/>
      <c r="R23" s="603"/>
      <c r="S23" s="636"/>
      <c r="T23" s="523">
        <f t="shared" si="0"/>
        <v>4</v>
      </c>
    </row>
    <row r="24" spans="1:20">
      <c r="A24" s="444">
        <v>22</v>
      </c>
      <c r="B24" s="585" t="s">
        <v>68</v>
      </c>
      <c r="C24" s="85">
        <v>1</v>
      </c>
      <c r="D24" s="322"/>
      <c r="E24" s="432"/>
      <c r="F24" s="61"/>
      <c r="G24" s="385"/>
      <c r="H24" s="345" t="s">
        <v>40</v>
      </c>
      <c r="I24" s="402"/>
      <c r="J24" s="596"/>
      <c r="K24" s="412"/>
      <c r="L24" s="412"/>
      <c r="M24" s="374"/>
      <c r="N24" s="476" t="s">
        <v>38</v>
      </c>
      <c r="O24" s="412" t="s">
        <v>38</v>
      </c>
      <c r="P24" s="596"/>
      <c r="Q24" s="603"/>
      <c r="R24" s="603"/>
      <c r="S24" s="636"/>
      <c r="T24" s="523">
        <f t="shared" si="0"/>
        <v>2</v>
      </c>
    </row>
    <row r="25" spans="1:20">
      <c r="A25" s="663">
        <v>23</v>
      </c>
      <c r="B25" s="586" t="s">
        <v>69</v>
      </c>
      <c r="C25" s="371">
        <v>1</v>
      </c>
      <c r="D25" s="457"/>
      <c r="E25" s="432">
        <v>4</v>
      </c>
      <c r="F25" s="61"/>
      <c r="G25" s="385"/>
      <c r="H25" s="410" t="s">
        <v>70</v>
      </c>
      <c r="I25" s="403" t="s">
        <v>42</v>
      </c>
      <c r="J25" s="596"/>
      <c r="K25" s="35"/>
      <c r="L25" s="35"/>
      <c r="M25" s="375" t="s">
        <v>38</v>
      </c>
      <c r="N25" s="477" t="s">
        <v>38</v>
      </c>
      <c r="O25" s="35"/>
      <c r="P25" s="596"/>
      <c r="Q25" s="603"/>
      <c r="R25" s="603"/>
      <c r="S25" s="636"/>
      <c r="T25" s="523">
        <f t="shared" si="0"/>
        <v>2</v>
      </c>
    </row>
    <row r="26" spans="1:20">
      <c r="A26" s="444">
        <v>24</v>
      </c>
      <c r="B26" s="704" t="s">
        <v>71</v>
      </c>
      <c r="C26" s="85">
        <v>1</v>
      </c>
      <c r="D26" s="322"/>
      <c r="E26" s="432">
        <v>3</v>
      </c>
      <c r="F26" s="61"/>
      <c r="G26" s="385"/>
      <c r="H26" s="486" t="s">
        <v>17</v>
      </c>
      <c r="I26" s="404"/>
      <c r="J26" s="596"/>
      <c r="K26" s="36" t="s">
        <v>38</v>
      </c>
      <c r="L26" s="36"/>
      <c r="M26" s="376"/>
      <c r="N26" s="478"/>
      <c r="O26" s="36" t="s">
        <v>38</v>
      </c>
      <c r="P26" s="596"/>
      <c r="Q26" s="603"/>
      <c r="R26" s="603"/>
      <c r="S26" s="636"/>
      <c r="T26" s="523">
        <f t="shared" si="0"/>
        <v>2</v>
      </c>
    </row>
    <row r="27" spans="1:20">
      <c r="A27" s="663">
        <v>25</v>
      </c>
      <c r="B27" s="586" t="s">
        <v>72</v>
      </c>
      <c r="C27" s="371">
        <v>1</v>
      </c>
      <c r="D27" s="457"/>
      <c r="E27" s="432">
        <v>4</v>
      </c>
      <c r="F27" s="61"/>
      <c r="G27" s="385"/>
      <c r="H27" s="410" t="s">
        <v>55</v>
      </c>
      <c r="I27" s="400"/>
      <c r="J27" s="596"/>
      <c r="K27" s="35" t="s">
        <v>38</v>
      </c>
      <c r="L27" s="35" t="s">
        <v>38</v>
      </c>
      <c r="M27" s="375"/>
      <c r="N27" s="477"/>
      <c r="O27" s="35" t="s">
        <v>38</v>
      </c>
      <c r="P27" s="596"/>
      <c r="Q27" s="603"/>
      <c r="R27" s="603"/>
      <c r="S27" s="636"/>
      <c r="T27" s="523">
        <f t="shared" si="0"/>
        <v>3</v>
      </c>
    </row>
    <row r="28" spans="1:20">
      <c r="A28" s="444">
        <v>26</v>
      </c>
      <c r="B28" s="704" t="s">
        <v>73</v>
      </c>
      <c r="C28" s="85">
        <v>1</v>
      </c>
      <c r="D28" s="322"/>
      <c r="E28" s="432">
        <v>3</v>
      </c>
      <c r="F28" s="62"/>
      <c r="G28" s="386"/>
      <c r="H28" s="769" t="s">
        <v>17</v>
      </c>
      <c r="I28" s="402"/>
      <c r="J28" s="596"/>
      <c r="K28" s="36" t="s">
        <v>38</v>
      </c>
      <c r="L28" s="36" t="s">
        <v>38</v>
      </c>
      <c r="M28" s="376"/>
      <c r="N28" s="478"/>
      <c r="O28" s="36" t="s">
        <v>38</v>
      </c>
      <c r="P28" s="596"/>
      <c r="Q28" s="603"/>
      <c r="R28" s="603"/>
      <c r="S28" s="636"/>
      <c r="T28" s="523">
        <f t="shared" si="0"/>
        <v>3</v>
      </c>
    </row>
    <row r="29" spans="1:20">
      <c r="A29" s="663">
        <v>27</v>
      </c>
      <c r="B29" s="586" t="s">
        <v>74</v>
      </c>
      <c r="C29" s="371">
        <v>1</v>
      </c>
      <c r="D29" s="457"/>
      <c r="E29" s="432">
        <v>3</v>
      </c>
      <c r="F29" s="61"/>
      <c r="G29" s="380"/>
      <c r="H29" s="410" t="s">
        <v>75</v>
      </c>
      <c r="I29" s="403"/>
      <c r="J29" s="596"/>
      <c r="K29" s="35" t="s">
        <v>38</v>
      </c>
      <c r="L29" s="35"/>
      <c r="M29" s="375"/>
      <c r="N29" s="477"/>
      <c r="O29" s="35" t="s">
        <v>38</v>
      </c>
      <c r="P29" s="596"/>
      <c r="Q29" s="603"/>
      <c r="R29" s="603"/>
      <c r="S29" s="636"/>
      <c r="T29" s="523">
        <f t="shared" si="0"/>
        <v>2</v>
      </c>
    </row>
    <row r="30" spans="1:20">
      <c r="A30" s="444">
        <v>28</v>
      </c>
      <c r="B30" s="585" t="s">
        <v>76</v>
      </c>
      <c r="C30" s="85">
        <v>1</v>
      </c>
      <c r="D30" s="322"/>
      <c r="E30" s="432">
        <v>3</v>
      </c>
      <c r="F30" s="61"/>
      <c r="G30" s="380"/>
      <c r="H30" s="412" t="s">
        <v>40</v>
      </c>
      <c r="I30" s="405"/>
      <c r="J30" s="596"/>
      <c r="K30" s="36"/>
      <c r="L30" s="36"/>
      <c r="M30" s="376"/>
      <c r="N30" s="478" t="s">
        <v>38</v>
      </c>
      <c r="O30" s="36" t="s">
        <v>38</v>
      </c>
      <c r="P30" s="596"/>
      <c r="Q30" s="603"/>
      <c r="R30" s="603"/>
      <c r="S30" s="636"/>
      <c r="T30" s="523">
        <f t="shared" si="0"/>
        <v>2</v>
      </c>
    </row>
    <row r="31" spans="1:20">
      <c r="A31" s="663">
        <v>29</v>
      </c>
      <c r="B31" s="587" t="s">
        <v>77</v>
      </c>
      <c r="C31" s="371">
        <v>2</v>
      </c>
      <c r="D31" s="457"/>
      <c r="E31" s="434">
        <v>3</v>
      </c>
      <c r="F31" s="61"/>
      <c r="G31" s="380"/>
      <c r="H31" s="35" t="s">
        <v>12</v>
      </c>
      <c r="I31" s="403"/>
      <c r="J31" s="596"/>
      <c r="K31" s="35"/>
      <c r="L31" s="35"/>
      <c r="M31" s="375" t="s">
        <v>38</v>
      </c>
      <c r="N31" s="477"/>
      <c r="O31" s="35" t="s">
        <v>38</v>
      </c>
      <c r="P31" s="596"/>
      <c r="Q31" s="603"/>
      <c r="R31" s="603"/>
      <c r="S31" s="636"/>
      <c r="T31" s="523">
        <f t="shared" si="0"/>
        <v>2</v>
      </c>
    </row>
    <row r="32" spans="1:20">
      <c r="A32" s="444">
        <v>30</v>
      </c>
      <c r="B32" s="586" t="s">
        <v>78</v>
      </c>
      <c r="C32" s="371" t="s">
        <v>79</v>
      </c>
      <c r="D32" s="457"/>
      <c r="E32" s="435">
        <v>3</v>
      </c>
      <c r="F32" s="421"/>
      <c r="G32" s="387"/>
      <c r="H32" s="35" t="s">
        <v>80</v>
      </c>
      <c r="I32" s="403" t="s">
        <v>81</v>
      </c>
      <c r="J32" s="596"/>
      <c r="K32" s="35"/>
      <c r="L32" s="35" t="s">
        <v>38</v>
      </c>
      <c r="M32" s="375"/>
      <c r="N32" s="477"/>
      <c r="O32" s="566" t="s">
        <v>38</v>
      </c>
      <c r="P32" s="596"/>
      <c r="Q32" s="603"/>
      <c r="R32" s="603"/>
      <c r="S32" s="636"/>
      <c r="T32" s="523">
        <f t="shared" si="0"/>
        <v>2</v>
      </c>
    </row>
    <row r="33" spans="1:20">
      <c r="A33" s="444">
        <v>31</v>
      </c>
      <c r="B33" s="585" t="s">
        <v>82</v>
      </c>
      <c r="C33" s="85">
        <v>2</v>
      </c>
      <c r="D33" s="322"/>
      <c r="E33" s="435">
        <v>4</v>
      </c>
      <c r="F33" s="422"/>
      <c r="G33" s="388"/>
      <c r="H33" s="36" t="s">
        <v>55</v>
      </c>
      <c r="I33" s="405"/>
      <c r="J33" s="596"/>
      <c r="K33" s="36"/>
      <c r="L33" s="36" t="s">
        <v>38</v>
      </c>
      <c r="M33" s="376"/>
      <c r="N33" s="478"/>
      <c r="O33" s="36" t="s">
        <v>38</v>
      </c>
      <c r="P33" s="596"/>
      <c r="Q33" s="603"/>
      <c r="R33" s="603"/>
      <c r="S33" s="636"/>
      <c r="T33" s="523">
        <f t="shared" si="0"/>
        <v>2</v>
      </c>
    </row>
    <row r="34" spans="1:20">
      <c r="A34" s="663">
        <v>32</v>
      </c>
      <c r="B34" s="586" t="s">
        <v>83</v>
      </c>
      <c r="C34" s="371">
        <v>1</v>
      </c>
      <c r="D34" s="457"/>
      <c r="E34" s="435" t="s">
        <v>84</v>
      </c>
      <c r="F34" s="422"/>
      <c r="G34" s="388"/>
      <c r="H34" s="35" t="s">
        <v>55</v>
      </c>
      <c r="I34" s="403"/>
      <c r="J34" s="596"/>
      <c r="K34" s="35" t="s">
        <v>38</v>
      </c>
      <c r="L34" s="35" t="s">
        <v>38</v>
      </c>
      <c r="M34" s="375"/>
      <c r="N34" s="477"/>
      <c r="O34" s="35" t="s">
        <v>38</v>
      </c>
      <c r="P34" s="596"/>
      <c r="Q34" s="603"/>
      <c r="R34" s="603"/>
      <c r="S34" s="636"/>
      <c r="T34" s="523">
        <f t="shared" si="0"/>
        <v>3</v>
      </c>
    </row>
    <row r="35" spans="1:20">
      <c r="A35" s="444">
        <v>33</v>
      </c>
      <c r="B35" s="585" t="s">
        <v>85</v>
      </c>
      <c r="C35" s="85">
        <v>2</v>
      </c>
      <c r="D35" s="322"/>
      <c r="E35" s="435">
        <v>2</v>
      </c>
      <c r="F35" s="422"/>
      <c r="G35" s="388"/>
      <c r="H35" s="36" t="s">
        <v>86</v>
      </c>
      <c r="I35" s="405"/>
      <c r="J35" s="596"/>
      <c r="K35" s="36"/>
      <c r="L35" s="36"/>
      <c r="M35" s="376"/>
      <c r="N35" s="478"/>
      <c r="O35" s="36" t="s">
        <v>38</v>
      </c>
      <c r="P35" s="596"/>
      <c r="Q35" s="603"/>
      <c r="R35" s="603"/>
      <c r="S35" s="636"/>
      <c r="T35" s="523">
        <f t="shared" si="0"/>
        <v>1</v>
      </c>
    </row>
    <row r="36" spans="1:20">
      <c r="A36" s="663">
        <v>34</v>
      </c>
      <c r="B36" s="586" t="s">
        <v>87</v>
      </c>
      <c r="C36" s="444">
        <v>3</v>
      </c>
      <c r="D36" s="458"/>
      <c r="E36" s="436">
        <v>3</v>
      </c>
      <c r="F36" s="423"/>
      <c r="G36" s="389"/>
      <c r="H36" s="35" t="s">
        <v>48</v>
      </c>
      <c r="I36" s="403"/>
      <c r="J36" s="596"/>
      <c r="K36" s="35"/>
      <c r="L36" s="35"/>
      <c r="M36" s="375"/>
      <c r="N36" s="477"/>
      <c r="O36" s="567" t="s">
        <v>38</v>
      </c>
      <c r="P36" s="596"/>
      <c r="Q36" s="603"/>
      <c r="R36" s="603"/>
      <c r="S36" s="636"/>
      <c r="T36" s="523">
        <f t="shared" si="0"/>
        <v>1</v>
      </c>
    </row>
    <row r="37" spans="1:20">
      <c r="A37" s="666">
        <v>35</v>
      </c>
      <c r="B37" s="588" t="s">
        <v>88</v>
      </c>
      <c r="C37" s="369">
        <v>3</v>
      </c>
      <c r="D37" s="461"/>
      <c r="E37" s="437">
        <v>3</v>
      </c>
      <c r="F37" s="166"/>
      <c r="G37" s="390"/>
      <c r="H37" s="413" t="s">
        <v>48</v>
      </c>
      <c r="I37" s="404"/>
      <c r="J37" s="597"/>
      <c r="K37" s="413"/>
      <c r="L37" s="413"/>
      <c r="M37" s="377"/>
      <c r="N37" s="482"/>
      <c r="O37" s="568" t="s">
        <v>38</v>
      </c>
      <c r="P37" s="597"/>
      <c r="Q37" s="637"/>
      <c r="R37" s="637"/>
      <c r="S37" s="638"/>
      <c r="T37" s="323">
        <f t="shared" si="0"/>
        <v>1</v>
      </c>
    </row>
    <row r="38" spans="1:20">
      <c r="A38" s="665">
        <v>36</v>
      </c>
      <c r="B38" s="589" t="s">
        <v>89</v>
      </c>
      <c r="C38" s="445">
        <v>1</v>
      </c>
      <c r="D38" s="462"/>
      <c r="E38" s="438"/>
      <c r="F38" s="424"/>
      <c r="G38" s="391"/>
      <c r="H38" s="414" t="s">
        <v>12</v>
      </c>
      <c r="I38" s="406"/>
      <c r="J38" s="474"/>
      <c r="K38" s="471"/>
      <c r="L38" s="474"/>
      <c r="M38" s="471"/>
      <c r="N38" s="474" t="s">
        <v>38</v>
      </c>
      <c r="O38" s="569" t="s">
        <v>38</v>
      </c>
      <c r="P38" s="596"/>
      <c r="Q38" s="603"/>
      <c r="R38" s="603"/>
      <c r="S38" s="636"/>
      <c r="T38" s="523">
        <f>COUNTIF(I38:S38, "X")</f>
        <v>2</v>
      </c>
    </row>
    <row r="39" spans="1:20">
      <c r="A39" s="444">
        <v>37</v>
      </c>
      <c r="B39" s="586" t="s">
        <v>90</v>
      </c>
      <c r="C39" s="372">
        <v>1</v>
      </c>
      <c r="D39" s="457"/>
      <c r="E39" s="432">
        <v>3</v>
      </c>
      <c r="F39" s="61"/>
      <c r="G39" s="380"/>
      <c r="H39" s="410" t="s">
        <v>40</v>
      </c>
      <c r="I39" s="400"/>
      <c r="J39" s="475" t="s">
        <v>38</v>
      </c>
      <c r="K39" s="371"/>
      <c r="L39" s="431"/>
      <c r="M39" s="371" t="s">
        <v>38</v>
      </c>
      <c r="N39" s="431" t="s">
        <v>38</v>
      </c>
      <c r="O39" s="410"/>
      <c r="P39" s="596"/>
      <c r="Q39" s="603"/>
      <c r="R39" s="603"/>
      <c r="S39" s="636"/>
      <c r="T39" s="523">
        <f>COUNTIF(I39:S39, "X")</f>
        <v>3</v>
      </c>
    </row>
    <row r="40" spans="1:20">
      <c r="A40" s="663">
        <v>38</v>
      </c>
      <c r="B40" s="590" t="s">
        <v>91</v>
      </c>
      <c r="C40" s="446">
        <v>1</v>
      </c>
      <c r="D40" s="170"/>
      <c r="E40" s="434">
        <v>3</v>
      </c>
      <c r="F40" s="61"/>
      <c r="G40" s="380"/>
      <c r="H40" s="345" t="s">
        <v>40</v>
      </c>
      <c r="I40" s="402"/>
      <c r="J40" s="476"/>
      <c r="K40" s="374"/>
      <c r="L40" s="476"/>
      <c r="M40" s="374" t="s">
        <v>38</v>
      </c>
      <c r="N40" s="476" t="s">
        <v>38</v>
      </c>
      <c r="O40" s="412" t="s">
        <v>38</v>
      </c>
      <c r="P40" s="596"/>
      <c r="Q40" s="603"/>
      <c r="R40" s="603"/>
      <c r="S40" s="636"/>
      <c r="T40" s="523">
        <f>COUNTIF(I40:S40, "X")</f>
        <v>3</v>
      </c>
    </row>
    <row r="41" spans="1:20">
      <c r="A41" s="444">
        <v>39</v>
      </c>
      <c r="B41" s="591" t="s">
        <v>92</v>
      </c>
      <c r="C41" s="447">
        <v>2</v>
      </c>
      <c r="D41" s="463"/>
      <c r="E41" s="435">
        <v>3</v>
      </c>
      <c r="F41" s="61"/>
      <c r="G41" s="380"/>
      <c r="H41" s="410" t="s">
        <v>40</v>
      </c>
      <c r="I41" s="403"/>
      <c r="J41" s="477"/>
      <c r="K41" s="375"/>
      <c r="L41" s="477"/>
      <c r="M41" s="375" t="s">
        <v>38</v>
      </c>
      <c r="N41" s="477" t="s">
        <v>38</v>
      </c>
      <c r="O41" s="566" t="s">
        <v>38</v>
      </c>
      <c r="P41" s="596"/>
      <c r="Q41" s="603"/>
      <c r="R41" s="603"/>
      <c r="S41" s="636"/>
      <c r="T41" s="523">
        <f>COUNTIF(I41:S41, "X")</f>
        <v>3</v>
      </c>
    </row>
    <row r="42" spans="1:20">
      <c r="A42" s="663">
        <v>40</v>
      </c>
      <c r="B42" s="592" t="s">
        <v>93</v>
      </c>
      <c r="C42" s="378">
        <v>1</v>
      </c>
      <c r="D42" s="65"/>
      <c r="E42" s="435"/>
      <c r="F42" s="61"/>
      <c r="G42" s="380"/>
      <c r="H42" s="345" t="s">
        <v>42</v>
      </c>
      <c r="I42" s="405"/>
      <c r="J42" s="478"/>
      <c r="K42" s="376"/>
      <c r="L42" s="478"/>
      <c r="M42" s="376" t="s">
        <v>38</v>
      </c>
      <c r="N42" s="478" t="s">
        <v>38</v>
      </c>
      <c r="O42" s="36" t="s">
        <v>38</v>
      </c>
      <c r="P42" s="596"/>
      <c r="Q42" s="603"/>
      <c r="R42" s="603"/>
      <c r="S42" s="636"/>
      <c r="T42" s="523">
        <f>COUNTIF(I42:S42, "X")</f>
        <v>3</v>
      </c>
    </row>
    <row r="43" spans="1:20">
      <c r="A43" s="444">
        <v>41</v>
      </c>
      <c r="B43" s="591" t="s">
        <v>94</v>
      </c>
      <c r="C43" s="448">
        <v>2</v>
      </c>
      <c r="D43" s="463"/>
      <c r="E43" s="435"/>
      <c r="F43" s="425"/>
      <c r="G43" s="392"/>
      <c r="H43" s="83" t="s">
        <v>10</v>
      </c>
      <c r="I43" s="403" t="s">
        <v>95</v>
      </c>
      <c r="J43" s="479" t="s">
        <v>38</v>
      </c>
      <c r="K43" s="375" t="s">
        <v>38</v>
      </c>
      <c r="L43" s="477" t="s">
        <v>38</v>
      </c>
      <c r="M43" s="375" t="s">
        <v>38</v>
      </c>
      <c r="N43" s="477" t="s">
        <v>38</v>
      </c>
      <c r="O43" s="35"/>
      <c r="P43" s="596"/>
      <c r="Q43" s="603"/>
      <c r="R43" s="603"/>
      <c r="S43" s="636"/>
      <c r="T43" s="523">
        <f>COUNTIF(I43:S43, "X")</f>
        <v>5</v>
      </c>
    </row>
    <row r="44" spans="1:20">
      <c r="A44" s="663">
        <v>42</v>
      </c>
      <c r="B44" s="593" t="s">
        <v>96</v>
      </c>
      <c r="C44" s="449">
        <v>2</v>
      </c>
      <c r="D44" s="165"/>
      <c r="E44" s="439">
        <v>2</v>
      </c>
      <c r="F44" s="61"/>
      <c r="G44" s="380"/>
      <c r="H44" s="36" t="s">
        <v>10</v>
      </c>
      <c r="I44" s="405"/>
      <c r="J44" s="480" t="s">
        <v>38</v>
      </c>
      <c r="K44" s="376" t="s">
        <v>38</v>
      </c>
      <c r="L44" s="478" t="s">
        <v>38</v>
      </c>
      <c r="M44" s="376" t="s">
        <v>38</v>
      </c>
      <c r="N44" s="478" t="s">
        <v>38</v>
      </c>
      <c r="O44" s="36" t="s">
        <v>38</v>
      </c>
      <c r="P44" s="596"/>
      <c r="Q44" s="603"/>
      <c r="R44" s="603"/>
      <c r="S44" s="636"/>
      <c r="T44" s="523">
        <f>COUNTIF(I44:S44, "X")</f>
        <v>6</v>
      </c>
    </row>
    <row r="45" spans="1:20">
      <c r="A45" s="444">
        <v>43</v>
      </c>
      <c r="B45" s="586" t="s">
        <v>97</v>
      </c>
      <c r="C45" s="450" t="s">
        <v>79</v>
      </c>
      <c r="D45" s="464"/>
      <c r="E45" s="440">
        <v>3</v>
      </c>
      <c r="F45" s="426"/>
      <c r="G45" s="393"/>
      <c r="H45" s="35" t="s">
        <v>80</v>
      </c>
      <c r="I45" s="403" t="s">
        <v>81</v>
      </c>
      <c r="J45" s="479" t="s">
        <v>38</v>
      </c>
      <c r="K45" s="375" t="s">
        <v>38</v>
      </c>
      <c r="L45" s="477" t="s">
        <v>38</v>
      </c>
      <c r="M45" s="375"/>
      <c r="N45" s="477"/>
      <c r="O45" s="566" t="s">
        <v>38</v>
      </c>
      <c r="P45" s="596"/>
      <c r="Q45" s="603"/>
      <c r="R45" s="603"/>
      <c r="S45" s="636"/>
      <c r="T45" s="523">
        <f>COUNTIF(I45:S45, "X")</f>
        <v>4</v>
      </c>
    </row>
    <row r="46" spans="1:20">
      <c r="A46" s="663">
        <v>44</v>
      </c>
      <c r="B46" s="773" t="s">
        <v>98</v>
      </c>
      <c r="C46" s="446">
        <v>1</v>
      </c>
      <c r="D46" s="170"/>
      <c r="E46" s="434">
        <v>3</v>
      </c>
      <c r="F46" s="61"/>
      <c r="G46" s="380"/>
      <c r="H46" s="770" t="s">
        <v>17</v>
      </c>
      <c r="I46" s="405"/>
      <c r="J46" s="481"/>
      <c r="K46" s="376" t="s">
        <v>38</v>
      </c>
      <c r="L46" s="478" t="s">
        <v>38</v>
      </c>
      <c r="M46" s="376"/>
      <c r="N46" s="478"/>
      <c r="O46" s="36" t="s">
        <v>38</v>
      </c>
      <c r="P46" s="596"/>
      <c r="Q46" s="603"/>
      <c r="R46" s="603"/>
      <c r="S46" s="636"/>
      <c r="T46" s="523">
        <f>COUNTIF(I46:S46, "X")</f>
        <v>3</v>
      </c>
    </row>
    <row r="47" spans="1:20">
      <c r="A47" s="444">
        <v>45</v>
      </c>
      <c r="B47" s="591" t="s">
        <v>99</v>
      </c>
      <c r="C47" s="447">
        <v>1</v>
      </c>
      <c r="D47" s="465"/>
      <c r="E47" s="441"/>
      <c r="F47" s="427"/>
      <c r="G47" s="394"/>
      <c r="H47" s="632" t="s">
        <v>55</v>
      </c>
      <c r="I47" s="403"/>
      <c r="J47" s="479" t="s">
        <v>38</v>
      </c>
      <c r="K47" s="375" t="s">
        <v>38</v>
      </c>
      <c r="L47" s="477" t="s">
        <v>38</v>
      </c>
      <c r="M47" s="375"/>
      <c r="N47" s="477"/>
      <c r="O47" s="35"/>
      <c r="P47" s="596"/>
      <c r="Q47" s="603"/>
      <c r="R47" s="603"/>
      <c r="S47" s="636"/>
      <c r="T47" s="523">
        <f>COUNTIF(I47:S47, "X")</f>
        <v>3</v>
      </c>
    </row>
    <row r="48" spans="1:20">
      <c r="A48" s="444">
        <v>46</v>
      </c>
      <c r="B48" s="592" t="s">
        <v>100</v>
      </c>
      <c r="C48" s="378" t="s">
        <v>79</v>
      </c>
      <c r="D48" s="466"/>
      <c r="E48" s="442">
        <v>2</v>
      </c>
      <c r="F48" s="428"/>
      <c r="G48" s="395"/>
      <c r="H48" s="415" t="s">
        <v>75</v>
      </c>
      <c r="I48" s="407"/>
      <c r="J48" s="480" t="s">
        <v>38</v>
      </c>
      <c r="K48" s="376" t="s">
        <v>38</v>
      </c>
      <c r="L48" s="478"/>
      <c r="M48" s="376"/>
      <c r="N48" s="478"/>
      <c r="O48" s="36"/>
      <c r="P48" s="596"/>
      <c r="Q48" s="603"/>
      <c r="R48" s="603"/>
      <c r="S48" s="636"/>
      <c r="T48" s="523">
        <f>COUNTIF(I48:S48, "X")</f>
        <v>2</v>
      </c>
    </row>
    <row r="49" spans="1:20">
      <c r="A49" s="663">
        <v>47</v>
      </c>
      <c r="B49" s="591" t="s">
        <v>101</v>
      </c>
      <c r="C49" s="447">
        <v>1</v>
      </c>
      <c r="D49" s="465"/>
      <c r="E49" s="441"/>
      <c r="F49" s="429"/>
      <c r="G49" s="396"/>
      <c r="H49" s="485" t="s">
        <v>102</v>
      </c>
      <c r="I49" s="403"/>
      <c r="J49" s="477"/>
      <c r="K49" s="375"/>
      <c r="L49" s="477"/>
      <c r="M49" s="375" t="s">
        <v>38</v>
      </c>
      <c r="N49" s="477"/>
      <c r="O49" s="35"/>
      <c r="P49" s="596"/>
      <c r="Q49" s="603"/>
      <c r="R49" s="603"/>
      <c r="S49" s="636"/>
      <c r="T49" s="523">
        <f>COUNTIF(I49:S49, "X")</f>
        <v>1</v>
      </c>
    </row>
    <row r="50" spans="1:20">
      <c r="A50" s="444">
        <v>48</v>
      </c>
      <c r="B50" s="705" t="s">
        <v>103</v>
      </c>
      <c r="C50" s="451">
        <v>1</v>
      </c>
      <c r="D50" s="65"/>
      <c r="E50" s="435">
        <v>3</v>
      </c>
      <c r="F50" s="422"/>
      <c r="G50" s="388"/>
      <c r="H50" s="770" t="s">
        <v>17</v>
      </c>
      <c r="I50" s="405"/>
      <c r="J50" s="480" t="s">
        <v>38</v>
      </c>
      <c r="K50" s="376" t="s">
        <v>38</v>
      </c>
      <c r="L50" s="478"/>
      <c r="M50" s="376"/>
      <c r="N50" s="478"/>
      <c r="O50" s="36"/>
      <c r="P50" s="596"/>
      <c r="Q50" s="603"/>
      <c r="R50" s="603"/>
      <c r="S50" s="636"/>
      <c r="T50" s="523">
        <f>COUNTIF(I50:S50, "X")</f>
        <v>2</v>
      </c>
    </row>
    <row r="51" spans="1:20">
      <c r="A51" s="663">
        <v>49</v>
      </c>
      <c r="B51" s="705" t="s">
        <v>104</v>
      </c>
      <c r="C51" s="452">
        <v>1</v>
      </c>
      <c r="D51" s="467"/>
      <c r="E51" s="435">
        <v>3</v>
      </c>
      <c r="F51" s="422"/>
      <c r="G51" s="388"/>
      <c r="H51" s="485" t="s">
        <v>17</v>
      </c>
      <c r="I51" s="403"/>
      <c r="J51" s="477"/>
      <c r="K51" s="375"/>
      <c r="L51" s="477" t="s">
        <v>38</v>
      </c>
      <c r="M51" s="375"/>
      <c r="N51" s="477"/>
      <c r="O51" s="35" t="s">
        <v>38</v>
      </c>
      <c r="P51" s="596"/>
      <c r="Q51" s="603"/>
      <c r="R51" s="603"/>
      <c r="S51" s="636"/>
      <c r="T51" s="523">
        <f>COUNTIF(I51:S51, "X")</f>
        <v>2</v>
      </c>
    </row>
    <row r="52" spans="1:20">
      <c r="A52" s="598">
        <v>50</v>
      </c>
      <c r="B52" s="593" t="s">
        <v>105</v>
      </c>
      <c r="C52" s="453">
        <v>3</v>
      </c>
      <c r="D52" s="468"/>
      <c r="E52" s="437">
        <v>2</v>
      </c>
      <c r="F52" s="166"/>
      <c r="G52" s="397"/>
      <c r="H52" s="413" t="s">
        <v>10</v>
      </c>
      <c r="I52" s="404" t="s">
        <v>95</v>
      </c>
      <c r="J52" s="482"/>
      <c r="K52" s="377"/>
      <c r="L52" s="482"/>
      <c r="M52" s="377"/>
      <c r="N52" s="482"/>
      <c r="O52" s="568" t="s">
        <v>38</v>
      </c>
      <c r="P52" s="596"/>
      <c r="Q52" s="603"/>
      <c r="R52" s="603"/>
      <c r="S52" s="636"/>
      <c r="T52" s="523">
        <f>COUNTIF(I52:S52, "X")</f>
        <v>1</v>
      </c>
    </row>
    <row r="53" spans="1:20" ht="15.75" customHeight="1">
      <c r="A53" s="664">
        <v>51</v>
      </c>
      <c r="B53" s="594" t="s">
        <v>106</v>
      </c>
      <c r="C53" s="454">
        <v>1</v>
      </c>
      <c r="D53" s="469"/>
      <c r="E53" s="443"/>
      <c r="F53" s="430"/>
      <c r="G53" s="398"/>
      <c r="H53" s="416" t="s">
        <v>55</v>
      </c>
      <c r="I53" s="408"/>
      <c r="J53" s="483"/>
      <c r="K53" s="472"/>
      <c r="L53" s="95" t="s">
        <v>38</v>
      </c>
      <c r="M53" s="472"/>
      <c r="N53" s="483"/>
      <c r="O53" s="570"/>
      <c r="P53" s="597"/>
      <c r="Q53" s="637"/>
      <c r="R53" s="637"/>
      <c r="S53" s="638"/>
      <c r="T53" s="523">
        <f>COUNTIF(I53:S53, "X")</f>
        <v>1</v>
      </c>
    </row>
    <row r="54" spans="1:20" ht="27" customHeight="1">
      <c r="A54" s="8"/>
      <c r="B54" s="49" t="s">
        <v>107</v>
      </c>
      <c r="C54" s="49"/>
      <c r="D54" s="49"/>
      <c r="E54" s="98">
        <f>SUM(E3:E52)</f>
        <v>93</v>
      </c>
      <c r="F54" s="99"/>
      <c r="G54" s="100"/>
      <c r="H54" s="11">
        <f>SUM(H3:H53)</f>
        <v>0</v>
      </c>
    </row>
    <row r="55" spans="1:20" ht="56.1" customHeight="1">
      <c r="A55" s="8"/>
      <c r="B55" s="1" t="s">
        <v>108</v>
      </c>
      <c r="C55" s="1"/>
      <c r="D55" s="1"/>
      <c r="E55" s="1"/>
      <c r="F55" s="1"/>
      <c r="G55" s="1"/>
      <c r="H55" s="1"/>
      <c r="I55" s="1"/>
      <c r="J55" s="3"/>
      <c r="K55" s="847" t="s">
        <v>109</v>
      </c>
      <c r="L55" s="848"/>
      <c r="M55" s="848"/>
      <c r="N55" s="848"/>
      <c r="O55" s="849"/>
    </row>
    <row r="56" spans="1:20" ht="12" customHeight="1">
      <c r="A56" s="8"/>
      <c r="K56" s="2"/>
      <c r="L56" s="2"/>
      <c r="M56" s="2"/>
      <c r="N56" s="2"/>
      <c r="O56" s="2"/>
    </row>
    <row r="57" spans="1:20" ht="55.5" customHeight="1">
      <c r="A57" s="8"/>
      <c r="B57" s="40" t="s">
        <v>110</v>
      </c>
      <c r="C57" s="48"/>
      <c r="D57" s="48"/>
      <c r="E57" s="48"/>
      <c r="F57" s="48"/>
      <c r="G57" s="48"/>
      <c r="H57" s="16"/>
      <c r="I57" s="16"/>
      <c r="J57" s="7"/>
      <c r="K57" s="847" t="s">
        <v>111</v>
      </c>
      <c r="L57" s="848"/>
      <c r="M57" s="848"/>
      <c r="N57" s="848"/>
      <c r="O57" s="849"/>
    </row>
    <row r="58" spans="1:20"/>
    <row r="59" spans="1:20" ht="15.75" customHeight="1">
      <c r="B59" s="702" t="s">
        <v>18</v>
      </c>
    </row>
  </sheetData>
  <mergeCells count="15">
    <mergeCell ref="K55:O55"/>
    <mergeCell ref="O1:P1"/>
    <mergeCell ref="K57:O57"/>
    <mergeCell ref="O15:P15"/>
    <mergeCell ref="H1:H2"/>
    <mergeCell ref="I1:I2"/>
    <mergeCell ref="T1:T2"/>
    <mergeCell ref="Q1:S1"/>
    <mergeCell ref="J1:N1"/>
    <mergeCell ref="A1:B2"/>
    <mergeCell ref="E1:E2"/>
    <mergeCell ref="F1:F2"/>
    <mergeCell ref="G1:G2"/>
    <mergeCell ref="D1:D2"/>
    <mergeCell ref="C1:C2"/>
  </mergeCells>
  <conditionalFormatting sqref="H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C52056AC-0616-4E41-AA97-60D0B9D0193E}"/>
    <hyperlink ref="B4" r:id="rId2" xr:uid="{365E6C26-2501-4E43-8FF5-B1E9DE0E012E}"/>
    <hyperlink ref="B5" r:id="rId3" xr:uid="{5658A4D0-B966-430C-AD39-F5564251DD96}"/>
    <hyperlink ref="B6" r:id="rId4" xr:uid="{33AA009E-5D54-428B-BE22-88000F2AAAD9}"/>
    <hyperlink ref="B7" r:id="rId5" xr:uid="{D889F555-E978-4AB5-84EF-15F1828D9CCF}"/>
    <hyperlink ref="B8" r:id="rId6" xr:uid="{2E951A8A-2A92-4E35-864D-7853C27CD2DC}"/>
    <hyperlink ref="B9" r:id="rId7" xr:uid="{D353C9D0-9A14-4472-B302-B4C34F50BF23}"/>
    <hyperlink ref="B10" r:id="rId8" xr:uid="{08C494FE-337B-4808-A47D-6A3D99D8C381}"/>
    <hyperlink ref="B11" r:id="rId9" xr:uid="{1A5E4CB1-0F8B-47EA-8325-36CE8C92EF1B}"/>
    <hyperlink ref="B12" r:id="rId10" xr:uid="{1892E6F1-A1E5-4A70-85B0-72A19624B19B}"/>
    <hyperlink ref="B14" r:id="rId11" xr:uid="{39C12D21-4329-44A3-8A0C-E2B1AD5487F9}"/>
    <hyperlink ref="B13" r:id="rId12" xr:uid="{9F634C2B-EEAE-4DC9-9BA0-808A5FD2D68A}"/>
    <hyperlink ref="B16" r:id="rId13" xr:uid="{40B2B913-6E5E-4624-8D43-5063E5EAE630}"/>
    <hyperlink ref="B15" r:id="rId14" xr:uid="{D60883A1-07CA-4E98-B3CF-12003D9E3EA5}"/>
    <hyperlink ref="B19" r:id="rId15" xr:uid="{FEF6F504-A079-473A-8056-59E2B9E99829}"/>
    <hyperlink ref="B20" r:id="rId16" xr:uid="{14CCDFA7-3156-43FE-8598-CE05A86B20AA}"/>
    <hyperlink ref="B21" r:id="rId17" xr:uid="{E489A884-4E8C-47D7-9918-4AAF1FA03CFB}"/>
    <hyperlink ref="B22" r:id="rId18" xr:uid="{A9F351FA-B299-4933-8BE6-C236886281D7}"/>
    <hyperlink ref="B23" r:id="rId19" xr:uid="{DB6B481C-E2E6-4E22-8F5E-B20F808B27B4}"/>
    <hyperlink ref="B24" r:id="rId20" xr:uid="{27FD4762-D8FA-47B5-A9EF-4FAC050199DB}"/>
    <hyperlink ref="B25" r:id="rId21" xr:uid="{9F8CF9D1-3F19-44B6-B4BC-D0DE346E5FBB}"/>
    <hyperlink ref="B26" r:id="rId22" xr:uid="{F5EEE87E-0B14-44BA-A765-7DE33D3F4FEB}"/>
    <hyperlink ref="B27" r:id="rId23" xr:uid="{85BE24DD-0782-4707-A22E-F31877E9BDA6}"/>
    <hyperlink ref="B28" r:id="rId24" xr:uid="{D9EC46BB-FBED-458E-A445-418189F0DF3F}"/>
    <hyperlink ref="B29" r:id="rId25" xr:uid="{F7944673-3CB6-4678-8413-04D0649F89AA}"/>
    <hyperlink ref="B30" r:id="rId26" xr:uid="{720C6D43-D8C2-4DAD-B6F9-3A6F3C8F64BF}"/>
    <hyperlink ref="B31" r:id="rId27" xr:uid="{213B2727-DF51-4A7D-B362-1718E58DE510}"/>
    <hyperlink ref="B32" r:id="rId28" xr:uid="{FE4C09FC-38B4-41D5-9ABD-F524AB0A2C49}"/>
    <hyperlink ref="B33" r:id="rId29" xr:uid="{50F58FEA-F2C9-43E6-978F-753A081ED781}"/>
    <hyperlink ref="B34" r:id="rId30" xr:uid="{DD17CC77-DAEB-42CF-A8E5-4396550E8C5C}"/>
    <hyperlink ref="B35" r:id="rId31" xr:uid="{105BFF0E-F1CB-465D-B0F5-0BA7CD1A5F43}"/>
    <hyperlink ref="B36" r:id="rId32" xr:uid="{BDA5758B-DF02-4E3B-85A9-26BDFDF0C1E6}"/>
    <hyperlink ref="B37" r:id="rId33" xr:uid="{9B924831-4E33-4B70-9C68-8498098785E5}"/>
    <hyperlink ref="B38" r:id="rId34" xr:uid="{A63CABF5-99DA-4C51-9BBC-9F28465D97C8}"/>
    <hyperlink ref="B39" r:id="rId35" xr:uid="{87C2BF92-7B8F-4C55-AE89-A0021B541449}"/>
    <hyperlink ref="B40" r:id="rId36" xr:uid="{BF5F9118-02EF-4887-BE20-FE39180500D6}"/>
    <hyperlink ref="B41" r:id="rId37" xr:uid="{E161C613-7161-4EF3-8795-854962EC2951}"/>
    <hyperlink ref="B42" r:id="rId38" xr:uid="{52B01C97-E5E7-49DE-ABBC-93EFCAF45DF3}"/>
    <hyperlink ref="B43" r:id="rId39" xr:uid="{AA4F35B4-E895-4235-97B0-1DA1B36D322F}"/>
    <hyperlink ref="B44" r:id="rId40" xr:uid="{0C7AC636-2892-43F3-8BF1-5E235772621E}"/>
    <hyperlink ref="B45" r:id="rId41" xr:uid="{942A8B24-EFE5-4B4D-B245-314AFD1C0605}"/>
    <hyperlink ref="B46" r:id="rId42" xr:uid="{F7F0D42D-73E4-4E96-A2B3-D5ADABE31190}"/>
    <hyperlink ref="B47" r:id="rId43" xr:uid="{F97491BC-3E01-44AE-A0C2-FFE8049A8872}"/>
    <hyperlink ref="B48" r:id="rId44" xr:uid="{10C53C5D-6219-4FEE-81C7-444BFB3FDB26}"/>
    <hyperlink ref="B49" r:id="rId45" xr:uid="{F3A17E2C-B7E1-4D83-AF25-6B6DC0AE7F9A}"/>
    <hyperlink ref="B50" r:id="rId46" xr:uid="{27123059-D369-43EC-B7E4-7A54A1E7BBC4}"/>
    <hyperlink ref="B51" r:id="rId47" xr:uid="{DD2820CD-72FB-4003-9BC9-C2039244D47E}"/>
    <hyperlink ref="B52" r:id="rId48" xr:uid="{2F8481C4-FCCC-4EBB-8826-48691968EBA0}"/>
    <hyperlink ref="B53" r:id="rId49" xr:uid="{21BEF707-BBD0-43CD-9AB3-5BC85D15D7E1}"/>
    <hyperlink ref="B18" r:id="rId50" xr:uid="{8DFB3C84-E365-4C14-BF4C-77547D6EE8EB}"/>
    <hyperlink ref="B17" r:id="rId51" xr:uid="{B27F0C90-4B91-414B-9347-ED49616486EB}"/>
    <hyperlink ref="B59" r:id="rId52" location="tabs-tree-start" xr:uid="{94705C96-7059-4664-85D2-560260A98868}"/>
  </hyperlinks>
  <pageMargins left="0.7" right="0.7" top="0.75" bottom="0.75" header="0.3" footer="0.3"/>
  <pageSetup paperSize="9" orientation="portrait" verticalDpi="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03B6-590F-44AE-B5B0-2ACB3E7BB037}">
  <sheetPr>
    <tabColor rgb="FFFFFF00"/>
  </sheetPr>
  <dimension ref="A1:Y44"/>
  <sheetViews>
    <sheetView topLeftCell="G1" workbookViewId="0">
      <selection activeCell="M31" sqref="M31"/>
    </sheetView>
  </sheetViews>
  <sheetFormatPr defaultRowHeight="15.75"/>
  <cols>
    <col min="1" max="1" width="37.75" customWidth="1"/>
    <col min="2" max="2" width="3.625" customWidth="1"/>
    <col min="3" max="3" width="38" customWidth="1"/>
    <col min="4" max="4" width="2.625" customWidth="1"/>
    <col min="5" max="5" width="38.125" customWidth="1"/>
    <col min="6" max="6" width="2.625" customWidth="1"/>
    <col min="7" max="7" width="41.5" customWidth="1"/>
    <col min="8" max="8" width="3.625" customWidth="1"/>
    <col min="9" max="9" width="45.875" customWidth="1"/>
    <col min="10" max="10" width="3.625" customWidth="1"/>
    <col min="11" max="11" width="38.375" customWidth="1"/>
    <col min="12" max="12" width="2.625" customWidth="1"/>
    <col min="13" max="13" width="44.625" customWidth="1"/>
    <col min="14" max="14" width="2.625" customWidth="1"/>
    <col min="15" max="15" width="38.5" customWidth="1"/>
    <col min="16" max="16" width="2.625" customWidth="1"/>
    <col min="17" max="17" width="38.625" customWidth="1"/>
    <col min="18" max="18" width="3.625" customWidth="1"/>
    <col min="19" max="19" width="42.375" customWidth="1"/>
    <col min="20" max="20" width="2.625" customWidth="1"/>
    <col min="21" max="21" width="39" customWidth="1"/>
    <col min="22" max="22" width="2.625" customWidth="1"/>
    <col min="23" max="23" width="41.25" customWidth="1"/>
    <col min="24" max="24" width="2.625" customWidth="1"/>
    <col min="25" max="25" width="42.5" customWidth="1"/>
    <col min="26" max="26" width="5.625" customWidth="1"/>
  </cols>
  <sheetData>
    <row r="1" spans="1:25" ht="23.25" customHeight="1">
      <c r="A1" s="864" t="s">
        <v>112</v>
      </c>
      <c r="B1" s="270"/>
      <c r="C1" s="858" t="s">
        <v>113</v>
      </c>
      <c r="D1" s="859"/>
      <c r="E1" s="859"/>
      <c r="F1" s="859"/>
      <c r="G1" s="860"/>
      <c r="H1" s="270"/>
      <c r="I1" s="864" t="s">
        <v>114</v>
      </c>
      <c r="K1" s="858" t="s">
        <v>115</v>
      </c>
      <c r="L1" s="859"/>
      <c r="M1" s="859"/>
      <c r="N1" s="859"/>
      <c r="O1" s="859"/>
      <c r="P1" s="859"/>
      <c r="Q1" s="860"/>
      <c r="S1" s="858" t="s">
        <v>116</v>
      </c>
      <c r="T1" s="859"/>
      <c r="U1" s="859"/>
      <c r="V1" s="859"/>
      <c r="W1" s="859"/>
      <c r="X1" s="859"/>
      <c r="Y1" s="860"/>
    </row>
    <row r="2" spans="1:25" ht="23.25">
      <c r="A2" s="865"/>
      <c r="B2" s="270"/>
      <c r="C2" s="861"/>
      <c r="D2" s="862"/>
      <c r="E2" s="862"/>
      <c r="F2" s="862"/>
      <c r="G2" s="863"/>
      <c r="H2" s="270"/>
      <c r="I2" s="865"/>
      <c r="K2" s="861"/>
      <c r="L2" s="862"/>
      <c r="M2" s="862"/>
      <c r="N2" s="862"/>
      <c r="O2" s="862"/>
      <c r="P2" s="862"/>
      <c r="Q2" s="863"/>
      <c r="S2" s="861"/>
      <c r="T2" s="862"/>
      <c r="U2" s="862"/>
      <c r="V2" s="862"/>
      <c r="W2" s="862"/>
      <c r="X2" s="862"/>
      <c r="Y2" s="863"/>
    </row>
    <row r="3" spans="1:25" ht="41.25">
      <c r="A3" s="208" t="s">
        <v>0</v>
      </c>
      <c r="B3" s="271"/>
      <c r="C3" s="273" t="s">
        <v>117</v>
      </c>
      <c r="D3" s="277"/>
      <c r="E3" s="275" t="s">
        <v>118</v>
      </c>
      <c r="F3" s="277"/>
      <c r="G3" s="291" t="s">
        <v>119</v>
      </c>
      <c r="H3" s="271"/>
      <c r="I3" s="192" t="s">
        <v>120</v>
      </c>
      <c r="K3" s="192" t="s">
        <v>121</v>
      </c>
      <c r="L3" s="260"/>
      <c r="M3" s="194" t="s">
        <v>122</v>
      </c>
      <c r="N3" s="261"/>
      <c r="O3" s="196" t="s">
        <v>123</v>
      </c>
      <c r="P3" s="261"/>
      <c r="Q3" s="198" t="s">
        <v>124</v>
      </c>
      <c r="S3" s="200" t="s">
        <v>125</v>
      </c>
      <c r="T3" s="261"/>
      <c r="U3" s="208" t="s">
        <v>126</v>
      </c>
      <c r="V3" s="261"/>
      <c r="W3" s="202" t="s">
        <v>127</v>
      </c>
      <c r="X3" s="261"/>
      <c r="Y3" s="293" t="s">
        <v>128</v>
      </c>
    </row>
    <row r="4" spans="1:25">
      <c r="A4" s="209"/>
      <c r="C4" s="274"/>
      <c r="D4" s="261"/>
      <c r="E4" s="276"/>
      <c r="F4" s="261"/>
      <c r="G4" s="292"/>
      <c r="I4" s="193"/>
      <c r="K4" s="193"/>
      <c r="L4" s="260"/>
      <c r="M4" s="195"/>
      <c r="N4" s="261"/>
      <c r="O4" s="197"/>
      <c r="P4" s="261"/>
      <c r="Q4" s="199"/>
      <c r="S4" s="201"/>
      <c r="T4" s="261"/>
      <c r="U4" s="209"/>
      <c r="V4" s="261"/>
      <c r="W4" s="203"/>
      <c r="X4" s="261"/>
      <c r="Y4" s="294"/>
    </row>
    <row r="5" spans="1:25" ht="18.75">
      <c r="A5" s="210" t="s">
        <v>112</v>
      </c>
      <c r="B5" s="272"/>
      <c r="C5" s="211" t="s">
        <v>129</v>
      </c>
      <c r="D5" s="278"/>
      <c r="E5" s="211" t="s">
        <v>129</v>
      </c>
      <c r="F5" s="278"/>
      <c r="G5" s="281" t="s">
        <v>129</v>
      </c>
      <c r="H5" s="272"/>
      <c r="I5" s="191" t="s">
        <v>130</v>
      </c>
      <c r="K5" s="191" t="s">
        <v>129</v>
      </c>
      <c r="L5" s="261"/>
      <c r="M5" s="191" t="s">
        <v>129</v>
      </c>
      <c r="N5" s="261"/>
      <c r="O5" s="191" t="s">
        <v>129</v>
      </c>
      <c r="P5" s="261"/>
      <c r="Q5" s="191" t="s">
        <v>129</v>
      </c>
      <c r="S5" s="191" t="s">
        <v>129</v>
      </c>
      <c r="T5" s="261"/>
      <c r="U5" s="799" t="s">
        <v>129</v>
      </c>
      <c r="V5" s="261"/>
      <c r="W5" s="191" t="s">
        <v>129</v>
      </c>
      <c r="X5" s="261"/>
      <c r="Y5" s="191" t="s">
        <v>129</v>
      </c>
    </row>
    <row r="6" spans="1:25">
      <c r="A6" s="179" t="s">
        <v>131</v>
      </c>
      <c r="B6" s="152"/>
      <c r="C6" s="179" t="s">
        <v>131</v>
      </c>
      <c r="D6" s="265"/>
      <c r="E6" s="179" t="s">
        <v>131</v>
      </c>
      <c r="F6" s="265"/>
      <c r="G6" s="282" t="s">
        <v>131</v>
      </c>
      <c r="H6" s="152"/>
      <c r="I6" s="179" t="s">
        <v>131</v>
      </c>
      <c r="K6" s="153" t="s">
        <v>131</v>
      </c>
      <c r="L6" s="261"/>
      <c r="M6" s="153" t="s">
        <v>131</v>
      </c>
      <c r="N6" s="261"/>
      <c r="O6" s="153" t="s">
        <v>131</v>
      </c>
      <c r="P6" s="261"/>
      <c r="Q6" s="153" t="s">
        <v>131</v>
      </c>
      <c r="S6" s="179" t="s">
        <v>131</v>
      </c>
      <c r="T6" s="261"/>
      <c r="U6" s="179" t="s">
        <v>131</v>
      </c>
      <c r="V6" s="261"/>
      <c r="W6" s="179" t="s">
        <v>131</v>
      </c>
      <c r="X6" s="261"/>
      <c r="Y6" s="179" t="s">
        <v>131</v>
      </c>
    </row>
    <row r="7" spans="1:25">
      <c r="A7" s="154" t="s">
        <v>9</v>
      </c>
      <c r="B7" s="178"/>
      <c r="C7" s="154" t="s">
        <v>36</v>
      </c>
      <c r="D7" s="279"/>
      <c r="E7" s="154" t="s">
        <v>36</v>
      </c>
      <c r="F7" s="279"/>
      <c r="G7" s="283" t="s">
        <v>36</v>
      </c>
      <c r="H7" s="178"/>
      <c r="I7" s="154" t="s">
        <v>36</v>
      </c>
      <c r="K7" s="154" t="s">
        <v>36</v>
      </c>
      <c r="L7" s="261"/>
      <c r="M7" s="154" t="s">
        <v>36</v>
      </c>
      <c r="N7" s="261"/>
      <c r="O7" s="154" t="s">
        <v>36</v>
      </c>
      <c r="P7" s="261"/>
      <c r="Q7" s="154" t="s">
        <v>36</v>
      </c>
      <c r="S7" s="154" t="s">
        <v>36</v>
      </c>
      <c r="T7" s="261"/>
      <c r="U7" s="154" t="s">
        <v>36</v>
      </c>
      <c r="V7" s="261"/>
      <c r="W7" s="154" t="s">
        <v>36</v>
      </c>
      <c r="X7" s="261"/>
      <c r="Y7" s="154" t="s">
        <v>36</v>
      </c>
    </row>
    <row r="8" spans="1:25">
      <c r="A8" s="154" t="s">
        <v>16</v>
      </c>
      <c r="B8" s="178"/>
      <c r="C8" s="154" t="s">
        <v>39</v>
      </c>
      <c r="D8" s="279"/>
      <c r="E8" s="154" t="s">
        <v>39</v>
      </c>
      <c r="F8" s="279"/>
      <c r="G8" s="283" t="s">
        <v>47</v>
      </c>
      <c r="H8" s="178"/>
      <c r="I8" s="177"/>
      <c r="K8" s="154" t="s">
        <v>39</v>
      </c>
      <c r="L8" s="261"/>
      <c r="M8" s="154" t="s">
        <v>39</v>
      </c>
      <c r="N8" s="261"/>
      <c r="O8" s="154" t="s">
        <v>39</v>
      </c>
      <c r="P8" s="261"/>
      <c r="Q8" s="154" t="s">
        <v>39</v>
      </c>
      <c r="S8" s="154" t="s">
        <v>39</v>
      </c>
      <c r="T8" s="261"/>
      <c r="U8" s="154" t="s">
        <v>39</v>
      </c>
      <c r="V8" s="261"/>
      <c r="W8" s="154" t="s">
        <v>39</v>
      </c>
      <c r="X8" s="261"/>
      <c r="Y8" s="154" t="s">
        <v>39</v>
      </c>
    </row>
    <row r="9" spans="1:25">
      <c r="A9" s="154" t="s">
        <v>11</v>
      </c>
      <c r="B9" s="178"/>
      <c r="C9" s="154" t="s">
        <v>41</v>
      </c>
      <c r="D9" s="279"/>
      <c r="E9" s="154" t="s">
        <v>41</v>
      </c>
      <c r="F9" s="279"/>
      <c r="G9" s="283" t="s">
        <v>132</v>
      </c>
      <c r="H9" s="178"/>
      <c r="I9" s="156" t="s">
        <v>133</v>
      </c>
      <c r="K9" s="154" t="s">
        <v>46</v>
      </c>
      <c r="L9" s="261"/>
      <c r="M9" s="154" t="s">
        <v>53</v>
      </c>
      <c r="N9" s="261"/>
      <c r="O9" s="154" t="s">
        <v>41</v>
      </c>
      <c r="P9" s="261"/>
      <c r="Q9" s="154" t="s">
        <v>41</v>
      </c>
      <c r="S9" s="177"/>
      <c r="T9" s="261"/>
      <c r="U9" s="155"/>
      <c r="V9" s="261"/>
      <c r="W9" s="177"/>
      <c r="X9" s="261"/>
      <c r="Y9" s="177"/>
    </row>
    <row r="10" spans="1:25" ht="18.75">
      <c r="A10" s="155"/>
      <c r="C10" s="155"/>
      <c r="D10" s="261"/>
      <c r="E10" s="155"/>
      <c r="F10" s="261"/>
      <c r="G10" s="284"/>
      <c r="I10" s="162" t="s">
        <v>47</v>
      </c>
      <c r="K10" s="211"/>
      <c r="L10" s="261"/>
      <c r="M10" s="155"/>
      <c r="N10" s="261"/>
      <c r="O10" s="155"/>
      <c r="P10" s="261"/>
      <c r="Q10" s="155"/>
      <c r="S10" s="156" t="s">
        <v>133</v>
      </c>
      <c r="T10" s="261"/>
      <c r="U10" s="156" t="s">
        <v>133</v>
      </c>
      <c r="V10" s="261"/>
      <c r="W10" s="156" t="s">
        <v>133</v>
      </c>
      <c r="X10" s="261"/>
      <c r="Y10" s="156" t="s">
        <v>133</v>
      </c>
    </row>
    <row r="11" spans="1:25">
      <c r="A11" s="156" t="s">
        <v>133</v>
      </c>
      <c r="B11" s="152"/>
      <c r="C11" s="156" t="s">
        <v>133</v>
      </c>
      <c r="D11" s="265"/>
      <c r="E11" s="156" t="s">
        <v>133</v>
      </c>
      <c r="F11" s="265"/>
      <c r="G11" s="285" t="s">
        <v>133</v>
      </c>
      <c r="H11" s="152"/>
      <c r="I11" s="155"/>
      <c r="K11" s="156" t="s">
        <v>133</v>
      </c>
      <c r="L11" s="261"/>
      <c r="M11" s="156" t="s">
        <v>133</v>
      </c>
      <c r="N11" s="261"/>
      <c r="O11" s="156" t="s">
        <v>133</v>
      </c>
      <c r="P11" s="261"/>
      <c r="Q11" s="156" t="s">
        <v>133</v>
      </c>
      <c r="S11" s="162" t="s">
        <v>47</v>
      </c>
      <c r="T11" s="261"/>
      <c r="U11" s="162" t="s">
        <v>47</v>
      </c>
      <c r="V11" s="261"/>
      <c r="W11" s="162" t="s">
        <v>47</v>
      </c>
      <c r="X11" s="261"/>
      <c r="Y11" s="162" t="s">
        <v>47</v>
      </c>
    </row>
    <row r="12" spans="1:25">
      <c r="A12" s="162" t="s">
        <v>7</v>
      </c>
      <c r="B12" s="178"/>
      <c r="C12" s="162" t="s">
        <v>134</v>
      </c>
      <c r="D12" s="279"/>
      <c r="E12" s="162" t="s">
        <v>135</v>
      </c>
      <c r="F12" s="279"/>
      <c r="G12" s="286" t="s">
        <v>135</v>
      </c>
      <c r="H12" s="178"/>
      <c r="I12" s="180" t="s">
        <v>136</v>
      </c>
      <c r="K12" s="162" t="s">
        <v>47</v>
      </c>
      <c r="L12" s="261"/>
      <c r="M12" s="162" t="s">
        <v>47</v>
      </c>
      <c r="N12" s="261"/>
      <c r="O12" s="162" t="s">
        <v>47</v>
      </c>
      <c r="P12" s="261"/>
      <c r="Q12" s="162" t="s">
        <v>47</v>
      </c>
      <c r="S12" s="162" t="s">
        <v>56</v>
      </c>
      <c r="T12" s="261"/>
      <c r="U12" s="163" t="s">
        <v>49</v>
      </c>
      <c r="V12" s="261"/>
      <c r="W12" s="163" t="s">
        <v>45</v>
      </c>
      <c r="X12" s="261"/>
      <c r="Y12" s="163" t="s">
        <v>45</v>
      </c>
    </row>
    <row r="13" spans="1:25">
      <c r="A13" s="162" t="s">
        <v>14</v>
      </c>
      <c r="B13" s="178"/>
      <c r="C13" s="162" t="s">
        <v>43</v>
      </c>
      <c r="D13" s="279"/>
      <c r="E13" s="162" t="s">
        <v>43</v>
      </c>
      <c r="F13" s="279"/>
      <c r="G13" s="286" t="s">
        <v>137</v>
      </c>
      <c r="H13" s="178"/>
      <c r="I13" s="182" t="s">
        <v>137</v>
      </c>
      <c r="K13" s="162" t="s">
        <v>49</v>
      </c>
      <c r="L13" s="261"/>
      <c r="M13" s="162" t="s">
        <v>56</v>
      </c>
      <c r="N13" s="261"/>
      <c r="O13" s="162" t="s">
        <v>43</v>
      </c>
      <c r="P13" s="261"/>
      <c r="Q13" s="162" t="s">
        <v>43</v>
      </c>
      <c r="S13" s="160"/>
      <c r="T13" s="261"/>
      <c r="U13" s="155"/>
      <c r="V13" s="261"/>
      <c r="W13" s="160"/>
      <c r="X13" s="261"/>
      <c r="Y13" s="160"/>
    </row>
    <row r="14" spans="1:25">
      <c r="A14" s="163" t="s">
        <v>13</v>
      </c>
      <c r="B14" s="178"/>
      <c r="C14" s="163" t="s">
        <v>45</v>
      </c>
      <c r="D14" s="279"/>
      <c r="E14" s="163" t="s">
        <v>45</v>
      </c>
      <c r="F14" s="279"/>
      <c r="G14" s="287" t="s">
        <v>138</v>
      </c>
      <c r="H14" s="178"/>
      <c r="I14" s="155"/>
      <c r="K14" s="163" t="s">
        <v>52</v>
      </c>
      <c r="L14" s="261"/>
      <c r="M14" s="163" t="s">
        <v>52</v>
      </c>
      <c r="N14" s="261"/>
      <c r="O14" s="163" t="s">
        <v>45</v>
      </c>
      <c r="P14" s="261"/>
      <c r="Q14" s="163" t="s">
        <v>45</v>
      </c>
      <c r="S14" s="180" t="s">
        <v>136</v>
      </c>
      <c r="T14" s="261"/>
      <c r="U14" s="180" t="s">
        <v>136</v>
      </c>
      <c r="V14" s="261"/>
      <c r="W14" s="180" t="s">
        <v>136</v>
      </c>
      <c r="X14" s="261"/>
      <c r="Y14" s="180" t="s">
        <v>136</v>
      </c>
    </row>
    <row r="15" spans="1:25" ht="18.75">
      <c r="C15" s="267"/>
      <c r="D15" s="261"/>
      <c r="E15" s="261"/>
      <c r="F15" s="261"/>
      <c r="G15" s="284"/>
      <c r="I15" s="212" t="s">
        <v>139</v>
      </c>
      <c r="K15" s="264"/>
      <c r="L15" s="261"/>
      <c r="M15" s="265"/>
      <c r="N15" s="261"/>
      <c r="O15" s="265"/>
      <c r="P15" s="261"/>
      <c r="Q15" s="266"/>
      <c r="S15" s="181" t="s">
        <v>137</v>
      </c>
      <c r="T15" s="261"/>
      <c r="U15" s="181" t="s">
        <v>137</v>
      </c>
      <c r="V15" s="261"/>
      <c r="W15" s="181" t="s">
        <v>137</v>
      </c>
      <c r="X15" s="261"/>
      <c r="Y15" s="181" t="s">
        <v>137</v>
      </c>
    </row>
    <row r="16" spans="1:25" ht="18.75">
      <c r="C16" s="280"/>
      <c r="D16" s="263"/>
      <c r="E16" s="263"/>
      <c r="F16" s="263"/>
      <c r="G16" s="288" t="s">
        <v>140</v>
      </c>
      <c r="I16" s="179" t="s">
        <v>131</v>
      </c>
      <c r="K16" s="157" t="s">
        <v>141</v>
      </c>
      <c r="L16" s="261"/>
      <c r="M16" s="157" t="s">
        <v>141</v>
      </c>
      <c r="N16" s="261"/>
      <c r="O16" s="157" t="s">
        <v>141</v>
      </c>
      <c r="P16" s="261"/>
      <c r="Q16" s="157" t="s">
        <v>141</v>
      </c>
      <c r="S16" s="182" t="s">
        <v>142</v>
      </c>
      <c r="T16" s="261"/>
      <c r="U16" s="182" t="s">
        <v>142</v>
      </c>
      <c r="V16" s="261"/>
      <c r="W16" s="182" t="s">
        <v>43</v>
      </c>
      <c r="X16" s="261"/>
      <c r="Y16" s="182" t="s">
        <v>43</v>
      </c>
    </row>
    <row r="17" spans="9:25">
      <c r="I17" s="154" t="s">
        <v>132</v>
      </c>
      <c r="K17" s="158" t="s">
        <v>131</v>
      </c>
      <c r="L17" s="261"/>
      <c r="M17" s="158" t="s">
        <v>131</v>
      </c>
      <c r="N17" s="261"/>
      <c r="O17" s="158" t="s">
        <v>131</v>
      </c>
      <c r="P17" s="261"/>
      <c r="Q17" s="158" t="s">
        <v>131</v>
      </c>
      <c r="S17" s="267"/>
      <c r="T17" s="261"/>
      <c r="U17" s="800"/>
      <c r="V17" s="261"/>
      <c r="W17" s="261"/>
      <c r="X17" s="261"/>
      <c r="Y17" s="268"/>
    </row>
    <row r="18" spans="9:25" ht="18.75">
      <c r="I18" s="177"/>
      <c r="K18" s="159" t="s">
        <v>73</v>
      </c>
      <c r="L18" s="261"/>
      <c r="M18" s="159" t="s">
        <v>73</v>
      </c>
      <c r="N18" s="261"/>
      <c r="O18" s="171" t="s">
        <v>63</v>
      </c>
      <c r="P18" s="261"/>
      <c r="Q18" s="171" t="s">
        <v>63</v>
      </c>
      <c r="S18" s="157" t="s">
        <v>141</v>
      </c>
      <c r="T18" s="261"/>
      <c r="U18" s="157" t="s">
        <v>141</v>
      </c>
      <c r="V18" s="261"/>
      <c r="W18" s="157" t="s">
        <v>141</v>
      </c>
      <c r="X18" s="261"/>
      <c r="Y18" s="157" t="s">
        <v>141</v>
      </c>
    </row>
    <row r="19" spans="9:25">
      <c r="I19" s="156" t="s">
        <v>133</v>
      </c>
      <c r="K19" s="159" t="s">
        <v>71</v>
      </c>
      <c r="L19" s="261"/>
      <c r="M19" s="159" t="s">
        <v>143</v>
      </c>
      <c r="N19" s="261"/>
      <c r="O19" s="159" t="s">
        <v>68</v>
      </c>
      <c r="P19" s="261"/>
      <c r="Q19" s="159" t="s">
        <v>144</v>
      </c>
      <c r="S19" s="158" t="s">
        <v>131</v>
      </c>
      <c r="T19" s="261"/>
      <c r="U19" s="158" t="s">
        <v>131</v>
      </c>
      <c r="V19" s="261"/>
      <c r="W19" s="158" t="s">
        <v>131</v>
      </c>
      <c r="X19" s="261"/>
      <c r="Y19" s="158" t="s">
        <v>131</v>
      </c>
    </row>
    <row r="20" spans="9:25">
      <c r="I20" s="162" t="s">
        <v>138</v>
      </c>
      <c r="K20" s="159" t="s">
        <v>83</v>
      </c>
      <c r="L20" s="261"/>
      <c r="M20" s="159" t="s">
        <v>83</v>
      </c>
      <c r="N20" s="261"/>
      <c r="O20" s="159" t="s">
        <v>69</v>
      </c>
      <c r="P20" s="261"/>
      <c r="Q20" s="159" t="s">
        <v>69</v>
      </c>
      <c r="S20" s="159" t="s">
        <v>73</v>
      </c>
      <c r="T20" s="261"/>
      <c r="U20" s="159" t="s">
        <v>73</v>
      </c>
      <c r="V20" s="261"/>
      <c r="W20" s="159" t="s">
        <v>145</v>
      </c>
      <c r="X20" s="261"/>
      <c r="Y20" s="159" t="s">
        <v>146</v>
      </c>
    </row>
    <row r="21" spans="9:25">
      <c r="I21" s="160"/>
      <c r="K21" s="160"/>
      <c r="L21" s="261"/>
      <c r="M21" s="160"/>
      <c r="N21" s="261"/>
      <c r="O21" s="160"/>
      <c r="P21" s="261"/>
      <c r="Q21" s="160"/>
      <c r="S21" s="159" t="s">
        <v>83</v>
      </c>
      <c r="T21" s="261"/>
      <c r="U21" s="159" t="s">
        <v>71</v>
      </c>
      <c r="V21" s="261"/>
      <c r="W21" s="159" t="s">
        <v>147</v>
      </c>
      <c r="X21" s="261"/>
      <c r="Y21" s="159" t="s">
        <v>147</v>
      </c>
    </row>
    <row r="22" spans="9:25">
      <c r="I22" s="180" t="s">
        <v>136</v>
      </c>
      <c r="K22" s="156" t="s">
        <v>133</v>
      </c>
      <c r="L22" s="261"/>
      <c r="M22" s="156" t="s">
        <v>133</v>
      </c>
      <c r="N22" s="261"/>
      <c r="O22" s="156" t="s">
        <v>133</v>
      </c>
      <c r="P22" s="261"/>
      <c r="Q22" s="156" t="s">
        <v>133</v>
      </c>
      <c r="S22" s="160"/>
      <c r="T22" s="261"/>
      <c r="U22" s="160"/>
      <c r="V22" s="261"/>
      <c r="W22" s="160"/>
      <c r="X22" s="261"/>
      <c r="Y22" s="160"/>
    </row>
    <row r="23" spans="9:25">
      <c r="I23" s="181" t="s">
        <v>148</v>
      </c>
      <c r="K23" s="162" t="s">
        <v>67</v>
      </c>
      <c r="L23" s="261"/>
      <c r="M23" s="162" t="s">
        <v>67</v>
      </c>
      <c r="N23" s="261"/>
      <c r="O23" s="162" t="s">
        <v>67</v>
      </c>
      <c r="P23" s="261"/>
      <c r="Q23" s="162" t="s">
        <v>67</v>
      </c>
      <c r="S23" s="156" t="s">
        <v>133</v>
      </c>
      <c r="T23" s="261"/>
      <c r="U23" s="156" t="s">
        <v>133</v>
      </c>
      <c r="V23" s="261"/>
      <c r="W23" s="156" t="s">
        <v>133</v>
      </c>
      <c r="X23" s="261"/>
      <c r="Y23" s="156" t="s">
        <v>133</v>
      </c>
    </row>
    <row r="24" spans="9:25">
      <c r="I24" s="177"/>
      <c r="K24" s="162" t="s">
        <v>74</v>
      </c>
      <c r="L24" s="261"/>
      <c r="M24" s="162" t="s">
        <v>82</v>
      </c>
      <c r="N24" s="261"/>
      <c r="O24" s="162" t="s">
        <v>64</v>
      </c>
      <c r="P24" s="261"/>
      <c r="Q24" s="162" t="s">
        <v>64</v>
      </c>
      <c r="S24" s="573" t="s">
        <v>149</v>
      </c>
      <c r="T24" s="261"/>
      <c r="U24" s="573" t="s">
        <v>149</v>
      </c>
      <c r="V24" s="261"/>
      <c r="W24" s="162" t="s">
        <v>64</v>
      </c>
      <c r="X24" s="261"/>
      <c r="Y24" s="162" t="s">
        <v>64</v>
      </c>
    </row>
    <row r="25" spans="9:25">
      <c r="I25" s="214" t="s">
        <v>150</v>
      </c>
      <c r="K25" s="163" t="s">
        <v>72</v>
      </c>
      <c r="L25" s="261"/>
      <c r="M25" s="163" t="s">
        <v>72</v>
      </c>
      <c r="N25" s="261"/>
      <c r="O25" s="163" t="s">
        <v>66</v>
      </c>
      <c r="P25" s="261"/>
      <c r="Q25" s="163" t="s">
        <v>77</v>
      </c>
      <c r="S25" s="162" t="s">
        <v>82</v>
      </c>
      <c r="T25" s="261"/>
      <c r="U25" s="162" t="s">
        <v>151</v>
      </c>
      <c r="V25" s="261"/>
      <c r="W25" s="162" t="s">
        <v>152</v>
      </c>
      <c r="X25" s="261"/>
      <c r="Y25" s="162" t="s">
        <v>77</v>
      </c>
    </row>
    <row r="26" spans="9:25">
      <c r="I26" s="213" t="s">
        <v>153</v>
      </c>
      <c r="K26" s="267"/>
      <c r="L26" s="261"/>
      <c r="M26" s="261"/>
      <c r="N26" s="261"/>
      <c r="O26" s="261"/>
      <c r="P26" s="261"/>
      <c r="Q26" s="268"/>
      <c r="S26" s="177"/>
      <c r="T26" s="261"/>
      <c r="U26" s="177"/>
      <c r="V26" s="261"/>
      <c r="W26" s="177"/>
      <c r="X26" s="261"/>
      <c r="Y26" s="177"/>
    </row>
    <row r="27" spans="9:25" ht="18.75">
      <c r="I27" s="152"/>
      <c r="K27" s="157" t="s">
        <v>154</v>
      </c>
      <c r="L27" s="261"/>
      <c r="M27" s="157" t="s">
        <v>154</v>
      </c>
      <c r="N27" s="261"/>
      <c r="O27" s="157" t="s">
        <v>154</v>
      </c>
      <c r="P27" s="261"/>
      <c r="Q27" s="157" t="s">
        <v>154</v>
      </c>
      <c r="S27" s="180" t="s">
        <v>136</v>
      </c>
      <c r="T27" s="261"/>
      <c r="U27" s="180" t="s">
        <v>136</v>
      </c>
      <c r="V27" s="261"/>
      <c r="W27" s="180" t="s">
        <v>136</v>
      </c>
      <c r="X27" s="261"/>
      <c r="Y27" s="180" t="s">
        <v>136</v>
      </c>
    </row>
    <row r="28" spans="9:25">
      <c r="I28" s="178"/>
      <c r="K28" s="161" t="s">
        <v>131</v>
      </c>
      <c r="L28" s="261"/>
      <c r="M28" s="161" t="s">
        <v>131</v>
      </c>
      <c r="N28" s="261"/>
      <c r="O28" s="161" t="s">
        <v>131</v>
      </c>
      <c r="P28" s="261"/>
      <c r="Q28" s="161" t="s">
        <v>131</v>
      </c>
      <c r="S28" s="181" t="s">
        <v>155</v>
      </c>
      <c r="T28" s="261"/>
      <c r="U28" s="181" t="s">
        <v>155</v>
      </c>
      <c r="V28" s="261"/>
      <c r="W28" s="181" t="s">
        <v>155</v>
      </c>
      <c r="X28" s="261"/>
      <c r="Y28" s="181" t="s">
        <v>155</v>
      </c>
    </row>
    <row r="29" spans="9:25">
      <c r="I29" s="178"/>
      <c r="K29" s="154" t="s">
        <v>156</v>
      </c>
      <c r="L29" s="261"/>
      <c r="M29" s="164" t="s">
        <v>157</v>
      </c>
      <c r="N29" s="261"/>
      <c r="O29" s="164" t="s">
        <v>158</v>
      </c>
      <c r="P29" s="261"/>
      <c r="Q29" s="164" t="s">
        <v>158</v>
      </c>
      <c r="S29" s="182" t="s">
        <v>159</v>
      </c>
      <c r="T29" s="261"/>
      <c r="U29" s="182" t="s">
        <v>159</v>
      </c>
      <c r="V29" s="261"/>
      <c r="W29" s="182" t="s">
        <v>159</v>
      </c>
      <c r="X29" s="261"/>
      <c r="Y29" s="182" t="s">
        <v>159</v>
      </c>
    </row>
    <row r="30" spans="9:25">
      <c r="K30" s="164" t="s">
        <v>160</v>
      </c>
      <c r="L30" s="261"/>
      <c r="M30" s="164" t="s">
        <v>98</v>
      </c>
      <c r="N30" s="261"/>
      <c r="O30" s="164" t="s">
        <v>89</v>
      </c>
      <c r="P30" s="261"/>
      <c r="Q30" s="164" t="s">
        <v>161</v>
      </c>
      <c r="S30" s="267"/>
      <c r="T30" s="261"/>
      <c r="U30" s="261"/>
      <c r="V30" s="261"/>
      <c r="W30" s="261"/>
      <c r="X30" s="261"/>
      <c r="Y30" s="268"/>
    </row>
    <row r="31" spans="9:25" ht="18.75">
      <c r="K31" s="164" t="s">
        <v>162</v>
      </c>
      <c r="L31" s="261"/>
      <c r="M31" s="164" t="s">
        <v>162</v>
      </c>
      <c r="N31" s="261"/>
      <c r="O31" s="164" t="s">
        <v>163</v>
      </c>
      <c r="P31" s="261"/>
      <c r="Q31" s="164" t="s">
        <v>163</v>
      </c>
      <c r="S31" s="157" t="s">
        <v>154</v>
      </c>
      <c r="T31" s="261"/>
      <c r="U31" s="157" t="s">
        <v>154</v>
      </c>
      <c r="V31" s="261"/>
      <c r="W31" s="157" t="s">
        <v>154</v>
      </c>
      <c r="X31" s="261"/>
      <c r="Y31" s="157" t="s">
        <v>154</v>
      </c>
    </row>
    <row r="32" spans="9:25">
      <c r="K32" s="164" t="s">
        <v>164</v>
      </c>
      <c r="L32" s="261"/>
      <c r="M32" s="164" t="s">
        <v>165</v>
      </c>
      <c r="N32" s="261"/>
      <c r="O32" s="164" t="s">
        <v>166</v>
      </c>
      <c r="P32" s="261"/>
      <c r="Q32" s="164" t="s">
        <v>167</v>
      </c>
      <c r="S32" s="161" t="s">
        <v>131</v>
      </c>
      <c r="T32" s="261"/>
      <c r="U32" s="185" t="s">
        <v>131</v>
      </c>
      <c r="V32" s="261"/>
      <c r="W32" s="185" t="s">
        <v>131</v>
      </c>
      <c r="X32" s="261"/>
      <c r="Y32" s="185" t="s">
        <v>131</v>
      </c>
    </row>
    <row r="33" spans="11:25" s="189" customFormat="1">
      <c r="K33" s="188" t="s">
        <v>168</v>
      </c>
      <c r="L33" s="262"/>
      <c r="M33" s="188" t="s">
        <v>169</v>
      </c>
      <c r="N33" s="262"/>
      <c r="O33" s="188" t="s">
        <v>170</v>
      </c>
      <c r="P33" s="262"/>
      <c r="Q33" s="188" t="s">
        <v>170</v>
      </c>
      <c r="S33" s="188" t="s">
        <v>171</v>
      </c>
      <c r="T33" s="262"/>
      <c r="U33" s="190" t="s">
        <v>171</v>
      </c>
      <c r="V33" s="262"/>
      <c r="W33" s="190" t="s">
        <v>172</v>
      </c>
      <c r="X33" s="262"/>
      <c r="Y33" s="190" t="s">
        <v>167</v>
      </c>
    </row>
    <row r="34" spans="11:25">
      <c r="K34" s="160"/>
      <c r="L34" s="261"/>
      <c r="M34" s="160"/>
      <c r="N34" s="261"/>
      <c r="O34" s="160"/>
      <c r="P34" s="261"/>
      <c r="Q34" s="160"/>
      <c r="S34" s="164" t="s">
        <v>98</v>
      </c>
      <c r="T34" s="261"/>
      <c r="U34" s="187" t="s">
        <v>173</v>
      </c>
      <c r="V34" s="261"/>
      <c r="W34" s="187" t="s">
        <v>93</v>
      </c>
      <c r="X34" s="261"/>
      <c r="Y34" s="187" t="s">
        <v>93</v>
      </c>
    </row>
    <row r="35" spans="11:25">
      <c r="K35" s="156" t="s">
        <v>133</v>
      </c>
      <c r="L35" s="261"/>
      <c r="M35" s="156" t="s">
        <v>133</v>
      </c>
      <c r="N35" s="261"/>
      <c r="O35" s="156" t="s">
        <v>133</v>
      </c>
      <c r="P35" s="261"/>
      <c r="Q35" s="156" t="s">
        <v>133</v>
      </c>
      <c r="S35" s="183"/>
      <c r="T35" s="261"/>
      <c r="U35" s="186"/>
      <c r="V35" s="261"/>
      <c r="W35" s="186"/>
      <c r="X35" s="261"/>
      <c r="Y35" s="186"/>
    </row>
    <row r="36" spans="11:25">
      <c r="K36" s="162" t="s">
        <v>96</v>
      </c>
      <c r="L36" s="261"/>
      <c r="M36" s="162" t="s">
        <v>96</v>
      </c>
      <c r="N36" s="261"/>
      <c r="O36" s="162" t="s">
        <v>96</v>
      </c>
      <c r="P36" s="261"/>
      <c r="Q36" s="162" t="s">
        <v>96</v>
      </c>
      <c r="S36" s="156" t="s">
        <v>133</v>
      </c>
      <c r="T36" s="261"/>
      <c r="U36" s="156" t="s">
        <v>133</v>
      </c>
      <c r="V36" s="261"/>
      <c r="W36" s="156" t="s">
        <v>133</v>
      </c>
      <c r="X36" s="261"/>
      <c r="Y36" s="156" t="s">
        <v>133</v>
      </c>
    </row>
    <row r="37" spans="11:25">
      <c r="K37" s="163" t="s">
        <v>94</v>
      </c>
      <c r="L37" s="263"/>
      <c r="M37" s="163" t="s">
        <v>94</v>
      </c>
      <c r="N37" s="263"/>
      <c r="O37" s="163" t="s">
        <v>94</v>
      </c>
      <c r="P37" s="263"/>
      <c r="Q37" s="163" t="s">
        <v>94</v>
      </c>
      <c r="S37" s="162" t="s">
        <v>96</v>
      </c>
      <c r="T37" s="261"/>
      <c r="U37" s="162" t="s">
        <v>96</v>
      </c>
      <c r="V37" s="261"/>
      <c r="W37" s="162" t="s">
        <v>96</v>
      </c>
      <c r="X37" s="261"/>
      <c r="Y37" s="162" t="s">
        <v>96</v>
      </c>
    </row>
    <row r="38" spans="11:25">
      <c r="S38" s="573" t="s">
        <v>174</v>
      </c>
      <c r="T38" s="261"/>
      <c r="U38" s="573" t="s">
        <v>174</v>
      </c>
      <c r="V38" s="261"/>
      <c r="W38" s="573" t="s">
        <v>175</v>
      </c>
      <c r="X38" s="261"/>
      <c r="Y38" s="573" t="s">
        <v>175</v>
      </c>
    </row>
    <row r="39" spans="11:25">
      <c r="S39" s="184"/>
      <c r="T39" s="261"/>
      <c r="U39" s="184"/>
      <c r="V39" s="261"/>
      <c r="W39" s="184"/>
      <c r="X39" s="261"/>
      <c r="Y39" s="184"/>
    </row>
    <row r="40" spans="11:25">
      <c r="S40" s="180" t="s">
        <v>136</v>
      </c>
      <c r="T40" s="261"/>
      <c r="U40" s="180" t="s">
        <v>136</v>
      </c>
      <c r="V40" s="261"/>
      <c r="W40" s="180" t="s">
        <v>136</v>
      </c>
      <c r="X40" s="261"/>
      <c r="Y40" s="180" t="s">
        <v>136</v>
      </c>
    </row>
    <row r="41" spans="11:25">
      <c r="S41" s="182" t="s">
        <v>176</v>
      </c>
      <c r="T41" s="261"/>
      <c r="U41" s="182" t="s">
        <v>176</v>
      </c>
      <c r="V41" s="261"/>
      <c r="W41" s="182" t="s">
        <v>176</v>
      </c>
      <c r="X41" s="261"/>
      <c r="Y41" s="182" t="s">
        <v>176</v>
      </c>
    </row>
    <row r="42" spans="11:25">
      <c r="S42" s="269"/>
      <c r="T42" s="261"/>
      <c r="U42" s="261"/>
      <c r="V42" s="261"/>
      <c r="W42" s="261"/>
      <c r="X42" s="261"/>
      <c r="Y42" s="268"/>
    </row>
    <row r="43" spans="11:25">
      <c r="S43" s="215" t="s">
        <v>177</v>
      </c>
      <c r="T43" s="261"/>
      <c r="U43" s="215" t="s">
        <v>177</v>
      </c>
      <c r="V43" s="261"/>
      <c r="W43" s="215" t="s">
        <v>177</v>
      </c>
      <c r="X43" s="261"/>
      <c r="Y43" s="215" t="s">
        <v>177</v>
      </c>
    </row>
    <row r="44" spans="11:25">
      <c r="S44" s="213" t="s">
        <v>153</v>
      </c>
      <c r="T44" s="263"/>
      <c r="U44" s="213" t="s">
        <v>153</v>
      </c>
      <c r="V44" s="263"/>
      <c r="W44" s="213" t="s">
        <v>153</v>
      </c>
      <c r="X44" s="263"/>
      <c r="Y44" s="213" t="s">
        <v>153</v>
      </c>
    </row>
  </sheetData>
  <mergeCells count="5">
    <mergeCell ref="K1:Q2"/>
    <mergeCell ref="S1:Y2"/>
    <mergeCell ref="I1:I2"/>
    <mergeCell ref="A1:A2"/>
    <mergeCell ref="C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sheetPr>
    <tabColor rgb="FF92D050"/>
  </sheetPr>
  <dimension ref="A1:Q52"/>
  <sheetViews>
    <sheetView workbookViewId="0">
      <selection activeCell="F23" sqref="F23"/>
    </sheetView>
  </sheetViews>
  <sheetFormatPr defaultColWidth="11" defaultRowHeight="15.75" customHeight="1"/>
  <cols>
    <col min="1" max="1" width="6.125" customWidth="1"/>
    <col min="2" max="2" width="36.875" customWidth="1"/>
    <col min="3" max="3" width="8.25" customWidth="1"/>
    <col min="4" max="4" width="9.375" customWidth="1"/>
    <col min="5" max="5" width="7.75" customWidth="1"/>
    <col min="6" max="6" width="9.375" customWidth="1"/>
    <col min="7" max="7" width="12.5" customWidth="1"/>
    <col min="8" max="8" width="8.625" customWidth="1"/>
    <col min="9" max="9" width="9.75" customWidth="1"/>
    <col min="10" max="10" width="14" customWidth="1"/>
    <col min="11" max="11" width="11.625" customWidth="1"/>
    <col min="12" max="12" width="4.125" customWidth="1"/>
    <col min="13" max="13" width="33.375" customWidth="1"/>
    <col min="14" max="14" width="2.5" customWidth="1"/>
    <col min="15" max="15" width="37.5" customWidth="1"/>
    <col min="16" max="16" width="1.75" customWidth="1"/>
    <col min="17" max="17" width="32.5" customWidth="1"/>
  </cols>
  <sheetData>
    <row r="1" spans="1:17" ht="26.1" customHeight="1">
      <c r="A1" s="866" t="s">
        <v>178</v>
      </c>
      <c r="B1" s="866"/>
      <c r="C1" s="867" t="s">
        <v>1</v>
      </c>
      <c r="D1" s="869" t="s">
        <v>2</v>
      </c>
      <c r="E1" s="841" t="s">
        <v>3</v>
      </c>
      <c r="F1" s="871" t="s">
        <v>4</v>
      </c>
      <c r="G1" s="877" t="s">
        <v>179</v>
      </c>
      <c r="H1" s="873" t="s">
        <v>30</v>
      </c>
      <c r="I1" s="873" t="s">
        <v>180</v>
      </c>
      <c r="J1" s="873" t="s">
        <v>5</v>
      </c>
      <c r="K1" s="875" t="s">
        <v>6</v>
      </c>
    </row>
    <row r="2" spans="1:17" ht="37.5" customHeight="1">
      <c r="A2" s="866"/>
      <c r="B2" s="866"/>
      <c r="C2" s="868"/>
      <c r="D2" s="870"/>
      <c r="E2" s="842"/>
      <c r="F2" s="872"/>
      <c r="G2" s="878"/>
      <c r="H2" s="874"/>
      <c r="I2" s="874"/>
      <c r="J2" s="874"/>
      <c r="K2" s="876"/>
      <c r="M2" s="858" t="s">
        <v>181</v>
      </c>
      <c r="N2" s="859"/>
      <c r="O2" s="859"/>
      <c r="P2" s="859"/>
      <c r="Q2" s="860"/>
    </row>
    <row r="3" spans="1:17" ht="15.75" customHeight="1">
      <c r="A3" s="6">
        <v>1</v>
      </c>
      <c r="B3" s="14" t="s">
        <v>182</v>
      </c>
      <c r="C3" s="88">
        <v>2</v>
      </c>
      <c r="D3" s="67"/>
      <c r="E3" s="577"/>
      <c r="F3" s="86">
        <v>2</v>
      </c>
      <c r="G3" s="578" t="s">
        <v>38</v>
      </c>
      <c r="H3" s="83" t="s">
        <v>38</v>
      </c>
      <c r="I3" s="83" t="s">
        <v>38</v>
      </c>
      <c r="J3" s="580" t="s">
        <v>12</v>
      </c>
      <c r="K3" s="84"/>
      <c r="M3" s="861"/>
      <c r="N3" s="862"/>
      <c r="O3" s="862"/>
      <c r="P3" s="862"/>
      <c r="Q3" s="863"/>
    </row>
    <row r="4" spans="1:17" ht="15.75" customHeight="1">
      <c r="A4" s="4">
        <v>2</v>
      </c>
      <c r="B4" s="796" t="s">
        <v>183</v>
      </c>
      <c r="C4" s="90">
        <v>2</v>
      </c>
      <c r="D4" s="66"/>
      <c r="E4" s="510"/>
      <c r="F4" s="85">
        <v>1</v>
      </c>
      <c r="G4" s="478" t="s">
        <v>38</v>
      </c>
      <c r="H4" s="36" t="s">
        <v>38</v>
      </c>
      <c r="I4" s="36" t="s">
        <v>38</v>
      </c>
      <c r="J4" s="980" t="s">
        <v>184</v>
      </c>
      <c r="K4" s="85"/>
      <c r="M4" s="273" t="s">
        <v>185</v>
      </c>
      <c r="N4" s="277"/>
      <c r="O4" s="275" t="s">
        <v>186</v>
      </c>
      <c r="P4" s="277"/>
      <c r="Q4" s="291" t="s">
        <v>187</v>
      </c>
    </row>
    <row r="5" spans="1:17">
      <c r="A5" s="6">
        <v>3</v>
      </c>
      <c r="B5" s="796" t="s">
        <v>188</v>
      </c>
      <c r="C5" s="88">
        <v>2</v>
      </c>
      <c r="D5" s="67"/>
      <c r="E5" s="577"/>
      <c r="F5" s="86">
        <v>2</v>
      </c>
      <c r="G5" s="477" t="s">
        <v>38</v>
      </c>
      <c r="H5" s="35" t="s">
        <v>38</v>
      </c>
      <c r="I5" s="35" t="s">
        <v>38</v>
      </c>
      <c r="J5" s="979" t="s">
        <v>81</v>
      </c>
      <c r="K5" s="86"/>
      <c r="M5" s="298"/>
      <c r="N5" s="261"/>
      <c r="O5" s="299"/>
      <c r="P5" s="261"/>
      <c r="Q5" s="300"/>
    </row>
    <row r="6" spans="1:17">
      <c r="A6" s="4">
        <v>4</v>
      </c>
      <c r="B6" s="15" t="s">
        <v>189</v>
      </c>
      <c r="C6" s="90">
        <v>2</v>
      </c>
      <c r="D6" s="66"/>
      <c r="E6" s="510"/>
      <c r="F6" s="85"/>
      <c r="G6" s="478"/>
      <c r="H6" s="36"/>
      <c r="I6" s="36" t="s">
        <v>38</v>
      </c>
      <c r="J6" s="345" t="s">
        <v>48</v>
      </c>
      <c r="K6" s="85"/>
      <c r="M6" s="301" t="s">
        <v>131</v>
      </c>
      <c r="N6" s="265"/>
      <c r="O6" s="301" t="s">
        <v>131</v>
      </c>
      <c r="P6" s="265"/>
      <c r="Q6" s="302" t="s">
        <v>131</v>
      </c>
    </row>
    <row r="7" spans="1:17">
      <c r="A7" s="6">
        <v>5</v>
      </c>
      <c r="B7" s="14" t="s">
        <v>190</v>
      </c>
      <c r="C7" s="88">
        <v>2</v>
      </c>
      <c r="D7" s="67"/>
      <c r="E7" s="577"/>
      <c r="F7" s="86"/>
      <c r="G7" s="477"/>
      <c r="H7" s="35" t="s">
        <v>38</v>
      </c>
      <c r="I7" s="35" t="s">
        <v>38</v>
      </c>
      <c r="J7" s="344" t="s">
        <v>184</v>
      </c>
      <c r="K7" s="86"/>
      <c r="M7" s="696" t="s">
        <v>183</v>
      </c>
      <c r="N7" s="279"/>
      <c r="O7" s="696" t="s">
        <v>183</v>
      </c>
      <c r="P7" s="279"/>
      <c r="Q7" s="696" t="s">
        <v>183</v>
      </c>
    </row>
    <row r="8" spans="1:17">
      <c r="A8" s="4">
        <v>6</v>
      </c>
      <c r="B8" s="15" t="s">
        <v>191</v>
      </c>
      <c r="C8" s="90">
        <v>2</v>
      </c>
      <c r="D8" s="66"/>
      <c r="E8" s="510"/>
      <c r="F8" s="85"/>
      <c r="G8" s="478"/>
      <c r="H8" s="36" t="s">
        <v>38</v>
      </c>
      <c r="I8" s="36" t="s">
        <v>38</v>
      </c>
      <c r="J8" s="980" t="s">
        <v>184</v>
      </c>
      <c r="K8" s="85"/>
      <c r="M8" s="696" t="s">
        <v>190</v>
      </c>
      <c r="N8" s="279"/>
      <c r="O8" s="696" t="s">
        <v>190</v>
      </c>
      <c r="P8" s="279"/>
      <c r="Q8" s="696" t="s">
        <v>192</v>
      </c>
    </row>
    <row r="9" spans="1:17">
      <c r="A9" s="6">
        <v>7</v>
      </c>
      <c r="B9" s="796" t="s">
        <v>193</v>
      </c>
      <c r="C9" s="88">
        <v>2</v>
      </c>
      <c r="D9" s="67"/>
      <c r="E9" s="577"/>
      <c r="F9" s="86"/>
      <c r="G9" s="477"/>
      <c r="H9" s="35"/>
      <c r="I9" s="35" t="s">
        <v>38</v>
      </c>
      <c r="J9" s="980" t="s">
        <v>81</v>
      </c>
      <c r="K9" s="86"/>
      <c r="M9" s="696" t="s">
        <v>194</v>
      </c>
      <c r="N9" s="279"/>
      <c r="O9" s="696" t="s">
        <v>194</v>
      </c>
      <c r="P9" s="279"/>
      <c r="Q9" s="696" t="s">
        <v>195</v>
      </c>
    </row>
    <row r="10" spans="1:17">
      <c r="A10" s="4">
        <v>8</v>
      </c>
      <c r="B10" s="796" t="s">
        <v>196</v>
      </c>
      <c r="C10" s="90">
        <v>2</v>
      </c>
      <c r="D10" s="66"/>
      <c r="E10" s="510"/>
      <c r="F10" s="85"/>
      <c r="G10" s="478"/>
      <c r="H10" s="36" t="s">
        <v>38</v>
      </c>
      <c r="I10" s="36"/>
      <c r="J10" s="345" t="s">
        <v>12</v>
      </c>
      <c r="K10" s="85"/>
      <c r="M10" s="697" t="s">
        <v>197</v>
      </c>
      <c r="N10" s="279"/>
      <c r="O10" s="697" t="s">
        <v>197</v>
      </c>
      <c r="P10" s="279"/>
      <c r="Q10" s="697" t="s">
        <v>197</v>
      </c>
    </row>
    <row r="11" spans="1:17">
      <c r="A11" s="6">
        <v>9</v>
      </c>
      <c r="B11" s="796" t="s">
        <v>194</v>
      </c>
      <c r="C11" s="88">
        <v>2</v>
      </c>
      <c r="D11" s="67"/>
      <c r="E11" s="577"/>
      <c r="F11" s="86"/>
      <c r="G11" s="477"/>
      <c r="H11" s="35" t="s">
        <v>38</v>
      </c>
      <c r="I11" s="35"/>
      <c r="J11" s="981" t="s">
        <v>198</v>
      </c>
      <c r="K11" s="86"/>
      <c r="M11" s="155"/>
      <c r="N11" s="261"/>
      <c r="O11" s="155"/>
      <c r="P11" s="261"/>
      <c r="Q11" s="284"/>
    </row>
    <row r="12" spans="1:17">
      <c r="A12" s="4">
        <v>10</v>
      </c>
      <c r="B12" s="15" t="s">
        <v>192</v>
      </c>
      <c r="C12" s="90">
        <v>2</v>
      </c>
      <c r="D12" s="66"/>
      <c r="E12" s="510"/>
      <c r="F12" s="85">
        <v>1</v>
      </c>
      <c r="G12" s="478" t="s">
        <v>38</v>
      </c>
      <c r="H12" s="36"/>
      <c r="I12" s="36"/>
      <c r="J12" s="345" t="s">
        <v>10</v>
      </c>
      <c r="K12" s="85"/>
      <c r="M12" s="303" t="s">
        <v>133</v>
      </c>
      <c r="N12" s="265"/>
      <c r="O12" s="303" t="s">
        <v>133</v>
      </c>
      <c r="P12" s="265"/>
      <c r="Q12" s="304" t="s">
        <v>133</v>
      </c>
    </row>
    <row r="13" spans="1:17">
      <c r="A13" s="6">
        <v>11</v>
      </c>
      <c r="B13" s="14" t="s">
        <v>195</v>
      </c>
      <c r="C13" s="88">
        <v>2</v>
      </c>
      <c r="D13" s="67"/>
      <c r="E13" s="577"/>
      <c r="F13" s="86">
        <v>1</v>
      </c>
      <c r="G13" s="477" t="s">
        <v>38</v>
      </c>
      <c r="H13" s="35"/>
      <c r="I13" s="35"/>
      <c r="J13" s="344" t="s">
        <v>199</v>
      </c>
      <c r="K13" s="86"/>
      <c r="M13" s="698" t="s">
        <v>182</v>
      </c>
      <c r="N13" s="279"/>
      <c r="O13" s="698" t="s">
        <v>182</v>
      </c>
      <c r="P13" s="279"/>
      <c r="Q13" s="698" t="s">
        <v>182</v>
      </c>
    </row>
    <row r="14" spans="1:17">
      <c r="A14" s="4">
        <v>12</v>
      </c>
      <c r="B14" s="15" t="s">
        <v>200</v>
      </c>
      <c r="C14" s="90">
        <v>2</v>
      </c>
      <c r="D14" s="66"/>
      <c r="E14" s="510"/>
      <c r="F14" s="85">
        <v>2</v>
      </c>
      <c r="G14" s="478" t="s">
        <v>38</v>
      </c>
      <c r="H14" s="36"/>
      <c r="I14" s="36"/>
      <c r="J14" s="345" t="s">
        <v>10</v>
      </c>
      <c r="K14" s="85"/>
      <c r="M14" s="698" t="s">
        <v>188</v>
      </c>
      <c r="N14" s="279"/>
      <c r="O14" s="698" t="s">
        <v>188</v>
      </c>
      <c r="P14" s="279"/>
      <c r="Q14" s="698" t="s">
        <v>188</v>
      </c>
    </row>
    <row r="15" spans="1:17">
      <c r="A15" s="6">
        <v>13</v>
      </c>
      <c r="B15" s="14" t="s">
        <v>201</v>
      </c>
      <c r="C15" s="88">
        <v>2</v>
      </c>
      <c r="D15" s="67"/>
      <c r="E15" s="577"/>
      <c r="F15" s="86">
        <v>2</v>
      </c>
      <c r="G15" s="477" t="s">
        <v>38</v>
      </c>
      <c r="H15" s="35"/>
      <c r="I15" s="35"/>
      <c r="J15" s="344" t="s">
        <v>75</v>
      </c>
      <c r="K15" s="86"/>
      <c r="M15" s="698" t="s">
        <v>191</v>
      </c>
      <c r="N15" s="279"/>
      <c r="O15" s="698" t="s">
        <v>193</v>
      </c>
      <c r="P15" s="279"/>
      <c r="Q15" s="698" t="s">
        <v>201</v>
      </c>
    </row>
    <row r="16" spans="1:17">
      <c r="A16" s="4">
        <v>14</v>
      </c>
      <c r="B16" s="796" t="s">
        <v>197</v>
      </c>
      <c r="C16" s="90">
        <v>2</v>
      </c>
      <c r="D16" s="66"/>
      <c r="E16" s="510"/>
      <c r="F16" s="85">
        <v>1</v>
      </c>
      <c r="G16" s="478" t="s">
        <v>38</v>
      </c>
      <c r="H16" s="36" t="s">
        <v>38</v>
      </c>
      <c r="I16" s="36" t="s">
        <v>38</v>
      </c>
      <c r="J16" s="486" t="s">
        <v>17</v>
      </c>
      <c r="K16" s="85"/>
      <c r="M16" s="700" t="s">
        <v>196</v>
      </c>
      <c r="N16" s="279"/>
      <c r="O16" s="700" t="s">
        <v>189</v>
      </c>
      <c r="P16" s="279"/>
      <c r="Q16" s="700" t="s">
        <v>202</v>
      </c>
    </row>
    <row r="17" spans="1:17">
      <c r="A17" s="6">
        <v>15</v>
      </c>
      <c r="B17" s="796" t="s">
        <v>203</v>
      </c>
      <c r="C17" s="88">
        <v>2</v>
      </c>
      <c r="D17" s="67"/>
      <c r="E17" s="577"/>
      <c r="F17" s="86">
        <v>3</v>
      </c>
      <c r="G17" s="477" t="s">
        <v>38</v>
      </c>
      <c r="H17" s="35" t="s">
        <v>38</v>
      </c>
      <c r="I17" s="35" t="s">
        <v>38</v>
      </c>
      <c r="J17" s="581" t="s">
        <v>17</v>
      </c>
      <c r="K17" s="86"/>
      <c r="M17" s="267"/>
      <c r="N17" s="261"/>
      <c r="O17" s="261"/>
      <c r="P17" s="261"/>
      <c r="Q17" s="307"/>
    </row>
    <row r="18" spans="1:17">
      <c r="A18" s="4">
        <v>16</v>
      </c>
      <c r="B18" s="15"/>
      <c r="C18" s="92"/>
      <c r="D18" s="93"/>
      <c r="E18" s="398"/>
      <c r="F18" s="87"/>
      <c r="G18" s="579"/>
      <c r="H18" s="37"/>
      <c r="I18" s="37"/>
      <c r="J18" s="362"/>
      <c r="K18" s="87"/>
      <c r="M18" s="305" t="s">
        <v>136</v>
      </c>
      <c r="N18" s="265"/>
      <c r="O18" s="305" t="s">
        <v>136</v>
      </c>
      <c r="P18" s="265"/>
      <c r="Q18" s="306" t="s">
        <v>136</v>
      </c>
    </row>
    <row r="19" spans="1:17">
      <c r="M19" s="699" t="s">
        <v>204</v>
      </c>
      <c r="N19" s="263"/>
      <c r="O19" s="699" t="s">
        <v>204</v>
      </c>
      <c r="P19" s="263"/>
      <c r="Q19" s="699" t="s">
        <v>204</v>
      </c>
    </row>
    <row r="21" spans="1:17" ht="15.75" customHeight="1">
      <c r="B21" s="702" t="s">
        <v>18</v>
      </c>
    </row>
    <row r="29" spans="1:17">
      <c r="A29" s="5"/>
    </row>
    <row r="51" spans="1:9">
      <c r="A51" s="1"/>
    </row>
    <row r="52" spans="1:9">
      <c r="H52" s="2"/>
      <c r="I52" s="2"/>
    </row>
  </sheetData>
  <autoFilter ref="J1:J52" xr:uid="{2F81969C-1129-7B49-AAFA-87F4D4FA5C16}"/>
  <mergeCells count="11">
    <mergeCell ref="M2:Q3"/>
    <mergeCell ref="A1:B2"/>
    <mergeCell ref="C1:C2"/>
    <mergeCell ref="D1:D2"/>
    <mergeCell ref="E1:E2"/>
    <mergeCell ref="F1:F2"/>
    <mergeCell ref="J1:J2"/>
    <mergeCell ref="K1:K2"/>
    <mergeCell ref="G1:G2"/>
    <mergeCell ref="H1:H2"/>
    <mergeCell ref="I1:I2"/>
  </mergeCells>
  <conditionalFormatting sqref="J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7 J3 J10:J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7 J3 J10: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M7" r:id="rId1" xr:uid="{EC7DF01E-FE08-4C18-8663-F18A85C00EAC}"/>
    <hyperlink ref="M8" r:id="rId2" xr:uid="{E4AFBB96-143C-4A5F-B2A5-16D8523F551F}"/>
    <hyperlink ref="M9" r:id="rId3" xr:uid="{1161F4C8-52AC-4F19-854B-43E27923BCF7}"/>
    <hyperlink ref="M10" r:id="rId4" xr:uid="{68D5B023-51A5-4BC5-BA7E-AF2F5065CB67}"/>
    <hyperlink ref="O7" r:id="rId5" xr:uid="{D2F7AD32-A220-46B7-A5AC-9F51F4E02DFF}"/>
    <hyperlink ref="O8" r:id="rId6" xr:uid="{0C12CC7B-F178-4C84-9517-DC3AA8C0DD2D}"/>
    <hyperlink ref="O9" r:id="rId7" xr:uid="{DA0E9F90-EAE7-49E1-A8E9-59DDADB6A3D2}"/>
    <hyperlink ref="O10" r:id="rId8" xr:uid="{3DA7B630-80E4-496D-9C5D-97C509F4F433}"/>
    <hyperlink ref="Q7" r:id="rId9" xr:uid="{CCAD06D4-72F0-4120-AEA2-1843E60E2984}"/>
    <hyperlink ref="Q10" r:id="rId10" xr:uid="{4B938B54-0F07-447D-84DA-26C2E9527B59}"/>
    <hyperlink ref="M13" r:id="rId11" xr:uid="{193257BD-B451-4393-840E-80CA6AAD8ACE}"/>
    <hyperlink ref="M14" r:id="rId12" xr:uid="{F5F7137B-943D-4D53-B785-BF06FAD156D7}"/>
    <hyperlink ref="M15" r:id="rId13" xr:uid="{EB880287-F4A3-4839-9A7A-E118B02E2435}"/>
    <hyperlink ref="O13" r:id="rId14" xr:uid="{D8AC3B2A-64D1-4238-8F11-69DA293AD8A8}"/>
    <hyperlink ref="O14" r:id="rId15" xr:uid="{01EE5C20-D01B-43BD-8760-3A116C566418}"/>
    <hyperlink ref="Q13" r:id="rId16" xr:uid="{8BA35E0F-F21F-4A42-A62C-F6576AC13722}"/>
    <hyperlink ref="Q14" r:id="rId17" xr:uid="{A0DCC854-A6F2-459F-9C31-3249C511AF88}"/>
    <hyperlink ref="M19" r:id="rId18" xr:uid="{21D8A2B8-4F9A-47A4-8A92-4505D2F10721}"/>
    <hyperlink ref="O19" r:id="rId19" xr:uid="{03BA1690-D018-414F-95CA-8E1F8254747D}"/>
    <hyperlink ref="Q19" r:id="rId20" xr:uid="{CDCFB13D-1EFC-465E-996C-ED205937CF44}"/>
    <hyperlink ref="M16" r:id="rId21" xr:uid="{126D5BC3-E7E5-48CA-8A9D-4ACBE3309FD7}"/>
    <hyperlink ref="Q16" r:id="rId22" xr:uid="{56E5D541-C277-420B-A422-920F6AD9E5CA}"/>
    <hyperlink ref="Q8" r:id="rId23" xr:uid="{D901D14E-15CA-46A7-AA3A-1D7A33F3B8E8}"/>
    <hyperlink ref="Q15" r:id="rId24" xr:uid="{C7981CAA-DE6F-4A8C-A294-7E9B7B0089C7}"/>
    <hyperlink ref="Q9" r:id="rId25" xr:uid="{3CC5CA82-65F8-434F-B17B-8568457ECC41}"/>
    <hyperlink ref="O16" r:id="rId26" xr:uid="{83522507-56B2-4B6C-BE1E-CD37575195FC}"/>
    <hyperlink ref="O15" r:id="rId27" xr:uid="{B148564D-AF7B-4E35-81FD-A084CCA9C17C}"/>
    <hyperlink ref="B21" r:id="rId28" location="tabs-tree-start" xr:uid="{B30B7964-527A-4D32-A166-A69C181DF5F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sheetPr>
    <tabColor rgb="FFD9D9D9"/>
  </sheetPr>
  <dimension ref="A1:I51"/>
  <sheetViews>
    <sheetView workbookViewId="0">
      <selection activeCell="B14" sqref="B14"/>
    </sheetView>
  </sheetViews>
  <sheetFormatPr defaultColWidth="11" defaultRowHeight="15.75" customHeight="1"/>
  <cols>
    <col min="1" max="1" width="6.125" customWidth="1"/>
    <col min="2" max="2" width="60.5" customWidth="1"/>
    <col min="3" max="3" width="9.5" customWidth="1"/>
    <col min="4" max="4" width="9.75" customWidth="1"/>
    <col min="5" max="5" width="9.375" customWidth="1"/>
    <col min="6" max="6" width="10.625" customWidth="1"/>
    <col min="7" max="7" width="14.875" customWidth="1"/>
    <col min="8" max="8" width="15.375" customWidth="1"/>
    <col min="9" max="9" width="16.75" customWidth="1"/>
  </cols>
  <sheetData>
    <row r="1" spans="1:9" ht="26.1" customHeight="1">
      <c r="A1" s="809" t="s">
        <v>205</v>
      </c>
      <c r="B1" s="810"/>
      <c r="C1" s="885" t="s">
        <v>206</v>
      </c>
      <c r="D1" s="883" t="s">
        <v>1</v>
      </c>
      <c r="E1" s="869" t="s">
        <v>2</v>
      </c>
      <c r="F1" s="821" t="s">
        <v>3</v>
      </c>
      <c r="G1" s="877" t="s">
        <v>5</v>
      </c>
      <c r="H1" s="879" t="s">
        <v>6</v>
      </c>
      <c r="I1" s="880"/>
    </row>
    <row r="2" spans="1:9" ht="30" customHeight="1">
      <c r="A2" s="811"/>
      <c r="B2" s="812"/>
      <c r="C2" s="886"/>
      <c r="D2" s="884"/>
      <c r="E2" s="870"/>
      <c r="F2" s="822"/>
      <c r="G2" s="878"/>
      <c r="H2" s="881"/>
      <c r="I2" s="882"/>
    </row>
    <row r="3" spans="1:9">
      <c r="A3" s="39">
        <v>1</v>
      </c>
      <c r="B3" s="706" t="s">
        <v>207</v>
      </c>
      <c r="C3" s="63" t="s">
        <v>208</v>
      </c>
      <c r="D3" s="256"/>
      <c r="E3" s="67"/>
      <c r="F3" s="89"/>
      <c r="G3" s="487" t="s">
        <v>17</v>
      </c>
      <c r="H3" s="19" t="s">
        <v>209</v>
      </c>
      <c r="I3" s="70"/>
    </row>
    <row r="4" spans="1:9">
      <c r="A4" s="38">
        <v>2</v>
      </c>
      <c r="B4" s="583" t="s">
        <v>210</v>
      </c>
      <c r="C4" s="64" t="s">
        <v>208</v>
      </c>
      <c r="D4" s="257"/>
      <c r="E4" s="66"/>
      <c r="F4" s="91"/>
      <c r="G4" s="51" t="s">
        <v>80</v>
      </c>
      <c r="H4" s="17" t="s">
        <v>80</v>
      </c>
      <c r="I4" s="71" t="s">
        <v>211</v>
      </c>
    </row>
    <row r="5" spans="1:9">
      <c r="A5" s="39">
        <v>3</v>
      </c>
      <c r="B5" s="706" t="s">
        <v>204</v>
      </c>
      <c r="C5" s="63" t="s">
        <v>212</v>
      </c>
      <c r="D5" s="256"/>
      <c r="E5" s="67"/>
      <c r="F5" s="89"/>
      <c r="G5" s="487" t="s">
        <v>17</v>
      </c>
      <c r="H5" s="19"/>
      <c r="I5" s="70"/>
    </row>
    <row r="6" spans="1:9">
      <c r="A6" s="38">
        <v>4</v>
      </c>
      <c r="B6" s="583" t="s">
        <v>213</v>
      </c>
      <c r="C6" s="64" t="s">
        <v>214</v>
      </c>
      <c r="D6" s="257"/>
      <c r="E6" s="66"/>
      <c r="F6" s="91"/>
      <c r="G6" s="51" t="s">
        <v>70</v>
      </c>
      <c r="H6" s="17" t="s">
        <v>70</v>
      </c>
      <c r="I6" s="71" t="s">
        <v>215</v>
      </c>
    </row>
    <row r="7" spans="1:9">
      <c r="A7" s="72">
        <v>5</v>
      </c>
      <c r="B7" s="701" t="s">
        <v>216</v>
      </c>
      <c r="C7" s="290" t="s">
        <v>214</v>
      </c>
      <c r="D7" s="258"/>
      <c r="E7" s="73"/>
      <c r="F7" s="94"/>
      <c r="G7" s="95" t="s">
        <v>50</v>
      </c>
      <c r="H7" s="289" t="s">
        <v>50</v>
      </c>
      <c r="I7" s="74" t="s">
        <v>81</v>
      </c>
    </row>
    <row r="10" spans="1:9" ht="15.75" customHeight="1">
      <c r="B10" s="702" t="s">
        <v>18</v>
      </c>
    </row>
    <row r="29" spans="1:1">
      <c r="A29" s="5"/>
    </row>
    <row r="51" spans="1:1">
      <c r="A51" s="1"/>
    </row>
  </sheetData>
  <mergeCells count="7">
    <mergeCell ref="H1:I2"/>
    <mergeCell ref="A1:B2"/>
    <mergeCell ref="G1:G2"/>
    <mergeCell ref="D1:D2"/>
    <mergeCell ref="E1:E2"/>
    <mergeCell ref="F1:F2"/>
    <mergeCell ref="C1:C2"/>
  </mergeCells>
  <hyperlinks>
    <hyperlink ref="B3" r:id="rId1" xr:uid="{7BBC3A5A-5760-4750-B63A-5FFCAF7ADABE}"/>
    <hyperlink ref="B4" r:id="rId2" xr:uid="{6A8AB873-FEBF-4901-9F35-978BF7408500}"/>
    <hyperlink ref="B5" r:id="rId3" xr:uid="{60653A71-CE7F-48F2-A462-FA120A62F40D}"/>
    <hyperlink ref="B6" r:id="rId4" xr:uid="{C570C8E5-A6F5-4FF0-84E0-B28A9CAFC0F3}"/>
    <hyperlink ref="B7" r:id="rId5" xr:uid="{787A15B5-4099-4641-9B8E-9B67DC893A34}"/>
    <hyperlink ref="B10" r:id="rId6" location="tabs-tree-start" xr:uid="{DF69A688-5B92-49D3-9FD7-941B1D92901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4568-8804-4FAC-9E71-362FED2E921A}">
  <sheetPr>
    <tabColor rgb="FFA9D08E"/>
  </sheetPr>
  <dimension ref="A1:AC61"/>
  <sheetViews>
    <sheetView tabSelected="1" workbookViewId="0">
      <selection sqref="A1:B2"/>
    </sheetView>
  </sheetViews>
  <sheetFormatPr defaultRowHeight="15.75"/>
  <cols>
    <col min="1" max="1" width="4.125" customWidth="1"/>
    <col min="2" max="2" width="15.125" customWidth="1"/>
    <col min="3" max="3" width="6.625" customWidth="1"/>
    <col min="4" max="4" width="7.875" customWidth="1"/>
    <col min="5" max="5" width="6.75" customWidth="1"/>
    <col min="6" max="6" width="8.125" customWidth="1"/>
    <col min="7" max="7" width="7.625" customWidth="1"/>
    <col min="8" max="8" width="7.25" customWidth="1"/>
    <col min="9" max="9" width="7.375" customWidth="1"/>
    <col min="10" max="10" width="8" customWidth="1"/>
    <col min="11" max="11" width="7.375" customWidth="1"/>
    <col min="12" max="12" width="8.125" customWidth="1"/>
    <col min="13" max="13" width="3.5" style="41" customWidth="1"/>
    <col min="14" max="14" width="8.25" customWidth="1"/>
    <col min="15" max="15" width="6" customWidth="1"/>
    <col min="16" max="16" width="5.625" customWidth="1"/>
    <col min="17" max="17" width="6.125" customWidth="1"/>
    <col min="18" max="18" width="6" customWidth="1"/>
    <col min="19" max="19" width="5.5" customWidth="1"/>
    <col min="20" max="20" width="5.75" customWidth="1"/>
    <col min="21" max="21" width="12.125" customWidth="1"/>
    <col min="29" max="29" width="11.75" customWidth="1"/>
  </cols>
  <sheetData>
    <row r="1" spans="1:21">
      <c r="A1" s="982" t="s">
        <v>217</v>
      </c>
      <c r="B1" s="983"/>
      <c r="C1" s="898" t="s">
        <v>218</v>
      </c>
      <c r="D1" s="899"/>
      <c r="E1" s="890" t="s">
        <v>19</v>
      </c>
      <c r="F1" s="891"/>
      <c r="G1" s="900" t="s">
        <v>178</v>
      </c>
      <c r="H1" s="901"/>
      <c r="I1" s="902" t="s">
        <v>219</v>
      </c>
      <c r="J1" s="903"/>
      <c r="K1" s="904" t="s">
        <v>220</v>
      </c>
      <c r="L1" s="905"/>
      <c r="M1" s="895"/>
      <c r="N1" s="892" t="s">
        <v>221</v>
      </c>
      <c r="O1" s="893"/>
      <c r="P1" s="893"/>
      <c r="Q1" s="893"/>
      <c r="R1" s="893"/>
      <c r="S1" s="893"/>
      <c r="T1" s="893"/>
      <c r="U1" s="894"/>
    </row>
    <row r="2" spans="1:21" ht="20.25" customHeight="1">
      <c r="A2" s="984"/>
      <c r="B2" s="985"/>
      <c r="C2" s="26" t="s">
        <v>222</v>
      </c>
      <c r="D2" s="495" t="s">
        <v>223</v>
      </c>
      <c r="E2" s="655" t="s">
        <v>222</v>
      </c>
      <c r="F2" s="656" t="s">
        <v>223</v>
      </c>
      <c r="G2" s="499" t="s">
        <v>222</v>
      </c>
      <c r="H2" s="506" t="s">
        <v>223</v>
      </c>
      <c r="I2" s="500" t="s">
        <v>222</v>
      </c>
      <c r="J2" s="27" t="s">
        <v>223</v>
      </c>
      <c r="K2" s="771" t="s">
        <v>222</v>
      </c>
      <c r="L2" s="772" t="s">
        <v>223</v>
      </c>
      <c r="M2" s="896"/>
      <c r="N2" s="259" t="s">
        <v>224</v>
      </c>
      <c r="O2" s="259" t="s">
        <v>225</v>
      </c>
      <c r="P2" s="259" t="s">
        <v>226</v>
      </c>
      <c r="Q2" s="259" t="s">
        <v>227</v>
      </c>
      <c r="R2" s="259" t="s">
        <v>228</v>
      </c>
      <c r="S2" s="259" t="s">
        <v>229</v>
      </c>
      <c r="T2" s="259" t="s">
        <v>230</v>
      </c>
      <c r="U2" s="44" t="s">
        <v>231</v>
      </c>
    </row>
    <row r="3" spans="1:21">
      <c r="A3" s="13">
        <v>1</v>
      </c>
      <c r="B3" s="576" t="s">
        <v>232</v>
      </c>
      <c r="C3" s="28">
        <f>COUNTIF(Foundation!G3:G8, "Ajab")</f>
        <v>0</v>
      </c>
      <c r="D3" s="496"/>
      <c r="E3" s="657">
        <f>COUNTIF('UG Map L4-L6'!H3:H53, "Ajab")</f>
        <v>1</v>
      </c>
      <c r="F3" s="658">
        <f>COUNTIF('UG Map L4-L6'!I3:I52, "Ajab")</f>
        <v>0</v>
      </c>
      <c r="G3" s="651">
        <f>COUNTIF('PG Delivery &amp; Map (15 Credits)'!J3:J18, "Ajab")</f>
        <v>0</v>
      </c>
      <c r="H3" s="507"/>
      <c r="I3" s="501">
        <f>COUNTIF('PG MAIDS'!G3:G7, " ")</f>
        <v>0</v>
      </c>
      <c r="J3" s="29">
        <f>COUNTIF('PG MAIDS'!H3:H7, " ")+COUNTIF('PG MAIDS'!I3:I7, " ")</f>
        <v>0</v>
      </c>
      <c r="K3" s="42">
        <f>SUM(C3+E3+G3+I3)</f>
        <v>1</v>
      </c>
      <c r="L3" s="81">
        <f>SUM(D3+F3+H3+J3)</f>
        <v>0</v>
      </c>
      <c r="M3" s="896"/>
      <c r="N3" s="512"/>
      <c r="O3" s="512"/>
      <c r="P3" s="512"/>
      <c r="Q3" s="512"/>
      <c r="R3" s="521" t="s">
        <v>233</v>
      </c>
      <c r="S3" s="521"/>
      <c r="T3" s="521"/>
      <c r="U3" s="520">
        <v>1</v>
      </c>
    </row>
    <row r="4" spans="1:21">
      <c r="A4" s="12">
        <v>2</v>
      </c>
      <c r="B4" s="797" t="s">
        <v>234</v>
      </c>
      <c r="C4" s="30">
        <f>COUNTIF(Foundation!G3:G8, "Andy")</f>
        <v>0</v>
      </c>
      <c r="D4" s="497"/>
      <c r="E4" s="493">
        <f>COUNTIF('UG Map L4-L6'!H3:H53, "Andy")</f>
        <v>0</v>
      </c>
      <c r="F4" s="659">
        <f>COUNTIF('UG Map L4-L6'!I3:I52, "Andy")</f>
        <v>0</v>
      </c>
      <c r="G4" s="319">
        <f>COUNTIF('PG Delivery &amp; Map (15 Credits)'!J3:J18, "Andy")</f>
        <v>0</v>
      </c>
      <c r="H4" s="508"/>
      <c r="I4" s="502">
        <f>COUNTIF('PG MAIDS'!G3:G7, " ")</f>
        <v>0</v>
      </c>
      <c r="J4" s="31">
        <f>COUNTIF('PG MAIDS'!H3:H7, " ")+COUNTIF('PG MAIDS'!I3:I7, " ")</f>
        <v>0</v>
      </c>
      <c r="K4" s="42">
        <f>SUM(C4+E4+G4+I4)</f>
        <v>0</v>
      </c>
      <c r="L4" s="81">
        <f t="shared" ref="L4:L18" si="0">SUM(D4+F4+H4+J4)</f>
        <v>0</v>
      </c>
      <c r="M4" s="896"/>
      <c r="N4" s="513"/>
      <c r="O4" s="513"/>
      <c r="P4" s="513"/>
      <c r="Q4" s="513"/>
      <c r="R4" s="513"/>
      <c r="S4" s="513"/>
      <c r="T4" s="513"/>
      <c r="U4" s="45"/>
    </row>
    <row r="5" spans="1:21">
      <c r="A5" s="13">
        <v>3</v>
      </c>
      <c r="B5" s="19" t="s">
        <v>75</v>
      </c>
      <c r="C5" s="30">
        <f>COUNTIF(Foundation!G3:G8, "Anthony")</f>
        <v>0</v>
      </c>
      <c r="D5" s="497"/>
      <c r="E5" s="493">
        <f>COUNTIF('UG Map L4-L6'!H3:H53, "Anthony")</f>
        <v>2</v>
      </c>
      <c r="F5" s="659">
        <f>COUNTIF('UG Map L4-L6'!I3:I52, "Anthony")</f>
        <v>0</v>
      </c>
      <c r="G5" s="319">
        <f>COUNTIF('PG Delivery &amp; Map (15 Credits)'!J3:J18, "Anthony")</f>
        <v>1</v>
      </c>
      <c r="H5" s="508"/>
      <c r="I5" s="502">
        <f>COUNTIF('PG MAIDS'!G3:G7, " ")</f>
        <v>0</v>
      </c>
      <c r="J5" s="31">
        <f>COUNTIF('PG MAIDS'!H3:H7, " ")+COUNTIF('PG MAIDS'!I3:I7, " ")</f>
        <v>0</v>
      </c>
      <c r="K5" s="42">
        <f t="shared" ref="K5:K18" si="1">SUM(C5+E5+G5+I5)</f>
        <v>3</v>
      </c>
      <c r="L5" s="81">
        <f t="shared" si="0"/>
        <v>0</v>
      </c>
      <c r="M5" s="896"/>
      <c r="N5" s="514"/>
      <c r="O5" s="514"/>
      <c r="P5" s="514"/>
      <c r="Q5" s="514"/>
      <c r="R5" s="514">
        <v>0.5</v>
      </c>
      <c r="S5" s="514"/>
      <c r="T5" s="514"/>
      <c r="U5" s="46"/>
    </row>
    <row r="6" spans="1:21">
      <c r="A6" s="13">
        <v>4</v>
      </c>
      <c r="B6" s="19" t="s">
        <v>184</v>
      </c>
      <c r="C6" s="30"/>
      <c r="D6" s="497"/>
      <c r="E6" s="493">
        <f>COUNTIF('UG Map L4-L6'!H4:H54, "Bode")</f>
        <v>0</v>
      </c>
      <c r="F6" s="659">
        <f>COUNTIF('UG Map L4-L6'!I4:I54, "Bode")</f>
        <v>0</v>
      </c>
      <c r="G6" s="319">
        <f>COUNTIF('PG Delivery &amp; Map (15 Credits)'!J4:J19, "Bode")</f>
        <v>3</v>
      </c>
      <c r="H6" s="508">
        <f>COUNTIF('PG Delivery &amp; Map (15 Credits)'!K2:K18, "Bode")</f>
        <v>0</v>
      </c>
      <c r="I6" s="502">
        <f>COUNTIF('PG MAIDS'!G3:G7, " ")</f>
        <v>0</v>
      </c>
      <c r="J6" s="31">
        <f>COUNTIF('PG MAIDS'!H3:H7, " ")+COUNTIF('PG MAIDS'!I3:I7, " ")</f>
        <v>0</v>
      </c>
      <c r="K6" s="42">
        <f t="shared" si="1"/>
        <v>3</v>
      </c>
      <c r="L6" s="81">
        <f t="shared" si="0"/>
        <v>0</v>
      </c>
      <c r="M6" s="896"/>
      <c r="N6" s="514"/>
      <c r="O6" s="514"/>
      <c r="P6" s="514"/>
      <c r="Q6" s="514"/>
      <c r="R6" s="514"/>
      <c r="S6" s="514"/>
      <c r="T6" s="514"/>
      <c r="U6" s="46"/>
    </row>
    <row r="7" spans="1:21">
      <c r="A7" s="12">
        <v>5</v>
      </c>
      <c r="B7" s="17" t="s">
        <v>8</v>
      </c>
      <c r="C7" s="30">
        <f>COUNTIF(Foundation!G3:G8, "Darren")</f>
        <v>1</v>
      </c>
      <c r="D7" s="497"/>
      <c r="E7" s="493">
        <f>COUNTIF('UG Map L4-L6'!H3:H53, "Darren")</f>
        <v>3</v>
      </c>
      <c r="F7" s="659">
        <f>COUNTIF('UG Map L4-L6'!I3:I52, "Darren")</f>
        <v>0</v>
      </c>
      <c r="G7" s="319">
        <f>COUNTIF('PG Delivery &amp; Map (15 Credits)'!J3:J18, "Darren")</f>
        <v>0</v>
      </c>
      <c r="H7" s="508"/>
      <c r="I7" s="502">
        <f>COUNTIF('PG MAIDS'!G3:G7, " ")</f>
        <v>0</v>
      </c>
      <c r="J7" s="31">
        <f>COUNTIF('PG MAIDS'!H3:H7, " ")+COUNTIF('PG MAIDS'!I3:I7, " ")</f>
        <v>0</v>
      </c>
      <c r="K7" s="42">
        <f t="shared" si="1"/>
        <v>4</v>
      </c>
      <c r="L7" s="81">
        <f t="shared" si="0"/>
        <v>0</v>
      </c>
      <c r="M7" s="896"/>
      <c r="N7" s="513"/>
      <c r="O7" s="513"/>
      <c r="P7" s="513"/>
      <c r="Q7" s="513"/>
      <c r="R7" s="513">
        <v>1</v>
      </c>
      <c r="S7" s="513"/>
      <c r="T7" s="513"/>
      <c r="U7" s="45"/>
    </row>
    <row r="8" spans="1:21">
      <c r="A8" s="13">
        <v>6</v>
      </c>
      <c r="B8" s="19" t="s">
        <v>80</v>
      </c>
      <c r="C8" s="30">
        <f>COUNTIF(Foundation!G3:G8, "Drishty")</f>
        <v>0</v>
      </c>
      <c r="D8" s="497"/>
      <c r="E8" s="493">
        <f>COUNTIF('UG Map L4-L6'!H3:H53, "Drishty")</f>
        <v>2</v>
      </c>
      <c r="F8" s="659">
        <f>COUNTIF('UG Map L4-L6'!I3:I52, "Drishty")</f>
        <v>0</v>
      </c>
      <c r="G8" s="319">
        <f>COUNTIF('PG Delivery &amp; Map (15 Credits)'!J3:J18, "Drishty")</f>
        <v>0</v>
      </c>
      <c r="H8" s="508"/>
      <c r="I8" s="503">
        <f>COUNTIF('PG MAIDS'!G3:G7, "Drishty")</f>
        <v>1</v>
      </c>
      <c r="J8" s="31">
        <f>COUNTIF('PG MAIDS'!H3:H7, "Drishty")+COUNTIF('PG MAIDS'!I3:I7, "Drishty")</f>
        <v>1</v>
      </c>
      <c r="K8" s="42">
        <f t="shared" si="1"/>
        <v>3</v>
      </c>
      <c r="L8" s="81">
        <f t="shared" si="0"/>
        <v>1</v>
      </c>
      <c r="M8" s="896"/>
      <c r="N8" s="514"/>
      <c r="O8" s="514">
        <v>1</v>
      </c>
      <c r="P8" s="514"/>
      <c r="Q8" s="514"/>
      <c r="R8" s="514"/>
      <c r="S8" s="514"/>
      <c r="T8" s="514"/>
      <c r="U8" s="46"/>
    </row>
    <row r="9" spans="1:21">
      <c r="A9" s="12">
        <v>7</v>
      </c>
      <c r="B9" s="797" t="s">
        <v>235</v>
      </c>
      <c r="C9" s="30">
        <f>COUNTIF(Foundation!G3:G8, " ")</f>
        <v>0</v>
      </c>
      <c r="D9" s="497"/>
      <c r="E9" s="493">
        <f>COUNTIF('UG Map L4-L6'!H3:H53, " ")</f>
        <v>0</v>
      </c>
      <c r="F9" s="659">
        <f>COUNTIF('UG Map L4-L6'!I3:I52, " ")</f>
        <v>0</v>
      </c>
      <c r="G9" s="319">
        <f>COUNTIF('PG Delivery &amp; Map (15 Credits)'!J3:J18, " ")</f>
        <v>0</v>
      </c>
      <c r="H9" s="508"/>
      <c r="I9" s="502">
        <f>COUNTIF('PG MAIDS'!G3:G7, " ")</f>
        <v>0</v>
      </c>
      <c r="J9" s="31">
        <f>COUNTIF('PG MAIDS'!H3:H7, " ")+COUNTIF('PG MAIDS'!I3:I7, " ")</f>
        <v>0</v>
      </c>
      <c r="K9" s="42">
        <f t="shared" si="1"/>
        <v>0</v>
      </c>
      <c r="L9" s="81">
        <f t="shared" si="0"/>
        <v>0</v>
      </c>
      <c r="M9" s="896"/>
      <c r="N9" s="513"/>
      <c r="O9" s="513"/>
      <c r="P9" s="513"/>
      <c r="Q9" s="513"/>
      <c r="R9" s="513"/>
      <c r="S9" s="513"/>
      <c r="T9" s="513"/>
      <c r="U9" s="45"/>
    </row>
    <row r="10" spans="1:21">
      <c r="A10" s="13">
        <v>8</v>
      </c>
      <c r="B10" s="19" t="s">
        <v>51</v>
      </c>
      <c r="C10" s="30">
        <f>COUNTIF(Foundation!G3:G8, "Idris")</f>
        <v>0</v>
      </c>
      <c r="D10" s="497"/>
      <c r="E10" s="493">
        <f>COUNTIF('UG Map L4-L6'!H3:H53, " ")</f>
        <v>0</v>
      </c>
      <c r="F10" s="659">
        <f>COUNTIF('UG Map L4-L6'!I3:I52, "Idris")</f>
        <v>1</v>
      </c>
      <c r="G10" s="319">
        <f>COUNTIF('PG Delivery &amp; Map (15 Credits)'!J3:J18, "Idris")</f>
        <v>0</v>
      </c>
      <c r="H10" s="508"/>
      <c r="I10" s="502">
        <f>COUNTIF('PG MAIDS'!G3:G7, " ")</f>
        <v>0</v>
      </c>
      <c r="J10" s="31">
        <f>COUNTIF('PG MAIDS'!H3:H7, " ")+COUNTIF('PG MAIDS'!I3:I7, " ")</f>
        <v>0</v>
      </c>
      <c r="K10" s="42">
        <f t="shared" si="1"/>
        <v>0</v>
      </c>
      <c r="L10" s="81">
        <f t="shared" si="0"/>
        <v>1</v>
      </c>
      <c r="M10" s="896"/>
      <c r="N10" s="514"/>
      <c r="O10" s="514"/>
      <c r="P10" s="514"/>
      <c r="Q10" s="514"/>
      <c r="R10" s="514"/>
      <c r="S10" s="514">
        <v>1</v>
      </c>
      <c r="T10" s="514"/>
      <c r="U10" s="46"/>
    </row>
    <row r="11" spans="1:21">
      <c r="A11" s="12">
        <v>9</v>
      </c>
      <c r="B11" s="17" t="s">
        <v>50</v>
      </c>
      <c r="C11" s="30">
        <f>COUNTIF(Foundation!G3:G8, "Jarutas")</f>
        <v>0</v>
      </c>
      <c r="D11" s="497"/>
      <c r="E11" s="493">
        <f>COUNTIF('UG Map L4-L6'!H3:H53, "Jarutas")</f>
        <v>1</v>
      </c>
      <c r="F11" s="659">
        <f>COUNTIF('UG Map L4-L6'!I3:I52, "Jarutas")</f>
        <v>0</v>
      </c>
      <c r="G11" s="319">
        <f>COUNTIF('PG Delivery &amp; Map (15 Credits)'!J3:J18, "Jarutas")</f>
        <v>0</v>
      </c>
      <c r="H11" s="508"/>
      <c r="I11" s="502">
        <f>COUNTIF('PG MAIDS'!G3:G7, "Jarutas")</f>
        <v>1</v>
      </c>
      <c r="J11" s="31">
        <f>COUNTIF('PG MAIDS'!H3:H7, "Jarutas")+COUNTIF('PG MAIDS'!I3:I7, "Jarutas")</f>
        <v>1</v>
      </c>
      <c r="K11" s="42">
        <f t="shared" si="1"/>
        <v>2</v>
      </c>
      <c r="L11" s="81">
        <f t="shared" si="0"/>
        <v>1</v>
      </c>
      <c r="M11" s="896"/>
      <c r="N11" s="513"/>
      <c r="O11" s="513"/>
      <c r="P11" s="513"/>
      <c r="Q11" s="513"/>
      <c r="R11" s="513">
        <v>1</v>
      </c>
      <c r="S11" s="513"/>
      <c r="T11" s="513"/>
      <c r="U11" s="45"/>
    </row>
    <row r="12" spans="1:21">
      <c r="A12" s="13">
        <v>10</v>
      </c>
      <c r="B12" s="797" t="s">
        <v>236</v>
      </c>
      <c r="C12" s="30">
        <f>COUNTIF(Foundation!G3:G8, "Joe")</f>
        <v>0</v>
      </c>
      <c r="D12" s="497"/>
      <c r="E12" s="493">
        <f>COUNTIF('UG Map L4-L6'!H3:H53, "")</f>
        <v>0</v>
      </c>
      <c r="F12" s="659">
        <f>COUNTIF('UG Map L4-L6'!I3:I52, " ")</f>
        <v>0</v>
      </c>
      <c r="G12" s="319">
        <f>COUNTIF('PG Delivery &amp; Map (15 Credits)'!J3:J18, " ")</f>
        <v>0</v>
      </c>
      <c r="H12" s="508"/>
      <c r="I12" s="502">
        <f>COUNTIF('PG MAIDS'!G3:G7, " ")</f>
        <v>0</v>
      </c>
      <c r="J12" s="31">
        <f>COUNTIF('PG MAIDS'!H3:H7, " ")+COUNTIF('PG MAIDS'!I3:I7, " ")</f>
        <v>0</v>
      </c>
      <c r="K12" s="42">
        <f t="shared" si="1"/>
        <v>0</v>
      </c>
      <c r="L12" s="81">
        <f t="shared" si="0"/>
        <v>0</v>
      </c>
      <c r="M12" s="896"/>
      <c r="N12" s="514"/>
      <c r="O12" s="514"/>
      <c r="P12" s="514"/>
      <c r="Q12" s="514"/>
      <c r="R12" s="514"/>
      <c r="S12" s="514"/>
      <c r="T12" s="514"/>
      <c r="U12" s="46"/>
    </row>
    <row r="13" spans="1:21">
      <c r="A13" s="12">
        <v>11</v>
      </c>
      <c r="B13" s="17" t="s">
        <v>12</v>
      </c>
      <c r="C13" s="30">
        <f>COUNTIF(Foundation!G3:G8, "Kalin")</f>
        <v>2</v>
      </c>
      <c r="D13" s="497"/>
      <c r="E13" s="493">
        <f>COUNTIF('UG Map L4-L6'!H3:H53, "Kalin")</f>
        <v>2</v>
      </c>
      <c r="F13" s="659">
        <f>COUNTIF('UG Map L4-L6'!I3:I52, "Joe")</f>
        <v>0</v>
      </c>
      <c r="G13" s="319">
        <f>COUNTIF('PG Delivery &amp; Map (15 Credits)'!J3:J18, "Kalin")</f>
        <v>2</v>
      </c>
      <c r="H13" s="508"/>
      <c r="I13" s="502">
        <f>COUNTIF('PG MAIDS'!G3:G7, " ")</f>
        <v>0</v>
      </c>
      <c r="J13" s="31">
        <f>COUNTIF('PG MAIDS'!H3:H7, " ")+COUNTIF('PG MAIDS'!I3:I7, " ")</f>
        <v>0</v>
      </c>
      <c r="K13" s="42">
        <f t="shared" si="1"/>
        <v>6</v>
      </c>
      <c r="L13" s="81">
        <f t="shared" si="0"/>
        <v>0</v>
      </c>
      <c r="M13" s="896"/>
      <c r="N13" s="513">
        <v>1</v>
      </c>
      <c r="O13" s="513"/>
      <c r="P13" s="513"/>
      <c r="Q13" s="513"/>
      <c r="R13" s="513"/>
      <c r="S13" s="513"/>
      <c r="T13" s="513"/>
      <c r="U13" s="45"/>
    </row>
    <row r="14" spans="1:21">
      <c r="A14" s="13">
        <v>12</v>
      </c>
      <c r="B14" s="19" t="s">
        <v>237</v>
      </c>
      <c r="C14" s="30">
        <f>COUNTIF(Foundation!G3:G8, "Kenton")</f>
        <v>0</v>
      </c>
      <c r="D14" s="497"/>
      <c r="E14" s="493">
        <f>COUNTIF('UG Map L4-L6'!H3:H53, "Kenton")</f>
        <v>5</v>
      </c>
      <c r="F14" s="659">
        <f>COUNTIF('UG Map L4-L6'!I3:I52, "Kenton")</f>
        <v>0</v>
      </c>
      <c r="G14" s="319">
        <f>COUNTIF('PG Delivery &amp; Map (15 Credits)'!J3:J18, "Kenton")</f>
        <v>1</v>
      </c>
      <c r="H14" s="508"/>
      <c r="I14" s="502">
        <f>COUNTIF('PG MAIDS'!G3:G7, "Kenton")</f>
        <v>0</v>
      </c>
      <c r="J14" s="31">
        <f>COUNTIF('PG MAIDS'!H3:H7, " ")+COUNTIF('PG MAIDS'!I3:I7, " ")</f>
        <v>0</v>
      </c>
      <c r="K14" s="42">
        <f t="shared" si="1"/>
        <v>6</v>
      </c>
      <c r="L14" s="81">
        <f t="shared" si="0"/>
        <v>0</v>
      </c>
      <c r="M14" s="896"/>
      <c r="N14" s="514"/>
      <c r="O14" s="514"/>
      <c r="P14" s="514"/>
      <c r="Q14" s="514"/>
      <c r="R14" s="514"/>
      <c r="S14" s="514">
        <v>1</v>
      </c>
      <c r="T14" s="514"/>
      <c r="U14" s="46"/>
    </row>
    <row r="15" spans="1:21">
      <c r="A15" s="137">
        <v>13</v>
      </c>
      <c r="B15" s="204" t="s">
        <v>215</v>
      </c>
      <c r="C15" s="30"/>
      <c r="D15" s="497"/>
      <c r="E15" s="493">
        <f>COUNTIF('UG Map L4-L6'!H3:H53, "Kashif")</f>
        <v>0</v>
      </c>
      <c r="F15" s="659">
        <f>COUNTIF('UG Map L4-L6'!I3:I52, "Kashif")</f>
        <v>0</v>
      </c>
      <c r="G15" s="319">
        <f>COUNTIF('PG Delivery &amp; Map (15 Credits)'!J3:J18, "Kashif")</f>
        <v>0</v>
      </c>
      <c r="H15" s="508"/>
      <c r="I15" s="502">
        <f>COUNTIF('PG MAIDS'!G3:G7, "Kashif")</f>
        <v>0</v>
      </c>
      <c r="J15" s="31">
        <f>COUNTIF('PG MAIDS'!I3:I7, "Kashif")</f>
        <v>1</v>
      </c>
      <c r="K15" s="42">
        <f>SUM(C15+E15+G15+I15)</f>
        <v>0</v>
      </c>
      <c r="L15" s="81">
        <f t="shared" si="0"/>
        <v>1</v>
      </c>
      <c r="M15" s="896"/>
      <c r="N15" s="514"/>
      <c r="O15" s="514"/>
      <c r="P15" s="514"/>
      <c r="Q15" s="514"/>
      <c r="R15" s="514">
        <v>1</v>
      </c>
      <c r="S15" s="514"/>
      <c r="T15" s="514"/>
      <c r="U15" s="46"/>
    </row>
    <row r="16" spans="1:21">
      <c r="A16" s="12">
        <v>14</v>
      </c>
      <c r="B16" s="206" t="s">
        <v>238</v>
      </c>
      <c r="C16" s="30">
        <f>COUNTIF(Foundation!G3:G8, "Louise")</f>
        <v>1</v>
      </c>
      <c r="D16" s="497"/>
      <c r="E16" s="494">
        <f>COUNTIF('UG Map L4-L6'!H3:H53, "Louise")</f>
        <v>1</v>
      </c>
      <c r="F16" s="659">
        <f>COUNTIF('UG Map L4-L6'!I3:I52, "Louise")</f>
        <v>0</v>
      </c>
      <c r="G16" s="319">
        <f>COUNTIF('PG Delivery &amp; Map (15 Credits)'!J3:J18, "Louise")</f>
        <v>0</v>
      </c>
      <c r="H16" s="508">
        <f>COUNTIF('PG Delivery &amp; Map (15 Credits)'!K2:K18, "Louise")</f>
        <v>0</v>
      </c>
      <c r="I16" s="502">
        <f>COUNTIF('PG MAIDS'!G3:G7, " ")</f>
        <v>0</v>
      </c>
      <c r="J16" s="31">
        <f>COUNTIF('PG MAIDS'!H3:H7, " ")+COUNTIF('PG MAIDS'!I3:I7, " ")</f>
        <v>0</v>
      </c>
      <c r="K16" s="42">
        <f t="shared" si="1"/>
        <v>2</v>
      </c>
      <c r="L16" s="81">
        <f t="shared" si="0"/>
        <v>0</v>
      </c>
      <c r="M16" s="896"/>
      <c r="N16" s="515"/>
      <c r="O16" s="515"/>
      <c r="P16" s="515"/>
      <c r="Q16" s="515">
        <v>1</v>
      </c>
      <c r="R16" s="515"/>
      <c r="S16" s="515"/>
      <c r="T16" s="515"/>
      <c r="U16" s="80">
        <v>1</v>
      </c>
    </row>
    <row r="17" spans="1:21">
      <c r="A17" s="205">
        <v>15</v>
      </c>
      <c r="B17" s="490" t="s">
        <v>10</v>
      </c>
      <c r="C17" s="32">
        <f>COUNTIF(Foundation!G3:G8, "Martin")</f>
        <v>1</v>
      </c>
      <c r="D17" s="498"/>
      <c r="E17" s="494">
        <f>COUNTIF('UG Map L4-L6'!H3:H53, "Martin")</f>
        <v>6</v>
      </c>
      <c r="F17" s="659">
        <f>COUNTIF('UG Map L4-L6'!I3:I52, "Martin")</f>
        <v>0</v>
      </c>
      <c r="G17" s="652">
        <f>COUNTIF('PG Delivery &amp; Map (15 Credits)'!J3:J18, "Martin")</f>
        <v>2</v>
      </c>
      <c r="H17" s="509"/>
      <c r="I17" s="504">
        <f>COUNTIF('PG MAIDS'!G3:G7, " ")</f>
        <v>0</v>
      </c>
      <c r="J17" s="316">
        <f>COUNTIF('PG MAIDS'!H3:H7, " ")+COUNTIF('PG MAIDS'!I3:I7, " ")</f>
        <v>0</v>
      </c>
      <c r="K17" s="317">
        <f t="shared" si="1"/>
        <v>9</v>
      </c>
      <c r="L17" s="318">
        <f t="shared" si="0"/>
        <v>0</v>
      </c>
      <c r="M17" s="896"/>
      <c r="N17" s="516"/>
      <c r="O17" s="516">
        <v>1</v>
      </c>
      <c r="P17" s="516"/>
      <c r="Q17" s="516"/>
      <c r="R17" s="516"/>
      <c r="S17" s="516"/>
      <c r="T17" s="516"/>
      <c r="U17" s="511"/>
    </row>
    <row r="18" spans="1:21">
      <c r="A18" s="13">
        <v>16</v>
      </c>
      <c r="B18" s="17" t="s">
        <v>239</v>
      </c>
      <c r="C18" s="725"/>
      <c r="D18" s="726"/>
      <c r="E18" s="727"/>
      <c r="F18" s="728"/>
      <c r="G18" s="729"/>
      <c r="H18" s="730"/>
      <c r="I18" s="731"/>
      <c r="J18" s="732">
        <f>COUNTIF('PG MAIDS'!H3:H7, " ")+COUNTIF('PG MAIDS'!I3:I7, " ")</f>
        <v>0</v>
      </c>
      <c r="K18" s="42">
        <f t="shared" si="1"/>
        <v>0</v>
      </c>
      <c r="L18" s="81">
        <f t="shared" si="0"/>
        <v>0</v>
      </c>
      <c r="M18" s="896"/>
      <c r="N18" s="78"/>
      <c r="O18" s="78"/>
      <c r="P18" s="78"/>
      <c r="Q18" s="78"/>
      <c r="R18" s="78"/>
      <c r="S18" s="78"/>
      <c r="T18" s="78"/>
      <c r="U18" s="160"/>
    </row>
    <row r="19" spans="1:21">
      <c r="A19" s="12">
        <v>17</v>
      </c>
      <c r="B19" s="491" t="s">
        <v>240</v>
      </c>
      <c r="C19" s="28">
        <f>COUNTIF(Foundation!G3:G8, "Mike")</f>
        <v>0</v>
      </c>
      <c r="D19" s="496"/>
      <c r="E19" s="494">
        <f>COUNTIF('UG Map L4-L6'!H3:H53, "Mike")</f>
        <v>0</v>
      </c>
      <c r="F19" s="660">
        <f>COUNTIF('UG Map L4-L6'!I3:I52, "Mike")</f>
        <v>3</v>
      </c>
      <c r="G19" s="651">
        <f>COUNTIF('PG Delivery &amp; Map (15 Credits)'!J3:J18, "Mike")</f>
        <v>0</v>
      </c>
      <c r="H19" s="507"/>
      <c r="I19" s="501">
        <f>COUNTIF('PG MAIDS'!G3:G7, " ")</f>
        <v>0</v>
      </c>
      <c r="J19" s="29">
        <f>COUNTIF('PG MAIDS'!H3:H7, " ")+COUNTIF('PG MAIDS'!I3:I7, " ")</f>
        <v>0</v>
      </c>
      <c r="K19" s="42">
        <f>SUM(C19+E19+G19+I19)</f>
        <v>0</v>
      </c>
      <c r="L19" s="575">
        <f>SUM(D19+F19+H19+J19)</f>
        <v>3</v>
      </c>
      <c r="M19" s="896"/>
      <c r="N19" s="512"/>
      <c r="O19" s="512"/>
      <c r="P19" s="512"/>
      <c r="Q19" s="512"/>
      <c r="R19" s="512"/>
      <c r="S19" s="512"/>
      <c r="T19" s="521">
        <v>1</v>
      </c>
      <c r="U19" s="324"/>
    </row>
    <row r="20" spans="1:21">
      <c r="A20" s="13">
        <v>18</v>
      </c>
      <c r="B20" s="19" t="s">
        <v>42</v>
      </c>
      <c r="C20" s="32">
        <f>COUNTIF(Foundation!G3:G8, "Neville")</f>
        <v>0</v>
      </c>
      <c r="D20" s="498"/>
      <c r="E20" s="494">
        <f>COUNTIF('UG Map L4-L6'!H3:H53, "Neville")</f>
        <v>5</v>
      </c>
      <c r="F20" s="659">
        <f>COUNTIF('UG Map L4-L6'!I3:I52, "Neville")</f>
        <v>1</v>
      </c>
      <c r="G20" s="319">
        <f>COUNTIF('PG Delivery &amp; Map (15 Credits)'!J3:J18, "Neville")</f>
        <v>0</v>
      </c>
      <c r="H20" s="508"/>
      <c r="I20" s="502">
        <f>COUNTIF('PG MAIDS'!G3:G7, " ")</f>
        <v>0</v>
      </c>
      <c r="J20" s="31">
        <f>COUNTIF('PG MAIDS'!H3:H7, " ")+COUNTIF('PG MAIDS'!I3:I7, " ")</f>
        <v>0</v>
      </c>
      <c r="K20" s="492">
        <f>SUM(C20+E20+G20+I20)</f>
        <v>5</v>
      </c>
      <c r="L20" s="81">
        <f>SUM(D20+F20+H20+J20)</f>
        <v>1</v>
      </c>
      <c r="M20" s="896"/>
      <c r="N20" s="513"/>
      <c r="O20" s="513"/>
      <c r="P20" s="513">
        <v>0.5</v>
      </c>
      <c r="Q20" s="513"/>
      <c r="R20" s="513"/>
      <c r="S20" s="513"/>
      <c r="T20" s="513"/>
      <c r="U20" s="45"/>
    </row>
    <row r="21" spans="1:21">
      <c r="A21" s="13">
        <v>19</v>
      </c>
      <c r="B21" s="17" t="s">
        <v>55</v>
      </c>
      <c r="C21" s="33">
        <f>COUNTIF(Foundation!G3:G8, "Nick")</f>
        <v>0</v>
      </c>
      <c r="D21" s="497"/>
      <c r="E21" s="494">
        <f>COUNTIF('UG Map L4-L6'!H3:H53, "Nick")</f>
        <v>6</v>
      </c>
      <c r="F21" s="659">
        <f>COUNTIF('UG Map L4-L6'!I3:I52, "Nick")</f>
        <v>0</v>
      </c>
      <c r="G21" s="319">
        <f>COUNTIF('PG Delivery &amp; Map (15 Credits)'!J3:J18, "Nick")</f>
        <v>0</v>
      </c>
      <c r="H21" s="508"/>
      <c r="I21" s="502">
        <f>COUNTIF('PG MAIDS'!G3:G7, " ")</f>
        <v>0</v>
      </c>
      <c r="J21" s="31">
        <f>COUNTIF('PG MAIDS'!H3:H7, " ")+COUNTIF('PG MAIDS'!I3:I7, " ")</f>
        <v>0</v>
      </c>
      <c r="K21" s="42">
        <f>SUM(C21+E21+G21+I21)</f>
        <v>6</v>
      </c>
      <c r="L21" s="81">
        <f>SUM(D21+F21+H21+J21)</f>
        <v>0</v>
      </c>
      <c r="M21" s="896"/>
      <c r="N21" s="514"/>
      <c r="O21" s="514"/>
      <c r="P21" s="514">
        <v>1</v>
      </c>
      <c r="Q21" s="514"/>
      <c r="R21" s="514"/>
      <c r="S21" s="514"/>
      <c r="T21" s="514"/>
      <c r="U21" s="46"/>
    </row>
    <row r="22" spans="1:21">
      <c r="A22" s="12">
        <v>20</v>
      </c>
      <c r="B22" s="19" t="s">
        <v>241</v>
      </c>
      <c r="C22" s="33">
        <f>COUNTIF(Foundation!G3:G8, "Pengfei")</f>
        <v>0</v>
      </c>
      <c r="D22" s="497"/>
      <c r="E22" s="494">
        <f>COUNTIF('UG Map L4-L6'!H3:H53, "Pengfei")</f>
        <v>0</v>
      </c>
      <c r="F22" s="659">
        <f>COUNTIF('UG Map L4-L6'!I3:I52, "Pengfei")</f>
        <v>2</v>
      </c>
      <c r="G22" s="652">
        <f>COUNTIF('PG Delivery &amp; Map (15 Credits)'!J3:J18, "Pengfei")</f>
        <v>2</v>
      </c>
      <c r="H22" s="508"/>
      <c r="I22" s="502">
        <f>COUNTIF('PG Delivery &amp; Map (15 Credits)'!J3:J18, "Warren")</f>
        <v>0</v>
      </c>
      <c r="J22" s="31">
        <f>COUNTIF('PG MAIDS'!H3:H7, "Pengfei")+COUNTIF('PG MAIDS'!I3:I7, "Pengfei")</f>
        <v>1</v>
      </c>
      <c r="K22" s="42">
        <f>SUM(C22+E22+G22+I22)</f>
        <v>2</v>
      </c>
      <c r="L22" s="81">
        <f>SUM(D22+F22+H22+J22)</f>
        <v>3</v>
      </c>
      <c r="M22" s="896"/>
      <c r="N22" s="513"/>
      <c r="O22" s="513"/>
      <c r="P22" s="513"/>
      <c r="Q22" s="513"/>
      <c r="R22" s="513"/>
      <c r="S22" s="513">
        <v>1</v>
      </c>
      <c r="T22" s="513"/>
      <c r="U22" s="45"/>
    </row>
    <row r="23" spans="1:21">
      <c r="A23" s="13">
        <v>21</v>
      </c>
      <c r="B23" s="17" t="s">
        <v>70</v>
      </c>
      <c r="C23" s="33">
        <f>COUNTIF(Foundation!G3:G8, "Shakeel")</f>
        <v>0</v>
      </c>
      <c r="D23" s="497"/>
      <c r="E23" s="494">
        <f>COUNTIF('UG Map L4-L6'!H3:H53, "Shakeel")</f>
        <v>1</v>
      </c>
      <c r="F23" s="659">
        <f>COUNTIF('UG Map L4-L6'!I3:I52, "Shakeel")</f>
        <v>0</v>
      </c>
      <c r="G23" s="653">
        <f>COUNTIF('PG Delivery &amp; Map (15 Credits)'!J3:J18, "Shakeel")</f>
        <v>0</v>
      </c>
      <c r="H23" s="319"/>
      <c r="I23" s="502">
        <f>COUNTIF('PG MAIDS'!G3:G7, "Shakeel")</f>
        <v>1</v>
      </c>
      <c r="J23" s="31">
        <f>COUNTIF('PG MAIDS'!H3:H7, "Shakeel")+COUNTIF('PG MAIDS'!I3:I7, "Shakeel")</f>
        <v>1</v>
      </c>
      <c r="K23" s="42">
        <f>SUM(C23+E23+G23+I23)</f>
        <v>2</v>
      </c>
      <c r="L23" s="81">
        <f>SUM(D23+F23+H23+J23)</f>
        <v>1</v>
      </c>
      <c r="M23" s="896"/>
      <c r="N23" s="514">
        <v>1</v>
      </c>
      <c r="O23" s="514">
        <v>1</v>
      </c>
      <c r="P23" s="514"/>
      <c r="Q23" s="514"/>
      <c r="R23" s="514"/>
      <c r="S23" s="514"/>
      <c r="T23" s="514"/>
      <c r="U23" s="46"/>
    </row>
    <row r="24" spans="1:21">
      <c r="A24" s="12">
        <v>22</v>
      </c>
      <c r="B24" s="576" t="s">
        <v>242</v>
      </c>
      <c r="C24" s="33">
        <f>COUNTIF(Foundation!G3:G8, "Tomasz")</f>
        <v>0</v>
      </c>
      <c r="D24" s="497"/>
      <c r="E24" s="494">
        <f>COUNTIF('UG Map L4-L6'!H3:H53, "Tomasz")</f>
        <v>0</v>
      </c>
      <c r="F24" s="659">
        <f>COUNTIF('UG Map L4-L6'!I3:I52, "Tomasz")</f>
        <v>0</v>
      </c>
      <c r="G24" s="653">
        <f>COUNTIF('PG Delivery &amp; Map (15 Credits)'!J3:J18, "Tomasz")</f>
        <v>1</v>
      </c>
      <c r="H24" s="319"/>
      <c r="I24" s="502">
        <f>COUNTIF('PG MAIDS'!G3:G7, " ")</f>
        <v>0</v>
      </c>
      <c r="J24" s="31">
        <f>COUNTIF('PG MAIDS'!H3:H7, " ")+COUNTIF('PG MAIDS'!I3:I7, " ")</f>
        <v>0</v>
      </c>
      <c r="K24" s="42">
        <f>SUM(C24+E24+G24+I24)</f>
        <v>1</v>
      </c>
      <c r="L24" s="81">
        <f>SUM(D24+F24+H24+J24)</f>
        <v>0</v>
      </c>
      <c r="M24" s="896"/>
      <c r="N24" s="517"/>
      <c r="O24" s="517"/>
      <c r="P24" s="517"/>
      <c r="Q24" s="517"/>
      <c r="R24" s="517"/>
      <c r="S24" s="517">
        <v>1</v>
      </c>
      <c r="T24" s="517"/>
      <c r="U24" s="320">
        <v>1</v>
      </c>
    </row>
    <row r="25" spans="1:21">
      <c r="A25" s="13">
        <v>23</v>
      </c>
      <c r="B25" s="314" t="s">
        <v>40</v>
      </c>
      <c r="C25" s="315">
        <f>COUNTIF(Foundation!G3:G8, "Warren")</f>
        <v>0</v>
      </c>
      <c r="D25" s="498"/>
      <c r="E25" s="494">
        <f>COUNTIF('UG Map L4-L6'!H3:H53, "Warren")</f>
        <v>8</v>
      </c>
      <c r="F25" s="659">
        <f>COUNTIF('UG Map L4-L6'!I3:I52, "Warren")</f>
        <v>0</v>
      </c>
      <c r="G25" s="654">
        <f>COUNTIF('PG Delivery &amp; Map (15 Credits)'!J3:J18, "Warren")</f>
        <v>0</v>
      </c>
      <c r="H25" s="509"/>
      <c r="I25" s="504">
        <f>COUNTIF('PG MAIDS'!G3:G7, " ")</f>
        <v>0</v>
      </c>
      <c r="J25" s="316">
        <f>COUNTIF('PG MAIDS'!H3:H7, " ")+COUNTIF('PG MAIDS'!I3:I7, " ")</f>
        <v>0</v>
      </c>
      <c r="K25" s="317">
        <f>SUM(C25+E25+G25+I25)</f>
        <v>8</v>
      </c>
      <c r="L25" s="318">
        <f>SUM(D25+F25+H25+J25)</f>
        <v>0</v>
      </c>
      <c r="M25" s="896"/>
      <c r="N25" s="514"/>
      <c r="O25" s="514"/>
      <c r="P25" s="514"/>
      <c r="Q25" s="514">
        <v>1</v>
      </c>
      <c r="R25" s="514"/>
      <c r="S25" s="514"/>
      <c r="T25" s="514"/>
      <c r="U25" s="46"/>
    </row>
    <row r="26" spans="1:21">
      <c r="A26" s="722">
        <v>24</v>
      </c>
      <c r="B26" s="206" t="s">
        <v>17</v>
      </c>
      <c r="C26" s="733">
        <f>COUNTIF(Foundation!G3:G8, "VACANT")</f>
        <v>1</v>
      </c>
      <c r="D26" s="734"/>
      <c r="E26" s="735">
        <f>COUNTIF('UG Map L4-L6'!H3:H53, "VACANT")</f>
        <v>7</v>
      </c>
      <c r="F26" s="736">
        <f>COUNTIF('UG Map L4-L6'!I3:I52, "VACANT")</f>
        <v>0</v>
      </c>
      <c r="G26" s="737">
        <f>COUNTIF('PG Delivery &amp; Map (15 Credits)'!J3:J18, "VACANT")</f>
        <v>2</v>
      </c>
      <c r="H26" s="738"/>
      <c r="I26" s="723">
        <f>COUNTIF('PG MAIDS'!G3:G7, "VACANT")</f>
        <v>2</v>
      </c>
      <c r="J26" s="724">
        <f>COUNTIF('PG MAIDS'!H3:H7, " ")+COUNTIF('PG MAIDS'!I3:I7, " ")</f>
        <v>0</v>
      </c>
      <c r="K26" s="317">
        <f>SUM(C26+E26+G26+I26)</f>
        <v>12</v>
      </c>
      <c r="L26" s="318">
        <f>SUM(D26+F26+H26+J26)</f>
        <v>0</v>
      </c>
      <c r="M26" s="896"/>
      <c r="N26" s="78"/>
      <c r="O26" s="78"/>
      <c r="P26" s="78"/>
      <c r="Q26" s="78"/>
      <c r="R26" s="78"/>
      <c r="S26" s="78"/>
      <c r="T26" s="78"/>
      <c r="U26" s="160"/>
    </row>
    <row r="27" spans="1:21">
      <c r="A27" s="13">
        <v>25</v>
      </c>
      <c r="B27" s="17"/>
      <c r="C27" s="739">
        <f>COUNTIF(Foundation!G3:G8, " ")</f>
        <v>0</v>
      </c>
      <c r="D27" s="740"/>
      <c r="E27" s="741">
        <f>COUNTIF('UG Map L4-L6'!H3:H53, " ")</f>
        <v>0</v>
      </c>
      <c r="F27" s="742">
        <f>COUNTIF('UG Map L4-L6'!I3:I52, " ")</f>
        <v>0</v>
      </c>
      <c r="G27" s="743">
        <f>COUNTIF('PG Delivery &amp; Map (15 Credits)'!J3:J18, " ")</f>
        <v>0</v>
      </c>
      <c r="H27" s="744"/>
      <c r="I27" s="505">
        <f>COUNTIF('PG MAIDS'!G3:G7, " ")</f>
        <v>0</v>
      </c>
      <c r="J27" s="34">
        <f>COUNTIF('PG MAIDS'!H3:H7, " ")+COUNTIF('PG MAIDS'!I3:I7, " ")</f>
        <v>0</v>
      </c>
      <c r="K27" s="43">
        <f>SUM(C27+E27+G27+I27)</f>
        <v>0</v>
      </c>
      <c r="L27" s="82">
        <f>SUM(D27+F27+H27+J27)</f>
        <v>0</v>
      </c>
      <c r="M27" s="896"/>
      <c r="N27" s="518"/>
      <c r="O27" s="518"/>
      <c r="P27" s="518"/>
      <c r="Q27" s="518"/>
      <c r="R27" s="518"/>
      <c r="S27" s="518"/>
      <c r="T27" s="518"/>
      <c r="U27" s="325"/>
    </row>
    <row r="28" spans="1:21">
      <c r="A28" s="888"/>
      <c r="B28" s="888"/>
      <c r="C28" s="888"/>
      <c r="D28" s="888"/>
      <c r="E28" s="888"/>
      <c r="F28" s="888"/>
      <c r="G28" s="888"/>
      <c r="H28" s="888"/>
      <c r="I28" s="888"/>
      <c r="J28" s="888"/>
      <c r="K28" s="888"/>
      <c r="L28" s="888"/>
      <c r="N28" s="519">
        <f>SUM(N3:N27)</f>
        <v>2</v>
      </c>
      <c r="O28" s="519">
        <f>SUM(O3:O27)</f>
        <v>3</v>
      </c>
      <c r="P28" s="519">
        <f>SUM(P3:P27)</f>
        <v>1.5</v>
      </c>
      <c r="Q28" s="519">
        <f>SUM(Q3:Q27)</f>
        <v>2</v>
      </c>
      <c r="R28" s="519">
        <f>SUM(R4:R27)</f>
        <v>3.5</v>
      </c>
      <c r="S28" s="519">
        <f>SUM(S3:S27)</f>
        <v>4</v>
      </c>
      <c r="T28" s="519">
        <f>SUM(T3:T27)</f>
        <v>1</v>
      </c>
      <c r="U28" s="321">
        <f>SUM(U3:U27)</f>
        <v>3</v>
      </c>
    </row>
    <row r="29" spans="1:21">
      <c r="A29" s="906" t="s">
        <v>243</v>
      </c>
      <c r="B29" s="907"/>
      <c r="C29" s="907"/>
      <c r="D29" s="907"/>
      <c r="E29" s="907"/>
      <c r="F29" s="907"/>
      <c r="G29" s="908"/>
      <c r="H29" s="907" t="s">
        <v>244</v>
      </c>
      <c r="I29" s="907"/>
      <c r="J29" s="908"/>
      <c r="K29" s="703">
        <f>SUM(K3:K28)</f>
        <v>75</v>
      </c>
      <c r="N29" s="887"/>
      <c r="O29" s="887"/>
      <c r="P29" s="887"/>
      <c r="Q29" s="887"/>
      <c r="R29" s="887"/>
      <c r="S29" s="887"/>
      <c r="T29" s="887"/>
      <c r="U29" s="887"/>
    </row>
    <row r="30" spans="1:21">
      <c r="A30" s="888"/>
      <c r="B30" s="888"/>
      <c r="C30" s="888"/>
      <c r="D30" s="888"/>
      <c r="E30" s="888"/>
      <c r="F30" s="888"/>
      <c r="G30" s="888"/>
      <c r="H30" s="888"/>
      <c r="I30" s="888"/>
      <c r="J30" s="888"/>
      <c r="K30" s="888"/>
      <c r="L30" s="888"/>
      <c r="M30" s="888"/>
      <c r="N30" s="888"/>
      <c r="O30" s="888"/>
      <c r="P30" s="897"/>
      <c r="Q30" s="765" t="s">
        <v>245</v>
      </c>
      <c r="R30" s="766"/>
      <c r="S30" s="766"/>
      <c r="T30" s="766"/>
      <c r="U30" s="549">
        <f>SUM(N28:U28)</f>
        <v>20</v>
      </c>
    </row>
    <row r="31" spans="1:21">
      <c r="H31" s="24"/>
      <c r="K31" s="802">
        <f>SUM(K25+K21+K17+K14+K13)</f>
        <v>35</v>
      </c>
      <c r="N31" s="888"/>
      <c r="O31" s="888"/>
      <c r="P31" s="888"/>
      <c r="Q31" s="888"/>
      <c r="R31" s="888"/>
      <c r="S31" s="888"/>
      <c r="T31" s="888"/>
      <c r="U31" s="888"/>
    </row>
    <row r="32" spans="1:21">
      <c r="B32" s="702" t="s">
        <v>18</v>
      </c>
      <c r="Q32" s="765" t="s">
        <v>246</v>
      </c>
      <c r="R32" s="766"/>
      <c r="S32" s="766"/>
      <c r="T32" s="767"/>
      <c r="U32" s="340">
        <f>SUM(U30-4)</f>
        <v>16</v>
      </c>
    </row>
    <row r="34" spans="20:29">
      <c r="T34" s="888"/>
      <c r="U34" s="888"/>
      <c r="V34" s="888"/>
      <c r="W34" s="888"/>
      <c r="X34" s="888"/>
      <c r="Y34" s="888"/>
      <c r="Z34" s="888"/>
      <c r="AA34" s="888"/>
      <c r="AB34" s="888"/>
      <c r="AC34" s="888"/>
    </row>
    <row r="36" spans="20:29">
      <c r="U36" s="889"/>
      <c r="V36" s="888"/>
      <c r="W36" s="888"/>
      <c r="X36" s="888"/>
      <c r="Y36" s="888"/>
      <c r="Z36" s="888"/>
      <c r="AA36" s="888"/>
    </row>
    <row r="61" spans="4:4">
      <c r="D61">
        <f>SUM(D3:D52)</f>
        <v>0</v>
      </c>
    </row>
  </sheetData>
  <sortState xmlns:xlrd2="http://schemas.microsoft.com/office/spreadsheetml/2017/richdata2" ref="A3:B25">
    <sortCondition ref="B3:B25"/>
  </sortState>
  <mergeCells count="16">
    <mergeCell ref="A1:B2"/>
    <mergeCell ref="N29:U29"/>
    <mergeCell ref="N31:U31"/>
    <mergeCell ref="T34:AC34"/>
    <mergeCell ref="U36:AA36"/>
    <mergeCell ref="E1:F1"/>
    <mergeCell ref="N1:U1"/>
    <mergeCell ref="M1:M27"/>
    <mergeCell ref="A30:P30"/>
    <mergeCell ref="C1:D1"/>
    <mergeCell ref="G1:H1"/>
    <mergeCell ref="I1:J1"/>
    <mergeCell ref="K1:L1"/>
    <mergeCell ref="H29:J29"/>
    <mergeCell ref="A28:L28"/>
    <mergeCell ref="A29:G29"/>
  </mergeCells>
  <conditionalFormatting sqref="K3:K2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2" r:id="rId1" location="tabs-tree-start" xr:uid="{5CFCD273-FEB8-4BB8-8EBF-06BBA4B21A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EC5D-EBCD-4A76-B865-6621D3E957C3}">
  <sheetPr>
    <tabColor rgb="FF8AE9FF"/>
  </sheetPr>
  <dimension ref="A1:M30"/>
  <sheetViews>
    <sheetView workbookViewId="0">
      <selection activeCell="B2" sqref="B2"/>
    </sheetView>
  </sheetViews>
  <sheetFormatPr defaultRowHeight="15.75"/>
  <cols>
    <col min="1" max="1" width="17.5" customWidth="1"/>
    <col min="2" max="2" width="17" customWidth="1"/>
    <col min="3" max="3" width="16.125" customWidth="1"/>
    <col min="4" max="4" width="16.25" customWidth="1"/>
    <col min="5" max="5" width="16.625" customWidth="1"/>
    <col min="6" max="6" width="15.875" customWidth="1"/>
    <col min="7" max="7" width="14.375" customWidth="1"/>
    <col min="8" max="8" width="3.875" customWidth="1"/>
    <col min="9" max="9" width="16.875" customWidth="1"/>
    <col min="10" max="10" width="17.375" customWidth="1"/>
    <col min="11" max="11" width="16.625" customWidth="1"/>
    <col min="12" max="12" width="16.5" customWidth="1"/>
    <col min="13" max="13" width="14.625" customWidth="1"/>
  </cols>
  <sheetData>
    <row r="1" spans="1:13">
      <c r="A1" s="296"/>
      <c r="B1" s="751" t="s">
        <v>247</v>
      </c>
      <c r="C1" s="259" t="s">
        <v>248</v>
      </c>
      <c r="D1" s="751" t="s">
        <v>249</v>
      </c>
      <c r="E1" s="259" t="s">
        <v>250</v>
      </c>
      <c r="F1" s="259" t="s">
        <v>251</v>
      </c>
      <c r="G1" s="355" t="s">
        <v>252</v>
      </c>
      <c r="I1" s="721" t="s">
        <v>253</v>
      </c>
      <c r="J1" s="721" t="s">
        <v>254</v>
      </c>
      <c r="K1" s="721" t="s">
        <v>255</v>
      </c>
      <c r="L1" s="721" t="s">
        <v>256</v>
      </c>
      <c r="M1" s="355" t="s">
        <v>252</v>
      </c>
    </row>
    <row r="2" spans="1:13">
      <c r="A2" s="343" t="s">
        <v>257</v>
      </c>
      <c r="B2" s="752">
        <f>COUNTIF('COM726 - May 23'!C3:C63, "Andy")</f>
        <v>0</v>
      </c>
      <c r="C2" s="745">
        <f>COUNTIF('MAA112 May 23'!C3:C12,"Andy")+COUNTIF('MAA112 May 23'!G3:G18,"Andy")+COUNTIF('MAA112 May 23'!K3:K22,"Andy")</f>
        <v>0</v>
      </c>
      <c r="D2" s="754">
        <f>COUNTIF('COM726 - Sept 23'!D3:D112, "Andy")</f>
        <v>0</v>
      </c>
      <c r="E2" s="745">
        <f>COUNTIF('COM616 - Oct 2023'!D3:D100, "Andy")</f>
        <v>0</v>
      </c>
      <c r="F2" s="745">
        <f>COUNTIF('COM726-Jan 24'!D3:D100, "Andy")</f>
        <v>0</v>
      </c>
      <c r="G2" s="571">
        <f>SUM(B2:E2)</f>
        <v>0</v>
      </c>
      <c r="I2" s="345"/>
      <c r="J2" s="345"/>
      <c r="K2" s="345"/>
      <c r="L2" s="345"/>
      <c r="M2" s="661">
        <f>SUM(I2:L2)</f>
        <v>0</v>
      </c>
    </row>
    <row r="3" spans="1:13">
      <c r="A3" s="168" t="s">
        <v>258</v>
      </c>
      <c r="B3" s="753">
        <v>0</v>
      </c>
      <c r="C3" s="748">
        <v>0</v>
      </c>
      <c r="D3" s="753">
        <f>COUNTIF('COM726 - Sept 23'!D3:D112, "Bacha")</f>
        <v>0</v>
      </c>
      <c r="E3" s="746">
        <f>COUNTIF('COM616 - Oct 2023'!D3:D100, "Becha")</f>
        <v>0</v>
      </c>
      <c r="F3" s="746">
        <f>COUNTIF('COM726-Jan 24'!D3:D100, "Becha")</f>
        <v>0</v>
      </c>
      <c r="G3" s="661">
        <f>SUM(B3:E3)</f>
        <v>0</v>
      </c>
      <c r="I3" s="345"/>
      <c r="J3" s="345"/>
      <c r="K3" s="345"/>
      <c r="L3" s="345"/>
      <c r="M3" s="661">
        <f>SUM(I3:L3)</f>
        <v>0</v>
      </c>
    </row>
    <row r="4" spans="1:13">
      <c r="A4" s="175" t="s">
        <v>184</v>
      </c>
      <c r="B4" s="754">
        <f>COUNTIF('COM726 - May 23'!C3:C63, "Bobe")</f>
        <v>0</v>
      </c>
      <c r="C4" s="747">
        <f>COUNTIF('MAA112 May 23'!C3:C12,"Bode")+COUNTIF('MAA112 May 23'!G3:G18,"Bode")+COUNTIF('MAA112 May 23'!K3:K22,"Bode")</f>
        <v>10</v>
      </c>
      <c r="D4" s="753">
        <f>COUNTIF('COM726 - Sept 23'!D3:D112, "Bode")</f>
        <v>0</v>
      </c>
      <c r="E4" s="747">
        <f>COUNTIF('COM616 - Oct 2023'!D3:D100, "Bobe")</f>
        <v>0</v>
      </c>
      <c r="F4" s="747">
        <f>COUNTIF('COM726-Jan 24'!D3:D100, "Bobe")</f>
        <v>0</v>
      </c>
      <c r="G4" s="661">
        <f>SUM(B4:E4)</f>
        <v>10</v>
      </c>
      <c r="I4" s="345"/>
      <c r="J4" s="345"/>
      <c r="K4" s="345"/>
      <c r="L4" s="345"/>
      <c r="M4" s="661">
        <f t="shared" ref="M4" si="0">SUM(I4:L4)</f>
        <v>0</v>
      </c>
    </row>
    <row r="5" spans="1:13">
      <c r="A5" s="168" t="s">
        <v>259</v>
      </c>
      <c r="B5" s="753">
        <f>COUNTIF('COM726 - May 23'!C3:C63, "Anthony")</f>
        <v>0</v>
      </c>
      <c r="C5" s="748">
        <f>COUNTIF('MAA112 May 23'!C3:C12,"Anthony")+COUNTIF('MAA112 May 23'!G3:G18,"Anthony")+COUNTIF('MAA112 May 23'!K3:K22,"Anthony")</f>
        <v>10</v>
      </c>
      <c r="D5" s="754">
        <f>COUNTIF('COM726 - Sept 23'!D3:D112, "Anthony")</f>
        <v>0</v>
      </c>
      <c r="E5" s="748">
        <f>COUNTIF('COM616 - Oct 2023'!D3:D100, "Anthony")</f>
        <v>0</v>
      </c>
      <c r="F5" s="748">
        <f>COUNTIF('COM726-Jan 24'!D3:D100, "Anthony")</f>
        <v>0</v>
      </c>
      <c r="G5" s="661">
        <f>SUM(B5:E5)</f>
        <v>10</v>
      </c>
      <c r="I5" s="345"/>
      <c r="J5" s="345"/>
      <c r="K5" s="345"/>
      <c r="L5" s="345"/>
      <c r="M5" s="661">
        <f t="shared" ref="M5" si="1">SUM(I5:L5)</f>
        <v>0</v>
      </c>
    </row>
    <row r="6" spans="1:13" ht="12.75" customHeight="1">
      <c r="A6" s="168" t="s">
        <v>8</v>
      </c>
      <c r="B6" s="753">
        <f>COUNTIF('COM726 - May 23'!C3:C63, "Darren")</f>
        <v>0</v>
      </c>
      <c r="C6" s="748">
        <f>COUNTIF('MAA112 May 23'!C3:C12,"Darren")+COUNTIF('MAA112 May 23'!G3:G18,"Anthony")+COUNTIF('MAA112 May 23'!K3:K22,"Anthony")</f>
        <v>0</v>
      </c>
      <c r="D6" s="753">
        <f>COUNTIF('COM726-Jan 24'!D3:D112, "Darren")</f>
        <v>0</v>
      </c>
      <c r="E6" s="748">
        <f>COUNTIF('COM616 - Oct 2023'!D3:D100, "Darren")</f>
        <v>0</v>
      </c>
      <c r="F6" s="748">
        <f>COUNTIF('COM726-Jan 24'!D3:D100, "Darren")</f>
        <v>0</v>
      </c>
      <c r="G6" s="661">
        <f>SUM(B6:E6)</f>
        <v>0</v>
      </c>
      <c r="I6" s="345"/>
      <c r="J6" s="345"/>
      <c r="K6" s="345"/>
      <c r="L6" s="345"/>
      <c r="M6" s="661">
        <f t="shared" ref="M6" si="2">SUM(I6:L6)</f>
        <v>0</v>
      </c>
    </row>
    <row r="7" spans="1:13">
      <c r="A7" s="168" t="s">
        <v>80</v>
      </c>
      <c r="B7" s="755">
        <f>COUNTIF('COM726 - May 23'!C3:C63, "Drishty")</f>
        <v>6</v>
      </c>
      <c r="C7" s="748">
        <f>COUNTIF('MAA112 May 23'!C3:C12,"Drishty")+COUNTIF('MAA112 May 23'!G3:G18,"Drishty")+COUNTIF('MAA112 May 23'!K3:K22,"Drishty")</f>
        <v>0</v>
      </c>
      <c r="D7" s="753">
        <f>COUNTIF('COM726 - Sept 23'!D3:D112, "Drishty")</f>
        <v>0</v>
      </c>
      <c r="E7" s="748">
        <f>COUNTIF('COM616 - Oct 2023'!D3:D100, "Drishty")</f>
        <v>0</v>
      </c>
      <c r="F7" s="748">
        <f>COUNTIF('COM726-Jan 24'!D3:D100, "Drishty")</f>
        <v>0</v>
      </c>
      <c r="G7" s="661">
        <f>SUM(B7:E7)</f>
        <v>6</v>
      </c>
      <c r="I7" s="345"/>
      <c r="J7" s="345"/>
      <c r="K7" s="345"/>
      <c r="L7" s="345"/>
      <c r="M7" s="661">
        <f t="shared" ref="M7" si="3">SUM(I7:L7)</f>
        <v>0</v>
      </c>
    </row>
    <row r="8" spans="1:13">
      <c r="A8" s="168" t="s">
        <v>260</v>
      </c>
      <c r="B8" s="753">
        <f>COUNTIF('COM726 - May 23'!C3:C63, "Femi")</f>
        <v>8</v>
      </c>
      <c r="C8" s="748">
        <f>COUNTIF('MAA112 May 23'!C3:C12,"Femi")+COUNTIF('MAA112 May 23'!G3:G18,"Femi")+COUNTIF('MAA112 May 23'!K3:K22,"Femi")</f>
        <v>0</v>
      </c>
      <c r="D8" s="753">
        <f>COUNTIF('COM726 - Sept 23'!D3:D112, "Femi")</f>
        <v>0</v>
      </c>
      <c r="E8" s="748">
        <f>COUNTIF('COM616 - Oct 2023'!D3:D100, "Femi")</f>
        <v>0</v>
      </c>
      <c r="F8" s="748">
        <f>COUNTIF('COM726-Jan 24'!D3:D100, "Femi")</f>
        <v>0</v>
      </c>
      <c r="G8" s="661">
        <f>SUM(B8:E8)</f>
        <v>8</v>
      </c>
      <c r="I8" s="345"/>
      <c r="J8" s="345"/>
      <c r="K8" s="345"/>
      <c r="L8" s="345"/>
      <c r="M8" s="661">
        <f t="shared" ref="M8" si="4">SUM(I8:L8)</f>
        <v>0</v>
      </c>
    </row>
    <row r="9" spans="1:13">
      <c r="A9" s="168" t="s">
        <v>261</v>
      </c>
      <c r="B9" s="753">
        <f>COUNTIF('COM726 - May 23'!C3:C63, "Hamid")</f>
        <v>8</v>
      </c>
      <c r="C9" s="748">
        <f>COUNTIF('MAA112 May 23'!C3:C12,"Hamid")+COUNTIF('MAA112 May 23'!G3:G18,"Hamid")+COUNTIF('MAA112 May 23'!K3:K22,"Hamid")</f>
        <v>0</v>
      </c>
      <c r="D9" s="753">
        <f>COUNTIF('COM726 - Sept 23'!D3:D112, "Hamid")</f>
        <v>0</v>
      </c>
      <c r="E9" s="748">
        <f>COUNTIF('COM616 - Oct 2023'!D3:D100, "Hamid")</f>
        <v>0</v>
      </c>
      <c r="F9" s="748">
        <f>COUNTIF('COM726-Jan 24'!D3:D100, "Hamid")</f>
        <v>0</v>
      </c>
      <c r="G9" s="661">
        <f>SUM(B9:E9)</f>
        <v>8</v>
      </c>
      <c r="I9" s="345"/>
      <c r="J9" s="345"/>
      <c r="K9" s="345"/>
      <c r="L9" s="345"/>
      <c r="M9" s="661">
        <f t="shared" ref="M9" si="5">SUM(I9:L9)</f>
        <v>0</v>
      </c>
    </row>
    <row r="10" spans="1:13">
      <c r="A10" s="168" t="s">
        <v>50</v>
      </c>
      <c r="B10" s="753">
        <f>COUNTIF('COM726 - May 23'!C3:C63, "Jarutas")</f>
        <v>8</v>
      </c>
      <c r="C10" s="748">
        <f>COUNTIF('MAA112 May 23'!C3:C12,"Jarutas")+COUNTIF('MAA112 May 23'!G3:G18,"Jarutas")+COUNTIF('MAA112 May 23'!K3:K22,"Jarutas")</f>
        <v>0</v>
      </c>
      <c r="D10" s="753">
        <f>COUNTIF('COM726 - Sept 23'!D3:D112, "Jarutas")</f>
        <v>0</v>
      </c>
      <c r="E10" s="748">
        <f>COUNTIF('COM616 - Oct 2023'!D3:D100, "Jarutas")</f>
        <v>0</v>
      </c>
      <c r="F10" s="748">
        <f>COUNTIF('COM726-Jan 24'!D3:D100, "Jarutas")</f>
        <v>0</v>
      </c>
      <c r="G10" s="661">
        <f>SUM(B10:E10)</f>
        <v>8</v>
      </c>
      <c r="I10" s="345"/>
      <c r="J10" s="345"/>
      <c r="K10" s="345"/>
      <c r="L10" s="345"/>
      <c r="M10" s="661">
        <f t="shared" ref="M10" si="6">SUM(I10:L10)</f>
        <v>0</v>
      </c>
    </row>
    <row r="11" spans="1:13">
      <c r="A11" s="168" t="s">
        <v>236</v>
      </c>
      <c r="B11" s="753">
        <f>COUNTIF('COM726 - May 23'!C3:C63, "Joe")</f>
        <v>0</v>
      </c>
      <c r="C11" s="748">
        <f>COUNTIF('MAA112 May 23'!C3:C12,"Joe")+COUNTIF('MAA112 May 23'!G3:G18,"Joe")+COUNTIF('MAA112 May 23'!K3:K22,"Joe")</f>
        <v>0</v>
      </c>
      <c r="D11" s="753">
        <f>COUNTIF('COM726 - Sept 23'!D3:D112, "Joe")</f>
        <v>0</v>
      </c>
      <c r="E11" s="748">
        <f>COUNTIF('COM616 - Oct 2023'!D3:D100, "Joe")</f>
        <v>0</v>
      </c>
      <c r="F11" s="748">
        <f>COUNTIF('COM726-Jan 24'!D3:D100, "Joe")</f>
        <v>0</v>
      </c>
      <c r="G11" s="661">
        <f>SUM(B11:E11)</f>
        <v>0</v>
      </c>
      <c r="I11" s="345"/>
      <c r="J11" s="345"/>
      <c r="K11" s="345"/>
      <c r="L11" s="345"/>
      <c r="M11" s="661">
        <f t="shared" ref="M11" si="7">SUM(I11:L11)</f>
        <v>0</v>
      </c>
    </row>
    <row r="12" spans="1:13">
      <c r="A12" s="168" t="s">
        <v>12</v>
      </c>
      <c r="B12" s="753">
        <f>COUNTIF('COM726 - May 23'!C3:C63, "Kalin")</f>
        <v>0</v>
      </c>
      <c r="C12" s="748">
        <f>COUNTIF('MAA112 May 23'!C3:C12,"Kalin")+COUNTIF('MAA112 May 23'!G3:G18,"Kalin")+COUNTIF('MAA112 May 23'!K3:K22,"Kalin")</f>
        <v>4</v>
      </c>
      <c r="D12" s="753">
        <f>COUNTIF('COM726 - Sept 23'!D3:D112, "Kalin")</f>
        <v>0</v>
      </c>
      <c r="E12" s="748">
        <f>COUNTIF('COM616 - Oct 2023'!D3:D100, "Kalin")</f>
        <v>0</v>
      </c>
      <c r="F12" s="748">
        <f>COUNTIF('COM726-Jan 24'!D3:D100, "Kalin")</f>
        <v>0</v>
      </c>
      <c r="G12" s="661">
        <f>SUM(B12:E12)</f>
        <v>4</v>
      </c>
      <c r="I12" s="345"/>
      <c r="J12" s="345"/>
      <c r="K12" s="345"/>
      <c r="L12" s="345"/>
      <c r="M12" s="661">
        <f t="shared" ref="M12" si="8">SUM(I12:L12)</f>
        <v>0</v>
      </c>
    </row>
    <row r="13" spans="1:13">
      <c r="A13" s="168" t="s">
        <v>215</v>
      </c>
      <c r="B13" s="756">
        <f>COUNTIF('COM726 - May 23'!C3:C63, "Kashif")</f>
        <v>4</v>
      </c>
      <c r="C13" s="749">
        <f>COUNTIF('MAA112 May 23'!C3:C12,"Kashif")+COUNTIF('MAA112 May 23'!G3:G18,"Kashif")+COUNTIF('MAA112 May 23'!K3:K22,"Kashif")</f>
        <v>0</v>
      </c>
      <c r="D13" s="756">
        <f>COUNTIF('COM726 - Sept 23'!D3:D112, "Kashif")</f>
        <v>0</v>
      </c>
      <c r="E13" s="749">
        <f>COUNTIF('COM616 - Oct 2023'!D3:D100, "Kashif")</f>
        <v>0</v>
      </c>
      <c r="F13" s="749">
        <f>COUNTIF('COM726-Jan 24'!D3:D100, "Kashif")</f>
        <v>0</v>
      </c>
      <c r="G13" s="661">
        <f>SUM(B13:E13)</f>
        <v>4</v>
      </c>
      <c r="I13" s="345"/>
      <c r="J13" s="345"/>
      <c r="K13" s="345"/>
      <c r="L13" s="345"/>
      <c r="M13" s="661">
        <f t="shared" ref="M13" si="9">SUM(I13:L13)</f>
        <v>0</v>
      </c>
    </row>
    <row r="14" spans="1:13">
      <c r="A14" s="168" t="s">
        <v>237</v>
      </c>
      <c r="B14" s="753">
        <f>COUNTIF('COM726 - May 23'!C3:C63, "Kenton")</f>
        <v>0</v>
      </c>
      <c r="C14" s="748">
        <f>COUNTIF('MAA112 May 23'!C3:C12,"Kenton")+COUNTIF('MAA112 May 23'!G3:G18,"Kenton")+COUNTIF('MAA112 May 23'!K3:K22,"Kenton")</f>
        <v>0</v>
      </c>
      <c r="D14" s="753">
        <f>COUNTIF('COM726 - Sept 23'!D3:D112, "Kenton")</f>
        <v>0</v>
      </c>
      <c r="E14" s="748">
        <f>COUNTIF('COM616 - Oct 2023'!D3:D100, "Kenton")</f>
        <v>0</v>
      </c>
      <c r="F14" s="748">
        <f>COUNTIF('COM726-Jan 24'!D3:D100, "Kenton")</f>
        <v>0</v>
      </c>
      <c r="G14" s="719">
        <f>SUM(B14:E14)</f>
        <v>0</v>
      </c>
      <c r="I14" s="345"/>
      <c r="J14" s="345"/>
      <c r="K14" s="345"/>
      <c r="L14" s="345"/>
      <c r="M14" s="661">
        <f t="shared" ref="M14" si="10">SUM(I14:L14)</f>
        <v>0</v>
      </c>
    </row>
    <row r="15" spans="1:13">
      <c r="A15" s="152" t="s">
        <v>239</v>
      </c>
      <c r="B15" s="753">
        <f>COUNTIF('COM726 - May 23'!C4:C64, "Marc")</f>
        <v>0</v>
      </c>
      <c r="C15" s="748">
        <f>COUNTIF('MAA112 May 23'!C3:C12,"Marc")+COUNTIF('MAA112 May 23'!G3:G18,"Marc")+COUNTIF('MAA112 May 23'!K3:K22,"Marc")</f>
        <v>10</v>
      </c>
      <c r="D15" s="753">
        <f>COUNTIF('COM726 - Sept 23'!D3:D112, "Marc")</f>
        <v>0</v>
      </c>
      <c r="E15" s="748">
        <f>COUNTIF('COM616 - Oct 2023'!D3:D100, "Marc")</f>
        <v>0</v>
      </c>
      <c r="F15" s="748">
        <f>COUNTIF('COM726-Jan 24'!D3:D100, "Marc")</f>
        <v>0</v>
      </c>
      <c r="G15" s="661">
        <f>SUM(B15:E15)</f>
        <v>10</v>
      </c>
      <c r="I15" s="345"/>
      <c r="J15" s="345"/>
      <c r="K15" s="345"/>
      <c r="L15" s="345"/>
      <c r="M15" s="661">
        <f t="shared" ref="M15" si="11">SUM(I15:L15)</f>
        <v>0</v>
      </c>
    </row>
    <row r="16" spans="1:13">
      <c r="A16" s="168" t="s">
        <v>10</v>
      </c>
      <c r="B16" s="754">
        <f>COUNTIF('COM726 - May 23'!C3:C63, "Martin")</f>
        <v>0</v>
      </c>
      <c r="C16" s="747">
        <f>COUNTIF('MAA112 May 23'!C3:C12,"Martin")+COUNTIF('MAA112 May 23'!G3:G18,"Martin")+COUNTIF('MAA112 May 23'!K3:K22,"Martin")</f>
        <v>0</v>
      </c>
      <c r="D16" s="754">
        <f>COUNTIF('COM726 - Sept 23'!D3:D112, "Martin")</f>
        <v>0</v>
      </c>
      <c r="E16" s="747">
        <f>COUNTIF('COM616 - Oct 2023'!D3:D100, "Martin")</f>
        <v>5</v>
      </c>
      <c r="F16" s="747">
        <f>COUNTIF('COM726-Jan 24'!D3:D100, "Martin")</f>
        <v>0</v>
      </c>
      <c r="G16" s="356">
        <f>SUM(B16:E16)</f>
        <v>5</v>
      </c>
      <c r="I16" s="345"/>
      <c r="J16" s="345"/>
      <c r="K16" s="345"/>
      <c r="L16" s="345"/>
      <c r="M16" s="661">
        <f t="shared" ref="M16" si="12">SUM(I16:L16)</f>
        <v>0</v>
      </c>
    </row>
    <row r="17" spans="1:13">
      <c r="A17" s="168" t="s">
        <v>262</v>
      </c>
      <c r="B17" s="753">
        <f>COUNTIF('COM726 - May 23'!C3:C63, "Muntasir")</f>
        <v>9</v>
      </c>
      <c r="C17" s="748">
        <f>COUNTIF('MAA112 May 23'!C3:C12,"Muntasir")+COUNTIF('MAA112 May 23'!G3:G18,"Muntasir")+COUNTIF('MAA112 May 23'!K3:K22,"Muntasir")</f>
        <v>0</v>
      </c>
      <c r="D17" s="753">
        <f>COUNTIF('COM726 - Sept 23'!D3:D112, "Muntasir")</f>
        <v>0</v>
      </c>
      <c r="E17" s="748">
        <f>COUNTIF('COM616 - Oct 2023'!D3:D100, "Muntasir")</f>
        <v>0</v>
      </c>
      <c r="F17" s="748">
        <f>COUNTIF('COM726-Jan 24'!D3:D100, "Muntasir")</f>
        <v>0</v>
      </c>
      <c r="G17" s="661">
        <f>SUM(B17:E17)</f>
        <v>9</v>
      </c>
      <c r="I17" s="345"/>
      <c r="J17" s="345"/>
      <c r="K17" s="345"/>
      <c r="L17" s="345"/>
      <c r="M17" s="661">
        <f t="shared" ref="M17" si="13">SUM(I17:L17)</f>
        <v>0</v>
      </c>
    </row>
    <row r="18" spans="1:13">
      <c r="A18" s="168" t="s">
        <v>55</v>
      </c>
      <c r="B18" s="753">
        <f>COUNTIF('COM726 - May 23'!C3:C63, "Nick")</f>
        <v>0</v>
      </c>
      <c r="C18" s="748">
        <f>COUNTIF('MAA112 May 23'!C3:C12,"Nick")+COUNTIF('MAA112 May 23'!G3:G18,"Nick")+COUNTIF('MAA112 May 23'!K3:K22,"Nick")+COUNTIF('MAA112 May 23'!C13,"Nick")</f>
        <v>4</v>
      </c>
      <c r="D18" s="753">
        <f>COUNTIF('COM726 - Sept 23'!D3:D112, "Nick")</f>
        <v>0</v>
      </c>
      <c r="E18" s="748">
        <f>COUNTIF('COM616 - Oct 2023'!D3:D100, "Nick")</f>
        <v>0</v>
      </c>
      <c r="F18" s="748">
        <f>COUNTIF('COM726-Jan 24'!D3:D100, "Nick")</f>
        <v>0</v>
      </c>
      <c r="G18" s="661">
        <f>SUM(B18:E18)</f>
        <v>4</v>
      </c>
      <c r="I18" s="345"/>
      <c r="J18" s="345"/>
      <c r="K18" s="345"/>
      <c r="L18" s="345"/>
      <c r="M18" s="661">
        <f t="shared" ref="M18" si="14">SUM(I18:L18)</f>
        <v>0</v>
      </c>
    </row>
    <row r="19" spans="1:13">
      <c r="A19" s="168" t="s">
        <v>263</v>
      </c>
      <c r="B19" s="753">
        <f>COUNTIF('COM726 - May 23'!C3:C63, "Neville")</f>
        <v>0</v>
      </c>
      <c r="C19" s="748">
        <f>COUNTIF('MAA112 May 23'!C3:C12,"Neville")+COUNTIF('MAA112 May 23'!G3:G18,"Neville")+COUNTIF('MAA112 May 23'!K3:K22,"Neville")</f>
        <v>0</v>
      </c>
      <c r="D19" s="753">
        <f>COUNTIF('COM726 - Sept 23'!D3:D112, "Neville")</f>
        <v>0</v>
      </c>
      <c r="E19" s="748">
        <f>COUNTIF('COM616 - Oct 2023'!D3:D100, "Neville")</f>
        <v>0</v>
      </c>
      <c r="F19" s="748">
        <f>COUNTIF('COM726-Jan 24'!D3:D100, "Neville")</f>
        <v>0</v>
      </c>
      <c r="G19" s="661">
        <f>SUM(B19:E19)</f>
        <v>0</v>
      </c>
      <c r="I19" s="345"/>
      <c r="J19" s="345"/>
      <c r="K19" s="345"/>
      <c r="L19" s="345"/>
      <c r="M19" s="661">
        <f t="shared" ref="M19" si="15">SUM(I19:L19)</f>
        <v>0</v>
      </c>
    </row>
    <row r="20" spans="1:13">
      <c r="A20" s="168" t="s">
        <v>241</v>
      </c>
      <c r="B20" s="753">
        <f>COUNTIF('COM726 - May 23'!C3:C63, "Pengfei")</f>
        <v>3</v>
      </c>
      <c r="C20" s="748">
        <f>COUNTIF('MAA112 May 23'!C3:C12,"Pengfei")+COUNTIF('MAA112 May 23'!G3:G18,"Pengfei")+COUNTIF('MAA112 May 23'!K3:K22,"Pengfei")</f>
        <v>8</v>
      </c>
      <c r="D20" s="753">
        <f>COUNTIF('COM726 - Sept 23'!D3:D112, "Pengfei")</f>
        <v>0</v>
      </c>
      <c r="E20" s="748">
        <f>COUNTIF('COM616 - Oct 2023'!D3:D100, "Pengfei")</f>
        <v>0</v>
      </c>
      <c r="F20" s="748">
        <f>COUNTIF('COM726-Jan 24'!D3:D100, "Pengfei")</f>
        <v>0</v>
      </c>
      <c r="G20" s="661">
        <f>SUM(B20:E20)</f>
        <v>11</v>
      </c>
      <c r="I20" s="345"/>
      <c r="J20" s="345"/>
      <c r="K20" s="345"/>
      <c r="L20" s="345"/>
      <c r="M20" s="661">
        <f t="shared" ref="M20" si="16">SUM(I20:L20)</f>
        <v>0</v>
      </c>
    </row>
    <row r="21" spans="1:13">
      <c r="A21" s="168" t="s">
        <v>264</v>
      </c>
      <c r="B21" s="753">
        <f>COUNTIF('COM726 - May 23'!C3:C63, "Peyman")</f>
        <v>9</v>
      </c>
      <c r="C21" s="748">
        <f>COUNTIF('MAA112 May 23'!C3:C12,"Peyman")+COUNTIF('MAA112 May 23'!G3:G18,"Peyman")+COUNTIF('MAA112 May 23'!K3:K22,"Peyman")</f>
        <v>0</v>
      </c>
      <c r="D21" s="753">
        <f>COUNTIF('COM726 - Sept 23'!D3:D112, "Peyman")</f>
        <v>0</v>
      </c>
      <c r="E21" s="748">
        <f>COUNTIF('COM616 - Oct 2023'!D3:D100, "Peyman")</f>
        <v>0</v>
      </c>
      <c r="F21" s="748">
        <f>COUNTIF('COM726-Jan 24'!D3:D100, "Peyman")</f>
        <v>0</v>
      </c>
      <c r="G21" s="661">
        <f>SUM(B21:E21)</f>
        <v>9</v>
      </c>
      <c r="I21" s="345"/>
      <c r="J21" s="345"/>
      <c r="K21" s="345"/>
      <c r="L21" s="345"/>
      <c r="M21" s="661">
        <f t="shared" ref="M21" si="17">SUM(I21:L21)</f>
        <v>0</v>
      </c>
    </row>
    <row r="22" spans="1:13">
      <c r="A22" s="152" t="s">
        <v>265</v>
      </c>
      <c r="B22" s="752">
        <v>0</v>
      </c>
      <c r="C22" s="745">
        <v>0</v>
      </c>
      <c r="D22" s="752">
        <f>COUNTIF('COM726 - Sept 23'!D3:D112, "Raza")</f>
        <v>0</v>
      </c>
      <c r="E22" s="750">
        <f>COUNTIF('COM616 - Oct 2023'!D3:D100, "Raza")</f>
        <v>0</v>
      </c>
      <c r="F22" s="750">
        <f>COUNTIF('COM726-Jan 24'!D3:D100, "Raza")</f>
        <v>0</v>
      </c>
      <c r="G22" s="661">
        <f>SUM(B22:E22)</f>
        <v>0</v>
      </c>
      <c r="I22" s="345"/>
      <c r="J22" s="345"/>
      <c r="K22" s="345"/>
      <c r="L22" s="345"/>
      <c r="M22" s="661">
        <f t="shared" ref="M22" si="18">SUM(I22:L22)</f>
        <v>0</v>
      </c>
    </row>
    <row r="23" spans="1:13">
      <c r="A23" s="342" t="s">
        <v>70</v>
      </c>
      <c r="B23" s="756">
        <f>COUNTIF('COM726 - May 23'!C3:C63, "Shakeel")</f>
        <v>4</v>
      </c>
      <c r="C23" s="749">
        <f>COUNTIF('MAA112 May 23'!C3:C12,"Shakeel")+COUNTIF('MAA112 May 23'!G3:G18,"Shakeel")+COUNTIF('MAA112 May 23'!K3:K22,"Shakeel")</f>
        <v>0</v>
      </c>
      <c r="D23" s="756">
        <f>COUNTIF('COM726 - Sept 23'!D3:D112, "Shakeel")</f>
        <v>0</v>
      </c>
      <c r="E23" s="749">
        <f>COUNTIF('COM616 - Oct 2023'!D3:D100, "Shakeel")</f>
        <v>0</v>
      </c>
      <c r="F23" s="749">
        <f>COUNTIF('COM726-Jan 24'!D3:D100, "Shakeel")</f>
        <v>0</v>
      </c>
      <c r="G23" s="661">
        <f>SUM(B23:E23)</f>
        <v>4</v>
      </c>
      <c r="I23" s="345"/>
      <c r="J23" s="345"/>
      <c r="K23" s="345"/>
      <c r="L23" s="345"/>
      <c r="M23" s="661">
        <f t="shared" ref="M23" si="19">SUM(I23:L23)</f>
        <v>0</v>
      </c>
    </row>
    <row r="24" spans="1:13">
      <c r="A24" s="168" t="s">
        <v>40</v>
      </c>
      <c r="B24" s="753">
        <f>COUNTIF('COM726 - May 23'!C3:C63, "Warren")</f>
        <v>0</v>
      </c>
      <c r="C24" s="748">
        <f>COUNTIF('MAA112 May 23'!C3:C12,"Warren")+COUNTIF('MAA112 May 23'!G3:G18,"Warren")+COUNTIF('MAA112 May 23'!K3:K22,"Warren")</f>
        <v>0</v>
      </c>
      <c r="D24" s="753">
        <f>COUNTIF('COM726 - Sept 23'!D3:D112, "Warren")</f>
        <v>0</v>
      </c>
      <c r="E24" s="748">
        <f>COUNTIF('COM616 - Oct 2023'!D3:D100, "Warren")</f>
        <v>0</v>
      </c>
      <c r="F24" s="748">
        <f>COUNTIF('COM726-Jan 24'!D3:D100, "Warren")</f>
        <v>0</v>
      </c>
      <c r="G24" s="662">
        <f>SUM(B24:E24)</f>
        <v>0</v>
      </c>
      <c r="I24" s="345"/>
      <c r="J24" s="345"/>
      <c r="K24" s="345"/>
      <c r="L24" s="345"/>
      <c r="M24" s="661">
        <f t="shared" ref="M24" si="20">SUM(I24:L24)</f>
        <v>0</v>
      </c>
    </row>
    <row r="25" spans="1:13">
      <c r="A25" s="17"/>
      <c r="B25" s="757"/>
      <c r="C25" s="758"/>
      <c r="D25" s="757"/>
      <c r="E25" s="760"/>
      <c r="F25" s="761"/>
      <c r="G25" s="321">
        <f>SUM(B25:E25)</f>
        <v>0</v>
      </c>
      <c r="I25" s="720"/>
      <c r="J25" s="720"/>
      <c r="K25" s="720"/>
      <c r="L25" s="720"/>
      <c r="M25" s="719">
        <f t="shared" ref="M25" si="21">SUM(I25:L25)</f>
        <v>0</v>
      </c>
    </row>
    <row r="26" spans="1:13">
      <c r="B26" s="172">
        <f>SUM(B2:B24)</f>
        <v>59</v>
      </c>
      <c r="C26" s="565">
        <f>SUM(C2:C24)</f>
        <v>46</v>
      </c>
      <c r="D26" s="759">
        <f>SUM(D2:D25)</f>
        <v>0</v>
      </c>
      <c r="E26" s="565">
        <f>SUM(E2:E25)</f>
        <v>5</v>
      </c>
      <c r="F26" s="172">
        <f>SUM(F2:F25)</f>
        <v>0</v>
      </c>
      <c r="G26" s="155"/>
      <c r="I26" s="259">
        <f>SUM(I2:I25)</f>
        <v>0</v>
      </c>
      <c r="J26" s="259">
        <f t="shared" ref="J26:L26" si="22">SUM(J2:J25)</f>
        <v>0</v>
      </c>
      <c r="K26" s="259">
        <f t="shared" si="22"/>
        <v>0</v>
      </c>
      <c r="L26" s="259">
        <f t="shared" si="22"/>
        <v>0</v>
      </c>
      <c r="M26" s="341"/>
    </row>
    <row r="27" spans="1:13">
      <c r="B27" s="172" t="s">
        <v>266</v>
      </c>
      <c r="C27" s="259" t="s">
        <v>266</v>
      </c>
      <c r="D27" s="296"/>
      <c r="E27" s="352"/>
      <c r="F27" s="762"/>
      <c r="G27" s="352"/>
      <c r="I27" s="763"/>
      <c r="J27" s="763"/>
      <c r="K27" s="763"/>
      <c r="L27" s="763"/>
      <c r="M27" s="764"/>
    </row>
    <row r="30" spans="1:13">
      <c r="B30" s="702" t="s">
        <v>18</v>
      </c>
    </row>
  </sheetData>
  <sortState xmlns:xlrd2="http://schemas.microsoft.com/office/spreadsheetml/2017/richdata2" ref="A4:A21">
    <sortCondition ref="A4:A21"/>
  </sortState>
  <conditionalFormatting sqref="B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B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0" r:id="rId1" location="tabs-tree-start" xr:uid="{014EF6B2-5526-44A7-80C9-CE576B898F6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99FB-31DC-42A8-AE51-C6BDAB9EAD9D}">
  <sheetPr>
    <tabColor rgb="FF8AE9FF"/>
  </sheetPr>
  <dimension ref="A1:P20"/>
  <sheetViews>
    <sheetView workbookViewId="0">
      <selection activeCell="B11" sqref="B11"/>
    </sheetView>
  </sheetViews>
  <sheetFormatPr defaultRowHeight="15.75" customHeight="1"/>
  <cols>
    <col min="1" max="1" width="22.375" customWidth="1"/>
    <col min="2" max="2" width="16.25" customWidth="1"/>
    <col min="3" max="3" width="3.25" customWidth="1"/>
    <col min="4" max="4" width="25.25" customWidth="1"/>
    <col min="5" max="5" width="16.625" customWidth="1"/>
    <col min="6" max="6" width="3.5" customWidth="1"/>
    <col min="7" max="7" width="7.125" customWidth="1"/>
    <col min="8" max="8" width="9.125" customWidth="1"/>
    <col min="9" max="9" width="11.625" customWidth="1"/>
    <col min="10" max="10" width="5" customWidth="1"/>
    <col min="13" max="13" width="11.75" customWidth="1"/>
  </cols>
  <sheetData>
    <row r="1" spans="1:16" ht="18" customHeight="1"/>
    <row r="2" spans="1:16" ht="21.75" customHeight="1">
      <c r="A2" s="924" t="s">
        <v>267</v>
      </c>
      <c r="B2" s="925"/>
      <c r="D2" s="924" t="s">
        <v>268</v>
      </c>
      <c r="E2" s="925"/>
      <c r="G2" s="921" t="s">
        <v>269</v>
      </c>
      <c r="H2" s="917" t="s">
        <v>270</v>
      </c>
      <c r="I2" s="919" t="s">
        <v>271</v>
      </c>
      <c r="J2" s="105"/>
      <c r="K2" s="909" t="s">
        <v>272</v>
      </c>
      <c r="L2" s="910"/>
      <c r="M2" s="825"/>
    </row>
    <row r="3" spans="1:16" ht="15.75" customHeight="1">
      <c r="A3" s="75" t="s">
        <v>273</v>
      </c>
      <c r="B3" s="76">
        <v>61</v>
      </c>
      <c r="D3" s="75" t="s">
        <v>273</v>
      </c>
      <c r="E3" s="71">
        <v>46</v>
      </c>
      <c r="G3" s="922"/>
      <c r="H3" s="918"/>
      <c r="I3" s="920"/>
      <c r="J3" s="105"/>
      <c r="K3" s="911"/>
      <c r="L3" s="912"/>
      <c r="M3" s="913"/>
      <c r="N3" s="923"/>
      <c r="O3" s="923"/>
      <c r="P3" s="923"/>
    </row>
    <row r="4" spans="1:16">
      <c r="A4" s="77" t="s">
        <v>274</v>
      </c>
      <c r="B4" s="50">
        <f>SUM(B3*6)</f>
        <v>366</v>
      </c>
      <c r="D4" s="79" t="s">
        <v>274</v>
      </c>
      <c r="E4" s="52">
        <f>SUM(E3*6)</f>
        <v>276</v>
      </c>
      <c r="G4" s="108">
        <f>SUM(B4+E4)</f>
        <v>642</v>
      </c>
      <c r="H4" s="109">
        <f>SUM(B3+E3)</f>
        <v>107</v>
      </c>
      <c r="I4" s="111">
        <f>SUM(H4/2/18)</f>
        <v>2.9722222222222223</v>
      </c>
      <c r="J4" s="1"/>
      <c r="K4" s="911"/>
      <c r="L4" s="912"/>
      <c r="M4" s="913"/>
      <c r="N4" s="923"/>
      <c r="O4" s="923"/>
      <c r="P4" s="923"/>
    </row>
    <row r="5" spans="1:16">
      <c r="K5" s="911"/>
      <c r="L5" s="912"/>
      <c r="M5" s="913"/>
      <c r="N5" s="923"/>
      <c r="O5" s="923"/>
      <c r="P5" s="923"/>
    </row>
    <row r="6" spans="1:16" ht="15.75" customHeight="1">
      <c r="A6" s="924" t="s">
        <v>275</v>
      </c>
      <c r="B6" s="926"/>
      <c r="D6" s="924" t="s">
        <v>276</v>
      </c>
      <c r="E6" s="926"/>
      <c r="G6" s="921" t="s">
        <v>269</v>
      </c>
      <c r="H6" s="917" t="s">
        <v>270</v>
      </c>
      <c r="I6" s="919" t="s">
        <v>277</v>
      </c>
      <c r="J6" s="105"/>
      <c r="K6" s="911"/>
      <c r="L6" s="912"/>
      <c r="M6" s="913"/>
      <c r="N6" s="923"/>
      <c r="O6" s="923"/>
      <c r="P6" s="923"/>
    </row>
    <row r="7" spans="1:16" ht="15.75" customHeight="1">
      <c r="A7" s="75" t="s">
        <v>273</v>
      </c>
      <c r="B7" s="76">
        <v>110</v>
      </c>
      <c r="D7" s="75" t="s">
        <v>273</v>
      </c>
      <c r="E7" s="71"/>
      <c r="G7" s="922"/>
      <c r="H7" s="918"/>
      <c r="I7" s="920"/>
      <c r="J7" s="105"/>
      <c r="K7" s="911"/>
      <c r="L7" s="912"/>
      <c r="M7" s="913"/>
      <c r="N7" s="923"/>
      <c r="O7" s="923"/>
      <c r="P7" s="923"/>
    </row>
    <row r="8" spans="1:16">
      <c r="A8" s="77" t="s">
        <v>274</v>
      </c>
      <c r="B8" s="50">
        <f>SUM(B7*6)</f>
        <v>660</v>
      </c>
      <c r="D8" s="79" t="s">
        <v>274</v>
      </c>
      <c r="E8" s="52">
        <f>SUM(E7*6)</f>
        <v>0</v>
      </c>
      <c r="G8" s="108">
        <f>SUM(B8+E8)</f>
        <v>660</v>
      </c>
      <c r="H8" s="109">
        <f>SUM(B7+E7)</f>
        <v>110</v>
      </c>
      <c r="I8" s="111">
        <f>SUM(H8/2/18)</f>
        <v>3.0555555555555554</v>
      </c>
      <c r="J8" s="1"/>
      <c r="K8" s="914"/>
      <c r="L8" s="915"/>
      <c r="M8" s="916"/>
      <c r="N8" s="923"/>
      <c r="O8" s="923"/>
      <c r="P8" s="923"/>
    </row>
    <row r="9" spans="1:16">
      <c r="N9" s="923"/>
      <c r="O9" s="923"/>
      <c r="P9" s="923"/>
    </row>
    <row r="10" spans="1:16">
      <c r="A10" s="929" t="s">
        <v>278</v>
      </c>
      <c r="B10" s="926"/>
      <c r="D10" s="929"/>
      <c r="E10" s="926"/>
      <c r="G10" s="921" t="s">
        <v>269</v>
      </c>
      <c r="H10" s="917" t="s">
        <v>270</v>
      </c>
      <c r="I10" s="919" t="s">
        <v>277</v>
      </c>
      <c r="J10" s="105"/>
    </row>
    <row r="11" spans="1:16">
      <c r="A11" s="75" t="s">
        <v>273</v>
      </c>
      <c r="B11" s="76">
        <f>SUM('COM616 - Oct 2023'!H2)</f>
        <v>59</v>
      </c>
      <c r="D11" s="75"/>
      <c r="E11" s="76"/>
      <c r="G11" s="922"/>
      <c r="H11" s="918"/>
      <c r="I11" s="920"/>
      <c r="J11" s="105"/>
    </row>
    <row r="12" spans="1:16">
      <c r="A12" s="77" t="s">
        <v>274</v>
      </c>
      <c r="B12" s="50">
        <f>SUM(B11*6)</f>
        <v>354</v>
      </c>
      <c r="D12" s="77"/>
      <c r="E12" s="50"/>
      <c r="G12" s="47">
        <f>SUM(B12+E12)</f>
        <v>354</v>
      </c>
      <c r="H12" s="23">
        <f>SUM(B11+E11)</f>
        <v>59</v>
      </c>
      <c r="I12" s="107">
        <f>SUM(H12/2/18)</f>
        <v>1.6388888888888888</v>
      </c>
      <c r="J12" s="106"/>
    </row>
    <row r="14" spans="1:16">
      <c r="A14" s="927" t="s">
        <v>279</v>
      </c>
      <c r="B14" s="928"/>
      <c r="D14" s="924"/>
      <c r="E14" s="926"/>
      <c r="G14" s="921" t="s">
        <v>269</v>
      </c>
      <c r="H14" s="917" t="s">
        <v>270</v>
      </c>
      <c r="I14" s="919" t="s">
        <v>271</v>
      </c>
      <c r="J14" s="105"/>
    </row>
    <row r="15" spans="1:16">
      <c r="A15" s="78" t="s">
        <v>273</v>
      </c>
      <c r="B15" s="71">
        <v>0</v>
      </c>
      <c r="D15" s="75"/>
      <c r="E15" s="71"/>
      <c r="G15" s="922"/>
      <c r="H15" s="918"/>
      <c r="I15" s="920"/>
      <c r="J15" s="105"/>
    </row>
    <row r="16" spans="1:16">
      <c r="A16" s="77" t="s">
        <v>274</v>
      </c>
      <c r="B16" s="50">
        <f>SUM(B15*6)</f>
        <v>0</v>
      </c>
      <c r="D16" s="79"/>
      <c r="E16" s="52"/>
      <c r="G16" s="108">
        <f>SUM(B16+E16)</f>
        <v>0</v>
      </c>
      <c r="H16" s="109"/>
      <c r="I16" s="110">
        <f>SUM(G16/2/18)</f>
        <v>0</v>
      </c>
      <c r="J16" s="106"/>
    </row>
    <row r="20" ht="15" customHeight="1"/>
  </sheetData>
  <mergeCells count="22">
    <mergeCell ref="N3:P9"/>
    <mergeCell ref="D2:E2"/>
    <mergeCell ref="A6:B6"/>
    <mergeCell ref="A2:B2"/>
    <mergeCell ref="A14:B14"/>
    <mergeCell ref="D6:E6"/>
    <mergeCell ref="D14:E14"/>
    <mergeCell ref="A10:B10"/>
    <mergeCell ref="D10:E10"/>
    <mergeCell ref="G2:G3"/>
    <mergeCell ref="H2:H3"/>
    <mergeCell ref="I2:I3"/>
    <mergeCell ref="G6:G7"/>
    <mergeCell ref="G14:G15"/>
    <mergeCell ref="H14:H15"/>
    <mergeCell ref="I14:I15"/>
    <mergeCell ref="K2:M8"/>
    <mergeCell ref="H6:H7"/>
    <mergeCell ref="I6:I7"/>
    <mergeCell ref="G10:G11"/>
    <mergeCell ref="H10:H11"/>
    <mergeCell ref="I10:I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C39D-06B8-4C3E-A916-E6A246900570}">
  <sheetPr>
    <tabColor rgb="FF8AE9FF"/>
  </sheetPr>
  <dimension ref="A1:L34"/>
  <sheetViews>
    <sheetView workbookViewId="0">
      <selection activeCell="C13" sqref="C13"/>
    </sheetView>
  </sheetViews>
  <sheetFormatPr defaultRowHeight="15.75"/>
  <cols>
    <col min="1" max="1" width="6.125" customWidth="1"/>
    <col min="2" max="2" width="27" customWidth="1"/>
    <col min="3" max="3" width="14.75" customWidth="1"/>
    <col min="4" max="4" width="3.75" customWidth="1"/>
    <col min="5" max="5" width="4.125" customWidth="1"/>
    <col min="6" max="6" width="29.625" customWidth="1"/>
    <col min="7" max="7" width="11" customWidth="1"/>
    <col min="8" max="8" width="4.125" customWidth="1"/>
    <col min="9" max="9" width="5.375" customWidth="1"/>
    <col min="10" max="10" width="31.125" customWidth="1"/>
    <col min="11" max="11" width="11.875" customWidth="1"/>
  </cols>
  <sheetData>
    <row r="1" spans="1:11" ht="18.75">
      <c r="A1" s="120" t="s">
        <v>187</v>
      </c>
      <c r="B1" s="121"/>
      <c r="C1" s="489" t="s">
        <v>280</v>
      </c>
      <c r="E1" s="126" t="s">
        <v>281</v>
      </c>
      <c r="F1" s="127"/>
      <c r="G1" s="135" t="s">
        <v>280</v>
      </c>
      <c r="I1" s="120" t="s">
        <v>282</v>
      </c>
      <c r="J1" s="121"/>
      <c r="K1" s="489" t="s">
        <v>280</v>
      </c>
    </row>
    <row r="2" spans="1:11">
      <c r="A2" s="22"/>
      <c r="B2" s="112" t="s">
        <v>283</v>
      </c>
      <c r="C2" s="122" t="s">
        <v>6</v>
      </c>
      <c r="E2" s="22"/>
      <c r="F2" s="112" t="s">
        <v>283</v>
      </c>
      <c r="G2" s="122" t="s">
        <v>6</v>
      </c>
      <c r="I2" s="22"/>
      <c r="J2" s="112" t="s">
        <v>283</v>
      </c>
      <c r="K2" s="122" t="s">
        <v>6</v>
      </c>
    </row>
    <row r="3" spans="1:11">
      <c r="A3" s="128">
        <v>1</v>
      </c>
      <c r="B3" s="115" t="s">
        <v>284</v>
      </c>
      <c r="C3" s="123" t="s">
        <v>75</v>
      </c>
      <c r="D3" s="116"/>
      <c r="E3" s="128">
        <v>1</v>
      </c>
      <c r="F3" s="117" t="s">
        <v>285</v>
      </c>
      <c r="G3" s="807" t="s">
        <v>55</v>
      </c>
      <c r="I3" s="134">
        <v>1</v>
      </c>
      <c r="J3" s="113" t="s">
        <v>286</v>
      </c>
      <c r="K3" s="71" t="s">
        <v>184</v>
      </c>
    </row>
    <row r="4" spans="1:11">
      <c r="A4" s="128">
        <v>2</v>
      </c>
      <c r="B4" s="118" t="s">
        <v>287</v>
      </c>
      <c r="C4" s="123" t="s">
        <v>75</v>
      </c>
      <c r="D4" s="116"/>
      <c r="E4" s="128">
        <v>2</v>
      </c>
      <c r="F4" s="117" t="s">
        <v>288</v>
      </c>
      <c r="G4" s="129" t="s">
        <v>81</v>
      </c>
      <c r="I4" s="134">
        <v>2</v>
      </c>
      <c r="J4" s="113" t="s">
        <v>289</v>
      </c>
      <c r="K4" s="71" t="s">
        <v>184</v>
      </c>
    </row>
    <row r="5" spans="1:11">
      <c r="A5" s="128">
        <v>3</v>
      </c>
      <c r="B5" s="118" t="s">
        <v>290</v>
      </c>
      <c r="C5" s="123" t="s">
        <v>75</v>
      </c>
      <c r="D5" s="116"/>
      <c r="E5" s="128">
        <v>3</v>
      </c>
      <c r="F5" s="117" t="s">
        <v>291</v>
      </c>
      <c r="G5" s="129" t="s">
        <v>184</v>
      </c>
      <c r="I5" s="134">
        <v>3</v>
      </c>
      <c r="J5" s="113" t="s">
        <v>292</v>
      </c>
      <c r="K5" s="71" t="s">
        <v>184</v>
      </c>
    </row>
    <row r="6" spans="1:11">
      <c r="A6" s="128">
        <v>4</v>
      </c>
      <c r="B6" s="118" t="s">
        <v>293</v>
      </c>
      <c r="C6" s="123" t="s">
        <v>75</v>
      </c>
      <c r="D6" s="116"/>
      <c r="E6" s="128">
        <v>4</v>
      </c>
      <c r="F6" s="117" t="s">
        <v>294</v>
      </c>
      <c r="G6" s="71" t="s">
        <v>239</v>
      </c>
      <c r="I6" s="134">
        <v>4</v>
      </c>
      <c r="J6" s="113" t="s">
        <v>295</v>
      </c>
      <c r="K6" s="71" t="s">
        <v>184</v>
      </c>
    </row>
    <row r="7" spans="1:11">
      <c r="A7" s="128">
        <v>5</v>
      </c>
      <c r="B7" s="118" t="s">
        <v>296</v>
      </c>
      <c r="C7" s="123" t="s">
        <v>75</v>
      </c>
      <c r="D7" s="116"/>
      <c r="E7" s="128">
        <v>5</v>
      </c>
      <c r="F7" s="117" t="s">
        <v>297</v>
      </c>
      <c r="G7" s="129" t="s">
        <v>81</v>
      </c>
      <c r="I7" s="134">
        <v>5</v>
      </c>
      <c r="J7" s="113" t="s">
        <v>298</v>
      </c>
      <c r="K7" s="71" t="s">
        <v>184</v>
      </c>
    </row>
    <row r="8" spans="1:11">
      <c r="A8" s="128">
        <v>6</v>
      </c>
      <c r="B8" s="118" t="s">
        <v>299</v>
      </c>
      <c r="C8" s="123" t="s">
        <v>75</v>
      </c>
      <c r="D8" s="116"/>
      <c r="E8" s="128">
        <v>6</v>
      </c>
      <c r="F8" s="117" t="s">
        <v>300</v>
      </c>
      <c r="G8" s="129" t="s">
        <v>81</v>
      </c>
      <c r="I8" s="134">
        <v>6</v>
      </c>
      <c r="J8" s="113" t="s">
        <v>301</v>
      </c>
      <c r="K8" s="71" t="s">
        <v>239</v>
      </c>
    </row>
    <row r="9" spans="1:11">
      <c r="A9" s="128">
        <v>7</v>
      </c>
      <c r="B9" s="118" t="s">
        <v>302</v>
      </c>
      <c r="C9" s="123" t="s">
        <v>75</v>
      </c>
      <c r="D9" s="116"/>
      <c r="E9" s="128">
        <v>7</v>
      </c>
      <c r="F9" s="117" t="s">
        <v>303</v>
      </c>
      <c r="G9" s="807" t="s">
        <v>55</v>
      </c>
      <c r="I9" s="134">
        <v>7</v>
      </c>
      <c r="J9" s="113" t="s">
        <v>304</v>
      </c>
      <c r="K9" s="71" t="s">
        <v>239</v>
      </c>
    </row>
    <row r="10" spans="1:11" ht="24">
      <c r="A10" s="128">
        <v>8</v>
      </c>
      <c r="B10" s="118" t="s">
        <v>305</v>
      </c>
      <c r="C10" s="123" t="s">
        <v>75</v>
      </c>
      <c r="D10" s="116"/>
      <c r="E10" s="128">
        <v>8</v>
      </c>
      <c r="F10" s="117" t="s">
        <v>306</v>
      </c>
      <c r="G10" s="807" t="s">
        <v>55</v>
      </c>
      <c r="I10" s="134">
        <v>8</v>
      </c>
      <c r="J10" s="113" t="s">
        <v>307</v>
      </c>
      <c r="K10" s="71" t="s">
        <v>12</v>
      </c>
    </row>
    <row r="11" spans="1:11">
      <c r="A11" s="128">
        <v>9</v>
      </c>
      <c r="B11" s="118" t="s">
        <v>308</v>
      </c>
      <c r="C11" s="123" t="s">
        <v>75</v>
      </c>
      <c r="D11" s="116"/>
      <c r="E11" s="128">
        <v>9</v>
      </c>
      <c r="F11" s="117" t="s">
        <v>309</v>
      </c>
      <c r="G11" s="129" t="s">
        <v>81</v>
      </c>
      <c r="I11" s="134">
        <v>9</v>
      </c>
      <c r="J11" s="113" t="s">
        <v>310</v>
      </c>
      <c r="K11" s="71" t="s">
        <v>12</v>
      </c>
    </row>
    <row r="12" spans="1:11">
      <c r="A12" s="130">
        <v>10</v>
      </c>
      <c r="B12" s="124" t="s">
        <v>311</v>
      </c>
      <c r="C12" s="125" t="s">
        <v>75</v>
      </c>
      <c r="D12" s="116"/>
      <c r="E12" s="128">
        <v>10</v>
      </c>
      <c r="F12" s="117" t="s">
        <v>312</v>
      </c>
      <c r="G12" s="71" t="s">
        <v>239</v>
      </c>
      <c r="I12" s="134">
        <v>10</v>
      </c>
      <c r="J12" s="113" t="s">
        <v>313</v>
      </c>
      <c r="K12" s="71" t="s">
        <v>239</v>
      </c>
    </row>
    <row r="13" spans="1:11">
      <c r="A13" s="130">
        <v>11</v>
      </c>
      <c r="B13" s="295" t="s">
        <v>314</v>
      </c>
      <c r="C13" s="808" t="s">
        <v>55</v>
      </c>
      <c r="D13" s="116"/>
      <c r="E13" s="128">
        <v>11</v>
      </c>
      <c r="F13" s="119" t="s">
        <v>315</v>
      </c>
      <c r="G13" s="71" t="s">
        <v>239</v>
      </c>
      <c r="I13" s="134">
        <v>11</v>
      </c>
      <c r="J13" s="114" t="s">
        <v>316</v>
      </c>
      <c r="K13" s="71" t="s">
        <v>239</v>
      </c>
    </row>
    <row r="14" spans="1:11">
      <c r="A14" s="116"/>
      <c r="B14" s="116"/>
      <c r="C14" s="116"/>
      <c r="D14" s="116"/>
      <c r="E14" s="128">
        <v>12</v>
      </c>
      <c r="F14" s="117" t="s">
        <v>317</v>
      </c>
      <c r="G14" s="129" t="s">
        <v>239</v>
      </c>
      <c r="I14" s="134">
        <v>12</v>
      </c>
      <c r="J14" s="113" t="s">
        <v>318</v>
      </c>
      <c r="K14" s="71" t="s">
        <v>239</v>
      </c>
    </row>
    <row r="15" spans="1:11">
      <c r="A15" s="932" t="s">
        <v>319</v>
      </c>
      <c r="B15" s="933"/>
      <c r="C15" s="934"/>
      <c r="D15" s="116"/>
      <c r="E15" s="128">
        <v>13</v>
      </c>
      <c r="F15" s="117" t="s">
        <v>320</v>
      </c>
      <c r="G15" s="129" t="s">
        <v>81</v>
      </c>
      <c r="I15" s="134">
        <v>13</v>
      </c>
      <c r="J15" s="113" t="s">
        <v>321</v>
      </c>
      <c r="K15" s="71" t="s">
        <v>184</v>
      </c>
    </row>
    <row r="16" spans="1:11">
      <c r="A16" s="935">
        <f>SUM('Supervision Load'!E3)</f>
        <v>46</v>
      </c>
      <c r="B16" s="936"/>
      <c r="C16" s="937"/>
      <c r="D16" s="116"/>
      <c r="E16" s="128">
        <v>14</v>
      </c>
      <c r="F16" s="117" t="s">
        <v>322</v>
      </c>
      <c r="G16" s="129" t="s">
        <v>81</v>
      </c>
      <c r="I16" s="134">
        <v>14</v>
      </c>
      <c r="J16" s="113" t="s">
        <v>323</v>
      </c>
      <c r="K16" s="71" t="s">
        <v>184</v>
      </c>
    </row>
    <row r="17" spans="1:11">
      <c r="A17" s="935"/>
      <c r="B17" s="936"/>
      <c r="C17" s="937"/>
      <c r="D17" s="116"/>
      <c r="E17" s="128">
        <v>15</v>
      </c>
      <c r="F17" s="117" t="s">
        <v>324</v>
      </c>
      <c r="G17" s="129" t="s">
        <v>81</v>
      </c>
      <c r="I17" s="134">
        <v>15</v>
      </c>
      <c r="J17" s="113" t="s">
        <v>325</v>
      </c>
      <c r="K17" s="71" t="s">
        <v>184</v>
      </c>
    </row>
    <row r="18" spans="1:11">
      <c r="A18" s="938"/>
      <c r="B18" s="939"/>
      <c r="C18" s="940"/>
      <c r="D18" s="116"/>
      <c r="E18" s="130">
        <v>16</v>
      </c>
      <c r="F18" s="131" t="s">
        <v>326</v>
      </c>
      <c r="G18" s="132" t="s">
        <v>81</v>
      </c>
      <c r="I18" s="134">
        <v>16</v>
      </c>
      <c r="J18" s="113" t="s">
        <v>327</v>
      </c>
      <c r="K18" s="71" t="s">
        <v>239</v>
      </c>
    </row>
    <row r="19" spans="1:11">
      <c r="I19" s="134">
        <v>17</v>
      </c>
      <c r="J19" s="113" t="s">
        <v>328</v>
      </c>
      <c r="K19" s="71" t="s">
        <v>12</v>
      </c>
    </row>
    <row r="20" spans="1:11">
      <c r="B20" s="152"/>
      <c r="I20" s="134">
        <v>18</v>
      </c>
      <c r="J20" s="113" t="s">
        <v>329</v>
      </c>
      <c r="K20" s="71" t="s">
        <v>184</v>
      </c>
    </row>
    <row r="21" spans="1:11">
      <c r="I21" s="134">
        <v>19</v>
      </c>
      <c r="J21" s="113" t="s">
        <v>330</v>
      </c>
      <c r="K21" s="71" t="s">
        <v>12</v>
      </c>
    </row>
    <row r="22" spans="1:11">
      <c r="I22" s="130"/>
      <c r="J22" s="295"/>
      <c r="K22" s="133"/>
    </row>
    <row r="24" spans="1:11">
      <c r="E24" s="10"/>
      <c r="F24" s="112" t="s">
        <v>331</v>
      </c>
      <c r="G24" s="9" t="s">
        <v>332</v>
      </c>
      <c r="H24" s="112" t="s">
        <v>333</v>
      </c>
      <c r="I24" s="112"/>
      <c r="J24" s="240" t="s">
        <v>334</v>
      </c>
      <c r="K24" s="242" t="s">
        <v>335</v>
      </c>
    </row>
    <row r="25" spans="1:11">
      <c r="E25" s="64">
        <v>1</v>
      </c>
      <c r="F25" s="10" t="s">
        <v>239</v>
      </c>
      <c r="G25" s="12">
        <v>10</v>
      </c>
      <c r="H25" s="941" t="s">
        <v>336</v>
      </c>
      <c r="I25" s="942"/>
      <c r="J25" s="240">
        <f>COUNTIF(G3:G18:K3:K21, "Marc")</f>
        <v>10</v>
      </c>
      <c r="K25" s="242">
        <f>SUM(G25-J25)</f>
        <v>0</v>
      </c>
    </row>
    <row r="26" spans="1:11">
      <c r="E26" s="176">
        <v>2</v>
      </c>
      <c r="F26" s="10" t="s">
        <v>257</v>
      </c>
      <c r="G26" s="12">
        <v>0</v>
      </c>
      <c r="H26" s="930" t="s">
        <v>337</v>
      </c>
      <c r="I26" s="930"/>
      <c r="J26" s="241">
        <f>COUNTIF(G3:G18:K3:K21, "Andy")</f>
        <v>0</v>
      </c>
      <c r="K26" s="242">
        <f>SUM(G26-J26)</f>
        <v>0</v>
      </c>
    </row>
    <row r="27" spans="1:11">
      <c r="E27" s="12">
        <v>3</v>
      </c>
      <c r="F27" s="10" t="s">
        <v>184</v>
      </c>
      <c r="G27" s="12">
        <v>10</v>
      </c>
      <c r="H27" s="930" t="s">
        <v>337</v>
      </c>
      <c r="I27" s="930"/>
      <c r="J27" s="548">
        <f>COUNTIF(G3:G18:K3:K21, "Bode")</f>
        <v>10</v>
      </c>
      <c r="K27" s="242">
        <f>SUM(G27-J27)</f>
        <v>0</v>
      </c>
    </row>
    <row r="28" spans="1:11">
      <c r="E28" s="12">
        <v>4</v>
      </c>
      <c r="F28" s="10" t="s">
        <v>12</v>
      </c>
      <c r="G28" s="12">
        <v>4</v>
      </c>
      <c r="H28" s="930" t="s">
        <v>337</v>
      </c>
      <c r="I28" s="930"/>
      <c r="J28" s="241">
        <f>COUNTIF(G3:G18:K3:K21, "Kalin")</f>
        <v>4</v>
      </c>
      <c r="K28" s="242">
        <f>SUM(G28-J28)</f>
        <v>0</v>
      </c>
    </row>
    <row r="29" spans="1:11">
      <c r="E29" s="12">
        <v>5</v>
      </c>
      <c r="F29" s="10" t="s">
        <v>75</v>
      </c>
      <c r="G29" s="12">
        <v>10</v>
      </c>
      <c r="H29" s="930" t="s">
        <v>337</v>
      </c>
      <c r="I29" s="930"/>
      <c r="J29" s="241">
        <f>COUNTIF(G3:G18:K3:K21:C3:C12, "Anthony")</f>
        <v>10</v>
      </c>
      <c r="K29" s="242">
        <f>SUM(G29-J29)</f>
        <v>0</v>
      </c>
    </row>
    <row r="30" spans="1:11">
      <c r="E30" s="12">
        <v>6</v>
      </c>
      <c r="F30" s="10" t="s">
        <v>55</v>
      </c>
      <c r="G30" s="12">
        <v>4</v>
      </c>
      <c r="H30" s="930" t="s">
        <v>337</v>
      </c>
      <c r="I30" s="930"/>
      <c r="J30" s="241">
        <f>COUNTIF(G3:G18:C3:K13, "Nick")</f>
        <v>4</v>
      </c>
      <c r="K30" s="242">
        <f>SUM(G30-J30)</f>
        <v>0</v>
      </c>
    </row>
    <row r="31" spans="1:11">
      <c r="E31" s="12">
        <v>7</v>
      </c>
      <c r="F31" s="10" t="s">
        <v>81</v>
      </c>
      <c r="G31" s="12">
        <v>8</v>
      </c>
      <c r="H31" s="930" t="s">
        <v>337</v>
      </c>
      <c r="I31" s="930"/>
      <c r="J31" s="241">
        <f>COUNTIF(G4:G19:K4:K22, "Pengfei")</f>
        <v>8</v>
      </c>
      <c r="K31" s="242">
        <f>SUM(G31-J31)</f>
        <v>0</v>
      </c>
    </row>
    <row r="32" spans="1:11">
      <c r="E32" s="238"/>
      <c r="F32" s="238"/>
      <c r="G32" s="238"/>
      <c r="H32" s="931"/>
      <c r="I32" s="931"/>
    </row>
    <row r="34" spans="7:12">
      <c r="G34" s="549">
        <f>SUM(G25:G31)</f>
        <v>46</v>
      </c>
      <c r="J34" s="312">
        <f>SUM(J25:J31)</f>
        <v>46</v>
      </c>
      <c r="L34">
        <f>SUM(A13+E18+I21)</f>
        <v>46</v>
      </c>
    </row>
  </sheetData>
  <mergeCells count="10">
    <mergeCell ref="H29:I29"/>
    <mergeCell ref="H30:I30"/>
    <mergeCell ref="H32:I32"/>
    <mergeCell ref="A15:C15"/>
    <mergeCell ref="A16:C18"/>
    <mergeCell ref="H26:I26"/>
    <mergeCell ref="H27:I27"/>
    <mergeCell ref="H28:I28"/>
    <mergeCell ref="H31:I31"/>
    <mergeCell ref="H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2022-01-18T20:10:56Z</dcterms:created>
  <dcterms:modified xsi:type="dcterms:W3CDTF">2023-06-08T18:01:18Z</dcterms:modified>
  <cp:category/>
  <cp:contentStatus/>
</cp:coreProperties>
</file>