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tinwellman/Documents/Health/Wastewater/Code/odm-qpcr-analyzer/qpcr_analyzer/"/>
    </mc:Choice>
  </mc:AlternateContent>
  <xr:revisionPtr revIDLastSave="0" documentId="13_ncr:1_{BBD9C71D-6362-5842-AF6A-633A61FA1004}" xr6:coauthVersionLast="47" xr6:coauthVersionMax="47" xr10:uidLastSave="{00000000-0000-0000-0000-000000000000}"/>
  <bookViews>
    <workbookView xWindow="0" yWindow="500" windowWidth="28800" windowHeight="15940" xr2:uid="{9359BC57-A822-3445-B588-7E071C6D13C9}"/>
  </bookViews>
  <sheets>
    <sheet name="Main" sheetId="1" r:id="rId1"/>
    <sheet name="Calibrati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J5" i="1" l="1"/>
  <c r="AK5" i="1"/>
  <c r="AI5" i="1"/>
  <c r="N5" i="1" l="1"/>
  <c r="O5" i="1"/>
  <c r="Q5" i="1" s="1"/>
  <c r="M5" i="1"/>
  <c r="AM5" i="1"/>
  <c r="AL5" i="1"/>
  <c r="AQ5" i="1" s="1"/>
  <c r="V5" i="1"/>
  <c r="U5" i="1"/>
  <c r="BJ5" i="1"/>
  <c r="AD5" i="1"/>
  <c r="AE5" i="1"/>
  <c r="AV5" i="1" s="1"/>
  <c r="Z5" i="1"/>
  <c r="G5" i="1"/>
  <c r="W5" i="1" s="1"/>
  <c r="E3" i="1"/>
  <c r="I3" i="1"/>
  <c r="G7" i="2"/>
  <c r="G5" i="2"/>
  <c r="G4" i="2"/>
  <c r="G6" i="2" s="1"/>
  <c r="G3" i="2"/>
  <c r="AC5" i="1"/>
  <c r="BI5" i="1"/>
  <c r="BH5" i="1"/>
  <c r="BG5" i="1"/>
  <c r="BR5" i="1"/>
  <c r="BN5" i="1"/>
  <c r="BT5" i="1"/>
  <c r="AU5" i="1"/>
  <c r="C3" i="2"/>
  <c r="BF5" i="1"/>
  <c r="L5" i="1"/>
  <c r="K5" i="1"/>
  <c r="BS5" i="1"/>
  <c r="BC5" i="1" l="1"/>
  <c r="BD5" i="1" s="1"/>
  <c r="AP5" i="1"/>
  <c r="AR5" i="1"/>
  <c r="AF5" i="1"/>
  <c r="AH5" i="1"/>
  <c r="P5" i="1"/>
  <c r="AG5" i="1"/>
  <c r="AZ5" i="1"/>
  <c r="AY5" i="1"/>
  <c r="AS5" i="1" l="1"/>
  <c r="AT5" i="1"/>
  <c r="AW5" i="1"/>
  <c r="AX5" i="1" s="1"/>
  <c r="BA5" i="1"/>
  <c r="BB5" i="1"/>
</calcChain>
</file>

<file path=xl/sharedStrings.xml><?xml version="1.0" encoding="utf-8"?>
<sst xmlns="http://schemas.openxmlformats.org/spreadsheetml/2006/main" count="148" uniqueCount="105">
  <si>
    <t>qPCR Data</t>
  </si>
  <si>
    <t>APPROVED DATA</t>
  </si>
  <si>
    <t>INHIBITION CONTROLS</t>
  </si>
  <si>
    <t>Date</t>
  </si>
  <si>
    <t>Sample ID</t>
  </si>
  <si>
    <t>Ct</t>
  </si>
  <si>
    <t>COPIES</t>
  </si>
  <si>
    <t>Empty tube weight (g)</t>
  </si>
  <si>
    <t>Full tube weight (g)</t>
  </si>
  <si>
    <t>Copies per Extracted Mass  (copies/g)</t>
  </si>
  <si>
    <t>AVG</t>
  </si>
  <si>
    <t>Copies / L</t>
  </si>
  <si>
    <t xml:space="preserve">Sample Name </t>
  </si>
  <si>
    <t>AVG 1/10</t>
  </si>
  <si>
    <t>AVG 1/40</t>
  </si>
  <si>
    <t>AVG No Dilution</t>
  </si>
  <si>
    <t>Copies</t>
  </si>
  <si>
    <t>Log(Copies)</t>
  </si>
  <si>
    <t>Slope</t>
  </si>
  <si>
    <t>Intercept</t>
  </si>
  <si>
    <t>Efficiency</t>
  </si>
  <si>
    <t>{sampleDate}</t>
  </si>
  <si>
    <t>{sampleID}</t>
  </si>
  <si>
    <t>{type}</t>
  </si>
  <si>
    <t>main_row_banner</t>
  </si>
  <si>
    <t>main_row_header</t>
  </si>
  <si>
    <t>main_row_data</t>
  </si>
  <si>
    <t>cal_row_header</t>
  </si>
  <si>
    <t>cal_row_data</t>
  </si>
  <si>
    <t>cal_row_footer</t>
  </si>
  <si>
    <t>cal_col_logct</t>
  </si>
  <si>
    <t>cal_col_ct</t>
  </si>
  <si>
    <t>{value_sq_avg}</t>
  </si>
  <si>
    <t>Copies
AVG</t>
  </si>
  <si>
    <t>Copies
STDEV</t>
  </si>
  <si>
    <t>Ct
STDEV</t>
  </si>
  <si>
    <t>Ct
AVG</t>
  </si>
  <si>
    <t>Gene</t>
  </si>
  <si>
    <t>Pellet weight (g)</t>
  </si>
  <si>
    <t>Extracted Mass (in 100 uL) (g)</t>
  </si>
  <si>
    <t>Copies per Extracted Mass  (copies/g)
AVG</t>
  </si>
  <si>
    <t>Copies per Extracted Mass
STDEV</t>
  </si>
  <si>
    <t>STDEV</t>
  </si>
  <si>
    <t>Copies per Extracted Mass (Copies/g)</t>
  </si>
  <si>
    <t>{type} Avg</t>
  </si>
  <si>
    <t>R-sq</t>
  </si>
  <si>
    <t>main_col_ct</t>
  </si>
  <si>
    <t>main_col_copies</t>
  </si>
  <si>
    <t>main_col_bl_ct</t>
  </si>
  <si>
    <t>main_col_ct_avg</t>
  </si>
  <si>
    <t>main_col_copies_avg</t>
  </si>
  <si>
    <t>main_col_copies_per_mass_avg</t>
  </si>
  <si>
    <t>main_col_copies_per_mass</t>
  </si>
  <si>
    <t>main_col_copies_per_copies_avg</t>
  </si>
  <si>
    <t>main_col_copies_per_copies</t>
  </si>
  <si>
    <t>main_col_copies_per_volume</t>
  </si>
  <si>
    <t>main_col_copies_per_volume_avg</t>
  </si>
  <si>
    <t>main_col_inhibition_10_ct</t>
  </si>
  <si>
    <t>main_col_inhibition_10_ct_avg</t>
  </si>
  <si>
    <t>main_col_inhibition_40_ct_avg</t>
  </si>
  <si>
    <t>main_col_inhibition_40_ct</t>
  </si>
  <si>
    <t>main_col_inhibition_nodil_ct_avg,main_col_bl_ct_avg</t>
  </si>
  <si>
    <t>main_col_inhibition_nodil_ct</t>
  </si>
  <si>
    <t>main_col_bl_ct_avg</t>
  </si>
  <si>
    <t>{analysisDate};__MERGETO(bottom)</t>
  </si>
  <si>
    <t>main_col_sample_date</t>
  </si>
  <si>
    <t>cal_col_ct_avg</t>
  </si>
  <si>
    <t>Settled solids (mL)</t>
  </si>
  <si>
    <t>Well volume (uL)</t>
  </si>
  <si>
    <t>Site</t>
  </si>
  <si>
    <t>nPMMoV Ct</t>
  </si>
  <si>
    <t>nPMMoV
AVG</t>
  </si>
  <si>
    <t>nPMMoV
STDEV</t>
  </si>
  <si>
    <t xml:space="preserve">nPMMoV Copies </t>
  </si>
  <si>
    <t>nPMMoV Copies
AVG</t>
  </si>
  <si>
    <t>nPMMoV Copies
STDEV</t>
  </si>
  <si>
    <t>Copies per Copies of nPMMoV</t>
  </si>
  <si>
    <t>nPMMoV Copies per Extracted Mass (copies/g)</t>
  </si>
  <si>
    <t>nPMMoV Copies/L</t>
  </si>
  <si>
    <t>nPMMoV 1/10</t>
  </si>
  <si>
    <t>nPMMoV 1/40</t>
  </si>
  <si>
    <t>nPMMoV No Dilution</t>
  </si>
  <si>
    <t>ΔCt
1/10 - Full</t>
  </si>
  <si>
    <t>ΔCt
1/40 - Full</t>
  </si>
  <si>
    <t>{value_0|&lt;ND&gt;|&lt;MISSING&gt;}</t>
  </si>
  <si>
    <t>{value_1|&lt;ND&gt;|&lt;MISSING&gt;}</t>
  </si>
  <si>
    <t>{value_2|&lt;ND&gt;|&lt;MISSING&gt;}</t>
  </si>
  <si>
    <t>{value_npmmov_dil10_0|&lt;ND&gt;|&lt;MISSING&gt;}</t>
  </si>
  <si>
    <t>{value_npmmov_dil10_1|&lt;ND&gt;|&lt;MISSING&gt;}</t>
  </si>
  <si>
    <t>{value_npmmov_dil10_2|&lt;ND&gt;|&lt;MISSING&gt;}</t>
  </si>
  <si>
    <t>Total volume (mL)</t>
  </si>
  <si>
    <t>{value_npmmov_dil40_0|&lt;ND&gt;|&lt;MISSING&gt;}</t>
  </si>
  <si>
    <t>{value_npmmov_dil40_1|&lt;ND&gt;|&lt;MISSING&gt;}</t>
  </si>
  <si>
    <t>{value_npmmov_dil40_2|&lt;ND&gt;|&lt;MISSING&gt;}</t>
  </si>
  <si>
    <t>{value_npmmov_0|&lt;ND&gt;|&lt;MISSING&gt;}</t>
  </si>
  <si>
    <t>{value_npmmov_1|&lt;ND&gt;|&lt;MISSING&gt;}</t>
  </si>
  <si>
    <t>{value_npmmov_2|&lt;ND&gt;|&lt;MISSING&gt;}</t>
  </si>
  <si>
    <t>{value_emptytubemass_0||}</t>
  </si>
  <si>
    <t>{value_tottubemass_0||}</t>
  </si>
  <si>
    <t>{value_setsol_0||}</t>
  </si>
  <si>
    <t>{value_extmass_0||}</t>
  </si>
  <si>
    <t>main_col_inhibition_10_nodil_dct</t>
  </si>
  <si>
    <t>main_col_inhibition_40_nodil_dct</t>
  </si>
  <si>
    <t>Sample
Type</t>
  </si>
  <si>
    <t>__UPPER({siteID})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</si>
</sst>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-F800]dddd\,\ mmmm\ dd\,\ yyyy"/>
    <numFmt numFmtId="165" formatCode="0.0000"/>
    <numFmt numFmtId="166" formatCode="0.0000_);\(0.0000\)"/>
    <numFmt numFmtId="167" formatCode="0.000000"/>
    <numFmt numFmtId="168" formatCode="0.0"/>
  </numFmts>
  <fonts count="13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theme="1"/>
      <name val="Arial"/>
      <family val="2"/>
    </font>
    <font>
      <b/>
      <sz val="22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sz val="8"/>
      <color rgb="FF000000"/>
      <name val="Helvetica Neue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sz val="12"/>
      <color rgb="FF000000"/>
      <name val="Calibri"/>
      <family val="2"/>
      <scheme val="minor"/>
    </font>
    <font>
      <sz val="12"/>
      <color rgb="FF006100"/>
      <name val="Arial"/>
      <family val="2"/>
    </font>
    <font>
      <sz val="12"/>
      <name val="Arial"/>
      <family val="2"/>
    </font>
    <font>
      <b/>
      <sz val="16"/>
      <color theme="1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CE4D6"/>
        <bgColor rgb="FF000000"/>
      </patternFill>
    </fill>
    <fill>
      <patternFill patternType="solid">
        <fgColor rgb="FFFFCCCC"/>
        <bgColor rgb="FF000000"/>
      </patternFill>
    </fill>
    <fill>
      <patternFill patternType="solid">
        <fgColor rgb="FFC6EFCE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6" fillId="0" borderId="0"/>
  </cellStyleXfs>
  <cellXfs count="71">
    <xf numFmtId="0" fontId="0" fillId="0" borderId="0" xfId="0"/>
    <xf numFmtId="0" fontId="2" fillId="3" borderId="0" xfId="0" applyFont="1" applyFill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7" borderId="9" xfId="0" applyFont="1" applyFill="1" applyBorder="1" applyAlignment="1">
      <alignment horizontal="center" vertical="center"/>
    </xf>
    <xf numFmtId="0" fontId="4" fillId="7" borderId="9" xfId="0" applyFont="1" applyFill="1" applyBorder="1" applyAlignment="1">
      <alignment horizontal="center" vertical="center" wrapText="1"/>
    </xf>
    <xf numFmtId="0" fontId="4" fillId="8" borderId="9" xfId="0" applyFont="1" applyFill="1" applyBorder="1" applyAlignment="1">
      <alignment horizontal="center" vertical="center" wrapText="1"/>
    </xf>
    <xf numFmtId="0" fontId="5" fillId="7" borderId="9" xfId="0" applyFont="1" applyFill="1" applyBorder="1" applyAlignment="1">
      <alignment horizontal="center" vertical="center" wrapText="1"/>
    </xf>
    <xf numFmtId="0" fontId="4" fillId="5" borderId="12" xfId="0" applyFont="1" applyFill="1" applyBorder="1" applyAlignment="1">
      <alignment horizontal="center" vertical="center" wrapText="1"/>
    </xf>
    <xf numFmtId="0" fontId="4" fillId="5" borderId="13" xfId="0" applyFont="1" applyFill="1" applyBorder="1" applyAlignment="1">
      <alignment horizontal="center" vertical="center" wrapText="1"/>
    </xf>
    <xf numFmtId="0" fontId="4" fillId="10" borderId="9" xfId="0" applyFont="1" applyFill="1" applyBorder="1" applyAlignment="1">
      <alignment horizontal="center" vertical="center" wrapText="1"/>
    </xf>
    <xf numFmtId="0" fontId="4" fillId="11" borderId="9" xfId="0" applyFont="1" applyFill="1" applyBorder="1" applyAlignment="1">
      <alignment horizontal="center" vertical="center" wrapText="1"/>
    </xf>
    <xf numFmtId="0" fontId="4" fillId="10" borderId="13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0" fontId="5" fillId="9" borderId="9" xfId="0" applyFont="1" applyFill="1" applyBorder="1" applyAlignment="1">
      <alignment horizontal="center" vertical="center" wrapText="1"/>
    </xf>
    <xf numFmtId="0" fontId="4" fillId="7" borderId="10" xfId="0" applyFont="1" applyFill="1" applyBorder="1" applyAlignment="1">
      <alignment horizontal="center" vertical="center" wrapText="1"/>
    </xf>
    <xf numFmtId="0" fontId="4" fillId="10" borderId="11" xfId="0" applyFont="1" applyFill="1" applyBorder="1" applyAlignment="1">
      <alignment horizontal="center" vertical="center" wrapText="1"/>
    </xf>
    <xf numFmtId="2" fontId="7" fillId="0" borderId="0" xfId="0" applyNumberFormat="1" applyFont="1" applyAlignment="1">
      <alignment horizontal="center" vertical="center"/>
    </xf>
    <xf numFmtId="2" fontId="7" fillId="0" borderId="9" xfId="0" applyNumberFormat="1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165" fontId="7" fillId="0" borderId="9" xfId="0" applyNumberFormat="1" applyFont="1" applyBorder="1" applyAlignment="1">
      <alignment horizontal="center" vertical="center"/>
    </xf>
    <xf numFmtId="10" fontId="2" fillId="0" borderId="9" xfId="0" applyNumberFormat="1" applyFont="1" applyBorder="1" applyAlignment="1">
      <alignment horizontal="center" vertical="center"/>
    </xf>
    <xf numFmtId="0" fontId="9" fillId="0" borderId="0" xfId="0" applyFont="1"/>
    <xf numFmtId="2" fontId="2" fillId="0" borderId="0" xfId="0" applyNumberFormat="1" applyFont="1" applyBorder="1" applyAlignment="1">
      <alignment horizontal="center" vertical="center"/>
    </xf>
    <xf numFmtId="2" fontId="12" fillId="4" borderId="0" xfId="0" applyNumberFormat="1" applyFont="1" applyFill="1" applyAlignment="1">
      <alignment horizontal="center" vertical="center"/>
    </xf>
    <xf numFmtId="2" fontId="12" fillId="5" borderId="1" xfId="0" applyNumberFormat="1" applyFont="1" applyFill="1" applyBorder="1" applyAlignment="1">
      <alignment horizontal="center" vertical="center"/>
    </xf>
    <xf numFmtId="2" fontId="12" fillId="5" borderId="3" xfId="0" applyNumberFormat="1" applyFont="1" applyFill="1" applyBorder="1" applyAlignment="1">
      <alignment horizontal="center" vertical="center"/>
    </xf>
    <xf numFmtId="165" fontId="10" fillId="2" borderId="14" xfId="1" applyNumberFormat="1" applyFont="1" applyBorder="1" applyAlignment="1">
      <alignment horizontal="center" vertical="center"/>
    </xf>
    <xf numFmtId="165" fontId="2" fillId="0" borderId="15" xfId="0" applyNumberFormat="1" applyFont="1" applyBorder="1" applyAlignment="1">
      <alignment horizontal="center" vertical="center"/>
    </xf>
    <xf numFmtId="165" fontId="10" fillId="2" borderId="16" xfId="1" applyNumberFormat="1" applyFont="1" applyBorder="1" applyAlignment="1">
      <alignment horizontal="center" vertical="center"/>
    </xf>
    <xf numFmtId="15" fontId="4" fillId="0" borderId="0" xfId="0" applyNumberFormat="1" applyFont="1" applyAlignment="1">
      <alignment horizontal="center" vertical="center"/>
    </xf>
    <xf numFmtId="15" fontId="4" fillId="4" borderId="0" xfId="0" applyNumberFormat="1" applyFont="1" applyFill="1" applyAlignment="1">
      <alignment horizontal="center" vertical="center"/>
    </xf>
    <xf numFmtId="15" fontId="2" fillId="0" borderId="0" xfId="0" applyNumberFormat="1" applyFont="1" applyAlignment="1">
      <alignment horizontal="center" vertical="center"/>
    </xf>
    <xf numFmtId="166" fontId="2" fillId="14" borderId="0" xfId="0" applyNumberFormat="1" applyFont="1" applyFill="1" applyAlignment="1">
      <alignment horizontal="center" vertical="center"/>
    </xf>
    <xf numFmtId="2" fontId="2" fillId="14" borderId="0" xfId="0" applyNumberFormat="1" applyFont="1" applyFill="1" applyAlignment="1">
      <alignment horizontal="center" vertical="center"/>
    </xf>
    <xf numFmtId="167" fontId="11" fillId="9" borderId="14" xfId="1" applyNumberFormat="1" applyFont="1" applyFill="1" applyBorder="1" applyAlignment="1">
      <alignment horizontal="center" vertical="center"/>
    </xf>
    <xf numFmtId="0" fontId="8" fillId="12" borderId="9" xfId="0" applyFont="1" applyFill="1" applyBorder="1" applyAlignment="1">
      <alignment horizontal="center" vertical="center"/>
    </xf>
    <xf numFmtId="16" fontId="2" fillId="0" borderId="0" xfId="0" applyNumberFormat="1" applyFont="1" applyFill="1" applyBorder="1" applyAlignment="1">
      <alignment vertical="center"/>
    </xf>
    <xf numFmtId="0" fontId="7" fillId="0" borderId="17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165" fontId="2" fillId="0" borderId="9" xfId="0" applyNumberFormat="1" applyFont="1" applyBorder="1" applyAlignment="1">
      <alignment horizontal="center"/>
    </xf>
    <xf numFmtId="164" fontId="3" fillId="13" borderId="0" xfId="0" applyNumberFormat="1" applyFont="1" applyFill="1" applyAlignment="1">
      <alignment horizontal="center" vertical="center" textRotation="90"/>
    </xf>
    <xf numFmtId="4" fontId="2" fillId="0" borderId="0" xfId="0" applyNumberFormat="1" applyFont="1" applyAlignment="1">
      <alignment horizontal="center" vertical="center"/>
    </xf>
    <xf numFmtId="167" fontId="10" fillId="2" borderId="14" xfId="1" applyNumberFormat="1" applyFont="1" applyBorder="1" applyAlignment="1">
      <alignment horizontal="center" vertical="center"/>
    </xf>
    <xf numFmtId="0" fontId="4" fillId="7" borderId="10" xfId="0" applyFont="1" applyFill="1" applyBorder="1" applyAlignment="1">
      <alignment horizontal="center" vertical="center" wrapText="1"/>
    </xf>
    <xf numFmtId="168" fontId="2" fillId="0" borderId="0" xfId="0" applyNumberFormat="1" applyFont="1" applyAlignment="1">
      <alignment horizontal="center" vertical="center"/>
    </xf>
    <xf numFmtId="0" fontId="4" fillId="7" borderId="10" xfId="0" applyFont="1" applyFill="1" applyBorder="1" applyAlignment="1">
      <alignment horizontal="center" vertical="center"/>
    </xf>
    <xf numFmtId="0" fontId="2" fillId="0" borderId="18" xfId="0" applyFont="1" applyFill="1" applyBorder="1" applyAlignment="1">
      <alignment vertical="center"/>
    </xf>
    <xf numFmtId="0" fontId="2" fillId="0" borderId="0" xfId="0" applyFont="1"/>
    <xf numFmtId="0" fontId="4" fillId="7" borderId="10" xfId="0" applyFont="1" applyFill="1" applyBorder="1" applyAlignment="1">
      <alignment horizontal="center" vertical="center" wrapText="1"/>
    </xf>
    <xf numFmtId="16" fontId="2" fillId="0" borderId="18" xfId="0" applyNumberFormat="1" applyFont="1" applyFill="1" applyBorder="1" applyAlignment="1">
      <alignment vertical="center"/>
    </xf>
    <xf numFmtId="16" fontId="2" fillId="0" borderId="18" xfId="0" applyNumberFormat="1" applyFont="1" applyFill="1" applyBorder="1" applyAlignment="1">
      <alignment horizontal="center" vertical="center"/>
    </xf>
    <xf numFmtId="0" fontId="2" fillId="0" borderId="18" xfId="0" applyFont="1" applyFill="1" applyBorder="1" applyAlignment="1">
      <alignment horizontal="center" vertical="center"/>
    </xf>
    <xf numFmtId="2" fontId="12" fillId="4" borderId="4" xfId="0" applyNumberFormat="1" applyFont="1" applyFill="1" applyBorder="1" applyAlignment="1">
      <alignment horizontal="center" vertical="center"/>
    </xf>
    <xf numFmtId="2" fontId="12" fillId="4" borderId="5" xfId="0" applyNumberFormat="1" applyFont="1" applyFill="1" applyBorder="1" applyAlignment="1">
      <alignment horizontal="center" vertical="center"/>
    </xf>
    <xf numFmtId="2" fontId="12" fillId="4" borderId="6" xfId="0" applyNumberFormat="1" applyFont="1" applyFill="1" applyBorder="1" applyAlignment="1">
      <alignment horizontal="center" vertical="center"/>
    </xf>
    <xf numFmtId="2" fontId="12" fillId="6" borderId="7" xfId="0" applyNumberFormat="1" applyFont="1" applyFill="1" applyBorder="1" applyAlignment="1">
      <alignment horizontal="center" vertical="center"/>
    </xf>
    <xf numFmtId="2" fontId="12" fillId="6" borderId="8" xfId="0" applyNumberFormat="1" applyFont="1" applyFill="1" applyBorder="1" applyAlignment="1">
      <alignment horizontal="center" vertical="center"/>
    </xf>
    <xf numFmtId="0" fontId="4" fillId="7" borderId="10" xfId="0" applyFont="1" applyFill="1" applyBorder="1" applyAlignment="1">
      <alignment horizontal="center" vertical="center"/>
    </xf>
    <xf numFmtId="0" fontId="4" fillId="7" borderId="7" xfId="0" applyFont="1" applyFill="1" applyBorder="1" applyAlignment="1">
      <alignment horizontal="center" vertical="center"/>
    </xf>
    <xf numFmtId="0" fontId="4" fillId="7" borderId="11" xfId="0" applyFont="1" applyFill="1" applyBorder="1" applyAlignment="1">
      <alignment horizontal="center" vertical="center"/>
    </xf>
    <xf numFmtId="0" fontId="4" fillId="7" borderId="10" xfId="0" applyFont="1" applyFill="1" applyBorder="1" applyAlignment="1">
      <alignment horizontal="center" vertical="center" wrapText="1"/>
    </xf>
    <xf numFmtId="0" fontId="4" fillId="7" borderId="7" xfId="0" applyFont="1" applyFill="1" applyBorder="1" applyAlignment="1">
      <alignment horizontal="center" vertical="center" wrapText="1"/>
    </xf>
    <xf numFmtId="0" fontId="4" fillId="7" borderId="11" xfId="0" applyFont="1" applyFill="1" applyBorder="1" applyAlignment="1">
      <alignment horizontal="center" vertical="center" wrapText="1"/>
    </xf>
    <xf numFmtId="0" fontId="8" fillId="12" borderId="10" xfId="0" applyFont="1" applyFill="1" applyBorder="1" applyAlignment="1">
      <alignment horizontal="center" vertical="center"/>
    </xf>
    <xf numFmtId="0" fontId="8" fillId="12" borderId="7" xfId="0" applyFont="1" applyFill="1" applyBorder="1" applyAlignment="1">
      <alignment horizontal="center" vertical="center"/>
    </xf>
    <xf numFmtId="0" fontId="8" fillId="12" borderId="11" xfId="0" applyFont="1" applyFill="1" applyBorder="1" applyAlignment="1">
      <alignment horizontal="center" vertical="center"/>
    </xf>
  </cellXfs>
  <cellStyles count="3">
    <cellStyle name="Good" xfId="1" builtinId="26"/>
    <cellStyle name="Normal" xfId="0" builtinId="0"/>
    <cellStyle name="Normal 9" xfId="2" xr:uid="{08331402-503D-8C40-95D0-C0983F980B89}"/>
  </cellStyles>
  <dxfs count="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6EF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78BE4-03D0-4C45-A8C6-85FB2F5005D2}">
  <dimension ref="A1:BT10"/>
  <sheetViews>
    <sheetView tabSelected="1" topLeftCell="X1" zoomScaleNormal="100" workbookViewId="0">
      <selection activeCell="AP5" sqref="AP5"/>
    </sheetView>
  </sheetViews>
  <sheetFormatPr baseColWidth="10" defaultRowHeight="16" x14ac:dyDescent="0.2"/>
  <cols>
    <col min="1" max="1" width="27.1640625" customWidth="1"/>
    <col min="2" max="2" width="8.33203125" customWidth="1"/>
    <col min="3" max="3" width="14.83203125" customWidth="1"/>
    <col min="4" max="4" width="30.1640625" customWidth="1"/>
    <col min="5" max="7" width="11" customWidth="1"/>
    <col min="8" max="22" width="11" bestFit="1" customWidth="1"/>
    <col min="23" max="23" width="11" customWidth="1"/>
    <col min="24" max="26" width="11" bestFit="1" customWidth="1"/>
    <col min="27" max="27" width="11" customWidth="1"/>
    <col min="28" max="29" width="16.1640625" customWidth="1"/>
    <col min="30" max="34" width="11" bestFit="1" customWidth="1"/>
    <col min="35" max="37" width="15" bestFit="1" customWidth="1"/>
    <col min="38" max="38" width="16.33203125" bestFit="1" customWidth="1"/>
    <col min="39" max="39" width="13" customWidth="1"/>
    <col min="40" max="40" width="13.6640625" customWidth="1"/>
    <col min="42" max="46" width="11" bestFit="1" customWidth="1"/>
    <col min="47" max="49" width="11.6640625" bestFit="1" customWidth="1"/>
    <col min="50" max="50" width="13" customWidth="1"/>
    <col min="51" max="52" width="16.1640625" customWidth="1"/>
    <col min="53" max="53" width="15.33203125" customWidth="1"/>
    <col min="54" max="54" width="14.1640625" customWidth="1"/>
    <col min="55" max="55" width="19.6640625" customWidth="1"/>
    <col min="56" max="56" width="19.33203125" customWidth="1"/>
    <col min="57" max="57" width="11" bestFit="1" customWidth="1"/>
    <col min="58" max="58" width="29.1640625" customWidth="1"/>
    <col min="59" max="62" width="11" bestFit="1" customWidth="1"/>
    <col min="66" max="68" width="11" bestFit="1" customWidth="1"/>
    <col min="70" max="72" width="11" bestFit="1" customWidth="1"/>
  </cols>
  <sheetData>
    <row r="1" spans="1:72" ht="17" thickBot="1" x14ac:dyDescent="0.25">
      <c r="C1" t="s">
        <v>65</v>
      </c>
      <c r="H1" t="s">
        <v>46</v>
      </c>
      <c r="I1" t="s">
        <v>46</v>
      </c>
      <c r="J1" t="s">
        <v>46</v>
      </c>
      <c r="K1" t="s">
        <v>49</v>
      </c>
      <c r="M1" t="s">
        <v>47</v>
      </c>
      <c r="N1" s="26" t="s">
        <v>47</v>
      </c>
      <c r="O1" t="s">
        <v>47</v>
      </c>
      <c r="P1" t="s">
        <v>50</v>
      </c>
      <c r="R1" t="s">
        <v>48</v>
      </c>
      <c r="S1" t="s">
        <v>48</v>
      </c>
      <c r="T1" t="s">
        <v>48</v>
      </c>
      <c r="U1" t="s">
        <v>63</v>
      </c>
      <c r="AD1" t="s">
        <v>52</v>
      </c>
      <c r="AE1" t="s">
        <v>52</v>
      </c>
      <c r="AF1" t="s">
        <v>52</v>
      </c>
      <c r="AG1" t="s">
        <v>51</v>
      </c>
      <c r="AP1" t="s">
        <v>54</v>
      </c>
      <c r="AQ1" t="s">
        <v>54</v>
      </c>
      <c r="AR1" t="s">
        <v>54</v>
      </c>
      <c r="AS1" t="s">
        <v>53</v>
      </c>
      <c r="AY1" t="s">
        <v>55</v>
      </c>
      <c r="AZ1" t="s">
        <v>55</v>
      </c>
      <c r="BA1" t="s">
        <v>55</v>
      </c>
      <c r="BB1" t="s">
        <v>56</v>
      </c>
      <c r="BG1" t="s">
        <v>57</v>
      </c>
      <c r="BH1" t="s">
        <v>57</v>
      </c>
      <c r="BI1" t="s">
        <v>57</v>
      </c>
      <c r="BJ1" t="s">
        <v>58</v>
      </c>
      <c r="BK1" t="s">
        <v>60</v>
      </c>
      <c r="BL1" t="s">
        <v>60</v>
      </c>
      <c r="BM1" t="s">
        <v>60</v>
      </c>
      <c r="BN1" t="s">
        <v>59</v>
      </c>
      <c r="BO1" t="s">
        <v>62</v>
      </c>
      <c r="BP1" t="s">
        <v>62</v>
      </c>
      <c r="BQ1" t="s">
        <v>62</v>
      </c>
      <c r="BR1" t="s">
        <v>61</v>
      </c>
      <c r="BS1" t="s">
        <v>101</v>
      </c>
      <c r="BT1" t="s">
        <v>102</v>
      </c>
    </row>
    <row r="2" spans="1:72" s="5" customFormat="1" ht="17" thickBot="1" x14ac:dyDescent="0.25">
      <c r="A2" s="5" t="s">
        <v>24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2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4"/>
    </row>
    <row r="3" spans="1:72" s="5" customFormat="1" ht="40" customHeight="1" x14ac:dyDescent="0.2">
      <c r="A3" s="5" t="s">
        <v>24</v>
      </c>
      <c r="B3" s="45" t="s">
        <v>64</v>
      </c>
      <c r="C3" s="5" t="s">
        <v>0</v>
      </c>
      <c r="D3" s="41"/>
      <c r="E3" s="55" t="e">
        <f ca="1">__QAQCHASFAILEDCATEGORY("NTC", "NTC Error! See {qaqc_sheet}", "NTCs Good", "No NTCs")</f>
        <v>#NAME?</v>
      </c>
      <c r="F3" s="55"/>
      <c r="G3" s="55"/>
      <c r="H3" s="54"/>
      <c r="I3" s="56" t="e">
        <f ca="1">__QAQCHASFAILEDCATEGORY("EB", "EB Error! See {qaqc_sheet}", "Extraction Blanks Good", "No Extraction Blanks")</f>
        <v>#NAME?</v>
      </c>
      <c r="J3" s="56"/>
      <c r="K3" s="56"/>
      <c r="L3" s="51"/>
      <c r="AP3" s="57" t="s">
        <v>1</v>
      </c>
      <c r="AQ3" s="58"/>
      <c r="AR3" s="58"/>
      <c r="AS3" s="58"/>
      <c r="AT3" s="58"/>
      <c r="AU3" s="58"/>
      <c r="AV3" s="58"/>
      <c r="AW3" s="58"/>
      <c r="AX3" s="58"/>
      <c r="AY3" s="58"/>
      <c r="AZ3" s="58"/>
      <c r="BA3" s="59"/>
      <c r="BB3" s="28"/>
      <c r="BC3" s="29"/>
      <c r="BD3" s="30"/>
      <c r="BE3" s="60" t="s">
        <v>2</v>
      </c>
      <c r="BF3" s="60"/>
      <c r="BG3" s="60"/>
      <c r="BH3" s="60"/>
      <c r="BI3" s="60"/>
      <c r="BJ3" s="60"/>
      <c r="BK3" s="60"/>
      <c r="BL3" s="60"/>
      <c r="BM3" s="60"/>
      <c r="BN3" s="60"/>
      <c r="BO3" s="60"/>
      <c r="BP3" s="60"/>
      <c r="BQ3" s="60"/>
      <c r="BR3" s="60"/>
      <c r="BS3" s="60"/>
      <c r="BT3" s="61"/>
    </row>
    <row r="4" spans="1:72" s="5" customFormat="1" ht="102" x14ac:dyDescent="0.2">
      <c r="A4" s="5" t="s">
        <v>25</v>
      </c>
      <c r="C4" s="6" t="s">
        <v>3</v>
      </c>
      <c r="D4" s="6" t="s">
        <v>4</v>
      </c>
      <c r="E4" s="6" t="s">
        <v>37</v>
      </c>
      <c r="F4" s="50" t="s">
        <v>69</v>
      </c>
      <c r="G4" s="53" t="s">
        <v>103</v>
      </c>
      <c r="H4" s="62" t="s">
        <v>5</v>
      </c>
      <c r="I4" s="63"/>
      <c r="J4" s="64"/>
      <c r="K4" s="7" t="s">
        <v>36</v>
      </c>
      <c r="L4" s="7" t="s">
        <v>35</v>
      </c>
      <c r="M4" s="62" t="s">
        <v>6</v>
      </c>
      <c r="N4" s="63"/>
      <c r="O4" s="64"/>
      <c r="P4" s="8" t="s">
        <v>33</v>
      </c>
      <c r="Q4" s="7" t="s">
        <v>34</v>
      </c>
      <c r="R4" s="62" t="s">
        <v>70</v>
      </c>
      <c r="S4" s="63"/>
      <c r="T4" s="64"/>
      <c r="U4" s="8" t="s">
        <v>71</v>
      </c>
      <c r="V4" s="7" t="s">
        <v>72</v>
      </c>
      <c r="W4" s="7" t="s">
        <v>90</v>
      </c>
      <c r="X4" s="7" t="s">
        <v>7</v>
      </c>
      <c r="Y4" s="7" t="s">
        <v>8</v>
      </c>
      <c r="Z4" s="7" t="s">
        <v>38</v>
      </c>
      <c r="AA4" s="7" t="s">
        <v>67</v>
      </c>
      <c r="AB4" s="7" t="s">
        <v>39</v>
      </c>
      <c r="AC4" s="48" t="s">
        <v>68</v>
      </c>
      <c r="AD4" s="65" t="s">
        <v>9</v>
      </c>
      <c r="AE4" s="66"/>
      <c r="AF4" s="67"/>
      <c r="AG4" s="9" t="s">
        <v>40</v>
      </c>
      <c r="AH4" s="7" t="s">
        <v>41</v>
      </c>
      <c r="AI4" s="65" t="s">
        <v>73</v>
      </c>
      <c r="AJ4" s="66"/>
      <c r="AK4" s="67"/>
      <c r="AL4" s="7" t="s">
        <v>74</v>
      </c>
      <c r="AM4" s="7" t="s">
        <v>75</v>
      </c>
      <c r="AN4" s="6" t="s">
        <v>3</v>
      </c>
      <c r="AO4" s="6" t="s">
        <v>37</v>
      </c>
      <c r="AP4" s="65" t="s">
        <v>76</v>
      </c>
      <c r="AQ4" s="66"/>
      <c r="AR4" s="67"/>
      <c r="AS4" s="18" t="s">
        <v>10</v>
      </c>
      <c r="AT4" s="18" t="s">
        <v>42</v>
      </c>
      <c r="AU4" s="65" t="s">
        <v>43</v>
      </c>
      <c r="AV4" s="66"/>
      <c r="AW4" s="67"/>
      <c r="AX4" s="7" t="s">
        <v>10</v>
      </c>
      <c r="AY4" s="65" t="s">
        <v>11</v>
      </c>
      <c r="AZ4" s="66"/>
      <c r="BA4" s="67"/>
      <c r="BB4" s="19" t="s">
        <v>10</v>
      </c>
      <c r="BC4" s="10" t="s">
        <v>77</v>
      </c>
      <c r="BD4" s="11" t="s">
        <v>78</v>
      </c>
      <c r="BE4" s="20" t="s">
        <v>3</v>
      </c>
      <c r="BF4" s="12" t="s">
        <v>12</v>
      </c>
      <c r="BG4" s="12" t="s">
        <v>79</v>
      </c>
      <c r="BH4" s="12" t="s">
        <v>79</v>
      </c>
      <c r="BI4" s="12" t="s">
        <v>79</v>
      </c>
      <c r="BJ4" s="13" t="s">
        <v>13</v>
      </c>
      <c r="BK4" s="12" t="s">
        <v>80</v>
      </c>
      <c r="BL4" s="12" t="s">
        <v>80</v>
      </c>
      <c r="BM4" s="12" t="s">
        <v>80</v>
      </c>
      <c r="BN4" s="13" t="s">
        <v>14</v>
      </c>
      <c r="BO4" s="12" t="s">
        <v>81</v>
      </c>
      <c r="BP4" s="12" t="s">
        <v>81</v>
      </c>
      <c r="BQ4" s="12" t="s">
        <v>81</v>
      </c>
      <c r="BR4" s="13" t="s">
        <v>15</v>
      </c>
      <c r="BS4" s="12" t="s">
        <v>82</v>
      </c>
      <c r="BT4" s="14" t="s">
        <v>83</v>
      </c>
    </row>
    <row r="5" spans="1:72" s="5" customFormat="1" x14ac:dyDescent="0.2">
      <c r="A5" s="5" t="s">
        <v>26</v>
      </c>
      <c r="C5" s="34" t="s">
        <v>21</v>
      </c>
      <c r="D5" s="15" t="s">
        <v>22</v>
      </c>
      <c r="E5" s="15" t="s">
        <v>23</v>
      </c>
      <c r="F5" s="15" t="s">
        <v>104</v>
      </c>
      <c r="G5" s="15" t="e">
        <f ca="1">__QUOTIFY(__GETDATA(D5, "sample_typeShortDescription"))</f>
        <v>#NAME?</v>
      </c>
      <c r="H5" s="16" t="s">
        <v>84</v>
      </c>
      <c r="I5" s="16" t="s">
        <v>85</v>
      </c>
      <c r="J5" s="21" t="s">
        <v>86</v>
      </c>
      <c r="K5" s="16" t="e">
        <f>AVERAGE(H5:J5)</f>
        <v>#DIV/0!</v>
      </c>
      <c r="L5" s="16" t="e">
        <f>STDEV(H5:J5)</f>
        <v>#DIV/0!</v>
      </c>
      <c r="M5" s="38" t="str">
        <f>IF(ISNUMBER(H5),10^((H5-__GETCELL(__GETDATA(H5,"standardCurveID"), "intercept", FALSE))/__GETCELL(__GETDATA(H5, "standardCurveID"), "slope", FALSE)),IF(H5="&lt;ND&gt;",0,""))</f>
        <v/>
      </c>
      <c r="N5" s="38" t="str">
        <f>IF(ISNUMBER(I5),10^((I5-__GETCELL(__GETDATA(I5,"standardCurveID"), "intercept", FALSE))/__GETCELL(__GETDATA(I5, "standardCurveID"), "slope", FALSE)),IF(I5="&lt;ND&gt;",0,""))</f>
        <v/>
      </c>
      <c r="O5" s="38" t="str">
        <f>IF(ISNUMBER(J5),10^((J5-__GETCELL(__GETDATA(J5,"standardCurveID"), "intercept", FALSE))/__GETCELL(__GETDATA(J5, "standardCurveID"), "slope", FALSE)),IF(J5="&lt;ND&gt;",0,""))</f>
        <v/>
      </c>
      <c r="P5" s="16" t="e">
        <f>AVERAGE(M5:O5)</f>
        <v>#DIV/0!</v>
      </c>
      <c r="Q5" s="16" t="e">
        <f>STDEV(M5:O5)</f>
        <v>#DIV/0!</v>
      </c>
      <c r="R5" s="16" t="s">
        <v>87</v>
      </c>
      <c r="S5" s="16" t="s">
        <v>88</v>
      </c>
      <c r="T5" s="16" t="s">
        <v>89</v>
      </c>
      <c r="U5" s="16" t="str">
        <f>IF(COUNT(R5:T5)&gt;0,AVERAGE(R5:T5),"")</f>
        <v/>
      </c>
      <c r="V5" s="16" t="str">
        <f>IF(COUNT(R5:T5)&gt;0,STDEV(R5:T5),"")</f>
        <v/>
      </c>
      <c r="W5" s="17" t="e">
        <f ca="1">IF(G5="PS",40,__SELECT("{value_totvol_0||}", """"))</f>
        <v>#NAME?</v>
      </c>
      <c r="X5" s="17" t="s">
        <v>97</v>
      </c>
      <c r="Y5" s="17" t="s">
        <v>98</v>
      </c>
      <c r="Z5" s="17" t="str">
        <f>IF(AND(ISNUMBER(Y5),ISNUMBER(X5)),Y5-X5,"")</f>
        <v/>
      </c>
      <c r="AA5" s="17" t="s">
        <v>99</v>
      </c>
      <c r="AB5" s="17" t="s">
        <v>100</v>
      </c>
      <c r="AC5" s="49">
        <f>IF(ISERROR(DATEVALUE(B5)),3,IF(DATEVALUE(B5)&gt;=DATE(2021,6,8),3,1.5))</f>
        <v>3</v>
      </c>
      <c r="AD5" s="17" t="str">
        <f>IF(AND(ISNUMBER(M5),ISNUMBER($AB5)),(M5/$AC5*100)/$AB5,"")</f>
        <v/>
      </c>
      <c r="AE5" s="17" t="str">
        <f t="shared" ref="AE5:AF5" si="0">IF(AND(ISNUMBER(N5),ISNUMBER($AB5)),(N5/$AC5*100)/$AB5,"")</f>
        <v/>
      </c>
      <c r="AF5" s="17" t="str">
        <f t="shared" si="0"/>
        <v/>
      </c>
      <c r="AG5" s="17" t="str">
        <f>IF(COUNT(AD5:AF5)&gt;0,AVERAGE(AD5:AF5),"")</f>
        <v/>
      </c>
      <c r="AH5" s="17" t="str">
        <f>IF(COUNT(AD5:AF5)&gt;0,STDEV(AD5:AF5),"")</f>
        <v/>
      </c>
      <c r="AI5" s="37" t="str">
        <f>IF(ISNUMBER(R5),10^((R5-__GETCELL(__GETDATA(R5,"standardCurveID"), "intercept", FALSE))/__GETCELL(__GETDATA(R5,"standardCurveID"), "slope", FALSE)),IF(R5="&lt;ND&gt;",0,""))</f>
        <v/>
      </c>
      <c r="AJ5" s="37" t="str">
        <f>IF(ISNUMBER(S5),10^((S5-__GETCELL(__GETDATA(S5,"standardCurveID"), "intercept", FALSE))/__GETCELL(__GETDATA(S5,"standardCurveID"), "slope", FALSE)),IF(S5="&lt;ND&gt;",0,""))</f>
        <v/>
      </c>
      <c r="AK5" s="37" t="str">
        <f>IF(ISNUMBER(T5),10^((T5-__GETCELL(__GETDATA(T5,"standardCurveID"), "intercept", FALSE))/__GETCELL(__GETDATA(T5,"standardCurveID"), "slope", FALSE)),IF(T5="&lt;ND&gt;",0,""))</f>
        <v/>
      </c>
      <c r="AL5" s="46" t="str">
        <f>IF(COUNT(AI5:AK5)&gt;0,AVERAGE(AI5:AK5)*10,"")</f>
        <v/>
      </c>
      <c r="AM5" s="17" t="str">
        <f>IF(COUNT(AI5:AK5)&gt;0,STDEV(AI5:AK5),"")</f>
        <v/>
      </c>
      <c r="AN5" s="35" t="s">
        <v>21</v>
      </c>
      <c r="AO5" s="15" t="s">
        <v>23</v>
      </c>
      <c r="AP5" s="47" t="str">
        <f>IF(AND(ISNUMBER(M5),ISNUMBER($AL5)),M5/($AL5),"")</f>
        <v/>
      </c>
      <c r="AQ5" s="47" t="str">
        <f t="shared" ref="AQ5:AR5" si="1">IF(AND(ISNUMBER(N5),ISNUMBER($AL5)),N5/($AL5),"")</f>
        <v/>
      </c>
      <c r="AR5" s="47" t="str">
        <f t="shared" si="1"/>
        <v/>
      </c>
      <c r="AS5" s="39" t="str">
        <f>IF(COUNT(AP5:AR5)&gt;0,AVERAGE(AP5:AR5),"")</f>
        <v/>
      </c>
      <c r="AT5" s="39" t="str">
        <f>IF(COUNT(AP5:AR5)&gt;0,STDEV(AP5:AR5),"")</f>
        <v/>
      </c>
      <c r="AU5" s="31" t="str">
        <f>AD5</f>
        <v/>
      </c>
      <c r="AV5" s="31" t="str">
        <f>AE5</f>
        <v/>
      </c>
      <c r="AW5" s="31" t="str">
        <f>AF5</f>
        <v/>
      </c>
      <c r="AX5" s="17" t="str">
        <f>IF(COUNT(AU5:AW5)&gt;0,AVERAGE(AU5:AW5),"")</f>
        <v/>
      </c>
      <c r="AY5" s="31" t="str">
        <f>IF(ISNUMBER(AD5),AD5*$Z5/40*$AA5/$W5*1000,"")</f>
        <v/>
      </c>
      <c r="AZ5" s="31" t="str">
        <f t="shared" ref="AZ5:BA5" si="2">IF(ISNUMBER(AE5),AE5*$Z5/40*$AA5/$W5*1000,"")</f>
        <v/>
      </c>
      <c r="BA5" s="31" t="str">
        <f t="shared" si="2"/>
        <v/>
      </c>
      <c r="BB5" s="17" t="str">
        <f>IF(COUNT(AY5:BA5)&gt;0,AVERAGE(AY5:BA5),"")</f>
        <v/>
      </c>
      <c r="BC5" s="32" t="str">
        <f>IF(AND(ISNUMBER(AL5),ISNUMBER($AB5)),(AL5/1.5*100)/$AB5,"")</f>
        <v/>
      </c>
      <c r="BD5" s="33" t="str">
        <f>IF(ISNUMBER(BC5),BC5*$Z5/40*$AA5/$W5*1000,"")</f>
        <v/>
      </c>
      <c r="BE5" s="36" t="s">
        <v>21</v>
      </c>
      <c r="BF5" s="16" t="str">
        <f>D5</f>
        <v>{sampleID}</v>
      </c>
      <c r="BG5" s="16" t="str">
        <f>IF(R5&lt;&gt;"",R5,"")</f>
        <v>{value_npmmov_dil10_0|&lt;ND&gt;|&lt;MISSING&gt;}</v>
      </c>
      <c r="BH5" s="16" t="str">
        <f>IF(S5&lt;&gt;"",S5,"")</f>
        <v>{value_npmmov_dil10_1|&lt;ND&gt;|&lt;MISSING&gt;}</v>
      </c>
      <c r="BI5" s="16" t="str">
        <f>IF(T5&lt;&gt;"",T5,"")</f>
        <v>{value_npmmov_dil10_2|&lt;ND&gt;|&lt;MISSING&gt;}</v>
      </c>
      <c r="BJ5" s="16" t="str">
        <f>IF(COUNT(BG5:BI5)&gt;0,AVERAGE(BG5:BI5),"")</f>
        <v/>
      </c>
      <c r="BK5" s="16" t="s">
        <v>91</v>
      </c>
      <c r="BL5" s="21" t="s">
        <v>92</v>
      </c>
      <c r="BM5" s="21" t="s">
        <v>93</v>
      </c>
      <c r="BN5" s="16" t="str">
        <f>IF(COUNT(BK5:BM5)&gt;0,AVERAGE(BK5:BM5),"")</f>
        <v/>
      </c>
      <c r="BO5" s="16" t="s">
        <v>94</v>
      </c>
      <c r="BP5" s="16" t="s">
        <v>95</v>
      </c>
      <c r="BQ5" s="16" t="s">
        <v>96</v>
      </c>
      <c r="BR5" s="16" t="str">
        <f>IF(COUNT(BO5:BQ5)&gt;0,AVERAGE(BO5:BQ5),"")</f>
        <v/>
      </c>
      <c r="BS5" s="16" t="str">
        <f>IF(AND(ISNUMBER(BJ5),ISNUMBER(BR5)),BJ5-BR5,"")</f>
        <v/>
      </c>
      <c r="BT5" s="27" t="str">
        <f>IF(AND(ISNUMBER(BN5),ISNUMBER(BR5)),BN5-BR5,"")</f>
        <v/>
      </c>
    </row>
    <row r="10" spans="1:72" x14ac:dyDescent="0.2">
      <c r="BP10" s="26"/>
      <c r="BQ10" s="26"/>
      <c r="BR10" s="26"/>
    </row>
  </sheetData>
  <mergeCells count="12">
    <mergeCell ref="E3:G3"/>
    <mergeCell ref="I3:K3"/>
    <mergeCell ref="AP3:BA3"/>
    <mergeCell ref="BE3:BT3"/>
    <mergeCell ref="H4:J4"/>
    <mergeCell ref="M4:O4"/>
    <mergeCell ref="R4:T4"/>
    <mergeCell ref="AP4:AR4"/>
    <mergeCell ref="AU4:AW4"/>
    <mergeCell ref="AY4:BA4"/>
    <mergeCell ref="AI4:AK4"/>
    <mergeCell ref="AD4:AF4"/>
  </mergeCells>
  <conditionalFormatting sqref="M5:O5">
    <cfRule type="cellIs" dxfId="8" priority="9" operator="lessThan">
      <formula>3.75</formula>
    </cfRule>
    <cfRule type="cellIs" dxfId="7" priority="10" operator="between">
      <formula>$C$1568</formula>
      <formula>$C$1564</formula>
    </cfRule>
  </conditionalFormatting>
  <conditionalFormatting sqref="AI5:AK5">
    <cfRule type="cellIs" dxfId="6" priority="8" operator="between">
      <formula>$AI$2697</formula>
      <formula>$AI$2701</formula>
    </cfRule>
  </conditionalFormatting>
  <conditionalFormatting sqref="AI5:AK5">
    <cfRule type="cellIs" dxfId="5" priority="6" operator="greaterThan">
      <formula>38894</formula>
    </cfRule>
    <cfRule type="cellIs" dxfId="4" priority="7" operator="lessThan">
      <formula>150</formula>
    </cfRule>
  </conditionalFormatting>
  <conditionalFormatting sqref="AP5:AT5">
    <cfRule type="cellIs" dxfId="3" priority="5" operator="lessThan">
      <formula>0.000001</formula>
    </cfRule>
  </conditionalFormatting>
  <conditionalFormatting sqref="AU5:AW5 AY5:BA5">
    <cfRule type="cellIs" dxfId="2" priority="4" operator="lessThan">
      <formula>100</formula>
    </cfRule>
  </conditionalFormatting>
  <conditionalFormatting sqref="BD5">
    <cfRule type="cellIs" dxfId="1" priority="2" operator="lessThan">
      <formula>100</formula>
    </cfRule>
  </conditionalFormatting>
  <conditionalFormatting sqref="M5:O5">
    <cfRule type="cellIs" dxfId="0" priority="12" operator="between">
      <formula>#REF!</formula>
      <formula>#REF!</formula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05FCF-EE9C-0146-81B2-A2A958472A61}">
  <dimension ref="A1:G8"/>
  <sheetViews>
    <sheetView zoomScale="103" zoomScaleNormal="75" workbookViewId="0">
      <selection activeCell="D4" sqref="D4"/>
    </sheetView>
  </sheetViews>
  <sheetFormatPr baseColWidth="10" defaultRowHeight="16" x14ac:dyDescent="0.2"/>
  <cols>
    <col min="1" max="1" width="21.1640625" style="52" customWidth="1"/>
    <col min="2" max="2" width="14.5" bestFit="1" customWidth="1"/>
    <col min="3" max="6" width="15.5" customWidth="1"/>
    <col min="7" max="7" width="13.5" customWidth="1"/>
  </cols>
  <sheetData>
    <row r="1" spans="1:7" s="52" customFormat="1" x14ac:dyDescent="0.2">
      <c r="C1" s="52" t="s">
        <v>30</v>
      </c>
      <c r="D1" s="52" t="s">
        <v>31</v>
      </c>
      <c r="E1" s="52" t="s">
        <v>31</v>
      </c>
      <c r="F1" s="52" t="s">
        <v>31</v>
      </c>
      <c r="G1" s="52" t="s">
        <v>66</v>
      </c>
    </row>
    <row r="2" spans="1:7" x14ac:dyDescent="0.2">
      <c r="A2" s="52" t="s">
        <v>27</v>
      </c>
      <c r="B2" s="40" t="s">
        <v>16</v>
      </c>
      <c r="C2" s="40" t="s">
        <v>17</v>
      </c>
      <c r="D2" s="68" t="s">
        <v>5</v>
      </c>
      <c r="E2" s="69"/>
      <c r="F2" s="70"/>
      <c r="G2" s="40" t="s">
        <v>44</v>
      </c>
    </row>
    <row r="3" spans="1:7" x14ac:dyDescent="0.2">
      <c r="A3" s="52" t="s">
        <v>28</v>
      </c>
      <c r="B3" s="22" t="s">
        <v>32</v>
      </c>
      <c r="C3" s="24" t="e">
        <f>LOG(B3)</f>
        <v>#VALUE!</v>
      </c>
      <c r="D3" s="22" t="s">
        <v>84</v>
      </c>
      <c r="E3" s="22" t="s">
        <v>85</v>
      </c>
      <c r="F3" s="22" t="s">
        <v>86</v>
      </c>
      <c r="G3" s="22" t="e">
        <f ca="1">AVERAGE(D3:F3)*__SETCELL("Cal-{type}-{plateID}", "avg_std_#",1)</f>
        <v>#DIV/0!</v>
      </c>
    </row>
    <row r="4" spans="1:7" x14ac:dyDescent="0.2">
      <c r="A4" s="52" t="s">
        <v>29</v>
      </c>
      <c r="B4" s="42"/>
      <c r="F4" s="23" t="s">
        <v>18</v>
      </c>
      <c r="G4" s="24" t="e">
        <f ca="1">SLOPE(__GETRANGE(cal_row_data, cal_col_ct_avg, __GETCALVAL("Cal-{type}-{plateID}", "num_points")), __GETRANGE(cal_row_data, cal_col_logct,  __GETCALVAL("Cal-{type}-{plateID}", "num_points")))*__SETCELL("Cal-{type}-{plateID}", "slope", 1)</f>
        <v>#NAME?</v>
      </c>
    </row>
    <row r="5" spans="1:7" x14ac:dyDescent="0.2">
      <c r="A5" s="52" t="s">
        <v>29</v>
      </c>
      <c r="B5" s="43"/>
      <c r="F5" s="23" t="s">
        <v>19</v>
      </c>
      <c r="G5" s="24" t="e">
        <f ca="1">INTERCEPT(__GETRANGE(cal_row_data, cal_col_ct_avg, __GETCALVAL("Cal-{type}-{plateID}", "num_points")), __GETRANGE(cal_row_data, cal_col_logct, __GETCALVAL("Cal-{type}-{plateID}", "num_points")))*__SETCELL("Cal-{type}-{plateID}", "intercept", 1)</f>
        <v>#NAME?</v>
      </c>
    </row>
    <row r="6" spans="1:7" x14ac:dyDescent="0.2">
      <c r="A6" s="52" t="s">
        <v>29</v>
      </c>
      <c r="B6" s="43"/>
      <c r="F6" s="23" t="s">
        <v>20</v>
      </c>
      <c r="G6" s="25" t="e">
        <f ca="1">(10^(-1/G4)-1)*__SETCELL("Cal-{type}-{plateID}", "efficiency", 1)</f>
        <v>#NAME?</v>
      </c>
    </row>
    <row r="7" spans="1:7" x14ac:dyDescent="0.2">
      <c r="A7" s="52" t="s">
        <v>29</v>
      </c>
      <c r="F7" s="23" t="s">
        <v>45</v>
      </c>
      <c r="G7" s="44" t="e">
        <f ca="1">RSQ(__GETRANGE(cal_row_data, cal_col_ct_avg, __GETCALVAL("Cal-{type}-{plateID}", "num_points")), __GETRANGE(cal_row_data, cal_col_logct, __GETCALVAL("Cal-{type}-{plateID}", "num_points")))*__SETCELL("Cal-{type}-{plateID}", "rsq", 1)</f>
        <v>#NAME?</v>
      </c>
    </row>
    <row r="8" spans="1:7" x14ac:dyDescent="0.2">
      <c r="A8" s="52" t="s">
        <v>29</v>
      </c>
    </row>
  </sheetData>
  <mergeCells count="1">
    <mergeCell ref="D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Calibration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Wellman</dc:creator>
  <cp:lastModifiedBy>Martin Wellman</cp:lastModifiedBy>
  <dcterms:created xsi:type="dcterms:W3CDTF">2021-06-07T16:59:49Z</dcterms:created>
  <dcterms:modified xsi:type="dcterms:W3CDTF">2021-09-29T14:00:14Z</dcterms:modified>
</cp:coreProperties>
</file>