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wellman/Documents/Health/Wastewater/Code/odm-qpcr-analyzer/qpcr_analyzer/"/>
    </mc:Choice>
  </mc:AlternateContent>
  <xr:revisionPtr revIDLastSave="0" documentId="13_ncr:1_{FC24C726-604E-964D-929E-8FACA9C54E69}" xr6:coauthVersionLast="47" xr6:coauthVersionMax="47" xr10:uidLastSave="{00000000-0000-0000-0000-000000000000}"/>
  <bookViews>
    <workbookView xWindow="0" yWindow="500" windowWidth="28800" windowHeight="15940" xr2:uid="{9359BC57-A822-3445-B588-7E071C6D13C9}"/>
  </bookViews>
  <sheets>
    <sheet name="Main" sheetId="1" r:id="rId1"/>
    <sheet name="Calibr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5" i="1" l="1"/>
  <c r="BW5" i="1"/>
  <c r="AI5" i="1"/>
  <c r="AJ5" i="1"/>
  <c r="AH5" i="1"/>
  <c r="M5" i="1"/>
  <c r="N5" i="1"/>
  <c r="L5" i="1"/>
  <c r="E3" i="1"/>
  <c r="I3" i="1"/>
  <c r="G7" i="2"/>
  <c r="G5" i="2"/>
  <c r="G4" i="2"/>
  <c r="G6" i="2" l="1"/>
  <c r="G3" i="2"/>
  <c r="AA5" i="1"/>
  <c r="AB5" i="1" l="1"/>
  <c r="AC5" i="1"/>
  <c r="AD5" i="1"/>
  <c r="BD5" i="1" l="1"/>
  <c r="BC5" i="1"/>
  <c r="BB5" i="1"/>
  <c r="BL5" i="1"/>
  <c r="BK5" i="1"/>
  <c r="BJ5" i="1"/>
  <c r="X5" i="1"/>
  <c r="BU5" i="1"/>
  <c r="BQ5" i="1"/>
  <c r="U5" i="1"/>
  <c r="AX5" i="1" l="1"/>
  <c r="C3" i="2" l="1"/>
  <c r="BI5" i="1"/>
  <c r="AQ5" i="1"/>
  <c r="BH5" i="1" s="1"/>
  <c r="T5" i="1"/>
  <c r="K5" i="1"/>
  <c r="J5" i="1"/>
  <c r="AY5" i="1" l="1"/>
  <c r="BM5" i="1"/>
  <c r="AG5" i="1"/>
  <c r="AE5" i="1" l="1"/>
  <c r="AZ5" i="1"/>
  <c r="BA5" i="1" s="1"/>
  <c r="P5" i="1"/>
  <c r="AF5" i="1"/>
  <c r="O5" i="1"/>
  <c r="BE5" i="1"/>
  <c r="AL5" i="1" l="1"/>
  <c r="AK5" i="1"/>
  <c r="BF5" i="1" s="1"/>
  <c r="AU5" i="1" l="1"/>
  <c r="AT5" i="1"/>
  <c r="AS5" i="1"/>
  <c r="BG5" i="1"/>
  <c r="AM5" i="1"/>
  <c r="AN5" i="1" s="1"/>
  <c r="AO5" i="1" l="1"/>
  <c r="AP5" i="1" s="1"/>
  <c r="AV5" i="1"/>
  <c r="AW5" i="1"/>
</calcChain>
</file>

<file path=xl/sharedStrings.xml><?xml version="1.0" encoding="utf-8"?>
<sst xmlns="http://schemas.openxmlformats.org/spreadsheetml/2006/main" count="145" uniqueCount="109">
  <si>
    <t>qPCR Data</t>
  </si>
  <si>
    <t>APPROVED DATA</t>
  </si>
  <si>
    <t>INHIBITION CONTROLS</t>
  </si>
  <si>
    <t>Date</t>
  </si>
  <si>
    <t>Sample ID</t>
  </si>
  <si>
    <t>Ct</t>
  </si>
  <si>
    <t>COPIES</t>
  </si>
  <si>
    <t>Empty tube weight (g)</t>
  </si>
  <si>
    <t>Full tube weight (g)</t>
  </si>
  <si>
    <t>Copies per Extracted Mass  (copies/g)</t>
  </si>
  <si>
    <t>AVG</t>
  </si>
  <si>
    <t>Copies / L</t>
  </si>
  <si>
    <t xml:space="preserve">Sample Name </t>
  </si>
  <si>
    <t>AVG 1/10</t>
  </si>
  <si>
    <t>AVG 1/40</t>
  </si>
  <si>
    <t>AVG No Dilution</t>
  </si>
  <si>
    <t>Copies</t>
  </si>
  <si>
    <t>Log(Copies)</t>
  </si>
  <si>
    <t>Slope</t>
  </si>
  <si>
    <t>Intercept</t>
  </si>
  <si>
    <t>Efficiency</t>
  </si>
  <si>
    <t>{sampleDate}</t>
  </si>
  <si>
    <t>{sampleID}</t>
  </si>
  <si>
    <t>{type}</t>
  </si>
  <si>
    <t>main_row_banner</t>
  </si>
  <si>
    <t>main_row_header</t>
  </si>
  <si>
    <t>main_row_data</t>
  </si>
  <si>
    <t>cal_row_header</t>
  </si>
  <si>
    <t>cal_row_data</t>
  </si>
  <si>
    <t>cal_row_footer</t>
  </si>
  <si>
    <t>cal_col_logct</t>
  </si>
  <si>
    <t>cal_col_ct</t>
  </si>
  <si>
    <t>{value_0}</t>
  </si>
  <si>
    <t>{value_1}</t>
  </si>
  <si>
    <t>{value_2}</t>
  </si>
  <si>
    <t>{value_sq_avg}</t>
  </si>
  <si>
    <t>Copies
AVG</t>
  </si>
  <si>
    <t>Copies
STDEV</t>
  </si>
  <si>
    <t>Ct
STDEV</t>
  </si>
  <si>
    <t>Ct
AVG</t>
  </si>
  <si>
    <t>Gene</t>
  </si>
  <si>
    <t>Pellet weight (g)</t>
  </si>
  <si>
    <t>Extracted Mass (in 100 uL) (g)</t>
  </si>
  <si>
    <t>Copies per Extracted Mass  (copies/g)
AVG</t>
  </si>
  <si>
    <t>Copies per Extracted Mass
STDEV</t>
  </si>
  <si>
    <t>2^Ct</t>
  </si>
  <si>
    <t>STDEV</t>
  </si>
  <si>
    <t>Copies per Extracted Mass (Copies/g)</t>
  </si>
  <si>
    <t>{type} Avg</t>
  </si>
  <si>
    <t>R-sq</t>
  </si>
  <si>
    <t>main_col_ct</t>
  </si>
  <si>
    <t>main_col_copies</t>
  </si>
  <si>
    <t>main_col_bl_ct</t>
  </si>
  <si>
    <t>main_col_ct_avg</t>
  </si>
  <si>
    <t>main_col_copies_avg</t>
  </si>
  <si>
    <t>main_col_copies_per_mass_avg</t>
  </si>
  <si>
    <t>main_col_copies_per_mass</t>
  </si>
  <si>
    <t>main_col_copies_per_copies_avg</t>
  </si>
  <si>
    <t>main_col_copies_per_copies</t>
  </si>
  <si>
    <t>main_col_copies_per_volume</t>
  </si>
  <si>
    <t>main_col_copies_per_volume_avg</t>
  </si>
  <si>
    <t>main_col_inhibition_10_ct</t>
  </si>
  <si>
    <t>main_col_inhibition_10_ct_avg</t>
  </si>
  <si>
    <t>main_col_inhibition_40_ct_avg</t>
  </si>
  <si>
    <t>main_col_inhibition_40_ct</t>
  </si>
  <si>
    <t>main_col_inhibition_nodil_ct_avg,main_col_bl_ct_avg</t>
  </si>
  <si>
    <t>main_col_inhibition_nodil_ct</t>
  </si>
  <si>
    <t>main_col_bl_ct_avg</t>
  </si>
  <si>
    <t>{analysisDate};__MERGETO(bottom)</t>
  </si>
  <si>
    <t>main_col_sample_date</t>
  </si>
  <si>
    <t>cal_col_ct_avg</t>
  </si>
  <si>
    <t>Settled solids (mL)</t>
  </si>
  <si>
    <t>Well volume (uL)</t>
  </si>
  <si>
    <t>Site</t>
  </si>
  <si>
    <t>{siteID}</t>
  </si>
  <si>
    <t>{value_npmmov_dil10_0|}</t>
  </si>
  <si>
    <t>{value_npmmov_dil10_1|}</t>
  </si>
  <si>
    <t>{value_npmmov_dil10_2|}</t>
  </si>
  <si>
    <t>{value_npmmov_dil40_0|}</t>
  </si>
  <si>
    <t>{value_npmmov_dil40_1|}</t>
  </si>
  <si>
    <t>{value_npmmov_dil40_2|}</t>
  </si>
  <si>
    <t>{value_npmmov_0|}</t>
  </si>
  <si>
    <t>{value_npmmov_1|}</t>
  </si>
  <si>
    <t>{value_npmmov_2|}</t>
  </si>
  <si>
    <t>{value_0|}</t>
  </si>
  <si>
    <t>{value_1|}</t>
  </si>
  <si>
    <t>{value_2|}</t>
  </si>
  <si>
    <t>{value_emptytubemass_0|}</t>
  </si>
  <si>
    <t>{value_tottubemass_0|}</t>
  </si>
  <si>
    <t>{value_setsol_0|}</t>
  </si>
  <si>
    <t>{value_extmass_0|}</t>
  </si>
  <si>
    <t>nPMMoV Ct</t>
  </si>
  <si>
    <t>nPMMoV
AVG</t>
  </si>
  <si>
    <t>nPMMoV
STDEV</t>
  </si>
  <si>
    <t xml:space="preserve">nPMMoV Copies </t>
  </si>
  <si>
    <t>nPMMoV Copies
AVG</t>
  </si>
  <si>
    <t>nPMMoV Copies
STDEV</t>
  </si>
  <si>
    <t>Copies per Copies of nPMMoV
AVG</t>
  </si>
  <si>
    <t>Copies per Copies of nPMMoV * 10^3
AVG</t>
  </si>
  <si>
    <t>Copies per Copies of nPMMoV
STDEV</t>
  </si>
  <si>
    <t>Copies per Copies of nPMMoV * 10^3
STDEV</t>
  </si>
  <si>
    <t>Copies per Copies of nPMMoV</t>
  </si>
  <si>
    <t>nPMMoV Copies per Extracted Mass (copies/g)</t>
  </si>
  <si>
    <t>nPMMoV Copies/L</t>
  </si>
  <si>
    <t>nPMMoV 1/10</t>
  </si>
  <si>
    <t>nPMMoV 1/40</t>
  </si>
  <si>
    <t>nPMMoV No Dilution</t>
  </si>
  <si>
    <t>ΔCt
1/10 - Full</t>
  </si>
  <si>
    <t>ΔCt
1/40 -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</si>
</sst>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000"/>
    <numFmt numFmtId="166" formatCode="0.0000_);\(0.0000\)"/>
    <numFmt numFmtId="167" formatCode="0.000000"/>
    <numFmt numFmtId="168" formatCode="0.0"/>
  </numFmts>
  <fonts count="1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Arial"/>
      <family val="2"/>
    </font>
    <font>
      <b/>
      <sz val="2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8"/>
      <color rgb="FF000000"/>
      <name val="Helvetica Neue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006100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/>
  </cellStyleXfs>
  <cellXfs count="69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/>
    </xf>
    <xf numFmtId="0" fontId="9" fillId="0" borderId="0" xfId="0" applyFont="1"/>
    <xf numFmtId="2" fontId="2" fillId="0" borderId="0" xfId="0" applyNumberFormat="1" applyFont="1" applyBorder="1" applyAlignment="1">
      <alignment horizontal="center" vertical="center"/>
    </xf>
    <xf numFmtId="2" fontId="12" fillId="4" borderId="0" xfId="0" applyNumberFormat="1" applyFont="1" applyFill="1" applyAlignment="1">
      <alignment horizontal="center" vertical="center"/>
    </xf>
    <xf numFmtId="2" fontId="12" fillId="5" borderId="1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165" fontId="10" fillId="2" borderId="14" xfId="1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10" fillId="2" borderId="16" xfId="1" applyNumberFormat="1" applyFont="1" applyBorder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15" fontId="4" fillId="4" borderId="0" xfId="0" applyNumberFormat="1" applyFont="1" applyFill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166" fontId="2" fillId="14" borderId="0" xfId="0" applyNumberFormat="1" applyFont="1" applyFill="1" applyAlignment="1">
      <alignment horizontal="center" vertical="center"/>
    </xf>
    <xf numFmtId="2" fontId="2" fillId="14" borderId="0" xfId="0" applyNumberFormat="1" applyFont="1" applyFill="1" applyAlignment="1">
      <alignment horizontal="center" vertical="center"/>
    </xf>
    <xf numFmtId="167" fontId="11" fillId="9" borderId="14" xfId="1" applyNumberFormat="1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16" fontId="2" fillId="0" borderId="0" xfId="0" applyNumberFormat="1" applyFont="1" applyFill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/>
    </xf>
    <xf numFmtId="164" fontId="3" fillId="13" borderId="0" xfId="0" applyNumberFormat="1" applyFont="1" applyFill="1" applyAlignment="1">
      <alignment horizontal="center" vertical="center" textRotation="90"/>
    </xf>
    <xf numFmtId="4" fontId="2" fillId="0" borderId="0" xfId="0" applyNumberFormat="1" applyFont="1" applyAlignment="1">
      <alignment horizontal="center" vertical="center"/>
    </xf>
    <xf numFmtId="167" fontId="10" fillId="2" borderId="14" xfId="1" applyNumberFormat="1" applyFont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vertical="center"/>
    </xf>
    <xf numFmtId="0" fontId="2" fillId="0" borderId="0" xfId="0" applyFont="1"/>
    <xf numFmtId="2" fontId="12" fillId="4" borderId="4" xfId="0" applyNumberFormat="1" applyFont="1" applyFill="1" applyBorder="1" applyAlignment="1">
      <alignment horizontal="center" vertical="center"/>
    </xf>
    <xf numFmtId="2" fontId="12" fillId="4" borderId="5" xfId="0" applyNumberFormat="1" applyFont="1" applyFill="1" applyBorder="1" applyAlignment="1">
      <alignment horizontal="center" vertical="center"/>
    </xf>
    <xf numFmtId="2" fontId="12" fillId="4" borderId="6" xfId="0" applyNumberFormat="1" applyFont="1" applyFill="1" applyBorder="1" applyAlignment="1">
      <alignment horizontal="center" vertical="center"/>
    </xf>
    <xf numFmtId="2" fontId="12" fillId="6" borderId="7" xfId="0" applyNumberFormat="1" applyFont="1" applyFill="1" applyBorder="1" applyAlignment="1">
      <alignment horizontal="center" vertical="center"/>
    </xf>
    <xf numFmtId="2" fontId="12" fillId="6" borderId="8" xfId="0" applyNumberFormat="1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16" fontId="2" fillId="0" borderId="18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8" fillId="12" borderId="10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</cellXfs>
  <cellStyles count="3">
    <cellStyle name="Good" xfId="1" builtinId="26"/>
    <cellStyle name="Normal" xfId="0" builtinId="0"/>
    <cellStyle name="Normal 9" xfId="2" xr:uid="{08331402-503D-8C40-95D0-C0983F980B89}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8BE4-03D0-4C45-A8C6-85FB2F5005D2}">
  <dimension ref="A1:BW10"/>
  <sheetViews>
    <sheetView tabSelected="1" zoomScaleNormal="100" workbookViewId="0">
      <selection activeCell="A6" sqref="A6"/>
    </sheetView>
  </sheetViews>
  <sheetFormatPr baseColWidth="10" defaultRowHeight="16" x14ac:dyDescent="0.2"/>
  <cols>
    <col min="1" max="1" width="27.1640625" customWidth="1"/>
    <col min="2" max="2" width="8.33203125" customWidth="1"/>
    <col min="3" max="3" width="14.83203125" customWidth="1"/>
    <col min="4" max="4" width="30.1640625" customWidth="1"/>
    <col min="5" max="6" width="11" customWidth="1"/>
    <col min="7" max="24" width="11" bestFit="1" customWidth="1"/>
    <col min="25" max="25" width="11" customWidth="1"/>
    <col min="26" max="27" width="16.1640625" customWidth="1"/>
    <col min="28" max="33" width="11" bestFit="1" customWidth="1"/>
    <col min="34" max="36" width="15" bestFit="1" customWidth="1"/>
    <col min="37" max="37" width="16.33203125" bestFit="1" customWidth="1"/>
    <col min="38" max="38" width="13" customWidth="1"/>
    <col min="39" max="40" width="11" bestFit="1" customWidth="1"/>
    <col min="41" max="41" width="14.1640625" bestFit="1" customWidth="1"/>
    <col min="42" max="42" width="11" bestFit="1" customWidth="1"/>
    <col min="43" max="43" width="13.6640625" customWidth="1"/>
    <col min="45" max="49" width="11" bestFit="1" customWidth="1"/>
    <col min="50" max="52" width="11.6640625" bestFit="1" customWidth="1"/>
    <col min="53" max="53" width="13" customWidth="1"/>
    <col min="54" max="55" width="16.1640625" customWidth="1"/>
    <col min="56" max="56" width="15.33203125" customWidth="1"/>
    <col min="57" max="57" width="14.1640625" customWidth="1"/>
    <col min="58" max="58" width="19.6640625" customWidth="1"/>
    <col min="59" max="59" width="19.33203125" customWidth="1"/>
    <col min="60" max="60" width="11" bestFit="1" customWidth="1"/>
    <col min="61" max="61" width="29.1640625" customWidth="1"/>
    <col min="62" max="65" width="11" bestFit="1" customWidth="1"/>
    <col min="69" max="71" width="11" bestFit="1" customWidth="1"/>
    <col min="73" max="75" width="11" bestFit="1" customWidth="1"/>
  </cols>
  <sheetData>
    <row r="1" spans="1:75" ht="17" thickBot="1" x14ac:dyDescent="0.25">
      <c r="C1" t="s">
        <v>69</v>
      </c>
      <c r="G1" t="s">
        <v>50</v>
      </c>
      <c r="H1" t="s">
        <v>50</v>
      </c>
      <c r="I1" t="s">
        <v>50</v>
      </c>
      <c r="J1" t="s">
        <v>53</v>
      </c>
      <c r="L1" t="s">
        <v>51</v>
      </c>
      <c r="M1" s="26" t="s">
        <v>51</v>
      </c>
      <c r="N1" t="s">
        <v>51</v>
      </c>
      <c r="O1" t="s">
        <v>54</v>
      </c>
      <c r="Q1" t="s">
        <v>52</v>
      </c>
      <c r="R1" t="s">
        <v>52</v>
      </c>
      <c r="S1" t="s">
        <v>52</v>
      </c>
      <c r="T1" t="s">
        <v>67</v>
      </c>
      <c r="AB1" t="s">
        <v>56</v>
      </c>
      <c r="AC1" t="s">
        <v>56</v>
      </c>
      <c r="AD1" t="s">
        <v>56</v>
      </c>
      <c r="AE1" t="s">
        <v>55</v>
      </c>
      <c r="AS1" t="s">
        <v>58</v>
      </c>
      <c r="AT1" t="s">
        <v>58</v>
      </c>
      <c r="AU1" t="s">
        <v>58</v>
      </c>
      <c r="AV1" t="s">
        <v>57</v>
      </c>
      <c r="BB1" t="s">
        <v>59</v>
      </c>
      <c r="BC1" t="s">
        <v>59</v>
      </c>
      <c r="BD1" t="s">
        <v>59</v>
      </c>
      <c r="BE1" t="s">
        <v>60</v>
      </c>
      <c r="BJ1" t="s">
        <v>61</v>
      </c>
      <c r="BK1" t="s">
        <v>61</v>
      </c>
      <c r="BL1" t="s">
        <v>61</v>
      </c>
      <c r="BM1" t="s">
        <v>62</v>
      </c>
      <c r="BN1" t="s">
        <v>64</v>
      </c>
      <c r="BO1" t="s">
        <v>64</v>
      </c>
      <c r="BQ1" t="s">
        <v>63</v>
      </c>
      <c r="BR1" t="s">
        <v>66</v>
      </c>
      <c r="BS1" t="s">
        <v>66</v>
      </c>
      <c r="BT1" s="26"/>
      <c r="BU1" t="s">
        <v>65</v>
      </c>
    </row>
    <row r="2" spans="1:75" s="5" customFormat="1" ht="17" thickBot="1" x14ac:dyDescent="0.25">
      <c r="A2" s="5" t="s">
        <v>24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2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4"/>
    </row>
    <row r="3" spans="1:75" s="5" customFormat="1" ht="40" customHeight="1" x14ac:dyDescent="0.2">
      <c r="A3" s="5" t="s">
        <v>24</v>
      </c>
      <c r="B3" s="45" t="s">
        <v>68</v>
      </c>
      <c r="C3" s="5" t="s">
        <v>0</v>
      </c>
      <c r="D3" s="41"/>
      <c r="E3" s="64" t="e">
        <f ca="1">__QAQCHASFAILEDCATEGORY("NTC", "NTC Error! See {qaqc_sheet}", "NTCs Good", "No NTCs")</f>
        <v>#NAME?</v>
      </c>
      <c r="F3" s="64"/>
      <c r="G3" s="64"/>
      <c r="H3" s="51"/>
      <c r="I3" s="65" t="e">
        <f ca="1">__QAQCHASFAILEDCATEGORY("EB", "EB Error! See {qaqc_sheet}", "Extraction Blanks Good", "No Extraction Blanks")</f>
        <v>#NAME?</v>
      </c>
      <c r="J3" s="65"/>
      <c r="K3" s="65"/>
      <c r="AS3" s="53" t="s">
        <v>1</v>
      </c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5"/>
      <c r="BE3" s="28"/>
      <c r="BF3" s="29"/>
      <c r="BG3" s="30"/>
      <c r="BH3" s="56" t="s">
        <v>2</v>
      </c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7"/>
    </row>
    <row r="4" spans="1:75" s="5" customFormat="1" ht="102" x14ac:dyDescent="0.2">
      <c r="A4" s="5" t="s">
        <v>25</v>
      </c>
      <c r="C4" s="6" t="s">
        <v>3</v>
      </c>
      <c r="D4" s="6" t="s">
        <v>4</v>
      </c>
      <c r="E4" s="6" t="s">
        <v>40</v>
      </c>
      <c r="F4" s="50" t="s">
        <v>73</v>
      </c>
      <c r="G4" s="58" t="s">
        <v>5</v>
      </c>
      <c r="H4" s="59"/>
      <c r="I4" s="60"/>
      <c r="J4" s="7" t="s">
        <v>39</v>
      </c>
      <c r="K4" s="7" t="s">
        <v>38</v>
      </c>
      <c r="L4" s="58" t="s">
        <v>6</v>
      </c>
      <c r="M4" s="59"/>
      <c r="N4" s="60"/>
      <c r="O4" s="8" t="s">
        <v>36</v>
      </c>
      <c r="P4" s="7" t="s">
        <v>37</v>
      </c>
      <c r="Q4" s="58" t="s">
        <v>91</v>
      </c>
      <c r="R4" s="59"/>
      <c r="S4" s="60"/>
      <c r="T4" s="8" t="s">
        <v>92</v>
      </c>
      <c r="U4" s="7" t="s">
        <v>93</v>
      </c>
      <c r="V4" s="7" t="s">
        <v>7</v>
      </c>
      <c r="W4" s="7" t="s">
        <v>8</v>
      </c>
      <c r="X4" s="7" t="s">
        <v>41</v>
      </c>
      <c r="Y4" s="7" t="s">
        <v>71</v>
      </c>
      <c r="Z4" s="7" t="s">
        <v>42</v>
      </c>
      <c r="AA4" s="48" t="s">
        <v>72</v>
      </c>
      <c r="AB4" s="61" t="s">
        <v>9</v>
      </c>
      <c r="AC4" s="62"/>
      <c r="AD4" s="63"/>
      <c r="AE4" s="9" t="s">
        <v>43</v>
      </c>
      <c r="AF4" s="7" t="s">
        <v>44</v>
      </c>
      <c r="AG4" s="7" t="s">
        <v>45</v>
      </c>
      <c r="AH4" s="61" t="s">
        <v>94</v>
      </c>
      <c r="AI4" s="62"/>
      <c r="AJ4" s="63"/>
      <c r="AK4" s="7" t="s">
        <v>95</v>
      </c>
      <c r="AL4" s="7" t="s">
        <v>96</v>
      </c>
      <c r="AM4" s="7" t="s">
        <v>97</v>
      </c>
      <c r="AN4" s="7" t="s">
        <v>98</v>
      </c>
      <c r="AO4" s="7" t="s">
        <v>99</v>
      </c>
      <c r="AP4" s="7" t="s">
        <v>100</v>
      </c>
      <c r="AQ4" s="6" t="s">
        <v>3</v>
      </c>
      <c r="AR4" s="6" t="s">
        <v>40</v>
      </c>
      <c r="AS4" s="61" t="s">
        <v>101</v>
      </c>
      <c r="AT4" s="62"/>
      <c r="AU4" s="63"/>
      <c r="AV4" s="18" t="s">
        <v>10</v>
      </c>
      <c r="AW4" s="18" t="s">
        <v>46</v>
      </c>
      <c r="AX4" s="61" t="s">
        <v>47</v>
      </c>
      <c r="AY4" s="62"/>
      <c r="AZ4" s="63"/>
      <c r="BA4" s="7" t="s">
        <v>10</v>
      </c>
      <c r="BB4" s="61" t="s">
        <v>11</v>
      </c>
      <c r="BC4" s="62"/>
      <c r="BD4" s="63"/>
      <c r="BE4" s="19" t="s">
        <v>10</v>
      </c>
      <c r="BF4" s="10" t="s">
        <v>102</v>
      </c>
      <c r="BG4" s="11" t="s">
        <v>103</v>
      </c>
      <c r="BH4" s="20" t="s">
        <v>3</v>
      </c>
      <c r="BI4" s="12" t="s">
        <v>12</v>
      </c>
      <c r="BJ4" s="12" t="s">
        <v>104</v>
      </c>
      <c r="BK4" s="12" t="s">
        <v>104</v>
      </c>
      <c r="BL4" s="12" t="s">
        <v>104</v>
      </c>
      <c r="BM4" s="13" t="s">
        <v>13</v>
      </c>
      <c r="BN4" s="12" t="s">
        <v>105</v>
      </c>
      <c r="BO4" s="12" t="s">
        <v>105</v>
      </c>
      <c r="BP4" s="12" t="s">
        <v>105</v>
      </c>
      <c r="BQ4" s="13" t="s">
        <v>14</v>
      </c>
      <c r="BR4" s="12" t="s">
        <v>106</v>
      </c>
      <c r="BS4" s="12" t="s">
        <v>106</v>
      </c>
      <c r="BT4" s="12" t="s">
        <v>106</v>
      </c>
      <c r="BU4" s="13" t="s">
        <v>15</v>
      </c>
      <c r="BV4" s="12" t="s">
        <v>107</v>
      </c>
      <c r="BW4" s="14" t="s">
        <v>108</v>
      </c>
    </row>
    <row r="5" spans="1:75" s="5" customFormat="1" x14ac:dyDescent="0.2">
      <c r="A5" s="5" t="s">
        <v>26</v>
      </c>
      <c r="C5" s="34" t="s">
        <v>21</v>
      </c>
      <c r="D5" s="15" t="s">
        <v>22</v>
      </c>
      <c r="E5" s="15" t="s">
        <v>23</v>
      </c>
      <c r="F5" s="15" t="s">
        <v>74</v>
      </c>
      <c r="G5" s="16" t="s">
        <v>84</v>
      </c>
      <c r="H5" s="16" t="s">
        <v>85</v>
      </c>
      <c r="I5" s="21" t="s">
        <v>86</v>
      </c>
      <c r="J5" s="16" t="e">
        <f>AVERAGE(G5:I5)</f>
        <v>#DIV/0!</v>
      </c>
      <c r="K5" s="16" t="e">
        <f>STDEV(G5:I5)</f>
        <v>#DIV/0!</v>
      </c>
      <c r="L5" s="38" t="str">
        <f>IF(ISNUMBER(G5),10^((G5-__GETCELL(__GETDATA(G5,"standardCurveID"), "intercept", FALSE))/__GETCELL(__GETDATA(G5, "standardCurveID"), "slope", FALSE)),"")</f>
        <v/>
      </c>
      <c r="M5" s="38" t="str">
        <f>IF(ISNUMBER(H5),10^((H5-__GETCELL(__GETDATA(H5,"standardCurveID"), "intercept", FALSE))/__GETCELL(__GETDATA(H5, "standardCurveID"), "slope", FALSE)),"")</f>
        <v/>
      </c>
      <c r="N5" s="38" t="str">
        <f>IF(ISNUMBER(I5),10^((I5-__GETCELL(__GETDATA(I5,"standardCurveID"), "intercept", FALSE))/__GETCELL(__GETDATA(I5, "standardCurveID"), "slope", FALSE)),"")</f>
        <v/>
      </c>
      <c r="O5" s="16" t="e">
        <f>AVERAGE(L5:N5)</f>
        <v>#DIV/0!</v>
      </c>
      <c r="P5" s="16" t="e">
        <f>STDEV(L5:N5)</f>
        <v>#DIV/0!</v>
      </c>
      <c r="Q5" s="16" t="s">
        <v>75</v>
      </c>
      <c r="R5" s="16" t="s">
        <v>76</v>
      </c>
      <c r="S5" s="16" t="s">
        <v>77</v>
      </c>
      <c r="T5" s="16" t="e">
        <f>AVERAGE(Q5:S5)</f>
        <v>#DIV/0!</v>
      </c>
      <c r="U5" s="16" t="e">
        <f t="shared" ref="U5" si="0">STDEV(Q5:S5)</f>
        <v>#DIV/0!</v>
      </c>
      <c r="V5" s="17" t="s">
        <v>87</v>
      </c>
      <c r="W5" s="17" t="s">
        <v>88</v>
      </c>
      <c r="X5" s="17" t="e">
        <f>IF(AND(W5&lt;&gt;"",V5&lt;&gt;""),W5-V5,"")</f>
        <v>#VALUE!</v>
      </c>
      <c r="Y5" s="17" t="s">
        <v>89</v>
      </c>
      <c r="Z5" s="17" t="s">
        <v>90</v>
      </c>
      <c r="AA5" s="49">
        <f>IF(ISERROR(DATEVALUE(B5)),3,IF(DATEVALUE(B5)&gt;=DATE(2021,6,8),3,1.5))</f>
        <v>3</v>
      </c>
      <c r="AB5" s="17" t="str">
        <f>IF(L5&lt;&gt;"",(L5/$AA5*100)/$Z5,"")</f>
        <v/>
      </c>
      <c r="AC5" s="17" t="str">
        <f>IF(M5&lt;&gt;"",(M5/$AA5*100)/$Z5,"")</f>
        <v/>
      </c>
      <c r="AD5" s="17" t="str">
        <f>IF(N5&lt;&gt;"",(N5/$AA5*100)/$Z5,"")</f>
        <v/>
      </c>
      <c r="AE5" s="17" t="e">
        <f t="shared" ref="AE5" si="1">AVERAGE(AB5:AD5)</f>
        <v>#DIV/0!</v>
      </c>
      <c r="AF5" s="17" t="e">
        <f>STDEV(AB5:AD5)</f>
        <v>#DIV/0!</v>
      </c>
      <c r="AG5" s="17" t="e">
        <f>2^-(J5-T5)</f>
        <v>#DIV/0!</v>
      </c>
      <c r="AH5" s="37" t="str">
        <f>IF(ISNUMBER(Q5),10^((Q5-__GETCELL(__GETDATA(Q5,"standardCurveID"), "intercept", FALSE))/__GETCELL(__GETDATA(Q5,"standardCurveID"), "slope", FALSE)),"")</f>
        <v/>
      </c>
      <c r="AI5" s="37" t="str">
        <f>IF(ISNUMBER(R5),10^((R5-__GETCELL(__GETDATA(R5,"standardCurveID"), "intercept", FALSE))/__GETCELL(__GETDATA(R5,"standardCurveID"), "slope", FALSE)),"")</f>
        <v/>
      </c>
      <c r="AJ5" s="37" t="str">
        <f>IF(ISNUMBER(S5),10^((S5-__GETCELL(__GETDATA(S5,"standardCurveID"), "intercept", FALSE))/__GETCELL(__GETDATA(S5,"standardCurveID"), "slope", FALSE)),"")</f>
        <v/>
      </c>
      <c r="AK5" s="46" t="e">
        <f t="shared" ref="AK5" si="2">AVERAGE(AH5:AJ5)*10</f>
        <v>#DIV/0!</v>
      </c>
      <c r="AL5" s="17" t="e">
        <f t="shared" ref="AL5" si="3">STDEV(AH5:AJ5)</f>
        <v>#DIV/0!</v>
      </c>
      <c r="AM5" s="17" t="e">
        <f>O5/AK5</f>
        <v>#DIV/0!</v>
      </c>
      <c r="AN5" s="17" t="e">
        <f t="shared" ref="AN5" si="4">AM5*1000</f>
        <v>#DIV/0!</v>
      </c>
      <c r="AO5" s="17" t="e">
        <f>((AL5/AK5)+(P5/O5))*AM5</f>
        <v>#DIV/0!</v>
      </c>
      <c r="AP5" s="16" t="e">
        <f t="shared" ref="AP5" si="5">AO5*1000</f>
        <v>#DIV/0!</v>
      </c>
      <c r="AQ5" s="35" t="str">
        <f>C5</f>
        <v>{sampleDate}</v>
      </c>
      <c r="AR5" s="15" t="s">
        <v>23</v>
      </c>
      <c r="AS5" s="47" t="str">
        <f>IF(L5&lt;&gt;"",L5/(AK5),"")</f>
        <v/>
      </c>
      <c r="AT5" s="47" t="str">
        <f>IF(M5&lt;&gt;"",M5/(AK5),"")</f>
        <v/>
      </c>
      <c r="AU5" s="47" t="str">
        <f>IF(N5&lt;&gt;"",N5/(AK5),"")</f>
        <v/>
      </c>
      <c r="AV5" s="39" t="e">
        <f t="shared" ref="AV5" si="6">AVERAGE(AS5:AU5)</f>
        <v>#DIV/0!</v>
      </c>
      <c r="AW5" s="39" t="e">
        <f t="shared" ref="AW5" si="7">STDEV(AS5:AU5)</f>
        <v>#DIV/0!</v>
      </c>
      <c r="AX5" s="31" t="str">
        <f>AB5</f>
        <v/>
      </c>
      <c r="AY5" s="31" t="str">
        <f>AC5</f>
        <v/>
      </c>
      <c r="AZ5" s="31" t="str">
        <f>AD5</f>
        <v/>
      </c>
      <c r="BA5" s="17" t="e">
        <f t="shared" ref="BA5" si="8">AVERAGE(AX5:AZ5)</f>
        <v>#DIV/0!</v>
      </c>
      <c r="BB5" s="31" t="str">
        <f>IF(ISNUMBER(AB5),AB5*($X5/$Y5*1000),"")</f>
        <v/>
      </c>
      <c r="BC5" s="31" t="str">
        <f t="shared" ref="BC5:BD5" si="9">IF(ISNUMBER(AC5),AC5*($X5/$Y5*1000),"")</f>
        <v/>
      </c>
      <c r="BD5" s="31" t="str">
        <f t="shared" si="9"/>
        <v/>
      </c>
      <c r="BE5" s="17" t="e">
        <f>AVERAGE(BB5:BD5)</f>
        <v>#DIV/0!</v>
      </c>
      <c r="BF5" s="32" t="e">
        <f>(AK5/1.5*100)/$Z5</f>
        <v>#DIV/0!</v>
      </c>
      <c r="BG5" s="33" t="e">
        <f>BF5*(X5/Y5*1000)</f>
        <v>#DIV/0!</v>
      </c>
      <c r="BH5" s="36" t="str">
        <f>AQ5</f>
        <v>{sampleDate}</v>
      </c>
      <c r="BI5" s="16" t="str">
        <f>D5</f>
        <v>{sampleID}</v>
      </c>
      <c r="BJ5" s="16" t="str">
        <f>IF(Q5&lt;&gt;"",Q5,"")</f>
        <v>{value_npmmov_dil10_0|}</v>
      </c>
      <c r="BK5" s="16" t="str">
        <f>IF(R5&lt;&gt;"",R5,"")</f>
        <v>{value_npmmov_dil10_1|}</v>
      </c>
      <c r="BL5" s="16" t="str">
        <f>IF(S5&lt;&gt;"",S5,"")</f>
        <v>{value_npmmov_dil10_2|}</v>
      </c>
      <c r="BM5" s="16" t="e">
        <f>AVERAGE(BJ5:BL5)</f>
        <v>#DIV/0!</v>
      </c>
      <c r="BN5" s="16" t="s">
        <v>78</v>
      </c>
      <c r="BO5" s="21" t="s">
        <v>79</v>
      </c>
      <c r="BP5" s="21" t="s">
        <v>80</v>
      </c>
      <c r="BQ5" s="16" t="str">
        <f>IF(COUNT(BN5:BP5)&gt;0,AVERAGE(BN5:BP5),"")</f>
        <v/>
      </c>
      <c r="BR5" s="16" t="s">
        <v>81</v>
      </c>
      <c r="BS5" s="16" t="s">
        <v>82</v>
      </c>
      <c r="BT5" s="16" t="s">
        <v>83</v>
      </c>
      <c r="BU5" s="16" t="str">
        <f>IF(COUNT(BR5:BT5)&gt;0,AVERAGE(BR5:BT5),"")</f>
        <v/>
      </c>
      <c r="BV5" s="16" t="str">
        <f>IF(AND(ISNUMBER(BM5),ISNUMBER(BU5)),BM5-BU5,"")</f>
        <v/>
      </c>
      <c r="BW5" s="27" t="str">
        <f>IF(AND(ISNUMBER(BQ5),ISNUMBER(BU5)),BQ5-BU5,"")</f>
        <v/>
      </c>
    </row>
    <row r="10" spans="1:75" x14ac:dyDescent="0.2">
      <c r="BS10" s="26"/>
      <c r="BT10" s="26"/>
      <c r="BU10" s="26"/>
    </row>
  </sheetData>
  <mergeCells count="12">
    <mergeCell ref="AS3:BD3"/>
    <mergeCell ref="BH3:BW3"/>
    <mergeCell ref="G4:I4"/>
    <mergeCell ref="L4:N4"/>
    <mergeCell ref="Q4:S4"/>
    <mergeCell ref="AS4:AU4"/>
    <mergeCell ref="AX4:AZ4"/>
    <mergeCell ref="BB4:BD4"/>
    <mergeCell ref="AH4:AJ4"/>
    <mergeCell ref="AB4:AD4"/>
    <mergeCell ref="E3:G3"/>
    <mergeCell ref="I3:K3"/>
  </mergeCells>
  <conditionalFormatting sqref="L5:N5">
    <cfRule type="cellIs" dxfId="8" priority="9" operator="lessThan">
      <formula>3.75</formula>
    </cfRule>
    <cfRule type="cellIs" dxfId="7" priority="10" operator="between">
      <formula>$C$1568</formula>
      <formula>$C$1564</formula>
    </cfRule>
  </conditionalFormatting>
  <conditionalFormatting sqref="AH5:AJ5">
    <cfRule type="cellIs" dxfId="6" priority="8" operator="between">
      <formula>$AH$2697</formula>
      <formula>$AH$2701</formula>
    </cfRule>
  </conditionalFormatting>
  <conditionalFormatting sqref="AH5:AJ5">
    <cfRule type="cellIs" dxfId="5" priority="6" operator="greaterThan">
      <formula>38894</formula>
    </cfRule>
    <cfRule type="cellIs" dxfId="4" priority="7" operator="lessThan">
      <formula>150</formula>
    </cfRule>
  </conditionalFormatting>
  <conditionalFormatting sqref="AS5:AW5">
    <cfRule type="cellIs" dxfId="3" priority="5" operator="lessThan">
      <formula>0.000001</formula>
    </cfRule>
  </conditionalFormatting>
  <conditionalFormatting sqref="AX5:AZ5 BB5:BD5">
    <cfRule type="cellIs" dxfId="2" priority="4" operator="lessThan">
      <formula>100</formula>
    </cfRule>
  </conditionalFormatting>
  <conditionalFormatting sqref="BG5">
    <cfRule type="cellIs" dxfId="1" priority="2" operator="lessThan">
      <formula>100</formula>
    </cfRule>
  </conditionalFormatting>
  <conditionalFormatting sqref="L5:N5">
    <cfRule type="cellIs" dxfId="0" priority="12" operator="between">
      <formula>#REF!</formula>
      <formula>#REF!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5FCF-EE9C-0146-81B2-A2A958472A61}">
  <dimension ref="A1:G8"/>
  <sheetViews>
    <sheetView zoomScale="103" zoomScaleNormal="75" workbookViewId="0">
      <selection activeCell="G3" sqref="G3"/>
    </sheetView>
  </sheetViews>
  <sheetFormatPr baseColWidth="10" defaultRowHeight="16" x14ac:dyDescent="0.2"/>
  <cols>
    <col min="1" max="1" width="21.1640625" style="52" customWidth="1"/>
    <col min="2" max="2" width="14.5" bestFit="1" customWidth="1"/>
    <col min="3" max="6" width="15.5" customWidth="1"/>
    <col min="7" max="7" width="13.5" customWidth="1"/>
  </cols>
  <sheetData>
    <row r="1" spans="1:7" s="52" customFormat="1" x14ac:dyDescent="0.2">
      <c r="C1" s="52" t="s">
        <v>30</v>
      </c>
      <c r="D1" s="52" t="s">
        <v>31</v>
      </c>
      <c r="E1" s="52" t="s">
        <v>31</v>
      </c>
      <c r="F1" s="52" t="s">
        <v>31</v>
      </c>
      <c r="G1" s="52" t="s">
        <v>70</v>
      </c>
    </row>
    <row r="2" spans="1:7" x14ac:dyDescent="0.2">
      <c r="A2" s="52" t="s">
        <v>27</v>
      </c>
      <c r="B2" s="40" t="s">
        <v>16</v>
      </c>
      <c r="C2" s="40" t="s">
        <v>17</v>
      </c>
      <c r="D2" s="66" t="s">
        <v>5</v>
      </c>
      <c r="E2" s="67"/>
      <c r="F2" s="68"/>
      <c r="G2" s="40" t="s">
        <v>48</v>
      </c>
    </row>
    <row r="3" spans="1:7" x14ac:dyDescent="0.2">
      <c r="A3" s="52" t="s">
        <v>28</v>
      </c>
      <c r="B3" s="22" t="s">
        <v>35</v>
      </c>
      <c r="C3" s="24" t="e">
        <f>LOG(B3)</f>
        <v>#VALUE!</v>
      </c>
      <c r="D3" s="22" t="s">
        <v>32</v>
      </c>
      <c r="E3" s="22" t="s">
        <v>33</v>
      </c>
      <c r="F3" s="22" t="s">
        <v>34</v>
      </c>
      <c r="G3" s="22" t="e">
        <f ca="1">AVERAGE(D3:F3)*__SETCELL("Cal-{type}-{plateID}", "avg_std_#",1)</f>
        <v>#DIV/0!</v>
      </c>
    </row>
    <row r="4" spans="1:7" x14ac:dyDescent="0.2">
      <c r="A4" s="52" t="s">
        <v>29</v>
      </c>
      <c r="B4" s="42"/>
      <c r="F4" s="23" t="s">
        <v>18</v>
      </c>
      <c r="G4" s="24" t="e">
        <f ca="1">SLOPE(__GETRANGE(cal_row_data, cal_col_ct_avg, __GETCALVAL("Cal-{type}-{plateID}", "num_points")), __GETRANGE(cal_row_data, cal_col_logct,  __GETCALVAL("Cal-{type}-{plateID}", "num_points")))*__SETCELL("Cal-{type}-{plateID}", "slope", 1)</f>
        <v>#NAME?</v>
      </c>
    </row>
    <row r="5" spans="1:7" x14ac:dyDescent="0.2">
      <c r="A5" s="52" t="s">
        <v>29</v>
      </c>
      <c r="B5" s="43"/>
      <c r="F5" s="23" t="s">
        <v>19</v>
      </c>
      <c r="G5" s="24" t="e">
        <f ca="1">INTERCEPT(__GETRANGE(cal_row_data, cal_col_ct_avg, __GETCALVAL("Cal-{type}-{plateID}", "num_points")), __GETRANGE(cal_row_data, cal_col_logct, __GETCALVAL("Cal-{type}-{plateID}", "num_points")))*__SETCELL("Cal-{type}-{plateID}", "intercept", 1)</f>
        <v>#NAME?</v>
      </c>
    </row>
    <row r="6" spans="1:7" x14ac:dyDescent="0.2">
      <c r="A6" s="52" t="s">
        <v>29</v>
      </c>
      <c r="B6" s="43"/>
      <c r="F6" s="23" t="s">
        <v>20</v>
      </c>
      <c r="G6" s="25" t="e">
        <f ca="1">(10^(-1/G4)-1)*__SETCELL("Cal-{type}-{plateID}", "efficiency", 1)</f>
        <v>#NAME?</v>
      </c>
    </row>
    <row r="7" spans="1:7" x14ac:dyDescent="0.2">
      <c r="A7" s="52" t="s">
        <v>29</v>
      </c>
      <c r="F7" s="23" t="s">
        <v>49</v>
      </c>
      <c r="G7" s="44" t="e">
        <f ca="1">RSQ(__GETRANGE(cal_row_data, cal_col_ct_avg, __GETCALVAL("Cal-{type}-{plateID}", "num_points")), __GETRANGE(cal_row_data, cal_col_logct, __GETCALVAL("Cal-{type}-{plateID}", "num_points")))*__SETCELL("Cal-{type}-{plateID}", "rsq", 1)</f>
        <v>#NAME?</v>
      </c>
    </row>
    <row r="8" spans="1:7" x14ac:dyDescent="0.2">
      <c r="A8" s="52" t="s">
        <v>29</v>
      </c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Wellman</dc:creator>
  <cp:lastModifiedBy>Martin Wellman</cp:lastModifiedBy>
  <dcterms:created xsi:type="dcterms:W3CDTF">2021-06-07T16:59:49Z</dcterms:created>
  <dcterms:modified xsi:type="dcterms:W3CDTF">2021-08-25T21:31:26Z</dcterms:modified>
</cp:coreProperties>
</file>