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4D436D9D-7CEC-7745-93E2-79B6FC20BD27}" xr6:coauthVersionLast="47" xr6:coauthVersionMax="47" xr10:uidLastSave="{00000000-0000-0000-0000-000000000000}"/>
  <bookViews>
    <workbookView xWindow="0" yWindow="880" windowWidth="28800" windowHeight="1394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19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agg.'!$G$4:$G$35</definedName>
    <definedName name="_xlchart.v1.1" hidden="1">'Pepper data agg.'!$K$4:$K$38</definedName>
    <definedName name="_xlchart.v1.2" hidden="1">'Pepper data agg.'!$A$4:$A$45</definedName>
    <definedName name="_xlchart.v1.3" hidden="1">'Pepper data agg.'!$E$4:$E$45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G3" i="18" l="1"/>
  <c r="BS3" i="18"/>
  <c r="BT3" i="18"/>
  <c r="BU3" i="18"/>
  <c r="BV3" i="18"/>
  <c r="BW3" i="18"/>
  <c r="BR3" i="18"/>
  <c r="G3" i="18" l="1"/>
  <c r="G5" i="18"/>
  <c r="G6" i="18"/>
  <c r="G7" i="18"/>
  <c r="G8" i="18"/>
  <c r="CE3" i="18"/>
  <c r="AU3" i="18"/>
  <c r="AG3" i="18" l="1"/>
  <c r="AF3" i="18"/>
  <c r="U3" i="18"/>
  <c r="T3" i="18"/>
  <c r="I3" i="18"/>
  <c r="H3" i="18"/>
  <c r="AN3" i="18"/>
  <c r="AO3" i="18"/>
  <c r="AM3" i="18"/>
  <c r="G7" i="19" l="1"/>
  <c r="G5" i="19"/>
  <c r="G4" i="19"/>
  <c r="G6" i="19" s="1"/>
  <c r="G3" i="19"/>
  <c r="C3" i="19"/>
  <c r="F3" i="18" l="1"/>
  <c r="AX3" i="18"/>
  <c r="BZ3" i="18"/>
  <c r="BH3" i="18"/>
  <c r="BQ3" i="18"/>
  <c r="O3" i="18" l="1"/>
  <c r="AZ3" i="18" s="1"/>
  <c r="AL3" i="18"/>
  <c r="AK3" i="18"/>
  <c r="CA3" i="18" s="1"/>
  <c r="CD3" i="18" s="1"/>
  <c r="AB3" i="18"/>
  <c r="BD3" i="18" s="1"/>
  <c r="AC3" i="18"/>
  <c r="BE3" i="18" s="1"/>
  <c r="AA3" i="18"/>
  <c r="BC3" i="18" s="1"/>
  <c r="Z3" i="18"/>
  <c r="Y3" i="18"/>
  <c r="P3" i="18"/>
  <c r="BA3" i="18" s="1"/>
  <c r="Q3" i="18"/>
  <c r="BB3" i="18" s="1"/>
  <c r="O4" i="18"/>
  <c r="O5" i="18"/>
  <c r="O6" i="18"/>
  <c r="O7" i="18"/>
  <c r="BL3" i="18" l="1"/>
  <c r="BN3" i="18"/>
  <c r="BM3" i="18"/>
  <c r="BK3" i="18"/>
  <c r="BJ3" i="18"/>
  <c r="AQ3" i="18"/>
  <c r="AP3" i="18"/>
  <c r="CF3" i="18" s="1"/>
  <c r="BI3" i="18"/>
  <c r="AD3" i="18"/>
  <c r="AE3" i="18"/>
  <c r="R3" i="18"/>
  <c r="S3" i="18"/>
  <c r="N3" i="18" l="1"/>
  <c r="M3" i="18"/>
  <c r="BX3" i="18" l="1"/>
  <c r="BZ5" i="18" s="1"/>
  <c r="BF3" i="18"/>
  <c r="BH5" i="18" s="1"/>
  <c r="BX4" i="18"/>
  <c r="BZ6" i="18" s="1"/>
  <c r="BY4" i="18"/>
  <c r="BX5" i="18"/>
  <c r="BY5" i="18"/>
  <c r="BO4" i="18"/>
  <c r="BP4" i="18"/>
  <c r="BO5" i="18"/>
  <c r="BP5" i="18"/>
  <c r="BF4" i="18"/>
  <c r="BG4" i="18"/>
  <c r="BF5" i="18"/>
  <c r="BG5" i="18"/>
  <c r="BZ7" i="18"/>
  <c r="BY3" i="18"/>
  <c r="BP3" i="18"/>
  <c r="BO3" i="18"/>
  <c r="BQ5" i="18" s="1"/>
  <c r="BG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R415" i="13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T418" i="13"/>
  <c r="P419" i="13"/>
  <c r="T419" i="13" s="1"/>
  <c r="Q419" i="13"/>
  <c r="U419" i="13" s="1"/>
  <c r="R419" i="13"/>
  <c r="S419" i="13"/>
  <c r="P420" i="13"/>
  <c r="R420" i="13" s="1"/>
  <c r="Q420" i="13"/>
  <c r="S420" i="13" s="1"/>
  <c r="T420" i="13"/>
  <c r="P421" i="13"/>
  <c r="R421" i="13" s="1"/>
  <c r="Q421" i="13"/>
  <c r="S421" i="13"/>
  <c r="T421" i="13"/>
  <c r="U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U441" i="13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Q465" i="13"/>
  <c r="U465" i="13" s="1"/>
  <c r="R465" i="13"/>
  <c r="T465" i="13"/>
  <c r="P466" i="13"/>
  <c r="R466" i="13" s="1"/>
  <c r="Q466" i="13"/>
  <c r="S466" i="13" s="1"/>
  <c r="T466" i="13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Q495" i="13"/>
  <c r="S495" i="13" s="1"/>
  <c r="R495" i="13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Q499" i="13"/>
  <c r="R499" i="13"/>
  <c r="S499" i="13"/>
  <c r="T499" i="13"/>
  <c r="U499" i="13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U495" i="13" l="1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<sst xmlns="http://schemas.openxmlformats.org/spreadsheetml/2006/main" count="2647" uniqueCount="475">
  <si>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</si>
  <si>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</si>
  <si>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</si>
  <si>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</si>
  <si>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</si>
  <si>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</si>
  <si>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</si>
  <si>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</si>
  <si>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</si>
  <si>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</si>
  <si>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</si>
  <si>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</si>
  <si>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</si>
  <si>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</si>
  <si>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</si>
  <si>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</si>
  <si>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</si>
  <si>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</si>
  <si>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</si>
  <si>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</si>
  <si>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</si>
  <si>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</si>
  <si>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</si>
  <si>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</si>
  <si>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</si>
  <si>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</si>
  <si>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</si>
  <si>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</si>
  <si>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</si>
  <si>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</si>
  <si>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</si>
  <si>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</si>
  <si>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</si>
  <si>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</si>
  <si>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</si>
  <si>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</si>
  <si>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</si>
  <si>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</si>
  <si>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</si>
  <si>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</si>
  <si>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</si>
  <si>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</si>
  <si>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</si>
  <si>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</si>
  <si>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</si>
  <si>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</si>
  <si>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</si>
  <si>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</si>
  <si>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</si>
  <si>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</si>
  <si>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</si>
  <si>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</si>
  <si>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</si>
  <si>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</si>
  <si>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</si>
  <si>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</si>
  <si>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</si>
  <si>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</si>
  <si>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</si>
  <si>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</si>
  <si>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</si>
  <si>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</si>
  <si>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</si>
  <si>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</si>
  <si>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</si>
  <si>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</si>
  <si>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</si>
  <si>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</si>
  <si>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</si>
  <si>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</si>
  <si>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</si>
  <si>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</si>
  <si>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</si>
  <si>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</si>
  <si>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</si>
  <si>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</si>
  <si>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</si>
  <si>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</si>
  <si>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</si>
  <si>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</si>
  <si>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</si>
  <si>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</si>
  <si>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</si>
  <si>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</si>
  <si>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</si>
  <si>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</si>
  <si>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</si>
  <si>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</si>
  <si>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</si>
  <si>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</si>
  <si>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</si>
  <si>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</si>
  <si>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</si>
  <si>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</si>
  <si>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</si>
  <si>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</si>
  <si>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</si>
  <si>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</si>
  <si>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</si>
  <si>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</si>
  <si>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</si>
  <si>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</si>
  <si>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</si>
  <si>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</si>
  <si>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</si>
  <si>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</si>
  <si>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</si>
  <si>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</si>
  <si>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</si>
  <si>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</si>
  <si>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</si>
  <si>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</si>
  <si>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</si>
  <si>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</si>
  <si>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</si>
  <si>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</si>
  <si>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</si>
  <si>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</si>
  <si>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</si>
  <si>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</si>
  <si>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</si>
  <si>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</si>
  <si>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</si>
  <si>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</si>
  <si>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</si>
  <si>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</si>
  <si>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</si>
  <si>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</si>
  <si>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</si>
  <si>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</si>
  <si>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</si>
  <si>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</si>
  <si>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</si>
  <si>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</si>
  <si>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</si>
  <si>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</si>
  <si>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</si>
  <si>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</si>
  <si>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</si>
  <si>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</si>
  <si>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</si>
  <si>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</si>
  <si>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</si>
  <si>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</si>
  <si>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</si>
  <si>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</si>
  <si>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</si>
  <si>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</si>
  <si>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</si>
  <si>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</si>
  <si>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</si>
  <si>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</si>
  <si>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</si>
  <si>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</si>
  <si>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</si>
  <si>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</si>
  <si>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</si>
  <si>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</si>
  <si>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</si>
  <si>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</si>
  <si>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</si>
  <si>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</si>
  <si>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</si>
  <si>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</si>
  <si>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</si>
  <si>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</si>
  <si>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</si>
  <si>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</si>
  <si>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</si>
  <si>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</si>
  <si>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</si>
  <si>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</si>
  <si>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</si>
  <si>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</si>
  <si>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</si>
  <si>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</si>
  <si>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</si>
  <si>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</si>
  <si>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</si>
  <si>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</si>
  <si>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</si>
  <si>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</si>
  <si>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</si>
  <si>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</si>
  <si>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</si>
  <si>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</si>
  <si>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</si>
  <si>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</si>
  <si>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</si>
  <si>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</si>
  <si>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</si>
  <si>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</si>
  <si>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</si>
  <si>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</si>
  <si>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</si>
  <si>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</si>
  <si>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</si>
  <si>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</si>
  <si>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</si>
  <si>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</si>
  <si>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</si>
  <si>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</si>
  <si>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</si>
  <si>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</si>
  <si>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</si>
  <si>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</si>
  <si>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</si>
  <si>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</si>
  <si>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</si>
  <si>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</si>
  <si>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</si>
  <si>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</si>
  <si>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</si>
  <si>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</si>
  <si>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</si>
  <si>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</si>
  <si>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</si>
  <si>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</si>
  <si>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</si>
  <si>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</si>
  <si>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</si>
  <si>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</si>
  <si>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</si>
  <si>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</si>
  <si>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</si>
  <si>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</si>
  <si>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</si>
  <si>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</si>
  <si>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</si>
  <si>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</si>
  <si>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</si>
  <si>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</si>
  <si>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</si>
  <si>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</si>
  <si>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</si>
  <si>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</si>
  <si>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</si>
  <si>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</si>
  <si>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</si>
  <si>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</si>
  <si>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</si>
  <si>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</si>
  <si>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</si>
  <si>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</si>
  <si>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</si>
  <si>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</si>
  <si>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</si>
  <si>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</si>
  <si>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</si>
  <si>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</si>
  <si>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</si>
  <si>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</si>
  <si>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</si>
  <si>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</si>
  <si>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</si>
  <si>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</si>
  <si>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</si>
  <si>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</si>
  <si>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</si>
  <si>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</si>
  <si>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</si>
  <si>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</si>
  <si>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</si>
  <si>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</si>
  <si>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</si>
  <si>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</si>
  <si>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</si>
  <si>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</si>
  <si>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</si>
  <si>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</si>
  <si>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</si>
  <si>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</si>
  <si>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</si>
  <si>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</si>
  <si>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</si>
  <si>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</si>
  <si>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</si>
  <si>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</si>
  <si>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</si>
  <si>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</si>
  <si>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</si>
  <si>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</si>
  <si>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</si>
  <si>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</si>
  <si>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</si>
  <si>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</si>
  <si>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</si>
  <si>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</si>
  <si>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</si>
  <si>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</si>
  <si>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</si>
  <si>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</si>
  <si>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</si>
  <si>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</si>
  <si>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</si>
  <si>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</si>
  <si>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</si>
  <si>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</si>
  <si>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</si>
  <si>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</si>
  <si>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</si>
  <si>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</si>
  <si>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</si>
  <si>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</si>
  <si>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</si>
  <si>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</si>
  <si>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</si>
  <si>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</si>
  <si>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</si>
  <si>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</si>
  <si>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</si>
  <si>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</si>
  <si>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</si>
  <si>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</si>
  <si>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</si>
  <si>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</si>
  <si>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</si>
  <si>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</si>
  <si>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</si>
  <si>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</si>
  <si>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</si>
  <si>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</si>
  <si>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</si>
  <si>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</si>
  <si>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</si>
  <si>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</si>
  <si>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</si>
  <si>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</si>
  <si>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</si>
  <si>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</si>
  <si>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</si>
  <si>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</si>
  <si>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</si>
  <si>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</si>
  <si>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</si>
  <si>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</si>
  <si>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</si>
  <si>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</si>
  <si>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</si>
  <si>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</si>
  <si>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</si>
  <si>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</si>
  <si>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</si>
  <si>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</si>
  <si>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</si>
  <si>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</si>
  <si>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</si>
  <si>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</si>
  <si>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</si>
  <si>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</si>
  <si>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</si>
  <si>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</si>
  <si>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slop_n1</t>
  </si>
  <si>
    <t>sample_date</t>
  </si>
  <si>
    <t>ct_n1</t>
  </si>
  <si>
    <t>ct_n1_avg</t>
  </si>
  <si>
    <t>ct_n1_stdev</t>
  </si>
  <si>
    <t>copies_n1</t>
  </si>
  <si>
    <t>copies_n1_avg</t>
  </si>
  <si>
    <t>copies_n1_stdev</t>
  </si>
  <si>
    <t>intercept_n1</t>
  </si>
  <si>
    <t>slop_n2</t>
  </si>
  <si>
    <t>intercept_n2</t>
  </si>
  <si>
    <t>ct_n2</t>
  </si>
  <si>
    <t>ct_n2_avg</t>
  </si>
  <si>
    <t>ct_n2_stdev</t>
  </si>
  <si>
    <t>copies_n2</t>
  </si>
  <si>
    <t>copies_n2_avg</t>
  </si>
  <si>
    <t>copies_n2_stdev</t>
  </si>
  <si>
    <t>slop_pep</t>
  </si>
  <si>
    <t>intercept_pep</t>
  </si>
  <si>
    <t>ct_pep</t>
  </si>
  <si>
    <t>copies_pep</t>
  </si>
  <si>
    <t>copies_pep_avg</t>
  </si>
  <si>
    <t>ct_pep_avg</t>
  </si>
  <si>
    <t>ct_pep_stdev</t>
  </si>
  <si>
    <t>copies_pep_stdev</t>
  </si>
  <si>
    <t>empty_tube_weight_g</t>
  </si>
  <si>
    <t>full_tube_weight_g</t>
  </si>
  <si>
    <t>sample_volume_ml</t>
  </si>
  <si>
    <t>extracted_mass_g</t>
  </si>
  <si>
    <t>copies_per_extracted_mass_cp/g_stdev</t>
  </si>
  <si>
    <t>copies_per_copies_pep_stdev</t>
  </si>
  <si>
    <t>copies_per_liter_stdev</t>
  </si>
  <si>
    <t>avg_ct_pep_1/10</t>
  </si>
  <si>
    <t>avg_ct_pep_1/40</t>
  </si>
  <si>
    <t>avg_ct_pep_full</t>
  </si>
  <si>
    <t>delta_ct_full_1/10</t>
  </si>
  <si>
    <t>delta_ct_full_1/40</t>
  </si>
  <si>
    <t>pep_copies_per_liter</t>
  </si>
  <si>
    <t>pep_copies_per_extracted_mass_cp/g</t>
  </si>
  <si>
    <t>testB117</t>
  </si>
  <si>
    <t>detectB117</t>
  </si>
  <si>
    <t>fractionB117</t>
  </si>
  <si>
    <t>fractionB117_stdev</t>
  </si>
  <si>
    <t>boolean</t>
  </si>
  <si>
    <t>n1_copies_per_extracted_mass_cp/g</t>
  </si>
  <si>
    <t>n2_copies_per_extracted_mass_cp/g</t>
  </si>
  <si>
    <t>viral_copies_per_extracted_mass_cp/g_avg</t>
  </si>
  <si>
    <t>n1_copies_per_copies_pep</t>
  </si>
  <si>
    <t>n2_copies_per_copies_pep</t>
  </si>
  <si>
    <t>viral_copies_per_copies_pep_avg</t>
  </si>
  <si>
    <t>viral_copies_per_liter_avg</t>
  </si>
  <si>
    <t>n1_copies_per_liter</t>
  </si>
  <si>
    <t>n2_copies_per_liter</t>
  </si>
  <si>
    <t>5_day_viral_copies_per_g</t>
  </si>
  <si>
    <t>5_day_viral_copies_per_copies</t>
  </si>
  <si>
    <t>5_day_viral_copies_per_liter</t>
  </si>
  <si>
    <t>main_row_banner</t>
  </si>
  <si>
    <t>main_row_data</t>
  </si>
  <si>
    <t>{sampleDate}</t>
  </si>
  <si>
    <t>{sampleID}</t>
  </si>
  <si>
    <t>cal_col_logct</t>
  </si>
  <si>
    <t>cal_col_ct</t>
  </si>
  <si>
    <t>cal_col_ct_avg</t>
  </si>
  <si>
    <t>cal_row_header</t>
  </si>
  <si>
    <t>{type} Avg</t>
  </si>
  <si>
    <t>cal_row_data</t>
  </si>
  <si>
    <t>{value_sq_avg}</t>
  </si>
  <si>
    <t>{value_0}</t>
  </si>
  <si>
    <t>{value_1}</t>
  </si>
  <si>
    <t>{value_2}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</si>
  <si>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</si>
  <si>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</si>
  <si>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</si>
  <si>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</si>
  <si>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</si>
  <si>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</si>
  <si>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</si>
  <si>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</si>
  <si>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</si>
  <si>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</si>
  <si>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</si>
  <si>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</si>
  <si>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</si>
  <si>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{analysisDate}</t>
  </si>
  <si>
    <t>settle_solid_volume_ml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</si>
  <si>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</si>
  <si>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</si>
  <si>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</si>
  <si>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</si>
  <si>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</si>
  <si>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</si>
  <si>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</si>
  <si>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</si>
  <si>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</si>
  <si>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</si>
  <si>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</si>
  <si>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</si>
  <si>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</si>
  <si>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well_volume_ul</t>
  </si>
  <si>
    <t>site</t>
  </si>
  <si>
    <t>{siteID}</t>
  </si>
  <si>
    <t>pellet_weight_g</t>
  </si>
  <si>
    <t xml:space="preserve">Note QA/QC: </t>
  </si>
  <si>
    <t>{value_covn1_0|&lt;ND&gt;|&lt;MISSING&gt;}</t>
  </si>
  <si>
    <t>{value_covn1_1|&lt;ND&gt;|&lt;MISSING&gt;}</t>
  </si>
  <si>
    <t>{value_covn1_2|&lt;ND&gt;|&lt;MISSING&gt;}</t>
  </si>
  <si>
    <t>{value_covn2_0|&lt;ND&gt;|&lt;MISSING&gt;}</t>
  </si>
  <si>
    <t>{value_covn2_1|&lt;ND&gt;|&lt;MISSING&gt;}</t>
  </si>
  <si>
    <t>{value_covn2_2|&lt;ND&gt;|&lt;MISSING&gt;}</t>
  </si>
  <si>
    <t>{value_npmmov_dil10_0|&lt;ND&gt;|&lt;MISSING&gt;}</t>
  </si>
  <si>
    <t>{value_npmmov_dil10_1|&lt;ND&gt;|&lt;MISSING&gt;}</t>
  </si>
  <si>
    <t>{value_npmmov_dil10_2|&lt;ND&gt;|&lt;MISSING&gt;}</t>
  </si>
  <si>
    <t>main_col_inhibition_10_nodil_dct</t>
  </si>
  <si>
    <t>main_col_inhibition_40_nodil_dct</t>
  </si>
  <si>
    <t>=__AVERAGE({value_npmmov_dil40_0||},{value_npmmov_dil40_1||},{value_npmmov_dil40_2||})</t>
  </si>
  <si>
    <t>=__AVERAGE({value_npmmov_0||},{value_npmmov_1||},{value_npmmov_2||})</t>
  </si>
  <si>
    <t>respect_loq</t>
  </si>
  <si>
    <t>total_volume_ml</t>
  </si>
  <si>
    <t>{value_totvol_0||}</t>
  </si>
  <si>
    <t>{value_emptytubemass_0||}</t>
  </si>
  <si>
    <t>{value_tottubemass_0||}</t>
  </si>
  <si>
    <t>{value_setsol_0||}</t>
  </si>
  <si>
    <t>{value_extmass_0||}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</si>
</sst>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28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46" fillId="38" borderId="1" xfId="0" applyFont="1" applyFill="1" applyBorder="1" applyAlignment="1">
      <alignment horizontal="center" vertical="center"/>
    </xf>
    <xf numFmtId="2" fontId="45" fillId="0" borderId="1" xfId="0" applyNumberFormat="1" applyFont="1" applyBorder="1" applyAlignment="1">
      <alignment horizontal="center" vertical="center"/>
    </xf>
    <xf numFmtId="164" fontId="45" fillId="0" borderId="1" xfId="0" applyNumberFormat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6" fillId="0" borderId="0" xfId="11" applyFont="1"/>
    <xf numFmtId="0" fontId="6" fillId="0" borderId="0" xfId="0" applyFont="1"/>
    <xf numFmtId="2" fontId="1" fillId="0" borderId="0" xfId="0" applyNumberFormat="1" applyFont="1" applyAlignment="1">
      <alignment horizontal="right" vertic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6" fillId="32" borderId="6" xfId="0" applyFont="1" applyFill="1" applyBorder="1" applyAlignment="1">
      <alignment horizontal="center" vertical="center" wrapText="1"/>
    </xf>
    <xf numFmtId="0" fontId="6" fillId="32" borderId="39" xfId="0" applyFont="1" applyFill="1" applyBorder="1" applyAlignment="1">
      <alignment horizontal="center" vertical="center" wrapText="1"/>
    </xf>
    <xf numFmtId="0" fontId="6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6" fillId="36" borderId="6" xfId="0" applyFont="1" applyFill="1" applyBorder="1" applyAlignment="1">
      <alignment horizontal="center" vertical="center" wrapText="1"/>
    </xf>
    <xf numFmtId="0" fontId="6" fillId="36" borderId="39" xfId="0" applyFont="1" applyFill="1" applyBorder="1" applyAlignment="1">
      <alignment horizontal="center" vertical="center" wrapText="1"/>
    </xf>
    <xf numFmtId="0" fontId="6" fillId="36" borderId="11" xfId="0" applyFont="1" applyFill="1" applyBorder="1" applyAlignment="1">
      <alignment horizontal="center" vertical="center" wrapText="1"/>
    </xf>
    <xf numFmtId="0" fontId="46" fillId="38" borderId="6" xfId="0" applyFont="1" applyFill="1" applyBorder="1" applyAlignment="1">
      <alignment horizontal="center" vertical="center"/>
    </xf>
    <xf numFmtId="0" fontId="46" fillId="38" borderId="39" xfId="0" applyFont="1" applyFill="1" applyBorder="1" applyAlignment="1">
      <alignment horizontal="center" vertical="center"/>
    </xf>
    <xf numFmtId="0" fontId="46" fillId="38" borderId="11" xfId="0" applyFont="1" applyFill="1" applyBorder="1" applyAlignment="1">
      <alignment horizontal="center" vertical="center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textRotation="90"/>
    </xf>
    <xf numFmtId="0" fontId="9" fillId="14" borderId="39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" fillId="12" borderId="39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 textRotation="90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52" t="s">
        <v>35</v>
      </c>
      <c r="B1" s="452"/>
      <c r="C1" s="452"/>
      <c r="D1" s="452"/>
      <c r="E1" s="452"/>
      <c r="F1" s="452"/>
      <c r="G1" s="453" t="s">
        <v>36</v>
      </c>
      <c r="H1" s="453"/>
      <c r="I1" s="453"/>
      <c r="J1" s="453"/>
      <c r="K1" s="453"/>
      <c r="L1" s="453"/>
      <c r="M1" s="453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24" t="s">
        <v>62</v>
      </c>
      <c r="E6" s="524"/>
      <c r="F6" s="524"/>
      <c r="G6" s="524"/>
      <c r="H6" s="524"/>
      <c r="I6" s="524"/>
      <c r="J6" s="524"/>
      <c r="K6" s="524"/>
      <c r="L6" s="524"/>
      <c r="M6" s="524"/>
      <c r="N6" s="524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492" t="s">
        <v>5</v>
      </c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493" t="s">
        <v>76</v>
      </c>
      <c r="AR6" s="493"/>
      <c r="AS6" s="493"/>
      <c r="AT6" s="493"/>
      <c r="AU6" s="493"/>
      <c r="AV6" s="493"/>
      <c r="AW6" s="493"/>
      <c r="AX6" s="493"/>
      <c r="AY6" s="493"/>
      <c r="AZ6" s="493"/>
      <c r="BA6" s="493"/>
      <c r="BB6" s="493"/>
      <c r="BC6" s="493"/>
      <c r="BD6" s="493"/>
      <c r="BE6" s="493"/>
      <c r="BF6" s="493"/>
      <c r="BG6" s="493"/>
      <c r="BH6" s="493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56" t="s">
        <v>7</v>
      </c>
      <c r="B1" s="456"/>
      <c r="F1" s="455" t="s">
        <v>8</v>
      </c>
      <c r="G1" s="455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55" t="s">
        <v>7</v>
      </c>
      <c r="M2" s="455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55" t="s">
        <v>8</v>
      </c>
      <c r="M17" s="455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57" t="s">
        <v>141</v>
      </c>
      <c r="G36" s="458"/>
      <c r="H36" s="458"/>
      <c r="I36" s="458"/>
      <c r="J36" s="458"/>
      <c r="K36" s="458"/>
      <c r="L36" s="458"/>
      <c r="M36" s="458"/>
      <c r="N36" s="458"/>
      <c r="O36" s="347"/>
      <c r="P36" s="339"/>
      <c r="Q36" s="454" t="s">
        <v>147</v>
      </c>
      <c r="R36" s="454"/>
      <c r="S36" s="454"/>
    </row>
    <row r="37" spans="1:19" ht="15" customHeight="1" x14ac:dyDescent="0.2">
      <c r="A37" s="9">
        <v>13.7182</v>
      </c>
      <c r="B37" s="456">
        <f>AVERAGE(A37:A53)</f>
        <v>13.765364705882353</v>
      </c>
      <c r="C37" s="456">
        <f>STDEV(A37:A53)</f>
        <v>4.8003137152384072E-2</v>
      </c>
      <c r="F37" s="459"/>
      <c r="G37" s="460"/>
      <c r="H37" s="460"/>
      <c r="I37" s="460"/>
      <c r="J37" s="460"/>
      <c r="K37" s="460"/>
      <c r="L37" s="460"/>
      <c r="M37" s="460"/>
      <c r="N37" s="460"/>
      <c r="O37" s="348"/>
      <c r="P37" s="339"/>
      <c r="Q37" s="454"/>
      <c r="R37" s="454"/>
      <c r="S37" s="454"/>
    </row>
    <row r="38" spans="1:19" ht="18" x14ac:dyDescent="0.2">
      <c r="A38" s="9">
        <v>13.7376</v>
      </c>
      <c r="B38" s="456"/>
      <c r="C38" s="456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55"/>
      <c r="R38" s="455"/>
      <c r="S38" s="455"/>
    </row>
    <row r="39" spans="1:19" x14ac:dyDescent="0.2">
      <c r="A39" s="9">
        <v>13.736000000000001</v>
      </c>
      <c r="B39" s="456"/>
      <c r="C39" s="456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55"/>
      <c r="R39" s="455"/>
      <c r="S39" s="455"/>
    </row>
    <row r="40" spans="1:19" x14ac:dyDescent="0.2">
      <c r="A40" s="9">
        <v>13.7837</v>
      </c>
      <c r="B40" s="456"/>
      <c r="C40" s="456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55"/>
      <c r="R40" s="455"/>
      <c r="S40" s="455"/>
    </row>
    <row r="41" spans="1:19" x14ac:dyDescent="0.2">
      <c r="A41" s="9">
        <v>13.8345</v>
      </c>
      <c r="B41" s="456"/>
      <c r="C41" s="456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55"/>
      <c r="R41" s="455"/>
      <c r="S41" s="455"/>
    </row>
    <row r="42" spans="1:19" x14ac:dyDescent="0.2">
      <c r="A42" s="9">
        <v>13.754099999999999</v>
      </c>
      <c r="B42" s="456"/>
      <c r="C42" s="456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55" t="s">
        <v>148</v>
      </c>
      <c r="R42" s="455"/>
      <c r="S42" s="455"/>
    </row>
    <row r="43" spans="1:19" x14ac:dyDescent="0.2">
      <c r="A43" s="9">
        <v>13.8414</v>
      </c>
      <c r="B43" s="456"/>
      <c r="C43" s="456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55" t="s">
        <v>148</v>
      </c>
      <c r="R43" s="455"/>
      <c r="S43" s="455"/>
    </row>
    <row r="44" spans="1:19" ht="19" x14ac:dyDescent="0.25">
      <c r="A44" s="9">
        <v>13.7273</v>
      </c>
      <c r="B44" s="456"/>
      <c r="C44" s="456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55" t="s">
        <v>148</v>
      </c>
      <c r="R44" s="455"/>
      <c r="S44" s="455"/>
    </row>
    <row r="45" spans="1:19" ht="19" x14ac:dyDescent="0.25">
      <c r="A45" s="9">
        <v>13.761100000000001</v>
      </c>
      <c r="B45" s="456"/>
      <c r="C45" s="456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55" t="s">
        <v>148</v>
      </c>
      <c r="R45" s="455"/>
      <c r="S45" s="455"/>
    </row>
    <row r="46" spans="1:19" x14ac:dyDescent="0.2">
      <c r="A46" s="9">
        <v>13.753299999999999</v>
      </c>
      <c r="B46" s="456"/>
      <c r="C46" s="456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55" t="s">
        <v>148</v>
      </c>
      <c r="R46" s="455"/>
      <c r="S46" s="455"/>
    </row>
    <row r="47" spans="1:19" x14ac:dyDescent="0.2">
      <c r="A47" s="9">
        <v>13.784800000000001</v>
      </c>
      <c r="B47" s="456"/>
      <c r="C47" s="456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55" t="s">
        <v>148</v>
      </c>
      <c r="R47" s="455"/>
      <c r="S47" s="455"/>
    </row>
    <row r="48" spans="1:19" x14ac:dyDescent="0.2">
      <c r="A48" s="9">
        <v>13.751200000000001</v>
      </c>
      <c r="B48" s="456"/>
      <c r="C48" s="456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55" t="s">
        <v>148</v>
      </c>
      <c r="R48" s="455"/>
      <c r="S48" s="455"/>
    </row>
    <row r="49" spans="1:19" x14ac:dyDescent="0.2">
      <c r="A49" s="9">
        <v>13.6912</v>
      </c>
      <c r="B49" s="456"/>
      <c r="C49" s="456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55" t="s">
        <v>148</v>
      </c>
      <c r="R49" s="455"/>
      <c r="S49" s="455"/>
    </row>
    <row r="50" spans="1:19" x14ac:dyDescent="0.2">
      <c r="A50" s="9">
        <v>13.785299999999999</v>
      </c>
      <c r="B50" s="456"/>
      <c r="C50" s="456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56"/>
      <c r="C51" s="456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56"/>
      <c r="C52" s="456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56"/>
      <c r="C53" s="456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56">
        <f>AVERAGE(A56:A71)</f>
        <v>15.888568750000001</v>
      </c>
      <c r="C56" s="456">
        <f>STDEV(A56:A71)</f>
        <v>0.47477657302321347</v>
      </c>
    </row>
    <row r="57" spans="1:19" x14ac:dyDescent="0.2">
      <c r="A57" s="383">
        <v>15.7774</v>
      </c>
      <c r="B57" s="456"/>
      <c r="C57" s="456"/>
    </row>
    <row r="58" spans="1:19" x14ac:dyDescent="0.2">
      <c r="A58" s="383">
        <v>15.7728</v>
      </c>
      <c r="B58" s="456"/>
      <c r="C58" s="456"/>
      <c r="H58" s="33">
        <f>AVERAGE(A59,A68)</f>
        <v>14.780950000000001</v>
      </c>
    </row>
    <row r="59" spans="1:19" x14ac:dyDescent="0.2">
      <c r="A59" s="383">
        <v>14.7896</v>
      </c>
      <c r="B59" s="456"/>
      <c r="C59" s="456"/>
      <c r="H59" s="33">
        <f>AVERAGE(A56:A58,A61:A62)</f>
        <v>15.803419999999999</v>
      </c>
    </row>
    <row r="60" spans="1:19" x14ac:dyDescent="0.2">
      <c r="A60" s="383">
        <v>16.273199999999999</v>
      </c>
      <c r="B60" s="456"/>
      <c r="C60" s="456"/>
      <c r="H60" s="33">
        <f>AVERAGE(A60,A64,A63,A65,A66,A67,A69,A70,A71)</f>
        <v>16.182011111111112</v>
      </c>
    </row>
    <row r="61" spans="1:19" x14ac:dyDescent="0.2">
      <c r="A61" s="383">
        <v>15.8896</v>
      </c>
      <c r="B61" s="456"/>
      <c r="C61" s="456"/>
    </row>
    <row r="62" spans="1:19" x14ac:dyDescent="0.2">
      <c r="A62" s="383">
        <v>15.777100000000001</v>
      </c>
      <c r="B62" s="456"/>
      <c r="C62" s="456"/>
    </row>
    <row r="63" spans="1:19" x14ac:dyDescent="0.2">
      <c r="A63" s="383">
        <v>16.069800000000001</v>
      </c>
      <c r="B63" s="456"/>
      <c r="C63" s="456"/>
    </row>
    <row r="64" spans="1:19" x14ac:dyDescent="0.2">
      <c r="A64" s="383">
        <v>16.0776</v>
      </c>
      <c r="B64" s="456"/>
      <c r="C64" s="456"/>
    </row>
    <row r="65" spans="1:3" x14ac:dyDescent="0.2">
      <c r="A65" s="383">
        <v>16.129200000000001</v>
      </c>
      <c r="B65" s="456"/>
      <c r="C65" s="456"/>
    </row>
    <row r="66" spans="1:3" x14ac:dyDescent="0.2">
      <c r="A66" s="383">
        <v>16.063300000000002</v>
      </c>
      <c r="B66" s="456"/>
      <c r="C66" s="456"/>
    </row>
    <row r="67" spans="1:3" x14ac:dyDescent="0.2">
      <c r="A67" s="383">
        <v>16.125800000000002</v>
      </c>
      <c r="B67" s="456"/>
      <c r="C67" s="456"/>
    </row>
    <row r="68" spans="1:3" x14ac:dyDescent="0.2">
      <c r="A68" s="383">
        <v>14.7723</v>
      </c>
      <c r="B68" s="456"/>
      <c r="C68" s="456"/>
    </row>
    <row r="69" spans="1:3" x14ac:dyDescent="0.2">
      <c r="A69" s="383">
        <v>16.3428</v>
      </c>
      <c r="B69" s="456"/>
      <c r="C69" s="456"/>
    </row>
    <row r="70" spans="1:3" x14ac:dyDescent="0.2">
      <c r="A70" s="383">
        <v>16.349699999999999</v>
      </c>
      <c r="B70" s="456"/>
      <c r="C70" s="456"/>
    </row>
    <row r="71" spans="1:3" x14ac:dyDescent="0.2">
      <c r="A71" s="383">
        <v>16.206700000000001</v>
      </c>
      <c r="B71" s="456"/>
      <c r="C71" s="456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42:S42"/>
    <mergeCell ref="Q43:S43"/>
    <mergeCell ref="Q44:S44"/>
    <mergeCell ref="Q45:S45"/>
    <mergeCell ref="Q46:S46"/>
    <mergeCell ref="B56:B71"/>
    <mergeCell ref="C56:C71"/>
    <mergeCell ref="Q47:S47"/>
    <mergeCell ref="Q48:S48"/>
    <mergeCell ref="Q49:S49"/>
    <mergeCell ref="A1:B1"/>
    <mergeCell ref="F1:G1"/>
    <mergeCell ref="L2:M2"/>
    <mergeCell ref="L17:M17"/>
    <mergeCell ref="F36:N37"/>
    <mergeCell ref="B37:B53"/>
    <mergeCell ref="C37:C53"/>
    <mergeCell ref="Q36:S37"/>
    <mergeCell ref="Q38:S38"/>
    <mergeCell ref="Q39:S39"/>
    <mergeCell ref="Q40:S40"/>
    <mergeCell ref="Q41:S41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L9"/>
  <sheetViews>
    <sheetView tabSelected="1" topLeftCell="BX1" workbookViewId="0">
      <selection activeCell="CG3" sqref="CG3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6" width="12.33203125" customWidth="1"/>
    <col min="7" max="8" width="14.6640625" customWidth="1"/>
    <col min="9" max="9" width="15.1640625" customWidth="1"/>
    <col min="13" max="14" width="9" bestFit="1" customWidth="1"/>
    <col min="18" max="19" width="9" bestFit="1" customWidth="1"/>
    <col min="21" max="21" width="11.5" customWidth="1"/>
    <col min="25" max="26" width="9" bestFit="1" customWidth="1"/>
    <col min="30" max="31" width="9" bestFit="1" customWidth="1"/>
    <col min="33" max="33" width="10.6640625" customWidth="1"/>
    <col min="37" max="37" width="12.1640625" customWidth="1"/>
    <col min="38" max="38" width="12.6640625" customWidth="1"/>
    <col min="42" max="42" width="11.1640625" customWidth="1"/>
    <col min="43" max="44" width="10.5" customWidth="1"/>
    <col min="45" max="45" width="16.1640625" customWidth="1"/>
    <col min="46" max="46" width="13.1640625" customWidth="1"/>
    <col min="47" max="47" width="9.5" bestFit="1" customWidth="1"/>
    <col min="49" max="50" width="10.6640625" customWidth="1"/>
    <col min="51" max="51" width="15.33203125" customWidth="1"/>
    <col min="52" max="52" width="9.5" bestFit="1" customWidth="1"/>
    <col min="58" max="58" width="21.5" customWidth="1"/>
    <col min="59" max="60" width="15.6640625" customWidth="1"/>
    <col min="67" max="67" width="19.6640625" customWidth="1"/>
    <col min="68" max="69" width="19.83203125" customWidth="1"/>
    <col min="76" max="76" width="19.33203125" customWidth="1"/>
    <col min="77" max="77" width="14" customWidth="1"/>
    <col min="78" max="78" width="20.6640625" customWidth="1"/>
    <col min="81" max="81" width="14.33203125" customWidth="1"/>
    <col min="83" max="83" width="14.6640625" customWidth="1"/>
    <col min="84" max="84" width="21.5" customWidth="1"/>
    <col min="85" max="85" width="15.83203125" customWidth="1"/>
    <col min="86" max="86" width="13.33203125" customWidth="1"/>
    <col min="87" max="87" width="16.33203125" customWidth="1"/>
    <col min="88" max="88" width="18.1640625" customWidth="1"/>
    <col min="89" max="89" width="22.1640625" customWidth="1"/>
    <col min="90" max="90" width="17.1640625" customWidth="1"/>
    <col min="93" max="93" width="13.33203125" customWidth="1"/>
    <col min="94" max="94" width="13.5" customWidth="1"/>
  </cols>
  <sheetData>
    <row r="1" spans="1:90" ht="16" x14ac:dyDescent="0.2">
      <c r="B1" t="s">
        <v>427</v>
      </c>
      <c r="J1" t="s">
        <v>428</v>
      </c>
      <c r="K1" t="s">
        <v>428</v>
      </c>
      <c r="L1" t="s">
        <v>428</v>
      </c>
      <c r="M1" t="s">
        <v>429</v>
      </c>
      <c r="O1" t="s">
        <v>430</v>
      </c>
      <c r="P1" s="432" t="s">
        <v>430</v>
      </c>
      <c r="Q1" t="s">
        <v>430</v>
      </c>
      <c r="R1" t="s">
        <v>431</v>
      </c>
      <c r="V1" t="s">
        <v>438</v>
      </c>
      <c r="W1" t="s">
        <v>438</v>
      </c>
      <c r="X1" t="s">
        <v>438</v>
      </c>
      <c r="Y1" t="s">
        <v>439</v>
      </c>
      <c r="AA1" t="s">
        <v>440</v>
      </c>
      <c r="AB1" t="s">
        <v>440</v>
      </c>
      <c r="AC1" t="s">
        <v>440</v>
      </c>
      <c r="AD1" t="s">
        <v>441</v>
      </c>
      <c r="AH1" t="s">
        <v>432</v>
      </c>
      <c r="AI1" t="s">
        <v>432</v>
      </c>
      <c r="AJ1" t="s">
        <v>432</v>
      </c>
      <c r="AK1" t="s">
        <v>433</v>
      </c>
      <c r="AZ1" t="s">
        <v>434</v>
      </c>
      <c r="BA1" t="s">
        <v>434</v>
      </c>
      <c r="BB1" t="s">
        <v>434</v>
      </c>
      <c r="BC1" t="s">
        <v>445</v>
      </c>
      <c r="BD1" t="s">
        <v>445</v>
      </c>
      <c r="BE1" t="s">
        <v>445</v>
      </c>
      <c r="BI1" t="s">
        <v>448</v>
      </c>
      <c r="BJ1" t="s">
        <v>448</v>
      </c>
      <c r="BK1" t="s">
        <v>448</v>
      </c>
      <c r="BL1" t="s">
        <v>449</v>
      </c>
      <c r="BM1" t="s">
        <v>449</v>
      </c>
      <c r="BN1" t="s">
        <v>449</v>
      </c>
      <c r="BR1" t="s">
        <v>446</v>
      </c>
      <c r="BS1" t="s">
        <v>446</v>
      </c>
      <c r="BT1" t="s">
        <v>446</v>
      </c>
      <c r="BU1" t="s">
        <v>447</v>
      </c>
      <c r="BV1" t="s">
        <v>447</v>
      </c>
      <c r="BW1" t="s">
        <v>447</v>
      </c>
      <c r="CA1" t="s">
        <v>442</v>
      </c>
      <c r="CB1" t="s">
        <v>443</v>
      </c>
      <c r="CC1" t="s">
        <v>444</v>
      </c>
      <c r="CD1" t="s">
        <v>464</v>
      </c>
      <c r="CE1" t="s">
        <v>465</v>
      </c>
    </row>
    <row r="2" spans="1:90" ht="51" x14ac:dyDescent="0.2">
      <c r="A2" s="430" t="s">
        <v>408</v>
      </c>
      <c r="B2" s="416" t="s">
        <v>353</v>
      </c>
      <c r="C2" s="416" t="s">
        <v>350</v>
      </c>
      <c r="D2" s="417" t="s">
        <v>437</v>
      </c>
      <c r="E2" s="417" t="s">
        <v>451</v>
      </c>
      <c r="F2" s="417" t="s">
        <v>351</v>
      </c>
      <c r="G2" s="417" t="s">
        <v>468</v>
      </c>
      <c r="H2" s="424" t="s">
        <v>352</v>
      </c>
      <c r="I2" s="424" t="s">
        <v>360</v>
      </c>
      <c r="J2" s="464" t="s">
        <v>354</v>
      </c>
      <c r="K2" s="465"/>
      <c r="L2" s="466"/>
      <c r="M2" s="418" t="s">
        <v>355</v>
      </c>
      <c r="N2" s="418" t="s">
        <v>356</v>
      </c>
      <c r="O2" s="464" t="s">
        <v>357</v>
      </c>
      <c r="P2" s="465"/>
      <c r="Q2" s="466"/>
      <c r="R2" s="418" t="s">
        <v>358</v>
      </c>
      <c r="S2" s="418" t="s">
        <v>359</v>
      </c>
      <c r="T2" s="419" t="s">
        <v>361</v>
      </c>
      <c r="U2" s="419" t="s">
        <v>362</v>
      </c>
      <c r="V2" s="470" t="s">
        <v>363</v>
      </c>
      <c r="W2" s="471"/>
      <c r="X2" s="472"/>
      <c r="Y2" s="419" t="s">
        <v>364</v>
      </c>
      <c r="Z2" s="419" t="s">
        <v>365</v>
      </c>
      <c r="AA2" s="470" t="s">
        <v>366</v>
      </c>
      <c r="AB2" s="471"/>
      <c r="AC2" s="472"/>
      <c r="AD2" s="419" t="s">
        <v>367</v>
      </c>
      <c r="AE2" s="419" t="s">
        <v>368</v>
      </c>
      <c r="AF2" s="420" t="s">
        <v>369</v>
      </c>
      <c r="AG2" s="420" t="s">
        <v>370</v>
      </c>
      <c r="AH2" s="467" t="s">
        <v>371</v>
      </c>
      <c r="AI2" s="468"/>
      <c r="AJ2" s="469"/>
      <c r="AK2" s="420" t="s">
        <v>374</v>
      </c>
      <c r="AL2" s="420" t="s">
        <v>375</v>
      </c>
      <c r="AM2" s="467" t="s">
        <v>372</v>
      </c>
      <c r="AN2" s="468"/>
      <c r="AO2" s="469"/>
      <c r="AP2" s="420" t="s">
        <v>373</v>
      </c>
      <c r="AQ2" s="420" t="s">
        <v>376</v>
      </c>
      <c r="AR2" s="421" t="s">
        <v>469</v>
      </c>
      <c r="AS2" s="421" t="s">
        <v>377</v>
      </c>
      <c r="AT2" s="421" t="s">
        <v>378</v>
      </c>
      <c r="AU2" s="421" t="s">
        <v>453</v>
      </c>
      <c r="AV2" s="421" t="s">
        <v>379</v>
      </c>
      <c r="AW2" s="421" t="s">
        <v>436</v>
      </c>
      <c r="AX2" s="421" t="s">
        <v>450</v>
      </c>
      <c r="AY2" s="421" t="s">
        <v>380</v>
      </c>
      <c r="AZ2" s="473" t="s">
        <v>396</v>
      </c>
      <c r="BA2" s="474"/>
      <c r="BB2" s="475"/>
      <c r="BC2" s="473" t="s">
        <v>397</v>
      </c>
      <c r="BD2" s="474"/>
      <c r="BE2" s="475"/>
      <c r="BF2" s="422" t="s">
        <v>398</v>
      </c>
      <c r="BG2" s="422" t="s">
        <v>381</v>
      </c>
      <c r="BH2" s="428" t="s">
        <v>405</v>
      </c>
      <c r="BI2" s="461" t="s">
        <v>399</v>
      </c>
      <c r="BJ2" s="462"/>
      <c r="BK2" s="463"/>
      <c r="BL2" s="461" t="s">
        <v>400</v>
      </c>
      <c r="BM2" s="462"/>
      <c r="BN2" s="463"/>
      <c r="BO2" s="429" t="s">
        <v>401</v>
      </c>
      <c r="BP2" s="429" t="s">
        <v>382</v>
      </c>
      <c r="BQ2" s="429" t="s">
        <v>406</v>
      </c>
      <c r="BR2" s="525" t="s">
        <v>403</v>
      </c>
      <c r="BS2" s="526"/>
      <c r="BT2" s="527"/>
      <c r="BU2" s="525" t="s">
        <v>404</v>
      </c>
      <c r="BV2" s="526"/>
      <c r="BW2" s="527"/>
      <c r="BX2" s="440" t="s">
        <v>402</v>
      </c>
      <c r="BY2" s="425" t="s">
        <v>383</v>
      </c>
      <c r="BZ2" s="425" t="s">
        <v>407</v>
      </c>
      <c r="CA2" s="415" t="s">
        <v>384</v>
      </c>
      <c r="CB2" s="415" t="s">
        <v>385</v>
      </c>
      <c r="CC2" s="415" t="s">
        <v>386</v>
      </c>
      <c r="CD2" s="426" t="s">
        <v>387</v>
      </c>
      <c r="CE2" s="426" t="s">
        <v>388</v>
      </c>
      <c r="CF2" s="423" t="s">
        <v>390</v>
      </c>
      <c r="CG2" s="423" t="s">
        <v>389</v>
      </c>
      <c r="CH2" s="427" t="s">
        <v>391</v>
      </c>
      <c r="CI2" s="427" t="s">
        <v>392</v>
      </c>
      <c r="CJ2" s="427" t="s">
        <v>393</v>
      </c>
      <c r="CK2" s="427" t="s">
        <v>394</v>
      </c>
      <c r="CL2" s="416" t="s">
        <v>454</v>
      </c>
    </row>
    <row r="3" spans="1:90" ht="16" x14ac:dyDescent="0.2">
      <c r="A3" s="430" t="s">
        <v>409</v>
      </c>
      <c r="B3" s="434" t="s">
        <v>410</v>
      </c>
      <c r="C3" s="434" t="s">
        <v>435</v>
      </c>
      <c r="D3" s="434" t="s">
        <v>411</v>
      </c>
      <c r="E3" s="435" t="s">
        <v>452</v>
      </c>
      <c r="F3" s="434" t="b">
        <f>TRUE</f>
        <v>1</v>
      </c>
      <c r="G3">
        <f>IF(OR(COUNT(J3:L3)&lt;=1,COUNT(V3:X3)&lt;=1), 0, IF(AND(COUNTIFS(O3:Q3,"&gt;=4")&gt;=2, COUNTIFS(AA3:AC3,"&gt;=6")&gt;=2), 2, IF(OR(COUNTIFS(O3:Q3,"&lt;4")&gt;=2, COUNTIFS(AA3:AC3,"&lt;6")&gt;=2), 1, 1)))</f>
        <v>0</v>
      </c>
      <c r="H3" s="436" t="e">
        <f ca="1">__GETCELL(__GETDATA(J3,"standardCurveID"), "slope", TRUE, TRUE)</f>
        <v>#NAME?</v>
      </c>
      <c r="I3" s="436" t="e">
        <f ca="1">__GETCELL(__GETDATA(J3,"standardCurveID"), "intercept", TRUE, TRUE)</f>
        <v>#NAME?</v>
      </c>
      <c r="J3" s="436" t="s">
        <v>455</v>
      </c>
      <c r="K3" s="436" t="s">
        <v>456</v>
      </c>
      <c r="L3" s="436" t="s">
        <v>457</v>
      </c>
      <c r="M3" s="436" t="e">
        <f>AVERAGE(J3:L3)</f>
        <v>#DIV/0!</v>
      </c>
      <c r="N3" s="436" t="e">
        <f>STDEV(J3:L3)</f>
        <v>#DIV/0!</v>
      </c>
      <c r="O3" s="436" t="str">
        <f>IF(ISNUMBER(J3),10^((J3-$I3)/$H3),"")</f>
        <v/>
      </c>
      <c r="P3" s="436" t="str">
        <f t="shared" ref="P3:Q3" si="0">IF(ISNUMBER(K3),10^((K3-$I3)/$H3),"")</f>
        <v/>
      </c>
      <c r="Q3" s="436" t="str">
        <f t="shared" si="0"/>
        <v/>
      </c>
      <c r="R3" s="436" t="e">
        <f>AVERAGE(O3:Q3)</f>
        <v>#DIV/0!</v>
      </c>
      <c r="S3" s="436" t="e">
        <f>STDEV(O3:Q3)</f>
        <v>#DIV/0!</v>
      </c>
      <c r="T3" s="436" t="e">
        <f ca="1">__GETCELL(__GETDATA(V3,"standardCurveID"), "slope", TRUE, TRUE)</f>
        <v>#NAME?</v>
      </c>
      <c r="U3" s="436" t="e">
        <f ca="1">__GETCELL(__GETDATA(V3,"standardCurveID"), "intercept", TRUE, TRUE)</f>
        <v>#NAME?</v>
      </c>
      <c r="V3" s="436" t="s">
        <v>458</v>
      </c>
      <c r="W3" s="436" t="s">
        <v>459</v>
      </c>
      <c r="X3" s="436" t="s">
        <v>460</v>
      </c>
      <c r="Y3" s="436" t="e">
        <f>AVERAGE(V3:X3)</f>
        <v>#DIV/0!</v>
      </c>
      <c r="Z3" s="436" t="e">
        <f>STDEV(V3:X3)</f>
        <v>#DIV/0!</v>
      </c>
      <c r="AA3" s="436" t="str">
        <f>IF(ISNUMBER(V3),10^((V3-$U3)/$T3),"")</f>
        <v/>
      </c>
      <c r="AB3" s="436" t="str">
        <f t="shared" ref="AB3:AC3" si="1">IF(ISNUMBER(W3),10^((W3-$U3)/$T3),"")</f>
        <v/>
      </c>
      <c r="AC3" s="436" t="str">
        <f t="shared" si="1"/>
        <v/>
      </c>
      <c r="AD3" s="436" t="e">
        <f>AVERAGE(AA3:AC3)</f>
        <v>#DIV/0!</v>
      </c>
      <c r="AE3" s="436" t="e">
        <f>STDEV(AA3:AC3)</f>
        <v>#DIV/0!</v>
      </c>
      <c r="AF3" s="436" t="e">
        <f ca="1">__GETCELL(__GETDATA(AH3,"standardCurveID"), "slope", TRUE, TRUE)</f>
        <v>#NAME?</v>
      </c>
      <c r="AG3" s="436" t="e">
        <f ca="1">__GETCELL(__GETDATA(AH3,"standardCurveID"), "intercept", TRUE, TRUE)</f>
        <v>#NAME?</v>
      </c>
      <c r="AH3" s="451" t="s">
        <v>461</v>
      </c>
      <c r="AI3" s="451" t="s">
        <v>462</v>
      </c>
      <c r="AJ3" s="451" t="s">
        <v>463</v>
      </c>
      <c r="AK3" s="436" t="e">
        <f>AVERAGE(AH3:AJ3)</f>
        <v>#DIV/0!</v>
      </c>
      <c r="AL3" s="436" t="e">
        <f>STDEV(AH3:AJ3)</f>
        <v>#DIV/0!</v>
      </c>
      <c r="AM3" s="436" t="str">
        <f>IF(ISNUMBER(AH3),10^((AH3-$AG3)/$AF3),"")</f>
        <v/>
      </c>
      <c r="AN3" s="436" t="str">
        <f t="shared" ref="AN3:AO3" si="2">IF(ISNUMBER(AI3),10^((AI3-$AG3)/$AF3),"")</f>
        <v/>
      </c>
      <c r="AO3" s="436" t="str">
        <f t="shared" si="2"/>
        <v/>
      </c>
      <c r="AP3" s="436" t="e">
        <f>AVERAGE(AM3:AO3)*10</f>
        <v>#DIV/0!</v>
      </c>
      <c r="AQ3" s="436" t="e">
        <f>STDEV(AM3:AO3)</f>
        <v>#DIV/0!</v>
      </c>
      <c r="AR3" s="436" t="s">
        <v>470</v>
      </c>
      <c r="AS3" s="436" t="s">
        <v>471</v>
      </c>
      <c r="AT3" s="436" t="s">
        <v>472</v>
      </c>
      <c r="AU3" s="437" t="e">
        <f>IF(AND(AT3&lt;&gt;"",AS3&lt;&gt;""),AT3-AS3,"")</f>
        <v>#VALUE!</v>
      </c>
      <c r="AV3" s="436" t="s">
        <v>470</v>
      </c>
      <c r="AW3" s="436" t="s">
        <v>473</v>
      </c>
      <c r="AX3" s="436">
        <f>IF(ISERROR(DATEVALUE(B3)),3,IF(DATEVALUE(B3)&gt;=DATE(2021,6,8),3,1.5))</f>
        <v>3</v>
      </c>
      <c r="AY3" s="436" t="s">
        <v>474</v>
      </c>
      <c r="AZ3" s="437" t="str">
        <f>IF(O3&lt;&gt;"",(O3/$AX3*100)/$AY3,"")</f>
        <v/>
      </c>
      <c r="BA3" s="437" t="str">
        <f>IF(P3&lt;&gt;"",(P3/$AX3*100)/$AY3,"")</f>
        <v/>
      </c>
      <c r="BB3" s="437" t="str">
        <f>IF(Q3&lt;&gt;"",(Q3/$AX3*100)/$AY3,"")</f>
        <v/>
      </c>
      <c r="BC3" s="437" t="str">
        <f>IF(AA3&lt;&gt;"",(AA3/$AX3*100)/$AY3,"")</f>
        <v/>
      </c>
      <c r="BD3" s="437" t="str">
        <f>IF(AB3&lt;&gt;"",(AB3/$AX3*100)/$AY3,"")</f>
        <v/>
      </c>
      <c r="BE3" s="437" t="str">
        <f>IF(AC3&lt;&gt;"",(AC3/$AX3*100)/$AY3,"")</f>
        <v/>
      </c>
      <c r="BF3" s="436" t="e">
        <f>AVERAGE(AZ3:BE3)</f>
        <v>#DIV/0!</v>
      </c>
      <c r="BG3" s="436" t="e">
        <f>STDEV(AZ3:BE3)</f>
        <v>#DIV/0!</v>
      </c>
      <c r="BH3" s="436" t="e">
        <f ca="1">__MOVINGAVERAGE(5,BF3)</f>
        <v>#NAME?</v>
      </c>
      <c r="BI3" s="438" t="str">
        <f>IF(O3&lt;&gt;"",O3/($AP3),"")</f>
        <v/>
      </c>
      <c r="BJ3" s="438" t="str">
        <f>IF(P3&lt;&gt;"",P3/($AP3),"")</f>
        <v/>
      </c>
      <c r="BK3" s="438" t="str">
        <f>IF(Q3&lt;&gt;"",Q3/($AP3),"")</f>
        <v/>
      </c>
      <c r="BL3" s="438" t="str">
        <f>IF(AA3&lt;&gt;"",AA3/($AP3),"")</f>
        <v/>
      </c>
      <c r="BM3" s="438" t="str">
        <f>IF(AB3&lt;&gt;"",AB3/($AP3),"")</f>
        <v/>
      </c>
      <c r="BN3" s="438" t="str">
        <f>IF(AC3&lt;&gt;"",AC3/($AP3),"")</f>
        <v/>
      </c>
      <c r="BO3" s="438" t="e">
        <f>AVERAGE(BI3:BN3)</f>
        <v>#DIV/0!</v>
      </c>
      <c r="BP3" s="438" t="e">
        <f>STDEV(BI3:BN3)</f>
        <v>#DIV/0!</v>
      </c>
      <c r="BQ3" s="438" t="e">
        <f ca="1">__MOVINGAVERAGE(5,BO3)</f>
        <v>#NAME?</v>
      </c>
      <c r="BR3" s="436" t="str">
        <f>IF(ISNUMBER(AZ3),AZ3*$AU3/40*$AW3/$AR3*1000,"")</f>
        <v/>
      </c>
      <c r="BS3" s="436" t="str">
        <f t="shared" ref="BS3:BW3" si="3">IF(ISNUMBER(BA3),BA3*$AU3/40*$AW3/$AR3*1000,"")</f>
        <v/>
      </c>
      <c r="BT3" s="436" t="str">
        <f t="shared" si="3"/>
        <v/>
      </c>
      <c r="BU3" s="436" t="str">
        <f t="shared" si="3"/>
        <v/>
      </c>
      <c r="BV3" s="436" t="str">
        <f t="shared" si="3"/>
        <v/>
      </c>
      <c r="BW3" s="436" t="str">
        <f t="shared" si="3"/>
        <v/>
      </c>
      <c r="BX3" s="436" t="e">
        <f>AVERAGE(BR3:BW3)</f>
        <v>#DIV/0!</v>
      </c>
      <c r="BY3" s="436" t="e">
        <f>STDEV(BR3:BW3)</f>
        <v>#DIV/0!</v>
      </c>
      <c r="BZ3" s="436" t="e">
        <f ca="1">__MOVINGAVERAGE(5,BX3)</f>
        <v>#NAME?</v>
      </c>
      <c r="CA3" s="436" t="e">
        <f>AK3</f>
        <v>#DIV/0!</v>
      </c>
      <c r="CB3" s="439" t="s">
        <v>466</v>
      </c>
      <c r="CC3" s="433" t="s">
        <v>467</v>
      </c>
      <c r="CD3" s="436" t="str">
        <f>IF(AND(ISNUMBER(CA3),ISNUMBER($CC3)),CA3-$CC3,"")</f>
        <v/>
      </c>
      <c r="CE3" s="436" t="str">
        <f>IF(AND(ISNUMBER(CB3),ISNUMBER($CC3)),CB3-$CC3,"")</f>
        <v/>
      </c>
      <c r="CF3" s="436" t="e">
        <f>AP3/1.5*100/AY3</f>
        <v>#DIV/0!</v>
      </c>
      <c r="CG3" s="436" t="e">
        <f>CF3*AU3/40*AW3/AR3*1000</f>
        <v>#DIV/0!</v>
      </c>
      <c r="CH3" s="434" t="s">
        <v>395</v>
      </c>
      <c r="CI3" s="434" t="s">
        <v>395</v>
      </c>
      <c r="CJ3" s="434"/>
      <c r="CK3" s="434"/>
      <c r="CL3" s="434"/>
    </row>
    <row r="4" spans="1:90" x14ac:dyDescent="0.2">
      <c r="O4" t="str">
        <f t="shared" ref="O4:O7" si="4">IF(ISNUMBER(J4),10^((J4-$I4)/$H4),"")</f>
        <v/>
      </c>
      <c r="BF4" t="e">
        <f t="shared" ref="BF4:BF5" si="5">AVERAGE(AZ4:BE4)</f>
        <v>#DIV/0!</v>
      </c>
      <c r="BG4" t="e">
        <f t="shared" ref="BG4:BG5" si="6">STDEV(AZ4:BE4)</f>
        <v>#DIV/0!</v>
      </c>
      <c r="BO4" t="e">
        <f t="shared" ref="BO4:BO5" si="7">AVERAGE(BI4:BN4)</f>
        <v>#DIV/0!</v>
      </c>
      <c r="BP4" t="e">
        <f t="shared" ref="BP4:BP5" si="8">STDEV(BI4:BN4)</f>
        <v>#DIV/0!</v>
      </c>
      <c r="BX4" t="e">
        <f t="shared" ref="BX4:BX5" si="9">AVERAGE(BR4:BW4)</f>
        <v>#DIV/0!</v>
      </c>
      <c r="BY4" t="e">
        <f t="shared" ref="BY4:BY5" si="10">STDEV(BR4:BW4)</f>
        <v>#DIV/0!</v>
      </c>
    </row>
    <row r="5" spans="1:90" x14ac:dyDescent="0.2">
      <c r="G5">
        <f>IF(OR(COUNT(J5:L5)&lt;=1,COUNT(V5:X5)&lt;=1), 0, IF(AND(COUNTIFS(J5:L5,"&gt;=4")&gt;=2, COUNTIFS(V5:X5,"&gt;=6")&gt;=2), 2, IF(OR(COUNTIFS(J5:L5,"&lt;4")&gt;=2, COUNTIFS(V5:X5,"&lt;6")&gt;=2), 1, 1)))</f>
        <v>1</v>
      </c>
      <c r="J5">
        <v>5</v>
      </c>
      <c r="K5">
        <v>3</v>
      </c>
      <c r="O5" t="e">
        <f t="shared" si="4"/>
        <v>#DIV/0!</v>
      </c>
      <c r="V5">
        <v>5</v>
      </c>
      <c r="W5">
        <v>6</v>
      </c>
      <c r="BF5" t="e">
        <f t="shared" si="5"/>
        <v>#DIV/0!</v>
      </c>
      <c r="BG5" t="e">
        <f t="shared" si="6"/>
        <v>#DIV/0!</v>
      </c>
      <c r="BH5" t="e">
        <f>AVERAGE(BF3:BF7)</f>
        <v>#DIV/0!</v>
      </c>
      <c r="BO5" t="e">
        <f t="shared" si="7"/>
        <v>#DIV/0!</v>
      </c>
      <c r="BP5" t="e">
        <f t="shared" si="8"/>
        <v>#DIV/0!</v>
      </c>
      <c r="BQ5" t="e">
        <f>AVERAGE(BO3:BO7)</f>
        <v>#DIV/0!</v>
      </c>
      <c r="BX5" t="e">
        <f t="shared" si="9"/>
        <v>#DIV/0!</v>
      </c>
      <c r="BY5" t="e">
        <f t="shared" si="10"/>
        <v>#DIV/0!</v>
      </c>
      <c r="BZ5" t="e">
        <f>AVERAGE(BX3:BX7)</f>
        <v>#DIV/0!</v>
      </c>
    </row>
    <row r="6" spans="1:90" x14ac:dyDescent="0.2">
      <c r="G6" t="b">
        <f>AND(COUNT(J5:L5)&lt;=1,COUNT(V5:X5)&lt;=1)</f>
        <v>0</v>
      </c>
      <c r="O6" t="str">
        <f t="shared" si="4"/>
        <v/>
      </c>
      <c r="BQ6">
        <v>1</v>
      </c>
      <c r="BZ6" t="e">
        <f t="shared" ref="BZ6:BZ7" si="11">AVERAGE(BX4:BX8)</f>
        <v>#DIV/0!</v>
      </c>
    </row>
    <row r="7" spans="1:90" x14ac:dyDescent="0.2">
      <c r="G7" t="b">
        <f>AND(COUNTIFS(J5:L5,"&gt;=4")&gt;=2, COUNTIFS(V5:X5,"&gt;=6")&gt;=2)</f>
        <v>0</v>
      </c>
      <c r="O7" t="str">
        <f t="shared" si="4"/>
        <v/>
      </c>
      <c r="BQ7">
        <v>2</v>
      </c>
      <c r="BZ7" t="e">
        <f t="shared" si="11"/>
        <v>#DIV/0!</v>
      </c>
    </row>
    <row r="8" spans="1:90" x14ac:dyDescent="0.2">
      <c r="G8" t="b">
        <f>AND(COUNTIFS(J5:L5,"&lt;4")&gt;=2, COUNTIFS(V5:X5,"&lt;6")&gt;=2)</f>
        <v>0</v>
      </c>
      <c r="BQ8">
        <v>3</v>
      </c>
    </row>
    <row r="9" spans="1:90" x14ac:dyDescent="0.2">
      <c r="BQ9">
        <v>4</v>
      </c>
    </row>
  </sheetData>
  <mergeCells count="12">
    <mergeCell ref="BU2:BW2"/>
    <mergeCell ref="BI2:BK2"/>
    <mergeCell ref="BR2:BT2"/>
    <mergeCell ref="J2:L2"/>
    <mergeCell ref="O2:Q2"/>
    <mergeCell ref="AH2:AJ2"/>
    <mergeCell ref="V2:X2"/>
    <mergeCell ref="AA2:AC2"/>
    <mergeCell ref="AM2:AO2"/>
    <mergeCell ref="AZ2:BB2"/>
    <mergeCell ref="BC2:BE2"/>
    <mergeCell ref="BL2:BN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FF1ED-2E09-B845-886B-13D2121AE169}">
  <dimension ref="A1:G8"/>
  <sheetViews>
    <sheetView zoomScale="103" zoomScaleNormal="75" workbookViewId="0">
      <selection activeCell="A12" sqref="A12"/>
    </sheetView>
  </sheetViews>
  <sheetFormatPr baseColWidth="10" defaultRowHeight="16" x14ac:dyDescent="0.2"/>
  <cols>
    <col min="1" max="1" width="21.1640625" style="449" customWidth="1"/>
    <col min="2" max="2" width="14.5" style="431" bestFit="1" customWidth="1"/>
    <col min="3" max="6" width="15.5" style="431" customWidth="1"/>
    <col min="7" max="7" width="13.5" style="431" customWidth="1"/>
    <col min="8" max="16384" width="10.83203125" style="431"/>
  </cols>
  <sheetData>
    <row r="1" spans="1:7" s="449" customFormat="1" x14ac:dyDescent="0.2">
      <c r="A1" s="450"/>
      <c r="B1" s="450"/>
      <c r="C1" s="450" t="s">
        <v>412</v>
      </c>
      <c r="D1" s="450" t="s">
        <v>413</v>
      </c>
      <c r="E1" s="450" t="s">
        <v>413</v>
      </c>
      <c r="F1" s="450" t="s">
        <v>413</v>
      </c>
      <c r="G1" s="450" t="s">
        <v>414</v>
      </c>
    </row>
    <row r="2" spans="1:7" x14ac:dyDescent="0.2">
      <c r="A2" s="450" t="s">
        <v>415</v>
      </c>
      <c r="B2" s="441" t="s">
        <v>12</v>
      </c>
      <c r="C2" s="441" t="s">
        <v>13</v>
      </c>
      <c r="D2" s="476" t="s">
        <v>17</v>
      </c>
      <c r="E2" s="477"/>
      <c r="F2" s="478"/>
      <c r="G2" s="441" t="s">
        <v>416</v>
      </c>
    </row>
    <row r="3" spans="1:7" x14ac:dyDescent="0.2">
      <c r="A3" s="450" t="s">
        <v>417</v>
      </c>
      <c r="B3" s="442" t="s">
        <v>418</v>
      </c>
      <c r="C3" s="443" t="e">
        <f>LOG(B3)</f>
        <v>#VALUE!</v>
      </c>
      <c r="D3" s="442" t="s">
        <v>419</v>
      </c>
      <c r="E3" s="442" t="s">
        <v>420</v>
      </c>
      <c r="F3" s="442" t="s">
        <v>421</v>
      </c>
      <c r="G3" s="442" t="e">
        <f ca="1">AVERAGE(D3:F3)*__SETCELL("Cal-{type}-{plateID}", "avg_std_#",1)</f>
        <v>#DIV/0!</v>
      </c>
    </row>
    <row r="4" spans="1:7" x14ac:dyDescent="0.2">
      <c r="A4" s="450" t="s">
        <v>422</v>
      </c>
      <c r="B4" s="444"/>
      <c r="C4"/>
      <c r="D4"/>
      <c r="E4"/>
      <c r="F4" s="445" t="s">
        <v>423</v>
      </c>
      <c r="G4" s="443" t="e">
        <f ca="1">SLOPE(__GETRANGE(cal_row_data, cal_col_ct_avg, __GETCALVAL("Cal-{type}-{plateID}", "num_points")), __GETRANGE(cal_row_data, cal_col_logct,  __GETCALVAL("Cal-{type}-{plateID}", "num_points")))*__SETCELL("Cal-{type}-{plateID}", "slope", 1)</f>
        <v>#NAME?</v>
      </c>
    </row>
    <row r="5" spans="1:7" x14ac:dyDescent="0.2">
      <c r="A5" s="450" t="s">
        <v>422</v>
      </c>
      <c r="B5" s="446"/>
      <c r="C5"/>
      <c r="D5"/>
      <c r="E5"/>
      <c r="F5" s="445" t="s">
        <v>424</v>
      </c>
      <c r="G5" s="443" t="e">
        <f ca="1">INTERCEPT(__GETRANGE(cal_row_data, cal_col_ct_avg, __GETCALVAL("Cal-{type}-{plateID}", "num_points")), __GETRANGE(cal_row_data, cal_col_logct, __GETCALVAL("Cal-{type}-{plateID}", "num_points")))*__SETCELL("Cal-{type}-{plateID}", "intercept", 1)</f>
        <v>#NAME?</v>
      </c>
    </row>
    <row r="6" spans="1:7" x14ac:dyDescent="0.2">
      <c r="A6" s="450" t="s">
        <v>422</v>
      </c>
      <c r="B6" s="446"/>
      <c r="C6"/>
      <c r="D6"/>
      <c r="E6"/>
      <c r="F6" s="445" t="s">
        <v>425</v>
      </c>
      <c r="G6" s="447" t="e">
        <f ca="1">(10^(-1/G4)-1)*__SETCELL("Cal-{type}-{plateID}", "efficiency", 1)</f>
        <v>#NAME?</v>
      </c>
    </row>
    <row r="7" spans="1:7" x14ac:dyDescent="0.2">
      <c r="A7" s="450" t="s">
        <v>422</v>
      </c>
      <c r="B7"/>
      <c r="C7"/>
      <c r="D7"/>
      <c r="E7"/>
      <c r="F7" s="445" t="s">
        <v>426</v>
      </c>
      <c r="G7" s="448" t="e">
        <f ca="1">RSQ(__GETRANGE(cal_row_data, cal_col_ct_avg, __GETCALVAL("Cal-{type}-{plateID}", "num_points")), __GETRANGE(cal_row_data, cal_col_logct, __GETCALVAL("Cal-{type}-{plateID}", "num_points")))*__SETCELL("Cal-{type}-{plateID}", "rsq", 1)</f>
        <v>#NAME?</v>
      </c>
    </row>
    <row r="8" spans="1:7" x14ac:dyDescent="0.2">
      <c r="A8" s="450" t="s">
        <v>422</v>
      </c>
      <c r="B8"/>
      <c r="C8"/>
      <c r="D8"/>
      <c r="E8"/>
      <c r="F8"/>
      <c r="G8"/>
    </row>
  </sheetData>
  <mergeCells count="1">
    <mergeCell ref="D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83" t="s">
        <v>62</v>
      </c>
      <c r="G6" s="483"/>
      <c r="H6" s="483"/>
      <c r="I6" s="483"/>
      <c r="J6" s="483"/>
      <c r="K6" s="483"/>
      <c r="L6" s="483"/>
      <c r="M6" s="483"/>
      <c r="N6" s="483"/>
      <c r="O6" s="483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484" t="s">
        <v>5</v>
      </c>
      <c r="Z6" s="484"/>
      <c r="AA6" s="484"/>
      <c r="AB6" s="484"/>
      <c r="AC6" s="484"/>
      <c r="AD6" s="484"/>
      <c r="AE6" s="484"/>
      <c r="AF6" s="484"/>
      <c r="AG6" s="484"/>
      <c r="AH6" s="484"/>
      <c r="AI6" s="484"/>
      <c r="AJ6" s="484"/>
      <c r="AK6" s="484"/>
      <c r="AL6" s="484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82" t="s">
        <v>80</v>
      </c>
      <c r="AU6" s="482"/>
      <c r="AV6" s="482"/>
      <c r="AW6" s="482"/>
      <c r="AX6" s="482"/>
      <c r="AY6" s="482"/>
      <c r="AZ6" s="482"/>
      <c r="BA6" s="482"/>
      <c r="BB6" s="482"/>
      <c r="BC6" s="482"/>
      <c r="BD6" s="482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79" t="s">
        <v>83</v>
      </c>
      <c r="BO6" s="480"/>
      <c r="BP6" s="481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485" t="s">
        <v>62</v>
      </c>
      <c r="G232" s="485"/>
      <c r="H232" s="485"/>
      <c r="I232" s="485"/>
      <c r="J232" s="485"/>
      <c r="K232" s="485"/>
      <c r="L232" s="485"/>
      <c r="M232" s="485"/>
      <c r="N232" s="485"/>
      <c r="O232" s="485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484" t="s">
        <v>5</v>
      </c>
      <c r="Z232" s="484"/>
      <c r="AA232" s="484"/>
      <c r="AB232" s="484"/>
      <c r="AC232" s="484"/>
      <c r="AD232" s="484"/>
      <c r="AE232" s="484"/>
      <c r="AF232" s="484"/>
      <c r="AG232" s="484"/>
      <c r="AH232" s="484"/>
      <c r="AI232" s="484"/>
      <c r="AJ232" s="484"/>
      <c r="AK232" s="484"/>
      <c r="AL232" s="484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82" t="s">
        <v>80</v>
      </c>
      <c r="AU232" s="482"/>
      <c r="AV232" s="482"/>
      <c r="AW232" s="482"/>
      <c r="AX232" s="482"/>
      <c r="AY232" s="482"/>
      <c r="AZ232" s="482"/>
      <c r="BA232" s="482"/>
      <c r="BB232" s="482"/>
      <c r="BC232" s="482"/>
      <c r="BD232" s="482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79" t="s">
        <v>83</v>
      </c>
      <c r="BO232" s="480"/>
      <c r="BP232" s="481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1" t="s">
        <v>62</v>
      </c>
      <c r="G6" s="491"/>
      <c r="H6" s="491"/>
      <c r="I6" s="491"/>
      <c r="J6" s="491"/>
      <c r="K6" s="491"/>
      <c r="L6" s="491"/>
      <c r="M6" s="491"/>
      <c r="N6" s="491"/>
      <c r="O6" s="491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2" t="s">
        <v>5</v>
      </c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3" t="s">
        <v>80</v>
      </c>
      <c r="AS6" s="493"/>
      <c r="AT6" s="493"/>
      <c r="AU6" s="493"/>
      <c r="AV6" s="493"/>
      <c r="AW6" s="493"/>
      <c r="AX6" s="493"/>
      <c r="AY6" s="493"/>
      <c r="AZ6" s="493"/>
      <c r="BA6" s="493"/>
      <c r="BB6" s="493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89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494" t="s">
        <v>83</v>
      </c>
      <c r="BJ38" s="494"/>
      <c r="BK38" s="494"/>
      <c r="BL38" s="494"/>
      <c r="BM38" s="494"/>
      <c r="BN38" s="494"/>
      <c r="BO38" s="494"/>
      <c r="BP38" s="494"/>
      <c r="BQ38" s="494"/>
      <c r="BR38" s="494"/>
      <c r="BS38" s="494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89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89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89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89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89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495" t="s">
        <v>102</v>
      </c>
      <c r="BB43" s="488"/>
      <c r="BC43" s="488"/>
      <c r="BD43" s="488"/>
      <c r="BE43" s="496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89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489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89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89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89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89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89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89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89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89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89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89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89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89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89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89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89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89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89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89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89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89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89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89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86" t="s">
        <v>112</v>
      </c>
      <c r="AE69" s="490" t="s">
        <v>103</v>
      </c>
      <c r="AF69" s="490"/>
      <c r="AG69" s="490"/>
      <c r="AH69" s="488" t="s">
        <v>106</v>
      </c>
      <c r="AI69" s="488"/>
      <c r="AJ69" s="488"/>
      <c r="AK69" s="488" t="s">
        <v>107</v>
      </c>
      <c r="AL69" s="488"/>
      <c r="AM69" s="488"/>
      <c r="AN69" s="488" t="s">
        <v>108</v>
      </c>
      <c r="AO69" s="488"/>
      <c r="AP69" s="488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489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486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489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486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489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486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489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486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489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486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489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486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489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486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489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486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489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486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489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486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489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486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489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486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489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486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489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486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489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486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86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86" t="s">
        <v>94</v>
      </c>
      <c r="AE87" s="487" t="s">
        <v>103</v>
      </c>
      <c r="AF87" s="487"/>
      <c r="AG87" s="487"/>
      <c r="AH87" s="488" t="s">
        <v>106</v>
      </c>
      <c r="AI87" s="488"/>
      <c r="AJ87" s="488"/>
      <c r="AK87" s="488" t="s">
        <v>107</v>
      </c>
      <c r="AL87" s="488"/>
      <c r="AM87" s="488"/>
      <c r="AN87" s="488" t="s">
        <v>108</v>
      </c>
      <c r="AO87" s="488"/>
      <c r="AP87" s="488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86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86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86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86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86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86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86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86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86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86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86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86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86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86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86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86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86" t="s">
        <v>114</v>
      </c>
      <c r="AE105" s="487" t="s">
        <v>103</v>
      </c>
      <c r="AF105" s="487"/>
      <c r="AG105" s="487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86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86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86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86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86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86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86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86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86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86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86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86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86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86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86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86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F6:O6"/>
    <mergeCell ref="W6:AJ6"/>
    <mergeCell ref="AR6:BB6"/>
    <mergeCell ref="F38:F52"/>
    <mergeCell ref="BI38:BS38"/>
    <mergeCell ref="BA43:BE43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AD105:AD121"/>
    <mergeCell ref="AE105:AG105"/>
    <mergeCell ref="AD87:AD103"/>
    <mergeCell ref="AE87:AG87"/>
    <mergeCell ref="AH87:AJ87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491" t="s">
        <v>62</v>
      </c>
      <c r="G6" s="491"/>
      <c r="H6" s="491"/>
      <c r="I6" s="491"/>
      <c r="J6" s="491"/>
      <c r="K6" s="491"/>
      <c r="L6" s="491"/>
      <c r="M6" s="491"/>
      <c r="N6" s="491"/>
      <c r="O6" s="491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492" t="s">
        <v>5</v>
      </c>
      <c r="X6" s="492"/>
      <c r="Y6" s="492"/>
      <c r="Z6" s="492"/>
      <c r="AA6" s="492"/>
      <c r="AB6" s="492"/>
      <c r="AC6" s="492"/>
      <c r="AD6" s="492"/>
      <c r="AE6" s="492"/>
      <c r="AF6" s="492"/>
      <c r="AG6" s="492"/>
      <c r="AH6" s="492"/>
      <c r="AI6" s="492"/>
      <c r="AJ6" s="492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493" t="s">
        <v>80</v>
      </c>
      <c r="AS6" s="493"/>
      <c r="AT6" s="493"/>
      <c r="AU6" s="493"/>
      <c r="AV6" s="493"/>
      <c r="AW6" s="493"/>
      <c r="AX6" s="493"/>
      <c r="AY6" s="493"/>
      <c r="AZ6" s="493"/>
      <c r="BA6" s="493"/>
      <c r="BB6" s="493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489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494" t="s">
        <v>83</v>
      </c>
      <c r="BJ38" s="494"/>
      <c r="BK38" s="494"/>
      <c r="BL38" s="494"/>
      <c r="BM38" s="494"/>
      <c r="BN38" s="494"/>
      <c r="BO38" s="494"/>
      <c r="BP38" s="494"/>
      <c r="BQ38" s="494"/>
      <c r="BR38" s="494"/>
      <c r="BS38" s="494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489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489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489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489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489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495" t="s">
        <v>102</v>
      </c>
      <c r="BB43" s="488"/>
      <c r="BC43" s="488"/>
      <c r="BD43" s="488"/>
      <c r="BE43" s="496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489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489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489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489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489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489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489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489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489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489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489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489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489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489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489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489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489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489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489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489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489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489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489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489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486" t="s">
        <v>112</v>
      </c>
      <c r="AE69" s="488" t="s">
        <v>103</v>
      </c>
      <c r="AF69" s="488"/>
      <c r="AG69" s="488"/>
      <c r="AH69" s="488" t="s">
        <v>106</v>
      </c>
      <c r="AI69" s="488"/>
      <c r="AJ69" s="488"/>
      <c r="AK69" s="488" t="s">
        <v>107</v>
      </c>
      <c r="AL69" s="488"/>
      <c r="AM69" s="488"/>
      <c r="AN69" s="488" t="s">
        <v>108</v>
      </c>
      <c r="AO69" s="488"/>
      <c r="AP69" s="488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486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486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486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486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486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486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486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486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486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486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486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486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486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486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486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486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486" t="s">
        <v>94</v>
      </c>
      <c r="AE87" s="488" t="s">
        <v>103</v>
      </c>
      <c r="AF87" s="488"/>
      <c r="AG87" s="488"/>
      <c r="AH87" s="488" t="s">
        <v>106</v>
      </c>
      <c r="AI87" s="488"/>
      <c r="AJ87" s="488"/>
      <c r="AK87" s="488" t="s">
        <v>107</v>
      </c>
      <c r="AL87" s="488"/>
      <c r="AM87" s="488"/>
      <c r="AN87" s="488" t="s">
        <v>108</v>
      </c>
      <c r="AO87" s="488"/>
      <c r="AP87" s="488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486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486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486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486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486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486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486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486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486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486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486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486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486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486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486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486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  <mergeCell ref="AD87:AD103"/>
    <mergeCell ref="AE87:AG87"/>
    <mergeCell ref="AH87:AJ87"/>
    <mergeCell ref="AK87:AM87"/>
    <mergeCell ref="AN87:AP87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23" t="s">
        <v>72</v>
      </c>
      <c r="B2" s="100" t="s">
        <v>0</v>
      </c>
      <c r="C2" s="18"/>
      <c r="Y2" s="100" t="s">
        <v>9</v>
      </c>
      <c r="AQ2" s="498" t="s">
        <v>63</v>
      </c>
      <c r="AR2" s="499"/>
      <c r="AS2" s="499"/>
      <c r="AT2" s="499"/>
      <c r="AU2" s="499"/>
      <c r="AV2" s="499"/>
      <c r="AW2" s="499"/>
      <c r="AX2" s="499"/>
      <c r="AY2" s="500"/>
    </row>
    <row r="3" spans="1:51" s="122" customFormat="1" ht="120" thickBot="1" x14ac:dyDescent="0.25">
      <c r="A3" s="523"/>
      <c r="B3" s="118" t="s">
        <v>1</v>
      </c>
      <c r="C3" s="118" t="s">
        <v>2</v>
      </c>
      <c r="D3" s="118" t="s">
        <v>6</v>
      </c>
      <c r="E3" s="501" t="s">
        <v>17</v>
      </c>
      <c r="F3" s="501"/>
      <c r="G3" s="501"/>
      <c r="H3" s="119" t="s">
        <v>38</v>
      </c>
      <c r="I3" s="119" t="s">
        <v>39</v>
      </c>
      <c r="J3" s="501" t="s">
        <v>3</v>
      </c>
      <c r="K3" s="501"/>
      <c r="L3" s="501"/>
      <c r="M3" s="119" t="s">
        <v>40</v>
      </c>
      <c r="N3" s="119" t="s">
        <v>41</v>
      </c>
      <c r="O3" s="501" t="s">
        <v>42</v>
      </c>
      <c r="P3" s="501"/>
      <c r="Q3" s="501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02" t="s">
        <v>62</v>
      </c>
      <c r="AR3" s="503"/>
      <c r="AS3" s="503"/>
      <c r="AT3" s="503" t="s">
        <v>5</v>
      </c>
      <c r="AU3" s="503"/>
      <c r="AV3" s="503"/>
      <c r="AW3" s="504" t="s">
        <v>66</v>
      </c>
      <c r="AX3" s="504"/>
      <c r="AY3" s="505"/>
    </row>
    <row r="4" spans="1:51" s="100" customFormat="1" ht="17" thickBot="1" x14ac:dyDescent="0.25">
      <c r="A4" s="523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23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23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23"/>
      <c r="B7" s="118" t="s">
        <v>1</v>
      </c>
      <c r="C7" s="118" t="s">
        <v>2</v>
      </c>
      <c r="D7" s="118" t="s">
        <v>6</v>
      </c>
      <c r="E7" s="501" t="s">
        <v>17</v>
      </c>
      <c r="F7" s="501"/>
      <c r="G7" s="501"/>
      <c r="H7" s="119" t="s">
        <v>38</v>
      </c>
      <c r="I7" s="119" t="s">
        <v>39</v>
      </c>
      <c r="J7" s="501" t="s">
        <v>3</v>
      </c>
      <c r="K7" s="501"/>
      <c r="L7" s="501"/>
      <c r="M7" s="119" t="s">
        <v>40</v>
      </c>
      <c r="N7" s="119" t="s">
        <v>41</v>
      </c>
      <c r="O7" s="501" t="s">
        <v>42</v>
      </c>
      <c r="P7" s="501"/>
      <c r="Q7" s="501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23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23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23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23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23"/>
    </row>
    <row r="13" spans="1:51" s="100" customFormat="1" ht="27.75" customHeight="1" x14ac:dyDescent="0.2">
      <c r="A13" s="523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23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23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23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23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23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23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23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23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18" t="s">
        <v>22</v>
      </c>
      <c r="B23" s="100" t="s">
        <v>0</v>
      </c>
      <c r="C23" s="18"/>
      <c r="Y23" s="100" t="s">
        <v>9</v>
      </c>
      <c r="AQ23" s="519" t="s">
        <v>63</v>
      </c>
      <c r="AR23" s="520"/>
      <c r="AS23" s="520"/>
      <c r="AT23" s="520"/>
      <c r="AU23" s="520"/>
      <c r="AV23" s="520"/>
      <c r="AW23" s="520"/>
      <c r="AX23" s="520"/>
      <c r="AY23" s="521"/>
    </row>
    <row r="24" spans="1:51" s="122" customFormat="1" ht="120" thickBot="1" x14ac:dyDescent="0.25">
      <c r="A24" s="518"/>
      <c r="B24" s="118" t="s">
        <v>1</v>
      </c>
      <c r="C24" s="118" t="s">
        <v>2</v>
      </c>
      <c r="D24" s="118" t="s">
        <v>6</v>
      </c>
      <c r="E24" s="522" t="s">
        <v>17</v>
      </c>
      <c r="F24" s="522"/>
      <c r="G24" s="522"/>
      <c r="H24" s="119" t="s">
        <v>38</v>
      </c>
      <c r="I24" s="119" t="s">
        <v>39</v>
      </c>
      <c r="J24" s="501" t="s">
        <v>3</v>
      </c>
      <c r="K24" s="501"/>
      <c r="L24" s="501"/>
      <c r="M24" s="119" t="s">
        <v>40</v>
      </c>
      <c r="N24" s="119" t="s">
        <v>41</v>
      </c>
      <c r="O24" s="501" t="s">
        <v>42</v>
      </c>
      <c r="P24" s="501"/>
      <c r="Q24" s="501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07" t="s">
        <v>62</v>
      </c>
      <c r="AR24" s="508"/>
      <c r="AS24" s="509"/>
      <c r="AT24" s="510" t="s">
        <v>5</v>
      </c>
      <c r="AU24" s="508"/>
      <c r="AV24" s="509"/>
      <c r="AW24" s="511" t="s">
        <v>66</v>
      </c>
      <c r="AX24" s="512"/>
      <c r="AY24" s="513"/>
    </row>
    <row r="25" spans="1:51" s="100" customFormat="1" ht="17" thickBot="1" x14ac:dyDescent="0.25">
      <c r="A25" s="518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18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18"/>
      <c r="B27" s="118" t="s">
        <v>1</v>
      </c>
      <c r="C27" s="118" t="s">
        <v>2</v>
      </c>
      <c r="D27" s="118" t="s">
        <v>6</v>
      </c>
      <c r="E27" s="501" t="s">
        <v>17</v>
      </c>
      <c r="F27" s="501"/>
      <c r="G27" s="501"/>
      <c r="H27" s="119" t="s">
        <v>38</v>
      </c>
      <c r="I27" s="119" t="s">
        <v>39</v>
      </c>
      <c r="J27" s="501" t="s">
        <v>3</v>
      </c>
      <c r="K27" s="501"/>
      <c r="L27" s="501"/>
      <c r="M27" s="119" t="s">
        <v>40</v>
      </c>
      <c r="N27" s="119" t="s">
        <v>41</v>
      </c>
      <c r="O27" s="501" t="s">
        <v>42</v>
      </c>
      <c r="P27" s="501"/>
      <c r="Q27" s="501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07" t="s">
        <v>62</v>
      </c>
      <c r="AR27" s="508"/>
      <c r="AS27" s="509"/>
      <c r="AT27" s="510" t="s">
        <v>5</v>
      </c>
      <c r="AU27" s="508"/>
      <c r="AV27" s="509"/>
      <c r="AW27" s="511" t="s">
        <v>66</v>
      </c>
      <c r="AX27" s="512"/>
      <c r="AY27" s="513"/>
    </row>
    <row r="28" spans="1:51" s="100" customFormat="1" ht="16" x14ac:dyDescent="0.2">
      <c r="A28" s="518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18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18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18"/>
      <c r="B31" s="506" t="s">
        <v>19</v>
      </c>
      <c r="C31" s="506"/>
      <c r="D31" s="506"/>
      <c r="E31" s="506"/>
      <c r="F31" s="506"/>
      <c r="O31" s="6"/>
      <c r="P31" s="6"/>
      <c r="Q31" s="6"/>
      <c r="R31" s="6"/>
      <c r="S31" s="6"/>
    </row>
    <row r="32" spans="1:51" s="100" customFormat="1" ht="27.75" customHeight="1" x14ac:dyDescent="0.2">
      <c r="A32" s="518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18"/>
    </row>
    <row r="34" spans="1:51" s="100" customFormat="1" ht="27.75" customHeight="1" x14ac:dyDescent="0.2">
      <c r="A34" s="518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18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18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18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18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18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18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18"/>
    </row>
    <row r="42" spans="1:51" s="100" customFormat="1" ht="27.75" customHeight="1" x14ac:dyDescent="0.2">
      <c r="A42" s="518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14" t="s">
        <v>75</v>
      </c>
      <c r="B44" s="100" t="s">
        <v>0</v>
      </c>
      <c r="C44" s="18"/>
      <c r="Y44" s="100" t="s">
        <v>9</v>
      </c>
      <c r="AQ44" s="498" t="s">
        <v>63</v>
      </c>
      <c r="AR44" s="499"/>
      <c r="AS44" s="499"/>
      <c r="AT44" s="499"/>
      <c r="AU44" s="499"/>
      <c r="AV44" s="499"/>
      <c r="AW44" s="499"/>
      <c r="AX44" s="499"/>
      <c r="AY44" s="500"/>
    </row>
    <row r="45" spans="1:51" s="122" customFormat="1" ht="120" thickBot="1" x14ac:dyDescent="0.25">
      <c r="A45" s="515"/>
      <c r="B45" s="118" t="s">
        <v>1</v>
      </c>
      <c r="C45" s="118" t="s">
        <v>2</v>
      </c>
      <c r="D45" s="118" t="s">
        <v>6</v>
      </c>
      <c r="E45" s="516" t="s">
        <v>17</v>
      </c>
      <c r="F45" s="516"/>
      <c r="G45" s="516"/>
      <c r="H45" s="119" t="s">
        <v>38</v>
      </c>
      <c r="I45" s="119" t="s">
        <v>39</v>
      </c>
      <c r="J45" s="501" t="s">
        <v>3</v>
      </c>
      <c r="K45" s="501"/>
      <c r="L45" s="501"/>
      <c r="M45" s="119" t="s">
        <v>40</v>
      </c>
      <c r="N45" s="119" t="s">
        <v>41</v>
      </c>
      <c r="O45" s="501" t="s">
        <v>42</v>
      </c>
      <c r="P45" s="501"/>
      <c r="Q45" s="501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07" t="s">
        <v>62</v>
      </c>
      <c r="AR45" s="508"/>
      <c r="AS45" s="509"/>
      <c r="AT45" s="510" t="s">
        <v>5</v>
      </c>
      <c r="AU45" s="508"/>
      <c r="AV45" s="509"/>
      <c r="AW45" s="511" t="s">
        <v>66</v>
      </c>
      <c r="AX45" s="512"/>
      <c r="AY45" s="513"/>
    </row>
    <row r="46" spans="1:51" s="100" customFormat="1" ht="16" x14ac:dyDescent="0.2">
      <c r="A46" s="515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15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15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15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15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15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15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15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15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15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15"/>
      <c r="B56" s="118" t="s">
        <v>1</v>
      </c>
      <c r="C56" s="118" t="s">
        <v>2</v>
      </c>
      <c r="D56" s="118" t="s">
        <v>6</v>
      </c>
      <c r="E56" s="517" t="s">
        <v>17</v>
      </c>
      <c r="F56" s="517"/>
      <c r="G56" s="517"/>
      <c r="H56" s="119" t="s">
        <v>38</v>
      </c>
      <c r="I56" s="119" t="s">
        <v>39</v>
      </c>
      <c r="J56" s="501" t="s">
        <v>3</v>
      </c>
      <c r="K56" s="501"/>
      <c r="L56" s="501"/>
      <c r="M56" s="119" t="s">
        <v>40</v>
      </c>
      <c r="N56" s="119" t="s">
        <v>41</v>
      </c>
      <c r="O56" s="501" t="s">
        <v>42</v>
      </c>
      <c r="P56" s="501"/>
      <c r="Q56" s="501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07" t="s">
        <v>62</v>
      </c>
      <c r="AR56" s="508"/>
      <c r="AS56" s="509"/>
      <c r="AT56" s="510" t="s">
        <v>5</v>
      </c>
      <c r="AU56" s="508"/>
      <c r="AV56" s="509"/>
      <c r="AW56" s="511" t="s">
        <v>66</v>
      </c>
      <c r="AX56" s="512"/>
      <c r="AY56" s="513"/>
    </row>
    <row r="57" spans="1:51" s="100" customFormat="1" ht="16" x14ac:dyDescent="0.2">
      <c r="A57" s="515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15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15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15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15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15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15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15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15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15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15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15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15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15"/>
      <c r="B70" s="506" t="s">
        <v>19</v>
      </c>
      <c r="C70" s="506"/>
      <c r="D70" s="506"/>
      <c r="E70" s="506"/>
      <c r="F70" s="506"/>
      <c r="O70" s="6"/>
      <c r="P70" s="6"/>
      <c r="Q70" s="6"/>
      <c r="R70" s="6"/>
      <c r="S70" s="6"/>
    </row>
    <row r="71" spans="1:51" s="100" customFormat="1" ht="27.75" customHeight="1" x14ac:dyDescent="0.2">
      <c r="A71" s="515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15"/>
    </row>
    <row r="73" spans="1:51" s="100" customFormat="1" ht="27.75" customHeight="1" x14ac:dyDescent="0.2">
      <c r="A73" s="515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15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15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15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15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15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15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15"/>
    </row>
    <row r="81" spans="1:51" s="100" customFormat="1" ht="25.5" customHeight="1" x14ac:dyDescent="0.2">
      <c r="A81" s="515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497" t="s">
        <v>71</v>
      </c>
      <c r="B83" s="100" t="s">
        <v>0</v>
      </c>
      <c r="C83" s="18"/>
      <c r="Y83" s="100" t="s">
        <v>9</v>
      </c>
      <c r="AQ83" s="498" t="s">
        <v>63</v>
      </c>
      <c r="AR83" s="499"/>
      <c r="AS83" s="499"/>
      <c r="AT83" s="499"/>
      <c r="AU83" s="499"/>
      <c r="AV83" s="499"/>
      <c r="AW83" s="499"/>
      <c r="AX83" s="499"/>
      <c r="AY83" s="500"/>
    </row>
    <row r="84" spans="1:51" s="122" customFormat="1" ht="120" thickBot="1" x14ac:dyDescent="0.25">
      <c r="A84" s="497"/>
      <c r="B84" s="118" t="s">
        <v>1</v>
      </c>
      <c r="C84" s="118" t="s">
        <v>2</v>
      </c>
      <c r="D84" s="118" t="s">
        <v>6</v>
      </c>
      <c r="E84" s="501" t="s">
        <v>17</v>
      </c>
      <c r="F84" s="501"/>
      <c r="G84" s="501"/>
      <c r="H84" s="119" t="s">
        <v>38</v>
      </c>
      <c r="I84" s="119" t="s">
        <v>39</v>
      </c>
      <c r="J84" s="501" t="s">
        <v>3</v>
      </c>
      <c r="K84" s="501"/>
      <c r="L84" s="501"/>
      <c r="M84" s="119" t="s">
        <v>40</v>
      </c>
      <c r="N84" s="119" t="s">
        <v>41</v>
      </c>
      <c r="O84" s="501" t="s">
        <v>42</v>
      </c>
      <c r="P84" s="501"/>
      <c r="Q84" s="501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02" t="s">
        <v>62</v>
      </c>
      <c r="AR84" s="503"/>
      <c r="AS84" s="503"/>
      <c r="AT84" s="503" t="s">
        <v>5</v>
      </c>
      <c r="AU84" s="503"/>
      <c r="AV84" s="503"/>
      <c r="AW84" s="504" t="s">
        <v>66</v>
      </c>
      <c r="AX84" s="504"/>
      <c r="AY84" s="505"/>
    </row>
    <row r="85" spans="1:51" s="100" customFormat="1" ht="16" x14ac:dyDescent="0.2">
      <c r="A85" s="497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497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497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497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497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497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497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497"/>
      <c r="B92" s="118" t="s">
        <v>1</v>
      </c>
      <c r="C92" s="118" t="s">
        <v>2</v>
      </c>
      <c r="D92" s="118" t="s">
        <v>6</v>
      </c>
      <c r="E92" s="501" t="s">
        <v>17</v>
      </c>
      <c r="F92" s="501"/>
      <c r="G92" s="501"/>
      <c r="H92" s="119" t="s">
        <v>38</v>
      </c>
      <c r="I92" s="119" t="s">
        <v>39</v>
      </c>
      <c r="J92" s="501" t="s">
        <v>3</v>
      </c>
      <c r="K92" s="501"/>
      <c r="L92" s="501"/>
      <c r="M92" s="119" t="s">
        <v>40</v>
      </c>
      <c r="N92" s="119" t="s">
        <v>41</v>
      </c>
      <c r="O92" s="501" t="s">
        <v>42</v>
      </c>
      <c r="P92" s="501"/>
      <c r="Q92" s="501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07" t="s">
        <v>62</v>
      </c>
      <c r="AR92" s="508"/>
      <c r="AS92" s="509"/>
      <c r="AT92" s="510" t="s">
        <v>5</v>
      </c>
      <c r="AU92" s="508"/>
      <c r="AV92" s="509"/>
      <c r="AW92" s="511" t="s">
        <v>66</v>
      </c>
      <c r="AX92" s="512"/>
      <c r="AY92" s="513"/>
    </row>
    <row r="93" spans="1:51" s="100" customFormat="1" ht="16" x14ac:dyDescent="0.2">
      <c r="A93" s="497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497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497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497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497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497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497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497"/>
      <c r="B100" s="506" t="s">
        <v>19</v>
      </c>
      <c r="C100" s="506"/>
      <c r="D100" s="506"/>
      <c r="E100" s="506"/>
      <c r="F100" s="506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497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497"/>
    </row>
    <row r="103" spans="1:51" s="100" customFormat="1" ht="27.75" customHeight="1" x14ac:dyDescent="0.2">
      <c r="A103" s="497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497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497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497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497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497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497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497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497"/>
    </row>
    <row r="112" spans="1:51" s="100" customFormat="1" ht="25.5" customHeight="1" x14ac:dyDescent="0.2">
      <c r="A112" s="497"/>
    </row>
  </sheetData>
  <mergeCells count="56"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2021-09-07T23:23:52Z</dcterms:modified>
</cp:coreProperties>
</file>