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4DD21F18-E2A7-CD4D-9B69-01605E7D829B}" xr6:coauthVersionLast="47" xr6:coauthVersionMax="47" xr10:uidLastSave="{00000000-0000-0000-0000-000000000000}"/>
  <bookViews>
    <workbookView xWindow="1580" yWindow="560" windowWidth="27220" windowHeight="15940" xr2:uid="{9359BC57-A822-3445-B588-7E071C6D13C9}"/>
  </bookViews>
  <sheets>
    <sheet name="Main" sheetId="1" r:id="rId1"/>
    <sheet name="Calibr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5" i="1" l="1"/>
  <c r="BD5" i="1"/>
  <c r="F5" i="3" l="1"/>
  <c r="F9" i="3"/>
  <c r="F7" i="3"/>
  <c r="F6" i="3"/>
  <c r="F8" i="3" s="1"/>
  <c r="AK5" i="1"/>
  <c r="AJ5" i="1"/>
  <c r="AI5" i="1"/>
  <c r="O5" i="1"/>
  <c r="AF5" i="1" s="1"/>
  <c r="BC5" i="1" s="1"/>
  <c r="N5" i="1"/>
  <c r="AE5" i="1" s="1"/>
  <c r="BB5" i="1" s="1"/>
  <c r="M5" i="1"/>
  <c r="P5" i="1" s="1"/>
  <c r="G5" i="1"/>
  <c r="W5" i="1" s="1"/>
  <c r="AN5" i="1" s="1"/>
  <c r="E5" i="3"/>
  <c r="C5" i="3"/>
  <c r="E4" i="3"/>
  <c r="C4" i="3"/>
  <c r="E3" i="3"/>
  <c r="C3" i="3"/>
  <c r="BI5" i="1"/>
  <c r="AM5" i="1" l="1"/>
  <c r="Q5" i="1"/>
  <c r="AL5" i="1"/>
  <c r="BF5" i="1" s="1"/>
  <c r="BG5" i="1" s="1"/>
  <c r="AS5" i="1" s="1"/>
  <c r="AD5" i="1"/>
  <c r="BA5" i="1" s="1"/>
  <c r="BU5" i="1"/>
  <c r="AQ5" i="1" l="1"/>
  <c r="AR5" i="1"/>
  <c r="AG5" i="1"/>
  <c r="V5" i="1"/>
  <c r="U5" i="1"/>
  <c r="AV5" i="1"/>
  <c r="AW5" i="1"/>
  <c r="Z5" i="1"/>
  <c r="E3" i="1"/>
  <c r="I3" i="1"/>
  <c r="BQ5" i="1"/>
  <c r="L5" i="1"/>
  <c r="K5" i="1"/>
  <c r="BM5" i="1" l="1"/>
  <c r="BW5" i="1" s="1"/>
  <c r="AH5" i="1"/>
  <c r="BV5" i="1" l="1"/>
  <c r="AX5" i="1"/>
  <c r="AY5" i="1" l="1"/>
  <c r="AZ5" i="1"/>
  <c r="AT5" i="1"/>
  <c r="AU5" i="1"/>
</calcChain>
</file>

<file path=xl/sharedStrings.xml><?xml version="1.0" encoding="utf-8"?>
<sst xmlns="http://schemas.openxmlformats.org/spreadsheetml/2006/main" count="166" uniqueCount="116">
  <si>
    <t>qPCR Data</t>
  </si>
  <si>
    <t>INHIBITION CONTROLS</t>
  </si>
  <si>
    <t>Date</t>
  </si>
  <si>
    <t>Sample ID</t>
  </si>
  <si>
    <t>Ct</t>
  </si>
  <si>
    <t>Empty tube weight (g)</t>
  </si>
  <si>
    <t>Full tube weight (g)</t>
  </si>
  <si>
    <t>AVG</t>
  </si>
  <si>
    <t xml:space="preserve">Sample Name </t>
  </si>
  <si>
    <t>Copies</t>
  </si>
  <si>
    <t>Log(Copies)</t>
  </si>
  <si>
    <t>Slope</t>
  </si>
  <si>
    <t>Intercept</t>
  </si>
  <si>
    <t>Efficiency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</si>
  <si>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</si>
  <si>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</si>
  <si>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</si>
  <si>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</si>
  <si>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</si>
  <si>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</si>
  <si>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</si>
  <si>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</si>
  <si>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</si>
  <si>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</si>
  <si>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</si>
  <si>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</si>
  <si>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</si>
  <si>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R-sq</t>
  </si>
  <si>
    <t>main_col_ct</t>
  </si>
  <si>
    <t>main_col_copies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</si>
  <si>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</si>
  <si>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</si>
  <si>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</si>
  <si>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</si>
  <si>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</si>
  <si>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</si>
  <si>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</si>
  <si>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</si>
  <si>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main_col_sample_date</t>
  </si>
  <si>
    <t>cal_col_ct_avg</t>
  </si>
  <si>
    <t>Settled solids (mL)</t>
  </si>
  <si>
    <t>Well volume (uL)</t>
  </si>
  <si>
    <t>Site</t>
  </si>
  <si>
    <t>Total volume (mL)</t>
  </si>
  <si>
    <t>Sample
Type</t>
  </si>
  <si>
    <t>{groupName};__MERGETO(bottom)</t>
  </si>
  <si>
    <t>cal_col_graphct</t>
  </si>
  <si>
    <t>Graph Ct</t>
  </si>
  <si>
    <t>{mainTarget&gt;sample&gt;sampleDate}</t>
  </si>
  <si>
    <t>{mainTarget&gt;sample&gt;sampleID}</t>
  </si>
  <si>
    <t>__UPPER({mainTarget&gt;sample&gt;siteID})</t>
  </si>
  <si>
    <t>{mainTarget&gt;qpcr&gt;ct_0|&lt;ND&gt;|&lt;MISSING&gt;}</t>
  </si>
  <si>
    <t>{mainTarget&gt;qpcr&gt;ct_1|&lt;ND&gt;|&lt;MISSING&gt;}</t>
  </si>
  <si>
    <t>{mainTarget&gt;qpcr&gt;ct_2|&lt;ND&gt;|&lt;MISSING&gt;}</t>
  </si>
  <si>
    <t>{normTargetA&gt;qpcr&gt;ct_0|&lt;ND&gt;|&lt;MISSING&gt;}</t>
  </si>
  <si>
    <t>{normTargetA&gt;qpcr&gt;ct_1|&lt;ND&gt;|&lt;MISSING&gt;}</t>
  </si>
  <si>
    <t>{normTargetA&gt;qpcr&gt;ct_2|&lt;ND&gt;|&lt;MISSING&gt;}</t>
  </si>
  <si>
    <t>{mainTarget&gt;sample&gt;emptyTubeMass||}</t>
  </si>
  <si>
    <t>{mainTarget&gt;sample&gt;totalTubeMass||}</t>
  </si>
  <si>
    <t>{mainTarget&gt;sample&gt;settledSolids||}</t>
  </si>
  <si>
    <t>{mainTarget&gt;sample&gt;extractedMass||}</t>
  </si>
  <si>
    <t>{mainTarget&gt;method&gt;templateVolume}</t>
  </si>
  <si>
    <t>{inhTargetB&gt;qpcr&gt;ct_0|&lt;ND&gt;|&lt;MISSING&gt;}</t>
  </si>
  <si>
    <t>{inhTargetB&gt;qpcr&gt;ct_1|&lt;ND&gt;|&lt;MISSING&gt;}</t>
  </si>
  <si>
    <t>{inhTargetB&gt;qpcr&gt;ct_2|&lt;ND&gt;|&lt;MISSING&gt;}</t>
  </si>
  <si>
    <t>{inhTargetA&gt;qpcr&gt;ct_0|&lt;ND&gt;|&lt;MISSING&gt;}</t>
  </si>
  <si>
    <t>{inhTargetC&gt;qpcr&gt;ct_0|&lt;ND&gt;|&lt;MISSING&gt;}</t>
  </si>
  <si>
    <t>{inhTargetC&gt;qpcr&gt;ct_1|&lt;ND&gt;|&lt;MISSING&gt;}</t>
  </si>
  <si>
    <t>{inhTargetC&gt;qpcr&gt;ct_2|&lt;ND&gt;|&lt;MISSING&gt;}</t>
  </si>
  <si>
    <t>{inhTargetA&gt;qpcr&gt;ct_1|&lt;ND&gt;|&lt;MISSING&gt;}</t>
  </si>
  <si>
    <t>{inhTargetA&gt;qpcr&gt;ct_2|&lt;ND&gt;|&lt;MISSING&gt;}</t>
  </si>
  <si>
    <t>AVG {inhTargetA&gt;dilutionText}</t>
  </si>
  <si>
    <t>ΔCt
{inhTargetB&gt;dilutionText} - {inhTargetA&gt;dilutionText}</t>
  </si>
  <si>
    <t>ΔCt
{inhTargetC&gt;dilutionText} - {inhTargetB&gt;dilutionText}</t>
  </si>
  <si>
    <t>{mainTarget&gt;sample&gt;sq}</t>
  </si>
  <si>
    <t>main_col_norm_ct</t>
  </si>
  <si>
    <t>main_col_norm_ct_avg</t>
  </si>
  <si>
    <t>main_col_norm_copies</t>
  </si>
  <si>
    <t>main_col_copies_per_mass_b</t>
  </si>
  <si>
    <t>main_col_copies_per_mass_b_avg</t>
  </si>
  <si>
    <t>Target</t>
  </si>
  <si>
    <t>{mainTarget&gt;targetNameWithDilution} Ct</t>
  </si>
  <si>
    <t>{mainTarget&gt;targetName}</t>
  </si>
  <si>
    <t>{mainTarget&gt;targetNameWithDilution}
Ct AVG</t>
  </si>
  <si>
    <t>{mainTarget&gt;targetNameWithDilution}
Ct STDEV</t>
  </si>
  <si>
    <t>{mainTarget&gt;targetNameWithDilution}
COPIES</t>
  </si>
  <si>
    <t>{mainTarget&gt;targetNameNoDilution}
Copies AVG</t>
  </si>
  <si>
    <t>{mainTarget&gt;targetNameNoDilution}
Copies STDEV</t>
  </si>
  <si>
    <t>{normTargetA&gt;targetNameWithDilution} Ct</t>
  </si>
  <si>
    <t>{normTargetA&gt;targetNameWithDilution}
Ct AVG</t>
  </si>
  <si>
    <t>{normTargetA&gt;targetNameWithDilution}
Ct STDEV</t>
  </si>
  <si>
    <t>{mainTarget&gt;targetNameNoDilution}
Copies per Extracted Mass  (copies/g)</t>
  </si>
  <si>
    <t xml:space="preserve">{normTargetA&gt;targetNameWithDilution} Copies </t>
  </si>
  <si>
    <t>{normTargetA&gt;targetNameNoDilution}
Copies AVG</t>
  </si>
  <si>
    <t>{normTargetA&gt;targetNameNoDilution}
Copies STDEV</t>
  </si>
  <si>
    <t>{mainTarget&gt;targetNameNoDilution} Copies per Copies of {normTargetA&gt;targetNameNoDilution}</t>
  </si>
  <si>
    <t>{mainTarget&gt;targetNameNoDilution} Copies per Extracted Mass (Copies/g)</t>
  </si>
  <si>
    <t>{mainTarget&gt;targetNameNoDilution} Copies / L</t>
  </si>
  <si>
    <t>{normTargetA&gt;targetNameNoDilution} Copies per Extracted Mass (copies/g)</t>
  </si>
  <si>
    <t>{normTargetA&gt;targetNameNoDilution} Copies/L</t>
  </si>
  <si>
    <t>{inhTargetB&gt;targetNameNoDilution} {inhTargetB&gt;dilutionText}</t>
  </si>
  <si>
    <t>AVG {inhTargetB&gt;targetNameNoDilution} {inhTargetB&gt;dilutionText}</t>
  </si>
  <si>
    <t>{inhTargetC&gt;targetNameNoDilution} {inhTargetC&gt;dilutionText}</t>
  </si>
  <si>
    <t>AVG {inhTargetC&gt;targetNameNoDilution} {inhTargetC&gt;dilutionText}</t>
  </si>
  <si>
    <t>{inhTargetA&gt;targetNameNoDilution} {inhTargetA&gt;dilutionText}</t>
  </si>
  <si>
    <t>{mainTargetName} Avg</t>
  </si>
  <si>
    <t>Concentration Factor</t>
  </si>
  <si>
    <t>FINAL DATA</t>
  </si>
  <si>
    <t>main_col_inhibition_b_ct</t>
  </si>
  <si>
    <t>main_col_inhibition_b_ct_avg</t>
  </si>
  <si>
    <t>main_col_inhibition_c_ct</t>
  </si>
  <si>
    <t>main_col_inhibition_c_ct_avg</t>
  </si>
  <si>
    <t>main_col_inhibition_a_ct</t>
  </si>
  <si>
    <t>main_col_inhibition_a_ct_avg</t>
  </si>
  <si>
    <t>main_col_inhibition_b_a_dct</t>
  </si>
  <si>
    <t>main_col_inhibition_c_b_dct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</si>
</sst>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4" fillId="0" borderId="0"/>
    <xf numFmtId="0" fontId="13" fillId="0" borderId="0"/>
  </cellStyleXfs>
  <cellXfs count="8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1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10" fillId="2" borderId="13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3" borderId="0" xfId="0" applyNumberFormat="1" applyFont="1" applyFill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164" fontId="3" fillId="12" borderId="0" xfId="0" applyNumberFormat="1" applyFont="1" applyFill="1" applyAlignment="1">
      <alignment horizontal="center" vertical="center" textRotation="90"/>
    </xf>
    <xf numFmtId="167" fontId="10" fillId="2" borderId="11" xfId="1" applyNumberFormat="1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 wrapText="1"/>
    </xf>
    <xf numFmtId="16" fontId="2" fillId="0" borderId="15" xfId="0" applyNumberFormat="1" applyFont="1" applyFill="1" applyBorder="1" applyAlignment="1">
      <alignment vertical="center"/>
    </xf>
    <xf numFmtId="0" fontId="2" fillId="0" borderId="0" xfId="3" applyFont="1"/>
    <xf numFmtId="0" fontId="2" fillId="0" borderId="0" xfId="4" applyFont="1"/>
    <xf numFmtId="0" fontId="8" fillId="11" borderId="6" xfId="3" applyFont="1" applyFill="1" applyBorder="1" applyAlignment="1">
      <alignment horizontal="center" vertical="center"/>
    </xf>
    <xf numFmtId="0" fontId="8" fillId="11" borderId="8" xfId="3" applyFont="1" applyFill="1" applyBorder="1" applyAlignment="1">
      <alignment horizontal="center" vertical="center"/>
    </xf>
    <xf numFmtId="0" fontId="13" fillId="0" borderId="0" xfId="4"/>
    <xf numFmtId="2" fontId="7" fillId="0" borderId="16" xfId="3" applyNumberFormat="1" applyFont="1" applyBorder="1" applyAlignment="1">
      <alignment horizontal="center" vertical="center"/>
    </xf>
    <xf numFmtId="165" fontId="7" fillId="0" borderId="16" xfId="3" applyNumberFormat="1" applyFont="1" applyBorder="1" applyAlignment="1">
      <alignment horizontal="center" vertical="center"/>
    </xf>
    <xf numFmtId="2" fontId="7" fillId="0" borderId="17" xfId="3" applyNumberFormat="1" applyFont="1" applyBorder="1" applyAlignment="1">
      <alignment horizontal="center" vertical="center"/>
    </xf>
    <xf numFmtId="165" fontId="7" fillId="0" borderId="17" xfId="3" applyNumberFormat="1" applyFont="1" applyBorder="1" applyAlignment="1">
      <alignment horizontal="center" vertical="center"/>
    </xf>
    <xf numFmtId="2" fontId="7" fillId="0" borderId="18" xfId="3" applyNumberFormat="1" applyFont="1" applyBorder="1" applyAlignment="1">
      <alignment horizontal="center" vertical="center"/>
    </xf>
    <xf numFmtId="165" fontId="7" fillId="0" borderId="18" xfId="3" applyNumberFormat="1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14" fillId="0" borderId="0" xfId="3"/>
    <xf numFmtId="0" fontId="8" fillId="0" borderId="6" xfId="3" applyFont="1" applyBorder="1" applyAlignment="1">
      <alignment horizontal="center" vertical="center"/>
    </xf>
    <xf numFmtId="165" fontId="7" fillId="0" borderId="6" xfId="3" applyNumberFormat="1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65" fontId="2" fillId="0" borderId="6" xfId="3" applyNumberFormat="1" applyFont="1" applyBorder="1" applyAlignment="1">
      <alignment horizontal="center"/>
    </xf>
    <xf numFmtId="2" fontId="2" fillId="0" borderId="16" xfId="4" applyNumberFormat="1" applyFont="1" applyBorder="1" applyAlignment="1">
      <alignment horizontal="center" vertical="center"/>
    </xf>
    <xf numFmtId="2" fontId="2" fillId="0" borderId="17" xfId="4" applyNumberFormat="1" applyFont="1" applyBorder="1" applyAlignment="1">
      <alignment horizontal="center" vertical="center"/>
    </xf>
    <xf numFmtId="2" fontId="2" fillId="0" borderId="18" xfId="4" applyNumberFormat="1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167" fontId="11" fillId="0" borderId="22" xfId="1" applyNumberFormat="1" applyFont="1" applyFill="1" applyBorder="1" applyAlignment="1">
      <alignment horizontal="center" vertical="center"/>
    </xf>
    <xf numFmtId="167" fontId="11" fillId="0" borderId="21" xfId="1" applyNumberFormat="1" applyFont="1" applyFill="1" applyBorder="1" applyAlignment="1">
      <alignment horizontal="center" vertical="center"/>
    </xf>
    <xf numFmtId="16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12" fillId="6" borderId="4" xfId="0" applyNumberFormat="1" applyFont="1" applyFill="1" applyBorder="1" applyAlignment="1">
      <alignment horizontal="center" vertical="center"/>
    </xf>
    <xf numFmtId="2" fontId="12" fillId="6" borderId="5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" fontId="12" fillId="4" borderId="19" xfId="0" applyNumberFormat="1" applyFont="1" applyFill="1" applyBorder="1" applyAlignment="1">
      <alignment horizontal="center" vertical="center"/>
    </xf>
    <xf numFmtId="2" fontId="12" fillId="4" borderId="15" xfId="0" applyNumberFormat="1" applyFont="1" applyFill="1" applyBorder="1" applyAlignment="1">
      <alignment horizontal="center" vertical="center"/>
    </xf>
    <xf numFmtId="2" fontId="12" fillId="4" borderId="20" xfId="0" applyNumberFormat="1" applyFont="1" applyFill="1" applyBorder="1" applyAlignment="1">
      <alignment horizontal="center" vertical="center"/>
    </xf>
  </cellXfs>
  <cellStyles count="5">
    <cellStyle name="Good" xfId="1" builtinId="26"/>
    <cellStyle name="Normal" xfId="0" builtinId="0"/>
    <cellStyle name="Normal 10" xfId="4" xr:uid="{3A143E74-9887-5D4F-BBF0-8DE7272F7664}"/>
    <cellStyle name="Normal 2" xfId="3" xr:uid="{4360DCA0-B2CD-6047-AF74-9593CA780A7D}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W10"/>
  <sheetViews>
    <sheetView tabSelected="1" zoomScaleNormal="100" workbookViewId="0">
      <selection activeCell="C5" sqref="C5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7" width="11" customWidth="1"/>
    <col min="8" max="22" width="11" bestFit="1" customWidth="1"/>
    <col min="23" max="23" width="11" customWidth="1"/>
    <col min="24" max="26" width="11" bestFit="1" customWidth="1"/>
    <col min="27" max="27" width="11" customWidth="1"/>
    <col min="28" max="29" width="16.1640625" customWidth="1"/>
    <col min="30" max="34" width="11" bestFit="1" customWidth="1"/>
    <col min="35" max="37" width="15" bestFit="1" customWidth="1"/>
    <col min="38" max="38" width="16.33203125" bestFit="1" customWidth="1"/>
    <col min="39" max="39" width="13" customWidth="1"/>
    <col min="40" max="40" width="16.33203125" customWidth="1"/>
    <col min="41" max="41" width="13.6640625" customWidth="1"/>
    <col min="43" max="47" width="11" bestFit="1" customWidth="1"/>
    <col min="48" max="50" width="11.6640625" bestFit="1" customWidth="1"/>
    <col min="51" max="52" width="13" customWidth="1"/>
    <col min="53" max="54" width="16.1640625" customWidth="1"/>
    <col min="55" max="55" width="15.33203125" customWidth="1"/>
    <col min="56" max="57" width="14.1640625" customWidth="1"/>
    <col min="58" max="58" width="19.6640625" customWidth="1"/>
    <col min="59" max="59" width="19.33203125" customWidth="1"/>
    <col min="60" max="60" width="11" bestFit="1" customWidth="1"/>
    <col min="61" max="61" width="29.1640625" customWidth="1"/>
    <col min="62" max="65" width="11" bestFit="1" customWidth="1"/>
    <col min="69" max="71" width="11" bestFit="1" customWidth="1"/>
    <col min="73" max="75" width="11" bestFit="1" customWidth="1"/>
  </cols>
  <sheetData>
    <row r="1" spans="1:75" ht="17" thickBot="1" x14ac:dyDescent="0.25">
      <c r="C1" t="s">
        <v>38</v>
      </c>
      <c r="H1" t="s">
        <v>28</v>
      </c>
      <c r="I1" t="s">
        <v>28</v>
      </c>
      <c r="J1" t="s">
        <v>28</v>
      </c>
      <c r="K1" t="s">
        <v>30</v>
      </c>
      <c r="M1" t="s">
        <v>29</v>
      </c>
      <c r="N1" s="20" t="s">
        <v>29</v>
      </c>
      <c r="O1" t="s">
        <v>29</v>
      </c>
      <c r="P1" t="s">
        <v>31</v>
      </c>
      <c r="R1" t="s">
        <v>75</v>
      </c>
      <c r="S1" t="s">
        <v>75</v>
      </c>
      <c r="T1" t="s">
        <v>75</v>
      </c>
      <c r="U1" t="s">
        <v>76</v>
      </c>
      <c r="AD1" t="s">
        <v>33</v>
      </c>
      <c r="AE1" t="s">
        <v>33</v>
      </c>
      <c r="AF1" t="s">
        <v>33</v>
      </c>
      <c r="AG1" t="s">
        <v>32</v>
      </c>
      <c r="AI1" t="s">
        <v>77</v>
      </c>
      <c r="AJ1" t="s">
        <v>77</v>
      </c>
      <c r="AK1" t="s">
        <v>77</v>
      </c>
      <c r="AQ1" t="s">
        <v>35</v>
      </c>
      <c r="AR1" t="s">
        <v>35</v>
      </c>
      <c r="AS1" t="s">
        <v>35</v>
      </c>
      <c r="AT1" t="s">
        <v>34</v>
      </c>
      <c r="AV1" t="s">
        <v>78</v>
      </c>
      <c r="AW1" t="s">
        <v>78</v>
      </c>
      <c r="AX1" t="s">
        <v>78</v>
      </c>
      <c r="AY1" t="s">
        <v>79</v>
      </c>
      <c r="BA1" t="s">
        <v>36</v>
      </c>
      <c r="BB1" t="s">
        <v>36</v>
      </c>
      <c r="BC1" t="s">
        <v>36</v>
      </c>
      <c r="BD1" t="s">
        <v>37</v>
      </c>
      <c r="BJ1" t="s">
        <v>108</v>
      </c>
      <c r="BK1" t="s">
        <v>108</v>
      </c>
      <c r="BL1" t="s">
        <v>108</v>
      </c>
      <c r="BM1" t="s">
        <v>109</v>
      </c>
      <c r="BN1" t="s">
        <v>110</v>
      </c>
      <c r="BO1" t="s">
        <v>110</v>
      </c>
      <c r="BP1" t="s">
        <v>110</v>
      </c>
      <c r="BQ1" t="s">
        <v>111</v>
      </c>
      <c r="BR1" t="s">
        <v>112</v>
      </c>
      <c r="BS1" t="s">
        <v>112</v>
      </c>
      <c r="BT1" t="s">
        <v>112</v>
      </c>
      <c r="BU1" t="s">
        <v>113</v>
      </c>
      <c r="BV1" t="s">
        <v>114</v>
      </c>
      <c r="BW1" t="s">
        <v>115</v>
      </c>
    </row>
    <row r="2" spans="1:75" s="5" customFormat="1" ht="17" thickBot="1" x14ac:dyDescent="0.25">
      <c r="A2" s="5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2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4"/>
    </row>
    <row r="3" spans="1:75" s="5" customFormat="1" ht="40" customHeight="1" x14ac:dyDescent="0.2">
      <c r="A3" s="5" t="s">
        <v>14</v>
      </c>
      <c r="B3" s="33" t="s">
        <v>45</v>
      </c>
      <c r="C3" s="5" t="s">
        <v>0</v>
      </c>
      <c r="D3" s="32"/>
      <c r="E3" s="69" t="e">
        <f ca="1">__QAQCHASFAILEDCATEGORY("NTC", "NTC Error! See {qaqc_sheet}", "NTCs Good", "No NTCs")</f>
        <v>#NAME?</v>
      </c>
      <c r="F3" s="69"/>
      <c r="G3" s="69"/>
      <c r="H3" s="40"/>
      <c r="I3" s="70" t="e">
        <f ca="1">__QAQCHASFAILEDCATEGORY("EB", "EB Error! See {qaqc_sheet}", "Extraction Blanks Good", "No Extraction Blanks")</f>
        <v>#NAME?</v>
      </c>
      <c r="J3" s="70"/>
      <c r="K3" s="70"/>
      <c r="L3" s="38"/>
      <c r="AQ3" s="79" t="s">
        <v>107</v>
      </c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  <c r="BF3" s="22"/>
      <c r="BG3" s="23"/>
      <c r="BH3" s="71" t="s">
        <v>1</v>
      </c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2"/>
    </row>
    <row r="4" spans="1:75" s="5" customFormat="1" ht="136" x14ac:dyDescent="0.2">
      <c r="A4" s="5" t="s">
        <v>15</v>
      </c>
      <c r="C4" s="6" t="s">
        <v>2</v>
      </c>
      <c r="D4" s="6" t="s">
        <v>3</v>
      </c>
      <c r="E4" s="6" t="s">
        <v>80</v>
      </c>
      <c r="F4" s="37" t="s">
        <v>42</v>
      </c>
      <c r="G4" s="39" t="s">
        <v>44</v>
      </c>
      <c r="H4" s="73" t="s">
        <v>81</v>
      </c>
      <c r="I4" s="74"/>
      <c r="J4" s="75"/>
      <c r="K4" s="7" t="s">
        <v>83</v>
      </c>
      <c r="L4" s="7" t="s">
        <v>84</v>
      </c>
      <c r="M4" s="76" t="s">
        <v>85</v>
      </c>
      <c r="N4" s="74"/>
      <c r="O4" s="75"/>
      <c r="P4" s="8" t="s">
        <v>86</v>
      </c>
      <c r="Q4" s="7" t="s">
        <v>87</v>
      </c>
      <c r="R4" s="73" t="s">
        <v>88</v>
      </c>
      <c r="S4" s="74"/>
      <c r="T4" s="75"/>
      <c r="U4" s="8" t="s">
        <v>89</v>
      </c>
      <c r="V4" s="7" t="s">
        <v>90</v>
      </c>
      <c r="W4" s="7" t="s">
        <v>43</v>
      </c>
      <c r="X4" s="7" t="s">
        <v>5</v>
      </c>
      <c r="Y4" s="7" t="s">
        <v>6</v>
      </c>
      <c r="Z4" s="7" t="s">
        <v>22</v>
      </c>
      <c r="AA4" s="7" t="s">
        <v>40</v>
      </c>
      <c r="AB4" s="7" t="s">
        <v>23</v>
      </c>
      <c r="AC4" s="35" t="s">
        <v>41</v>
      </c>
      <c r="AD4" s="76" t="s">
        <v>91</v>
      </c>
      <c r="AE4" s="77"/>
      <c r="AF4" s="78"/>
      <c r="AG4" s="9" t="s">
        <v>24</v>
      </c>
      <c r="AH4" s="7" t="s">
        <v>25</v>
      </c>
      <c r="AI4" s="76" t="s">
        <v>92</v>
      </c>
      <c r="AJ4" s="77"/>
      <c r="AK4" s="78"/>
      <c r="AL4" s="7" t="s">
        <v>93</v>
      </c>
      <c r="AM4" s="7" t="s">
        <v>94</v>
      </c>
      <c r="AN4" s="7" t="s">
        <v>106</v>
      </c>
      <c r="AO4" s="6" t="s">
        <v>2</v>
      </c>
      <c r="AP4" s="6" t="s">
        <v>80</v>
      </c>
      <c r="AQ4" s="76" t="s">
        <v>95</v>
      </c>
      <c r="AR4" s="77"/>
      <c r="AS4" s="78"/>
      <c r="AT4" s="9" t="s">
        <v>7</v>
      </c>
      <c r="AU4" s="9" t="s">
        <v>26</v>
      </c>
      <c r="AV4" s="76" t="s">
        <v>96</v>
      </c>
      <c r="AW4" s="77"/>
      <c r="AX4" s="78"/>
      <c r="AY4" s="7" t="s">
        <v>7</v>
      </c>
      <c r="AZ4" s="62" t="s">
        <v>26</v>
      </c>
      <c r="BA4" s="76" t="s">
        <v>97</v>
      </c>
      <c r="BB4" s="77"/>
      <c r="BC4" s="78"/>
      <c r="BD4" s="7" t="s">
        <v>7</v>
      </c>
      <c r="BE4" s="63" t="s">
        <v>26</v>
      </c>
      <c r="BF4" s="10" t="s">
        <v>98</v>
      </c>
      <c r="BG4" s="11" t="s">
        <v>99</v>
      </c>
      <c r="BH4" s="18" t="s">
        <v>2</v>
      </c>
      <c r="BI4" s="12" t="s">
        <v>8</v>
      </c>
      <c r="BJ4" s="12" t="s">
        <v>100</v>
      </c>
      <c r="BK4" s="12" t="s">
        <v>100</v>
      </c>
      <c r="BL4" s="12" t="s">
        <v>100</v>
      </c>
      <c r="BM4" s="13" t="s">
        <v>101</v>
      </c>
      <c r="BN4" s="12" t="s">
        <v>102</v>
      </c>
      <c r="BO4" s="12" t="s">
        <v>102</v>
      </c>
      <c r="BP4" s="12" t="s">
        <v>102</v>
      </c>
      <c r="BQ4" s="13" t="s">
        <v>103</v>
      </c>
      <c r="BR4" s="12" t="s">
        <v>104</v>
      </c>
      <c r="BS4" s="12" t="s">
        <v>104</v>
      </c>
      <c r="BT4" s="12" t="s">
        <v>104</v>
      </c>
      <c r="BU4" s="13" t="s">
        <v>71</v>
      </c>
      <c r="BV4" s="12" t="s">
        <v>72</v>
      </c>
      <c r="BW4" s="14" t="s">
        <v>73</v>
      </c>
    </row>
    <row r="5" spans="1:75" s="5" customFormat="1" x14ac:dyDescent="0.2">
      <c r="A5" s="5" t="s">
        <v>16</v>
      </c>
      <c r="C5" s="27" t="s">
        <v>48</v>
      </c>
      <c r="D5" s="15" t="s">
        <v>49</v>
      </c>
      <c r="E5" s="15" t="s">
        <v>82</v>
      </c>
      <c r="F5" s="15" t="s">
        <v>50</v>
      </c>
      <c r="G5" s="15" t="str">
        <f>"{mainTarget&gt;sample&gt;typeShortDescription}"</f>
        <v>{mainTarget&gt;sample&gt;typeShortDescription}</v>
      </c>
      <c r="H5" s="16" t="s">
        <v>51</v>
      </c>
      <c r="I5" s="16" t="s">
        <v>52</v>
      </c>
      <c r="J5" s="19" t="s">
        <v>53</v>
      </c>
      <c r="K5" s="16" t="e">
        <f>AVERAGE(H5:J5)</f>
        <v>#DIV/0!</v>
      </c>
      <c r="L5" s="16" t="e">
        <f>STDEV(H5:J5)</f>
        <v>#DIV/0!</v>
      </c>
      <c r="M5" s="31" t="str">
        <f>IF(ISNUMBER(H5),10^((H5-__GETCELL("{mainTarget&gt;sample&gt;standardCurveID}", "intercept", FALSE))/__GETCELL("{mainTarget&gt;sample&gt;standardCurveID}", "slope", FALSE)),IF(H5="&lt;ND&gt;","",""))</f>
        <v/>
      </c>
      <c r="N5" s="31" t="str">
        <f>IF(ISNUMBER(I5),10^((I5-__GETCELL("{mainTarget&gt;sample&gt;standardCurveID}", "intercept", FALSE))/__GETCELL("{mainTarget&gt;sample&gt;standardCurveID}", "slope", FALSE)),IF(I5="&lt;ND&gt;","",""))</f>
        <v/>
      </c>
      <c r="O5" s="31" t="str">
        <f>IF(ISNUMBER(J5),10^((J5-__GETCELL("{mainTarget&gt;sample&gt;standardCurveID}", "intercept", FALSE))/__GETCELL("{mainTarget&gt;sample&gt;standardCurveID}", "slope", FALSE)),IF(J5="&lt;ND&gt;","",""))</f>
        <v/>
      </c>
      <c r="P5" s="16" t="e">
        <f ca="1">AVERAGE(M5:O5)*__UNQUOTIFY("{mainTarget&gt;method&gt;dilutionFactor}",TRUE)</f>
        <v>#DIV/0!</v>
      </c>
      <c r="Q5" s="16" t="e">
        <f ca="1">STDEV(M5:O5)*__UNQUOTIFY("{mainTarget&gt;method&gt;dilutionFactor}",TRUE)</f>
        <v>#DIV/0!</v>
      </c>
      <c r="R5" s="16" t="s">
        <v>54</v>
      </c>
      <c r="S5" s="16" t="s">
        <v>55</v>
      </c>
      <c r="T5" s="16" t="s">
        <v>56</v>
      </c>
      <c r="U5" s="16" t="str">
        <f>IF(COUNT(R5:T5)&gt;0,AVERAGE(R5:T5),"")</f>
        <v/>
      </c>
      <c r="V5" s="16" t="str">
        <f>IF(COUNT(R5:T5)&gt;0,STDEV(R5:T5),"")</f>
        <v/>
      </c>
      <c r="W5" s="17" t="e">
        <f ca="1">IF(G5="PS",40,__SELECT("{mainTarget&gt;sample&gt;totalVolume||}", """"))</f>
        <v>#NAME?</v>
      </c>
      <c r="X5" s="17" t="s">
        <v>57</v>
      </c>
      <c r="Y5" s="17" t="s">
        <v>58</v>
      </c>
      <c r="Z5" s="17" t="str">
        <f>IF(AND(ISNUMBER(Y5),ISNUMBER(X5)),Y5-X5,"")</f>
        <v/>
      </c>
      <c r="AA5" s="17" t="s">
        <v>59</v>
      </c>
      <c r="AB5" s="17" t="s">
        <v>60</v>
      </c>
      <c r="AC5" s="36" t="s">
        <v>61</v>
      </c>
      <c r="AD5" s="17" t="str">
        <f>IF(AND(ISNUMBER(M5),ISNUMBER($AB5)),(M5*__UNQUOTIFY("{mainTarget&gt;method&gt;dilutionFactor|NA()|NA()}",TRUE)/$AC5*__UNQUOTIFY("{mainTarget&gt;method&gt;elutionVolume|NA()|NA()}", TRUE))/$AB5,"")</f>
        <v/>
      </c>
      <c r="AE5" s="17" t="str">
        <f>IF(AND(ISNUMBER(N5),ISNUMBER($AB5)),(N5*__UNQUOTIFY("{mainTarget&gt;method&gt;dilutionFactor|NA()|NA()}",TRUE)/$AC5*__UNQUOTIFY("{mainTarget&gt;method&gt;elutionVolume|NA()|NA()}", TRUE))/$AB5,"")</f>
        <v/>
      </c>
      <c r="AF5" s="17" t="str">
        <f>IF(AND(ISNUMBER(O5),ISNUMBER($AB5)),(O5*__UNQUOTIFY("{mainTarget&gt;method&gt;dilutionFactor|NA()|NA()}",TRUE)/$AC5*__UNQUOTIFY("{mainTarget&gt;method&gt;elutionVolume|NA()|NA()}", TRUE))/$AB5,"")</f>
        <v/>
      </c>
      <c r="AG5" s="17" t="str">
        <f>IF(COUNT(AD5:AF5)&gt;0,AVERAGE(AD5:AF5),"")</f>
        <v/>
      </c>
      <c r="AH5" s="17" t="str">
        <f>IF(COUNT(AD5:AF5)&gt;0,STDEV(AD5:AF5),"")</f>
        <v/>
      </c>
      <c r="AI5" s="30" t="str">
        <f>IF(ISNUMBER(R5),10^((R5-__GETCELL("{normTargetA&gt;sample&gt;standardCurveID}", "intercept", FALSE))/__GETCELL("{normTargetA&gt;sample&gt;standardCurveID}", "slope", FALSE)),IF(R5="&lt;ND&gt;","",""))</f>
        <v/>
      </c>
      <c r="AJ5" s="30" t="str">
        <f>IF(ISNUMBER(S5),10^((S5-__GETCELL("{normTargetA&gt;sample&gt;standardCurveID}", "intercept", FALSE))/__GETCELL("{normTargetA&gt;sample&gt;standardCurveID}", "slope", FALSE)),IF(S5="&lt;ND&gt;","",""))</f>
        <v/>
      </c>
      <c r="AK5" s="30" t="str">
        <f>IF(ISNUMBER(T5),10^((T5-__GETCELL("{normTargetA&gt;sample&gt;standardCurveID}", "intercept", FALSE))/__GETCELL("{normTargetA&gt;sample&gt;standardCurveID}", "slope", FALSE)),IF(T5="&lt;ND&gt;","",""))</f>
        <v/>
      </c>
      <c r="AL5" s="16" t="str">
        <f>IF(COUNT(AI5:AK5)&gt;0,AVERAGE(AI5:AK5)*__UNQUOTIFY("{normTargetA&gt;method&gt;dilutionFactor}", TRUE),"")</f>
        <v/>
      </c>
      <c r="AM5" s="17" t="str">
        <f>IF(COUNT(AI5:AK5)&gt;0,STDEV(AI5:AK5)*__UNQUOTIFY("{normTargetA&gt;method&gt;dilutionFactor}", TRUE),"")</f>
        <v/>
      </c>
      <c r="AN5" s="17" t="str">
        <f ca="1">IF(AND(ISNUMBER($W5),ISNUMBER($AA5),ISNUMBER($AB5)), $W5/$AA5*$AB5/__UNQUOTIFY("{mainTarget&gt;method&gt;elutionVolume|NA()|NA()}")*__UNQUOTIFY("{mainTarget&gt;method&gt;dilutionFactor}"), "")</f>
        <v/>
      </c>
      <c r="AO5" s="28" t="s">
        <v>48</v>
      </c>
      <c r="AP5" s="15" t="s">
        <v>82</v>
      </c>
      <c r="AQ5" s="34" t="str">
        <f>IF(AND(ISNUMBER(BA5),ISNUMBER($BG5)),BA5/$BG5,"")</f>
        <v/>
      </c>
      <c r="AR5" s="34" t="str">
        <f>IF(AND(ISNUMBER(BB5),ISNUMBER($BG5)),BB5/$BG5,"")</f>
        <v/>
      </c>
      <c r="AS5" s="34" t="str">
        <f>IF(AND(ISNUMBER(BC5),ISNUMBER($BG5)),BC5/$BG5,"")</f>
        <v/>
      </c>
      <c r="AT5" s="67" t="str">
        <f>IF(COUNT(AQ5:AS5)&gt;0,AVERAGE(AQ5:AS5),"")</f>
        <v/>
      </c>
      <c r="AU5" s="68" t="str">
        <f>IF(COUNT(AQ5:AS5)&gt;0,STDEV(AQ5:AS5),"")</f>
        <v/>
      </c>
      <c r="AV5" s="24" t="str">
        <f>AD5</f>
        <v/>
      </c>
      <c r="AW5" s="24" t="str">
        <f>AE5</f>
        <v/>
      </c>
      <c r="AX5" s="24" t="str">
        <f>AF5</f>
        <v/>
      </c>
      <c r="AY5" s="66" t="str">
        <f>IF(COUNT(AV5:AX5)&gt;0,AVERAGE(AV5:AX5),"")</f>
        <v/>
      </c>
      <c r="AZ5" s="65" t="str">
        <f>IF(COUNT(AV5:AX5)&gt;0,STDEV(AV5:AX5),"")</f>
        <v/>
      </c>
      <c r="BA5" s="24" t="str">
        <f>IF(ISNUMBER(AD5),AD5*$Z5/$AA5*$AA5/$W5*1000,"")</f>
        <v/>
      </c>
      <c r="BB5" s="24" t="str">
        <f>IF(ISNUMBER(AE5),AE5*$Z5/$AA5*$AA5/$W5*1000,"")</f>
        <v/>
      </c>
      <c r="BC5" s="26" t="str">
        <f>IF(ISNUMBER(AF5),AF5*$Z5/$AA5*$AA5/$W5*1000,"")</f>
        <v/>
      </c>
      <c r="BD5" s="64" t="str">
        <f>IF(COUNT(BA5:BC5)&gt;0,AVERAGE(BA5:BC5),"")</f>
        <v/>
      </c>
      <c r="BE5" s="65" t="str">
        <f>IF(COUNT(BA5:BC5)&gt;0,STDEV(BA5:BC5),"")</f>
        <v/>
      </c>
      <c r="BF5" s="25" t="str">
        <f>IF(AND(ISNUMBER(AL5),ISNUMBER($AB5)),(AL5/__UNQUOTIFY("{normTargetA&gt;method&gt;templateVolume}", TRUE)*__UNQUOTIFY("{normTargetA&gt;method&gt;elutionVolume}", TRUE))/$AB5,"")</f>
        <v/>
      </c>
      <c r="BG5" s="26" t="str">
        <f>IF(ISNUMBER(BF5),BF5*$Z5/$AA5*$AA5/$W5*1000,"")</f>
        <v/>
      </c>
      <c r="BH5" s="29" t="s">
        <v>48</v>
      </c>
      <c r="BI5" s="16" t="str">
        <f>D5</f>
        <v>{mainTarget&gt;sample&gt;sampleID}</v>
      </c>
      <c r="BJ5" s="16" t="s">
        <v>62</v>
      </c>
      <c r="BK5" s="16" t="s">
        <v>63</v>
      </c>
      <c r="BL5" s="16" t="s">
        <v>64</v>
      </c>
      <c r="BM5" s="16" t="str">
        <f>IF(COUNT(BJ5:BL5)&gt;0,AVERAGE(BJ5:BL5),"")</f>
        <v/>
      </c>
      <c r="BN5" s="16" t="s">
        <v>66</v>
      </c>
      <c r="BO5" s="19" t="s">
        <v>67</v>
      </c>
      <c r="BP5" s="19" t="s">
        <v>68</v>
      </c>
      <c r="BQ5" s="16" t="str">
        <f>IF(COUNT(BN5:BP5)&gt;0,AVERAGE(BN5:BP5),"")</f>
        <v/>
      </c>
      <c r="BR5" s="16" t="s">
        <v>65</v>
      </c>
      <c r="BS5" s="16" t="s">
        <v>69</v>
      </c>
      <c r="BT5" s="16" t="s">
        <v>70</v>
      </c>
      <c r="BU5" s="16" t="str">
        <f>IF(COUNT(BR5:BT5)&gt;0,AVERAGE(BR5:BT5),"")</f>
        <v/>
      </c>
      <c r="BV5" s="16" t="str">
        <f>IF(AND(ISNUMBER(BM5),ISNUMBER(BU5)),BM5-BU5,"")</f>
        <v/>
      </c>
      <c r="BW5" s="21" t="str">
        <f>IF(AND(ISNUMBER(BQ5),ISNUMBER(BM5)),BQ5-BM5,"")</f>
        <v/>
      </c>
    </row>
    <row r="7" spans="1:75" ht="16" customHeight="1" x14ac:dyDescent="0.2"/>
    <row r="10" spans="1:75" x14ac:dyDescent="0.2">
      <c r="BS10" s="20"/>
      <c r="BT10" s="20"/>
      <c r="BU10" s="20"/>
    </row>
  </sheetData>
  <mergeCells count="12">
    <mergeCell ref="E3:G3"/>
    <mergeCell ref="I3:K3"/>
    <mergeCell ref="BH3:BW3"/>
    <mergeCell ref="H4:J4"/>
    <mergeCell ref="M4:O4"/>
    <mergeCell ref="R4:T4"/>
    <mergeCell ref="AQ4:AS4"/>
    <mergeCell ref="AV4:AX4"/>
    <mergeCell ref="BA4:BC4"/>
    <mergeCell ref="AI4:AK4"/>
    <mergeCell ref="AD4:AF4"/>
    <mergeCell ref="AQ3:BE3"/>
  </mergeCells>
  <conditionalFormatting sqref="M5:O5">
    <cfRule type="cellIs" dxfId="8" priority="18" operator="lessThan">
      <formula>3.75</formula>
    </cfRule>
    <cfRule type="cellIs" dxfId="7" priority="19" operator="between">
      <formula>$C$1565</formula>
      <formula>$C$1561</formula>
    </cfRule>
  </conditionalFormatting>
  <conditionalFormatting sqref="AI5:AK5">
    <cfRule type="cellIs" dxfId="6" priority="17" operator="between">
      <formula>$AI$2694</formula>
      <formula>$AI$2698</formula>
    </cfRule>
  </conditionalFormatting>
  <conditionalFormatting sqref="AI5:AK5">
    <cfRule type="cellIs" dxfId="5" priority="15" operator="greaterThan">
      <formula>38894</formula>
    </cfRule>
    <cfRule type="cellIs" dxfId="4" priority="16" operator="lessThan">
      <formula>150</formula>
    </cfRule>
  </conditionalFormatting>
  <conditionalFormatting sqref="AQ5:AU5">
    <cfRule type="cellIs" dxfId="3" priority="14" operator="lessThan">
      <formula>0.000001</formula>
    </cfRule>
  </conditionalFormatting>
  <conditionalFormatting sqref="AV5:AX5 BA5:BC5">
    <cfRule type="cellIs" dxfId="2" priority="13" operator="lessThan">
      <formula>100</formula>
    </cfRule>
  </conditionalFormatting>
  <conditionalFormatting sqref="BG5">
    <cfRule type="cellIs" dxfId="1" priority="11" operator="lessThan">
      <formula>100</formula>
    </cfRule>
  </conditionalFormatting>
  <conditionalFormatting sqref="M5:O5">
    <cfRule type="cellIs" dxfId="0" priority="21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93C-AD8F-7342-883E-CE95F006A346}">
  <dimension ref="A1:F10"/>
  <sheetViews>
    <sheetView zoomScale="103" zoomScaleNormal="75" workbookViewId="0">
      <selection sqref="A1:F10"/>
    </sheetView>
  </sheetViews>
  <sheetFormatPr baseColWidth="10" defaultRowHeight="16" x14ac:dyDescent="0.2"/>
  <cols>
    <col min="1" max="1" width="21.1640625" style="42" customWidth="1"/>
    <col min="2" max="2" width="14.5" style="45" bestFit="1" customWidth="1"/>
    <col min="3" max="5" width="15.5" style="45" customWidth="1"/>
    <col min="6" max="6" width="16.6640625" style="45" customWidth="1"/>
    <col min="7" max="16384" width="10.83203125" style="45"/>
  </cols>
  <sheetData>
    <row r="1" spans="1:6" s="42" customFormat="1" x14ac:dyDescent="0.2">
      <c r="A1" s="41"/>
      <c r="B1" s="41"/>
      <c r="C1" s="41" t="s">
        <v>20</v>
      </c>
      <c r="D1" s="41" t="s">
        <v>21</v>
      </c>
      <c r="E1" s="42" t="s">
        <v>46</v>
      </c>
      <c r="F1" s="41" t="s">
        <v>39</v>
      </c>
    </row>
    <row r="2" spans="1:6" x14ac:dyDescent="0.2">
      <c r="A2" s="41" t="s">
        <v>17</v>
      </c>
      <c r="B2" s="43" t="s">
        <v>9</v>
      </c>
      <c r="C2" s="43" t="s">
        <v>10</v>
      </c>
      <c r="D2" s="44" t="s">
        <v>4</v>
      </c>
      <c r="E2" s="44" t="s">
        <v>47</v>
      </c>
      <c r="F2" s="43" t="s">
        <v>105</v>
      </c>
    </row>
    <row r="3" spans="1:6" x14ac:dyDescent="0.2">
      <c r="A3" s="41" t="s">
        <v>18</v>
      </c>
      <c r="B3" s="46" t="s">
        <v>74</v>
      </c>
      <c r="C3" s="47" t="e">
        <f>LOG(B3)</f>
        <v>#VALUE!</v>
      </c>
      <c r="D3" s="46" t="s">
        <v>51</v>
      </c>
      <c r="E3" s="59" t="e">
        <f>IF(ISNUMBER(D3),D3,NA())</f>
        <v>#N/A</v>
      </c>
      <c r="F3" s="46"/>
    </row>
    <row r="4" spans="1:6" x14ac:dyDescent="0.2">
      <c r="A4" s="41" t="s">
        <v>18</v>
      </c>
      <c r="B4" s="48" t="s">
        <v>74</v>
      </c>
      <c r="C4" s="49" t="e">
        <f>LOG(B4)</f>
        <v>#VALUE!</v>
      </c>
      <c r="D4" s="48" t="s">
        <v>52</v>
      </c>
      <c r="E4" s="60" t="e">
        <f t="shared" ref="E4:E5" si="0">IF(ISNUMBER(D4),D4,NA())</f>
        <v>#N/A</v>
      </c>
      <c r="F4" s="48"/>
    </row>
    <row r="5" spans="1:6" x14ac:dyDescent="0.2">
      <c r="A5" s="41" t="s">
        <v>18</v>
      </c>
      <c r="B5" s="50" t="s">
        <v>74</v>
      </c>
      <c r="C5" s="51" t="e">
        <f>LOG(B5)</f>
        <v>#VALUE!</v>
      </c>
      <c r="D5" s="50" t="s">
        <v>53</v>
      </c>
      <c r="E5" s="61" t="e">
        <f t="shared" si="0"/>
        <v>#N/A</v>
      </c>
      <c r="F5" s="50" t="e">
        <f ca="1">AVERAGE(D3:D5)*__SETCELL("Cal-{mainTarget&gt;targetName}-{plateID}", "avg_std_{itemNumber}",1)</f>
        <v>#DIV/0!</v>
      </c>
    </row>
    <row r="6" spans="1:6" x14ac:dyDescent="0.2">
      <c r="A6" s="41" t="s">
        <v>19</v>
      </c>
      <c r="B6" s="52"/>
      <c r="C6" s="53"/>
      <c r="D6" s="53"/>
      <c r="E6" s="54" t="s">
        <v>11</v>
      </c>
      <c r="F6" s="55" t="e">
        <f ca="1">SLOPE(__GETRANGE(cal_row_data, cal_col_ct), __GETRANGE(cal_row_data, cal_col_logct))*__SETCELL("Cal-{mainTarget&gt;targetName}-{plateID}", "slope", 1)</f>
        <v>#NAME?</v>
      </c>
    </row>
    <row r="7" spans="1:6" x14ac:dyDescent="0.2">
      <c r="A7" s="41" t="s">
        <v>19</v>
      </c>
      <c r="B7" s="56"/>
      <c r="C7" s="53"/>
      <c r="D7" s="53"/>
      <c r="E7" s="54" t="s">
        <v>12</v>
      </c>
      <c r="F7" s="55" t="e">
        <f ca="1">INTERCEPT(__GETRANGE(cal_row_data, cal_col_ct), __GETRANGE(cal_row_data, cal_col_logct))*__SETCELL("Cal-{mainTarget&gt;targetName}-{plateID}", "intercept", 1)</f>
        <v>#NAME?</v>
      </c>
    </row>
    <row r="8" spans="1:6" x14ac:dyDescent="0.2">
      <c r="A8" s="41" t="s">
        <v>19</v>
      </c>
      <c r="B8" s="56"/>
      <c r="C8" s="53"/>
      <c r="D8" s="53"/>
      <c r="E8" s="54" t="s">
        <v>13</v>
      </c>
      <c r="F8" s="57" t="e">
        <f ca="1">(10^(-1/F6)-1)*__SETCELL("Cal-{mainTarget&gt;targetName}-{plateID}", "efficiency", 1)</f>
        <v>#NAME?</v>
      </c>
    </row>
    <row r="9" spans="1:6" x14ac:dyDescent="0.2">
      <c r="A9" s="41" t="s">
        <v>19</v>
      </c>
      <c r="B9" s="53"/>
      <c r="C9" s="53"/>
      <c r="D9" s="53"/>
      <c r="E9" s="54" t="s">
        <v>27</v>
      </c>
      <c r="F9" s="58" t="e">
        <f ca="1">RSQ(__GETRANGE(cal_row_data, cal_col_ct), __GETRANGE(cal_row_data, cal_col_logct))*__SETCELL("Cal-{mainTarget&gt;targetName}-{plateID}", "rsq", 1)</f>
        <v>#NAME?</v>
      </c>
    </row>
    <row r="10" spans="1:6" x14ac:dyDescent="0.2">
      <c r="A10" s="41" t="s">
        <v>19</v>
      </c>
      <c r="B10" s="53"/>
      <c r="C10" s="53"/>
      <c r="D10" s="53"/>
      <c r="E10" s="53"/>
      <c r="F1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2022-06-10T18:22:50Z</dcterms:modified>
</cp:coreProperties>
</file>