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Courses\1_Aerospace Courses\Aircraft Design\Graphix\Workbook\Project 1\"/>
    </mc:Choice>
  </mc:AlternateContent>
  <xr:revisionPtr revIDLastSave="0" documentId="13_ncr:1_{635BC0C9-795A-45FB-A959-7B58D96968FF}" xr6:coauthVersionLast="46" xr6:coauthVersionMax="46" xr10:uidLastSave="{00000000-0000-0000-0000-000000000000}"/>
  <bookViews>
    <workbookView xWindow="2037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8" i="1" l="1"/>
  <c r="G267" i="1"/>
  <c r="G266" i="1"/>
  <c r="G265" i="1"/>
  <c r="E263" i="1"/>
  <c r="E264" i="1"/>
  <c r="E262" i="1"/>
  <c r="E255" i="1"/>
  <c r="E256" i="1"/>
  <c r="E257" i="1"/>
  <c r="E258" i="1"/>
  <c r="E254" i="1"/>
  <c r="G264" i="1"/>
  <c r="G263" i="1"/>
  <c r="G262" i="1"/>
  <c r="G258" i="1"/>
  <c r="G257" i="1"/>
  <c r="G256" i="1"/>
  <c r="G255" i="1"/>
  <c r="G254" i="1"/>
  <c r="E249" i="1"/>
  <c r="E250" i="1"/>
  <c r="E251" i="1"/>
  <c r="E252" i="1"/>
  <c r="E253" i="1"/>
  <c r="E248" i="1"/>
  <c r="G252" i="1"/>
  <c r="G253" i="1"/>
  <c r="G251" i="1"/>
  <c r="G250" i="1"/>
  <c r="G249" i="1"/>
  <c r="G248" i="1"/>
  <c r="H248" i="1"/>
  <c r="H244" i="1"/>
  <c r="H238" i="1"/>
  <c r="H236" i="1"/>
  <c r="H237" i="1"/>
  <c r="H239" i="1"/>
  <c r="H240" i="1"/>
  <c r="H241" i="1"/>
  <c r="H242" i="1"/>
  <c r="H243" i="1"/>
  <c r="H235" i="1"/>
  <c r="F243" i="1"/>
  <c r="F242" i="1"/>
  <c r="F222" i="1"/>
  <c r="F241" i="1"/>
  <c r="F240" i="1"/>
  <c r="F239" i="1"/>
  <c r="F238" i="1"/>
  <c r="F237" i="1"/>
  <c r="F236" i="1"/>
  <c r="F235" i="1"/>
  <c r="F226" i="1"/>
  <c r="E265" i="1" l="1"/>
  <c r="E272" i="1" s="1"/>
  <c r="E274" i="1" s="1"/>
  <c r="E266" i="1" l="1"/>
  <c r="F272" i="1" s="1"/>
  <c r="F274" i="1" s="1"/>
  <c r="E268" i="1"/>
  <c r="H272" i="1" s="1"/>
  <c r="H274" i="1" s="1"/>
  <c r="E267" i="1"/>
  <c r="G272" i="1" s="1"/>
  <c r="G274" i="1" s="1"/>
  <c r="F223" i="1" l="1"/>
  <c r="F220" i="1"/>
  <c r="F214" i="1"/>
  <c r="F210" i="1"/>
  <c r="F211" i="1"/>
  <c r="F213" i="1"/>
  <c r="F205" i="1"/>
  <c r="F192" i="1"/>
  <c r="F204" i="1"/>
  <c r="A236" i="1" l="1"/>
  <c r="A237" i="1" s="1"/>
  <c r="A238" i="1" s="1"/>
  <c r="A239" i="1" s="1"/>
  <c r="A240" i="1" s="1"/>
  <c r="A241" i="1" s="1"/>
  <c r="A242" i="1" s="1"/>
  <c r="A243" i="1" s="1"/>
  <c r="A223" i="1"/>
  <c r="A224" i="1" s="1"/>
  <c r="A225" i="1" s="1"/>
  <c r="A216" i="1"/>
  <c r="A217" i="1" s="1"/>
  <c r="A218" i="1" s="1"/>
  <c r="A219" i="1" s="1"/>
  <c r="A194" i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11" i="1"/>
  <c r="A212" i="1" s="1"/>
  <c r="A213" i="1" s="1"/>
  <c r="A206" i="1"/>
  <c r="A207" i="1" s="1"/>
  <c r="A208" i="1" s="1"/>
  <c r="A209" i="1" s="1"/>
  <c r="F174" i="1" l="1"/>
  <c r="F180" i="1" s="1"/>
  <c r="F167" i="1"/>
  <c r="F155" i="1"/>
  <c r="F154" i="1"/>
  <c r="F139" i="1"/>
  <c r="F146" i="1" s="1"/>
  <c r="F121" i="1"/>
  <c r="F128" i="1" s="1"/>
  <c r="F127" i="1" s="1"/>
  <c r="F129" i="1" s="1"/>
  <c r="F130" i="1" l="1"/>
  <c r="F145" i="1"/>
  <c r="F147" i="1" s="1"/>
  <c r="F148" i="1" l="1"/>
  <c r="A181" i="1" l="1"/>
  <c r="A182" i="1" s="1"/>
  <c r="A183" i="1" s="1"/>
  <c r="A175" i="1"/>
  <c r="A176" i="1" s="1"/>
  <c r="A177" i="1" s="1"/>
  <c r="A178" i="1" s="1"/>
  <c r="A173" i="1"/>
  <c r="A158" i="1"/>
  <c r="A141" i="1"/>
  <c r="A142" i="1" s="1"/>
  <c r="A143" i="1" s="1"/>
  <c r="A123" i="1"/>
  <c r="A124" i="1" s="1"/>
  <c r="A125" i="1" s="1"/>
  <c r="A126" i="1" s="1"/>
  <c r="A127" i="1" s="1"/>
  <c r="A128" i="1" s="1"/>
  <c r="A129" i="1" s="1"/>
  <c r="A130" i="1" s="1"/>
  <c r="A101" i="1"/>
  <c r="A102" i="1" s="1"/>
  <c r="A103" i="1" s="1"/>
  <c r="A104" i="1" s="1"/>
  <c r="A105" i="1" s="1"/>
  <c r="A106" i="1" s="1"/>
  <c r="A107" i="1" s="1"/>
  <c r="A108" i="1" s="1"/>
  <c r="A144" i="1" l="1"/>
  <c r="A145" i="1" s="1"/>
  <c r="A146" i="1" s="1"/>
  <c r="A147" i="1" s="1"/>
  <c r="A148" i="1" s="1"/>
  <c r="A109" i="1"/>
  <c r="A110" i="1" s="1"/>
  <c r="F66" i="1"/>
  <c r="F64" i="1"/>
  <c r="F99" i="1" s="1"/>
  <c r="F59" i="1"/>
  <c r="F65" i="1" s="1"/>
  <c r="F40" i="1"/>
  <c r="F43" i="1" s="1"/>
  <c r="E20" i="1"/>
  <c r="F37" i="1" s="1"/>
  <c r="D20" i="1"/>
  <c r="D18" i="1" s="1"/>
  <c r="E19" i="1" s="1"/>
  <c r="C18" i="1"/>
  <c r="D7" i="1"/>
  <c r="D6" i="1"/>
  <c r="D11" i="1"/>
  <c r="D9" i="1" s="1"/>
  <c r="A56" i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33" i="1"/>
  <c r="A34" i="1" s="1"/>
  <c r="A35" i="1" s="1"/>
  <c r="A36" i="1" s="1"/>
  <c r="A37" i="1" s="1"/>
  <c r="A38" i="1" s="1"/>
  <c r="A39" i="1" s="1"/>
  <c r="A40" i="1" s="1"/>
  <c r="A42" i="1" s="1"/>
  <c r="A43" i="1" s="1"/>
  <c r="A19" i="1"/>
  <c r="A20" i="1" s="1"/>
  <c r="A7" i="1"/>
  <c r="A8" i="1" s="1"/>
  <c r="A10" i="1" s="1"/>
  <c r="A11" i="1" s="1"/>
  <c r="D8" i="1" l="1"/>
  <c r="E18" i="1"/>
  <c r="F19" i="1" s="1"/>
  <c r="F18" i="1" s="1"/>
  <c r="F42" i="1"/>
  <c r="F98" i="1" s="1"/>
  <c r="F41" i="1"/>
  <c r="A9" i="1"/>
  <c r="A41" i="1"/>
  <c r="F156" i="1" l="1"/>
  <c r="F101" i="1"/>
  <c r="F105" i="1" s="1"/>
  <c r="F104" i="1" s="1"/>
  <c r="F103" i="1" s="1"/>
  <c r="F106" i="1" s="1"/>
  <c r="F158" i="1" s="1"/>
  <c r="F157" i="1" l="1"/>
  <c r="F109" i="1"/>
  <c r="F108" i="1"/>
  <c r="F137" i="1"/>
  <c r="F119" i="1"/>
</calcChain>
</file>

<file path=xl/sharedStrings.xml><?xml version="1.0" encoding="utf-8"?>
<sst xmlns="http://schemas.openxmlformats.org/spreadsheetml/2006/main" count="422" uniqueCount="353">
  <si>
    <t>Aircraft Masses</t>
  </si>
  <si>
    <r>
      <t>N</t>
    </r>
    <r>
      <rPr>
        <b/>
        <sz val="9"/>
        <color theme="1"/>
        <rFont val="Calibri"/>
        <family val="2"/>
        <scheme val="minor"/>
      </rPr>
      <t>o</t>
    </r>
  </si>
  <si>
    <t>Variable</t>
  </si>
  <si>
    <t>Crew mass</t>
  </si>
  <si>
    <t>Paraeter</t>
  </si>
  <si>
    <r>
      <t>m</t>
    </r>
    <r>
      <rPr>
        <sz val="8"/>
        <color theme="1"/>
        <rFont val="Calibri"/>
        <family val="2"/>
        <scheme val="minor"/>
      </rPr>
      <t>cw</t>
    </r>
  </si>
  <si>
    <r>
      <t>m</t>
    </r>
    <r>
      <rPr>
        <sz val="9"/>
        <color theme="1"/>
        <rFont val="Calibri"/>
        <family val="2"/>
        <scheme val="minor"/>
      </rPr>
      <t>ld</t>
    </r>
  </si>
  <si>
    <r>
      <t>m</t>
    </r>
    <r>
      <rPr>
        <sz val="8"/>
        <color theme="1"/>
        <rFont val="Calibri"/>
        <family val="2"/>
        <scheme val="minor"/>
      </rPr>
      <t>fl</t>
    </r>
  </si>
  <si>
    <r>
      <t>m</t>
    </r>
    <r>
      <rPr>
        <sz val="8"/>
        <color theme="1"/>
        <rFont val="Calibri"/>
        <family val="2"/>
        <scheme val="minor"/>
      </rPr>
      <t>ey</t>
    </r>
  </si>
  <si>
    <r>
      <t>m</t>
    </r>
    <r>
      <rPr>
        <sz val="8"/>
        <color theme="1"/>
        <rFont val="Calibri"/>
        <family val="2"/>
        <scheme val="minor"/>
      </rPr>
      <t>0</t>
    </r>
  </si>
  <si>
    <t>Loading mass</t>
  </si>
  <si>
    <t>Fuel mass</t>
  </si>
  <si>
    <t>Empty mass</t>
  </si>
  <si>
    <t>Take off mass</t>
  </si>
  <si>
    <t>Value</t>
  </si>
  <si>
    <t>Fuel Mass</t>
  </si>
  <si>
    <r>
      <t>Regio, m</t>
    </r>
    <r>
      <rPr>
        <b/>
        <sz val="8"/>
        <color theme="1"/>
        <rFont val="Calibri"/>
        <family val="2"/>
        <scheme val="minor"/>
      </rPr>
      <t>i</t>
    </r>
  </si>
  <si>
    <t>Take-off</t>
  </si>
  <si>
    <t>Climb</t>
  </si>
  <si>
    <t>Cruise</t>
  </si>
  <si>
    <t>Reserve</t>
  </si>
  <si>
    <r>
      <t>m</t>
    </r>
    <r>
      <rPr>
        <sz val="8"/>
        <color theme="1"/>
        <rFont val="Calibri"/>
        <family val="2"/>
        <scheme val="minor"/>
      </rPr>
      <t>i</t>
    </r>
  </si>
  <si>
    <r>
      <t>m</t>
    </r>
    <r>
      <rPr>
        <sz val="8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-1</t>
    </r>
  </si>
  <si>
    <r>
      <t>m</t>
    </r>
    <r>
      <rPr>
        <sz val="8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/m</t>
    </r>
    <r>
      <rPr>
        <sz val="8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-1</t>
    </r>
  </si>
  <si>
    <t>Wing Loading</t>
  </si>
  <si>
    <t>Max landing lift coefficient</t>
  </si>
  <si>
    <r>
      <rPr>
        <sz val="12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max land</t>
    </r>
  </si>
  <si>
    <t>Cruise lift coefficient</t>
  </si>
  <si>
    <r>
      <t>c</t>
    </r>
    <r>
      <rPr>
        <sz val="8"/>
        <color theme="1"/>
        <rFont val="Calibri"/>
        <family val="2"/>
        <scheme val="minor"/>
      </rPr>
      <t>y cr</t>
    </r>
  </si>
  <si>
    <r>
      <t>c</t>
    </r>
    <r>
      <rPr>
        <sz val="8"/>
        <color theme="1"/>
        <rFont val="Calibri"/>
        <family val="2"/>
        <scheme val="minor"/>
      </rPr>
      <t>y man</t>
    </r>
  </si>
  <si>
    <t>Cruise velocity</t>
  </si>
  <si>
    <r>
      <t>V</t>
    </r>
    <r>
      <rPr>
        <sz val="8"/>
        <color theme="1"/>
        <rFont val="Calibri"/>
        <family val="2"/>
        <scheme val="minor"/>
      </rPr>
      <t>cr</t>
    </r>
  </si>
  <si>
    <r>
      <t>V</t>
    </r>
    <r>
      <rPr>
        <sz val="8"/>
        <color theme="1"/>
        <rFont val="Calibri"/>
        <family val="2"/>
        <scheme val="minor"/>
      </rPr>
      <t>min</t>
    </r>
  </si>
  <si>
    <t>Minimum Velocity</t>
  </si>
  <si>
    <t>Relative fuel mass</t>
  </si>
  <si>
    <r>
      <t>m*</t>
    </r>
    <r>
      <rPr>
        <sz val="8"/>
        <color theme="1"/>
        <rFont val="Calibri"/>
        <family val="2"/>
        <scheme val="minor"/>
      </rPr>
      <t>fl</t>
    </r>
  </si>
  <si>
    <t>Air density at 10km</t>
  </si>
  <si>
    <t>ρ</t>
  </si>
  <si>
    <t>Overloading coefficient</t>
  </si>
  <si>
    <r>
      <t>n</t>
    </r>
    <r>
      <rPr>
        <sz val="8"/>
        <color theme="1"/>
        <rFont val="Calibri"/>
        <family val="2"/>
        <scheme val="minor"/>
      </rPr>
      <t>max</t>
    </r>
  </si>
  <si>
    <t>Dynamic pressure</t>
  </si>
  <si>
    <r>
      <t>q</t>
    </r>
    <r>
      <rPr>
        <sz val="8"/>
        <color theme="1"/>
        <rFont val="Calibri"/>
        <family val="2"/>
        <scheme val="minor"/>
      </rPr>
      <t>max</t>
    </r>
  </si>
  <si>
    <t>Landing Overload</t>
  </si>
  <si>
    <t>Cruise Overload</t>
  </si>
  <si>
    <t>P1</t>
  </si>
  <si>
    <t>P2</t>
  </si>
  <si>
    <t>P3</t>
  </si>
  <si>
    <t>Coefficient</t>
  </si>
  <si>
    <t>Traction and Qualities</t>
  </si>
  <si>
    <t>Climb coefficient</t>
  </si>
  <si>
    <t>Aerodynamic quality for climbing</t>
  </si>
  <si>
    <t>Number of engines</t>
  </si>
  <si>
    <t>Climbing gradient</t>
  </si>
  <si>
    <t>Cruise flight density</t>
  </si>
  <si>
    <t>Take off lift</t>
  </si>
  <si>
    <t>Rolling friction coefficient</t>
  </si>
  <si>
    <t>Take-off distance</t>
  </si>
  <si>
    <t>Aerodynamic quality for take-off</t>
  </si>
  <si>
    <r>
      <t>tg</t>
    </r>
    <r>
      <rPr>
        <sz val="11"/>
        <color theme="1"/>
        <rFont val="Calibri"/>
        <family val="2"/>
      </rPr>
      <t>θ</t>
    </r>
  </si>
  <si>
    <r>
      <t>k</t>
    </r>
    <r>
      <rPr>
        <sz val="8"/>
        <color theme="1"/>
        <rFont val="Calibri"/>
        <family val="2"/>
        <scheme val="minor"/>
      </rPr>
      <t>v</t>
    </r>
  </si>
  <si>
    <r>
      <t>K</t>
    </r>
    <r>
      <rPr>
        <sz val="8"/>
        <color theme="1"/>
        <rFont val="Calibri"/>
        <family val="2"/>
        <scheme val="minor"/>
      </rPr>
      <t>cb</t>
    </r>
  </si>
  <si>
    <r>
      <t>n</t>
    </r>
    <r>
      <rPr>
        <sz val="8"/>
        <color theme="1"/>
        <rFont val="Calibri"/>
        <family val="2"/>
        <scheme val="minor"/>
      </rPr>
      <t>eg</t>
    </r>
  </si>
  <si>
    <r>
      <t>ρ</t>
    </r>
    <r>
      <rPr>
        <sz val="8"/>
        <color theme="1"/>
        <rFont val="Calibri"/>
        <family val="2"/>
      </rPr>
      <t>cr</t>
    </r>
  </si>
  <si>
    <r>
      <t>c</t>
    </r>
    <r>
      <rPr>
        <sz val="8"/>
        <color theme="1"/>
        <rFont val="Calibri"/>
        <family val="2"/>
      </rPr>
      <t>ymaxto</t>
    </r>
  </si>
  <si>
    <r>
      <t>f</t>
    </r>
    <r>
      <rPr>
        <sz val="8"/>
        <color theme="1"/>
        <rFont val="Calibri"/>
        <family val="2"/>
        <scheme val="minor"/>
      </rPr>
      <t>to</t>
    </r>
  </si>
  <si>
    <r>
      <t>l</t>
    </r>
    <r>
      <rPr>
        <sz val="8"/>
        <color theme="1"/>
        <rFont val="Calibri"/>
        <family val="2"/>
        <scheme val="minor"/>
      </rPr>
      <t>to</t>
    </r>
  </si>
  <si>
    <r>
      <t>K</t>
    </r>
    <r>
      <rPr>
        <sz val="8"/>
        <color theme="1"/>
        <rFont val="Calibri"/>
        <family val="2"/>
        <scheme val="minor"/>
      </rPr>
      <t>to</t>
    </r>
  </si>
  <si>
    <t>P*1</t>
  </si>
  <si>
    <t>P*2</t>
  </si>
  <si>
    <t>dH</t>
  </si>
  <si>
    <t>L</t>
  </si>
  <si>
    <t>c</t>
  </si>
  <si>
    <r>
      <t>n</t>
    </r>
    <r>
      <rPr>
        <sz val="8"/>
        <color theme="1"/>
        <rFont val="Calibri"/>
        <family val="2"/>
        <scheme val="minor"/>
      </rPr>
      <t>cr</t>
    </r>
  </si>
  <si>
    <r>
      <t>K</t>
    </r>
    <r>
      <rPr>
        <sz val="8"/>
        <color theme="1"/>
        <rFont val="Calibri"/>
        <family val="2"/>
        <scheme val="minor"/>
      </rPr>
      <t>cr</t>
    </r>
  </si>
  <si>
    <t>A</t>
  </si>
  <si>
    <t>C</t>
  </si>
  <si>
    <t>Relative ey</t>
  </si>
  <si>
    <r>
      <t>m*</t>
    </r>
    <r>
      <rPr>
        <sz val="8"/>
        <color theme="1"/>
        <rFont val="Calibri"/>
        <family val="2"/>
        <scheme val="minor"/>
      </rPr>
      <t>ey</t>
    </r>
  </si>
  <si>
    <t>m/s</t>
  </si>
  <si>
    <t>Cruise Condition</t>
  </si>
  <si>
    <t>Engine Failure</t>
  </si>
  <si>
    <t>Take off Condition</t>
  </si>
  <si>
    <t>P*3</t>
  </si>
  <si>
    <t>Aerodynamic scheme</t>
  </si>
  <si>
    <t>Wing position</t>
  </si>
  <si>
    <t>Wing shape</t>
  </si>
  <si>
    <t>Wing sweep</t>
  </si>
  <si>
    <t>Control surfaces</t>
  </si>
  <si>
    <t>Cabin shape</t>
  </si>
  <si>
    <t>Lending gear</t>
  </si>
  <si>
    <t>Engine type</t>
  </si>
  <si>
    <t>Engines position</t>
  </si>
  <si>
    <t>standard</t>
  </si>
  <si>
    <t>low wing</t>
  </si>
  <si>
    <t>trapezoidal</t>
  </si>
  <si>
    <t>T-shaped</t>
  </si>
  <si>
    <t>circular</t>
  </si>
  <si>
    <t>front wheel</t>
  </si>
  <si>
    <t>turbofan</t>
  </si>
  <si>
    <t>tail</t>
  </si>
  <si>
    <t>Honeywell  F124-GA-100</t>
  </si>
  <si>
    <t>Thrust/ Relative Thrust</t>
  </si>
  <si>
    <t>5220daN / 0.36 kg/daN</t>
  </si>
  <si>
    <t>Choosing the Aerodynamic Scheme</t>
  </si>
  <si>
    <t>Wing Airfoil and Geometry</t>
  </si>
  <si>
    <t>S</t>
  </si>
  <si>
    <t>Wing area</t>
  </si>
  <si>
    <t>Aspect ratio</t>
  </si>
  <si>
    <t>Wing span</t>
  </si>
  <si>
    <t>Taper Ratio</t>
  </si>
  <si>
    <t>Inner chord</t>
  </si>
  <si>
    <t>Outer chord</t>
  </si>
  <si>
    <t>Median geometric chord</t>
  </si>
  <si>
    <t>Rear sweep</t>
  </si>
  <si>
    <t>Crank sweep</t>
  </si>
  <si>
    <t>Dihedral angle</t>
  </si>
  <si>
    <t>λ</t>
  </si>
  <si>
    <t>l</t>
  </si>
  <si>
    <t>η</t>
  </si>
  <si>
    <r>
      <t>b</t>
    </r>
    <r>
      <rPr>
        <sz val="8"/>
        <color theme="1"/>
        <rFont val="Calibri"/>
        <family val="2"/>
      </rPr>
      <t>0</t>
    </r>
  </si>
  <si>
    <t>ψ</t>
  </si>
  <si>
    <r>
      <t>b</t>
    </r>
    <r>
      <rPr>
        <sz val="8"/>
        <color theme="1"/>
        <rFont val="Calibri"/>
        <family val="2"/>
      </rPr>
      <t>r</t>
    </r>
  </si>
  <si>
    <r>
      <t>b</t>
    </r>
    <r>
      <rPr>
        <sz val="8"/>
        <color theme="1"/>
        <rFont val="Calibri"/>
        <family val="2"/>
        <scheme val="minor"/>
      </rPr>
      <t>m</t>
    </r>
  </si>
  <si>
    <r>
      <t>b</t>
    </r>
    <r>
      <rPr>
        <sz val="8"/>
        <color theme="1"/>
        <rFont val="Calibri"/>
        <family val="2"/>
        <scheme val="minor"/>
      </rPr>
      <t>A</t>
    </r>
  </si>
  <si>
    <r>
      <t>X</t>
    </r>
    <r>
      <rPr>
        <sz val="8"/>
        <color theme="1"/>
        <rFont val="Calibri"/>
        <family val="2"/>
        <scheme val="minor"/>
      </rPr>
      <t>re</t>
    </r>
  </si>
  <si>
    <r>
      <t>X</t>
    </r>
    <r>
      <rPr>
        <sz val="8"/>
        <color theme="1"/>
        <rFont val="Calibri"/>
        <family val="2"/>
        <scheme val="minor"/>
      </rPr>
      <t>0.25</t>
    </r>
  </si>
  <si>
    <t>Take off thrust</t>
  </si>
  <si>
    <t>Sweep angle</t>
  </si>
  <si>
    <r>
      <t>X</t>
    </r>
    <r>
      <rPr>
        <sz val="8"/>
        <color theme="1"/>
        <rFont val="Calibri"/>
        <family val="2"/>
        <scheme val="minor"/>
      </rPr>
      <t>fe</t>
    </r>
  </si>
  <si>
    <t>Horizontal Surface Geometry</t>
  </si>
  <si>
    <r>
      <t>T</t>
    </r>
    <r>
      <rPr>
        <sz val="8"/>
        <color theme="1"/>
        <rFont val="Calibri"/>
        <family val="2"/>
        <scheme val="minor"/>
      </rPr>
      <t>0</t>
    </r>
  </si>
  <si>
    <t>Static moment</t>
  </si>
  <si>
    <t>Distance from center of gravity to the aerodynamic center</t>
  </si>
  <si>
    <t>HS aspect ratio</t>
  </si>
  <si>
    <t>HS taper ratio</t>
  </si>
  <si>
    <t>HS sweep angle</t>
  </si>
  <si>
    <t>HS dihedral angle</t>
  </si>
  <si>
    <r>
      <t>b</t>
    </r>
    <r>
      <rPr>
        <sz val="8"/>
        <color theme="1"/>
        <rFont val="Calibri"/>
        <family val="2"/>
      </rPr>
      <t>rhs</t>
    </r>
  </si>
  <si>
    <r>
      <t>b</t>
    </r>
    <r>
      <rPr>
        <sz val="8"/>
        <color theme="1"/>
        <rFont val="Calibri"/>
        <family val="2"/>
      </rPr>
      <t>0hs</t>
    </r>
  </si>
  <si>
    <r>
      <t>A</t>
    </r>
    <r>
      <rPr>
        <sz val="8"/>
        <color theme="1"/>
        <rFont val="Calibri"/>
        <family val="2"/>
        <scheme val="minor"/>
      </rPr>
      <t>hs</t>
    </r>
  </si>
  <si>
    <r>
      <t>λ</t>
    </r>
    <r>
      <rPr>
        <sz val="8"/>
        <color theme="1"/>
        <rFont val="Calibri"/>
        <family val="2"/>
      </rPr>
      <t>hs</t>
    </r>
  </si>
  <si>
    <r>
      <t>η</t>
    </r>
    <r>
      <rPr>
        <sz val="8"/>
        <color theme="1"/>
        <rFont val="Calibri"/>
        <family val="2"/>
        <scheme val="minor"/>
      </rPr>
      <t>hs</t>
    </r>
  </si>
  <si>
    <r>
      <t>X</t>
    </r>
    <r>
      <rPr>
        <sz val="8"/>
        <color theme="1"/>
        <rFont val="Calibri"/>
        <family val="2"/>
        <scheme val="minor"/>
      </rPr>
      <t>hs</t>
    </r>
  </si>
  <si>
    <t>Vertical Surface Geometry</t>
  </si>
  <si>
    <r>
      <t>A</t>
    </r>
    <r>
      <rPr>
        <sz val="8"/>
        <color theme="1"/>
        <rFont val="Calibri"/>
        <family val="2"/>
        <scheme val="minor"/>
      </rPr>
      <t>vs</t>
    </r>
  </si>
  <si>
    <r>
      <t>L</t>
    </r>
    <r>
      <rPr>
        <sz val="8"/>
        <color theme="1"/>
        <rFont val="Calibri"/>
        <family val="2"/>
        <scheme val="minor"/>
      </rPr>
      <t>vs</t>
    </r>
    <r>
      <rPr>
        <sz val="12"/>
        <color theme="1"/>
        <rFont val="Calibri"/>
        <family val="2"/>
        <scheme val="minor"/>
      </rPr>
      <t>/b</t>
    </r>
    <r>
      <rPr>
        <sz val="8"/>
        <color theme="1"/>
        <rFont val="Calibri"/>
        <family val="2"/>
        <scheme val="minor"/>
      </rPr>
      <t>A</t>
    </r>
  </si>
  <si>
    <r>
      <t>λ</t>
    </r>
    <r>
      <rPr>
        <sz val="8"/>
        <color theme="1"/>
        <rFont val="Calibri"/>
        <family val="2"/>
      </rPr>
      <t>vs</t>
    </r>
  </si>
  <si>
    <r>
      <t>η</t>
    </r>
    <r>
      <rPr>
        <sz val="8"/>
        <color theme="1"/>
        <rFont val="Calibri"/>
        <family val="2"/>
        <scheme val="minor"/>
      </rPr>
      <t>vs</t>
    </r>
  </si>
  <si>
    <r>
      <t>X</t>
    </r>
    <r>
      <rPr>
        <sz val="8"/>
        <color theme="1"/>
        <rFont val="Calibri"/>
        <family val="2"/>
        <scheme val="minor"/>
      </rPr>
      <t>vs</t>
    </r>
  </si>
  <si>
    <r>
      <t>b</t>
    </r>
    <r>
      <rPr>
        <sz val="8"/>
        <color theme="1"/>
        <rFont val="Calibri"/>
        <family val="2"/>
      </rPr>
      <t>0vs</t>
    </r>
  </si>
  <si>
    <r>
      <t>b</t>
    </r>
    <r>
      <rPr>
        <sz val="8"/>
        <color theme="1"/>
        <rFont val="Calibri"/>
        <family val="2"/>
      </rPr>
      <t>rvs</t>
    </r>
  </si>
  <si>
    <r>
      <t>X</t>
    </r>
    <r>
      <rPr>
        <sz val="8"/>
        <color theme="1"/>
        <rFont val="Calibri"/>
        <family val="2"/>
        <scheme val="minor"/>
      </rPr>
      <t>revs</t>
    </r>
  </si>
  <si>
    <r>
      <t>b</t>
    </r>
    <r>
      <rPr>
        <sz val="8"/>
        <color theme="1"/>
        <rFont val="Calibri"/>
        <family val="2"/>
        <scheme val="minor"/>
      </rPr>
      <t>Ahs</t>
    </r>
  </si>
  <si>
    <r>
      <t>X</t>
    </r>
    <r>
      <rPr>
        <sz val="8"/>
        <color theme="1"/>
        <rFont val="Calibri"/>
        <family val="2"/>
        <scheme val="minor"/>
      </rPr>
      <t>rehs</t>
    </r>
  </si>
  <si>
    <r>
      <t>ψ</t>
    </r>
    <r>
      <rPr>
        <sz val="8"/>
        <color theme="1"/>
        <rFont val="Calibri"/>
        <family val="2"/>
        <scheme val="minor"/>
      </rPr>
      <t>hs</t>
    </r>
  </si>
  <si>
    <r>
      <t>L</t>
    </r>
    <r>
      <rPr>
        <sz val="8"/>
        <color theme="1"/>
        <rFont val="Calibri"/>
        <family val="2"/>
        <scheme val="minor"/>
      </rPr>
      <t>hs</t>
    </r>
    <r>
      <rPr>
        <sz val="12"/>
        <color theme="1"/>
        <rFont val="Calibri"/>
        <family val="2"/>
        <scheme val="minor"/>
      </rPr>
      <t>/b</t>
    </r>
    <r>
      <rPr>
        <sz val="8"/>
        <color theme="1"/>
        <rFont val="Calibri"/>
        <family val="2"/>
        <scheme val="minor"/>
      </rPr>
      <t>Ahs</t>
    </r>
  </si>
  <si>
    <t>HS span</t>
  </si>
  <si>
    <t>VS span</t>
  </si>
  <si>
    <r>
      <t>l</t>
    </r>
    <r>
      <rPr>
        <sz val="8"/>
        <color theme="1"/>
        <rFont val="Calibri"/>
        <family val="2"/>
        <scheme val="minor"/>
      </rPr>
      <t>vs</t>
    </r>
  </si>
  <si>
    <r>
      <t>l</t>
    </r>
    <r>
      <rPr>
        <sz val="8"/>
        <color theme="1"/>
        <rFont val="Calibri"/>
        <family val="2"/>
        <scheme val="minor"/>
      </rPr>
      <t>hs</t>
    </r>
  </si>
  <si>
    <r>
      <t>b</t>
    </r>
    <r>
      <rPr>
        <sz val="8"/>
        <color theme="1"/>
        <rFont val="Calibri"/>
        <family val="2"/>
        <scheme val="minor"/>
      </rPr>
      <t>Avs</t>
    </r>
  </si>
  <si>
    <t>VS taper ratio</t>
  </si>
  <si>
    <t>VS sweep angle</t>
  </si>
  <si>
    <t>VS dihedral angle</t>
  </si>
  <si>
    <t>Elevator Area</t>
  </si>
  <si>
    <t>Rudder Area</t>
  </si>
  <si>
    <t>VS aspect ratio</t>
  </si>
  <si>
    <t>Aileron area</t>
  </si>
  <si>
    <t>Aileron span</t>
  </si>
  <si>
    <r>
      <t>b</t>
    </r>
    <r>
      <rPr>
        <sz val="8"/>
        <color theme="1"/>
        <rFont val="Calibri"/>
        <family val="2"/>
        <scheme val="minor"/>
      </rPr>
      <t>ai</t>
    </r>
  </si>
  <si>
    <r>
      <t>l</t>
    </r>
    <r>
      <rPr>
        <sz val="8"/>
        <color theme="1"/>
        <rFont val="Calibri"/>
        <family val="2"/>
      </rPr>
      <t>ai</t>
    </r>
  </si>
  <si>
    <r>
      <t>S</t>
    </r>
    <r>
      <rPr>
        <sz val="8"/>
        <color theme="1"/>
        <rFont val="Calibri"/>
        <family val="2"/>
        <scheme val="minor"/>
      </rPr>
      <t>ai</t>
    </r>
  </si>
  <si>
    <r>
      <t>S</t>
    </r>
    <r>
      <rPr>
        <sz val="8"/>
        <color theme="1"/>
        <rFont val="Calibri"/>
        <family val="2"/>
        <scheme val="minor"/>
      </rPr>
      <t>rd</t>
    </r>
  </si>
  <si>
    <r>
      <t>S</t>
    </r>
    <r>
      <rPr>
        <sz val="8"/>
        <color theme="1"/>
        <rFont val="Calibri"/>
        <family val="2"/>
        <scheme val="minor"/>
      </rPr>
      <t>el</t>
    </r>
  </si>
  <si>
    <t>Elevator and Rudder Design</t>
  </si>
  <si>
    <t>HS area</t>
  </si>
  <si>
    <r>
      <t>S</t>
    </r>
    <r>
      <rPr>
        <sz val="8"/>
        <color theme="1"/>
        <rFont val="Calibri"/>
        <family val="2"/>
        <scheme val="minor"/>
      </rPr>
      <t>hs</t>
    </r>
  </si>
  <si>
    <r>
      <t>S</t>
    </r>
    <r>
      <rPr>
        <sz val="8"/>
        <color theme="1"/>
        <rFont val="Calibri"/>
        <family val="2"/>
        <scheme val="minor"/>
      </rPr>
      <t>vs</t>
    </r>
  </si>
  <si>
    <t>Cabin Design</t>
  </si>
  <si>
    <t>Fuselage Width</t>
  </si>
  <si>
    <t>Width of the double seat blocks</t>
  </si>
  <si>
    <r>
      <t>N</t>
    </r>
    <r>
      <rPr>
        <sz val="8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of double seat blocks per row</t>
    </r>
  </si>
  <si>
    <t>Width of the cabin corridors</t>
  </si>
  <si>
    <t>Number of corridors</t>
  </si>
  <si>
    <t>Seat to inner wall distance</t>
  </si>
  <si>
    <t>Cabin wall thickness</t>
  </si>
  <si>
    <r>
      <t>δ</t>
    </r>
    <r>
      <rPr>
        <sz val="8"/>
        <color theme="1"/>
        <rFont val="Calibri"/>
        <family val="2"/>
      </rPr>
      <t>1</t>
    </r>
  </si>
  <si>
    <r>
      <t>δ</t>
    </r>
    <r>
      <rPr>
        <sz val="8"/>
        <color theme="1"/>
        <rFont val="Calibri"/>
        <family val="2"/>
        <scheme val="minor"/>
      </rPr>
      <t>2</t>
    </r>
  </si>
  <si>
    <r>
      <t>B</t>
    </r>
    <r>
      <rPr>
        <sz val="8"/>
        <color theme="1"/>
        <rFont val="Calibri"/>
        <family val="2"/>
        <scheme val="minor"/>
      </rPr>
      <t>2</t>
    </r>
  </si>
  <si>
    <r>
      <t>n</t>
    </r>
    <r>
      <rPr>
        <sz val="8"/>
        <color theme="1"/>
        <rFont val="Calibri"/>
        <family val="2"/>
        <scheme val="minor"/>
      </rPr>
      <t>2</t>
    </r>
  </si>
  <si>
    <r>
      <t>c</t>
    </r>
    <r>
      <rPr>
        <sz val="8"/>
        <color theme="1"/>
        <rFont val="Calibri"/>
        <family val="2"/>
        <scheme val="minor"/>
      </rPr>
      <t>n</t>
    </r>
  </si>
  <si>
    <r>
      <t>n</t>
    </r>
    <r>
      <rPr>
        <sz val="8"/>
        <color theme="1"/>
        <rFont val="Calibri"/>
        <family val="2"/>
      </rPr>
      <t>n</t>
    </r>
  </si>
  <si>
    <r>
      <t>B</t>
    </r>
    <r>
      <rPr>
        <sz val="8"/>
        <color theme="1"/>
        <rFont val="Calibri"/>
        <family val="2"/>
        <scheme val="minor"/>
      </rPr>
      <t>m</t>
    </r>
  </si>
  <si>
    <t>Cabin Length</t>
  </si>
  <si>
    <t>Front compartment to row distance</t>
  </si>
  <si>
    <t>Back compartment to row distance</t>
  </si>
  <si>
    <t>number of rows</t>
  </si>
  <si>
    <t>Seat blocks distance</t>
  </si>
  <si>
    <t>t</t>
  </si>
  <si>
    <r>
      <t>l</t>
    </r>
    <r>
      <rPr>
        <sz val="8"/>
        <color theme="1"/>
        <rFont val="Calibri"/>
        <family val="2"/>
        <scheme val="minor"/>
      </rPr>
      <t>1</t>
    </r>
  </si>
  <si>
    <r>
      <t>l</t>
    </r>
    <r>
      <rPr>
        <sz val="8"/>
        <color theme="1"/>
        <rFont val="Calibri"/>
        <family val="2"/>
        <scheme val="minor"/>
      </rPr>
      <t>2</t>
    </r>
  </si>
  <si>
    <r>
      <t>i</t>
    </r>
    <r>
      <rPr>
        <sz val="8"/>
        <color theme="1"/>
        <rFont val="Calibri"/>
        <family val="2"/>
        <scheme val="minor"/>
      </rPr>
      <t>r</t>
    </r>
  </si>
  <si>
    <t>Value, mm</t>
  </si>
  <si>
    <t>Cabin Height</t>
  </si>
  <si>
    <r>
      <t>H</t>
    </r>
    <r>
      <rPr>
        <b/>
        <sz val="8"/>
        <color theme="1"/>
        <rFont val="Calibri"/>
        <family val="2"/>
        <scheme val="minor"/>
      </rPr>
      <t>cab</t>
    </r>
  </si>
  <si>
    <t>Body Length</t>
  </si>
  <si>
    <t>Front extension</t>
  </si>
  <si>
    <t>Rear extension</t>
  </si>
  <si>
    <t>Median section diameter</t>
  </si>
  <si>
    <r>
      <t>D</t>
    </r>
    <r>
      <rPr>
        <sz val="8"/>
        <color theme="1"/>
        <rFont val="Calibri"/>
        <family val="2"/>
      </rPr>
      <t>μ</t>
    </r>
  </si>
  <si>
    <r>
      <t>L</t>
    </r>
    <r>
      <rPr>
        <b/>
        <sz val="8"/>
        <color theme="1"/>
        <rFont val="Calibri"/>
        <family val="2"/>
        <scheme val="minor"/>
      </rPr>
      <t>c</t>
    </r>
  </si>
  <si>
    <r>
      <t>λ</t>
    </r>
    <r>
      <rPr>
        <sz val="8"/>
        <color theme="1"/>
        <rFont val="Calibri"/>
        <family val="2"/>
      </rPr>
      <t>f</t>
    </r>
  </si>
  <si>
    <r>
      <t>λ</t>
    </r>
    <r>
      <rPr>
        <sz val="8"/>
        <color theme="1"/>
        <rFont val="Calibri"/>
        <family val="2"/>
        <scheme val="minor"/>
      </rPr>
      <t>b</t>
    </r>
  </si>
  <si>
    <r>
      <t>L</t>
    </r>
    <r>
      <rPr>
        <b/>
        <sz val="8"/>
        <color theme="1"/>
        <rFont val="Calibri"/>
        <family val="2"/>
        <scheme val="minor"/>
      </rPr>
      <t>m</t>
    </r>
  </si>
  <si>
    <t>m^2</t>
  </si>
  <si>
    <t>m</t>
  </si>
  <si>
    <t>New Engine Make</t>
  </si>
  <si>
    <t>Median aerodynamic  chord</t>
  </si>
  <si>
    <t>Median aerodynamic chord</t>
  </si>
  <si>
    <t>VS area</t>
  </si>
  <si>
    <r>
      <t>K</t>
    </r>
    <r>
      <rPr>
        <sz val="8"/>
        <color theme="1"/>
        <rFont val="Calibri"/>
        <family val="2"/>
        <scheme val="minor"/>
      </rPr>
      <t>con</t>
    </r>
  </si>
  <si>
    <r>
      <rPr>
        <sz val="12"/>
        <color theme="1"/>
        <rFont val="Calibri"/>
        <family val="2"/>
        <scheme val="minor"/>
      </rPr>
      <t>K</t>
    </r>
    <r>
      <rPr>
        <sz val="8"/>
        <color theme="1"/>
        <rFont val="Calibri"/>
        <family val="2"/>
        <scheme val="minor"/>
      </rPr>
      <t>mec</t>
    </r>
  </si>
  <si>
    <r>
      <rPr>
        <sz val="12"/>
        <color theme="1"/>
        <rFont val="Calibri"/>
        <family val="2"/>
        <scheme val="minor"/>
      </rPr>
      <t>K</t>
    </r>
    <r>
      <rPr>
        <sz val="8"/>
        <color theme="1"/>
        <rFont val="Calibri"/>
        <family val="2"/>
        <scheme val="minor"/>
      </rPr>
      <t>mat</t>
    </r>
  </si>
  <si>
    <t>θ</t>
  </si>
  <si>
    <r>
      <t>n</t>
    </r>
    <r>
      <rPr>
        <sz val="8"/>
        <color theme="1"/>
        <rFont val="Calibri"/>
        <family val="2"/>
      </rPr>
      <t>e</t>
    </r>
  </si>
  <si>
    <t>φ</t>
  </si>
  <si>
    <r>
      <rPr>
        <sz val="12"/>
        <color theme="1"/>
        <rFont val="Calibri"/>
        <family val="2"/>
        <scheme val="minor"/>
      </rPr>
      <t>X</t>
    </r>
    <r>
      <rPr>
        <sz val="8"/>
        <color theme="1"/>
        <rFont val="Calibri"/>
        <family val="2"/>
        <scheme val="minor"/>
      </rPr>
      <t>0.25</t>
    </r>
  </si>
  <si>
    <t>μ</t>
  </si>
  <si>
    <r>
      <rPr>
        <sz val="12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>0</t>
    </r>
  </si>
  <si>
    <t>Machanization coefficient</t>
  </si>
  <si>
    <t>Material coefficient</t>
  </si>
  <si>
    <t>Unloading coefficient</t>
  </si>
  <si>
    <t>Overloading</t>
  </si>
  <si>
    <t>Wing aspect ratio</t>
  </si>
  <si>
    <t>Wing aera</t>
  </si>
  <si>
    <t>Wing structure coefficient</t>
  </si>
  <si>
    <t>Core wing thickness</t>
  </si>
  <si>
    <t>Taper ratio</t>
  </si>
  <si>
    <t>Core to tip thickness ratio</t>
  </si>
  <si>
    <t>Relative wing mass</t>
  </si>
  <si>
    <r>
      <t>m</t>
    </r>
    <r>
      <rPr>
        <b/>
        <sz val="8"/>
        <color theme="1"/>
        <rFont val="Calibri"/>
        <family val="2"/>
        <scheme val="minor"/>
      </rPr>
      <t>*m</t>
    </r>
  </si>
  <si>
    <r>
      <t>K</t>
    </r>
    <r>
      <rPr>
        <sz val="8"/>
        <color theme="1"/>
        <rFont val="Calibri"/>
        <family val="2"/>
        <scheme val="minor"/>
      </rPr>
      <t>ep</t>
    </r>
  </si>
  <si>
    <r>
      <t>p</t>
    </r>
    <r>
      <rPr>
        <sz val="8"/>
        <color theme="1"/>
        <rFont val="Calibri"/>
        <family val="2"/>
        <scheme val="minor"/>
      </rPr>
      <t>cab</t>
    </r>
  </si>
  <si>
    <t>Initial aircraft mass</t>
  </si>
  <si>
    <t>Body length</t>
  </si>
  <si>
    <r>
      <t>l</t>
    </r>
    <r>
      <rPr>
        <sz val="8"/>
        <color theme="1"/>
        <rFont val="Calibri"/>
        <family val="2"/>
        <scheme val="minor"/>
      </rPr>
      <t>m</t>
    </r>
  </si>
  <si>
    <t>Cabin pressure coefficient</t>
  </si>
  <si>
    <t>Powerplant position coefficient</t>
  </si>
  <si>
    <r>
      <t>K</t>
    </r>
    <r>
      <rPr>
        <sz val="8"/>
        <color theme="1"/>
        <rFont val="Calibri"/>
        <family val="2"/>
      </rPr>
      <t>v</t>
    </r>
  </si>
  <si>
    <r>
      <t>K</t>
    </r>
    <r>
      <rPr>
        <sz val="8"/>
        <color theme="1"/>
        <rFont val="Calibri"/>
        <family val="2"/>
      </rPr>
      <t>m</t>
    </r>
  </si>
  <si>
    <t>Maneuvering coefficient</t>
  </si>
  <si>
    <t>Velocity coefficient</t>
  </si>
  <si>
    <r>
      <t>S</t>
    </r>
    <r>
      <rPr>
        <sz val="8"/>
        <color theme="1"/>
        <rFont val="Calibri"/>
        <family val="2"/>
      </rPr>
      <t>tail</t>
    </r>
  </si>
  <si>
    <t>Tail area</t>
  </si>
  <si>
    <r>
      <t>K</t>
    </r>
    <r>
      <rPr>
        <sz val="8"/>
        <color theme="1"/>
        <rFont val="Calibri"/>
        <family val="2"/>
      </rPr>
      <t>mt</t>
    </r>
  </si>
  <si>
    <r>
      <t>K</t>
    </r>
    <r>
      <rPr>
        <sz val="8"/>
        <color theme="1"/>
        <rFont val="Calibri"/>
        <family val="2"/>
      </rPr>
      <t>fl</t>
    </r>
  </si>
  <si>
    <r>
      <t>H</t>
    </r>
    <r>
      <rPr>
        <sz val="8"/>
        <color theme="1"/>
        <rFont val="Calibri"/>
        <family val="2"/>
      </rPr>
      <t>lh</t>
    </r>
  </si>
  <si>
    <r>
      <t>K</t>
    </r>
    <r>
      <rPr>
        <sz val="8"/>
        <color theme="1"/>
        <rFont val="Calibri"/>
        <family val="2"/>
      </rPr>
      <t>tr</t>
    </r>
  </si>
  <si>
    <r>
      <t>p</t>
    </r>
    <r>
      <rPr>
        <sz val="8"/>
        <color theme="1"/>
        <rFont val="Calibri"/>
        <family val="2"/>
      </rPr>
      <t>tr</t>
    </r>
  </si>
  <si>
    <t>Landing gear material coefficient</t>
  </si>
  <si>
    <t>Landing gear aerodynamic coefficient</t>
  </si>
  <si>
    <t>Tire clatch</t>
  </si>
  <si>
    <t>Landing gear height</t>
  </si>
  <si>
    <t>Tire pressure</t>
  </si>
  <si>
    <t>atm</t>
  </si>
  <si>
    <t>Construction relative mass</t>
  </si>
  <si>
    <r>
      <t>m*</t>
    </r>
    <r>
      <rPr>
        <b/>
        <sz val="8"/>
        <color theme="1"/>
        <rFont val="Calibri"/>
        <family val="2"/>
        <scheme val="minor"/>
      </rPr>
      <t>c</t>
    </r>
  </si>
  <si>
    <t>Powerplant relative mass</t>
  </si>
  <si>
    <t xml:space="preserve"> Fuselage relative mass</t>
  </si>
  <si>
    <t>Control surfaces relative mass</t>
  </si>
  <si>
    <t>Landing gear relative mass</t>
  </si>
  <si>
    <r>
      <t>m*</t>
    </r>
    <r>
      <rPr>
        <b/>
        <sz val="8"/>
        <color theme="1"/>
        <rFont val="Calibri"/>
        <family val="2"/>
        <scheme val="minor"/>
      </rPr>
      <t>pp</t>
    </r>
  </si>
  <si>
    <t>Aircraft Equipment relative mass</t>
  </si>
  <si>
    <r>
      <t>m*</t>
    </r>
    <r>
      <rPr>
        <b/>
        <sz val="8"/>
        <color theme="1"/>
        <rFont val="Calibri"/>
        <family val="2"/>
        <scheme val="minor"/>
      </rPr>
      <t>eq</t>
    </r>
  </si>
  <si>
    <r>
      <t>m</t>
    </r>
    <r>
      <rPr>
        <sz val="8"/>
        <color theme="1"/>
        <rFont val="Calibri"/>
        <family val="2"/>
      </rPr>
      <t>*lm</t>
    </r>
  </si>
  <si>
    <t>Aircraft loading relative mass</t>
  </si>
  <si>
    <t>Range</t>
  </si>
  <si>
    <r>
      <t>V</t>
    </r>
    <r>
      <rPr>
        <sz val="8"/>
        <color theme="1"/>
        <rFont val="Calibri"/>
        <family val="2"/>
      </rPr>
      <t>cr</t>
    </r>
  </si>
  <si>
    <t>km/h</t>
  </si>
  <si>
    <t>km</t>
  </si>
  <si>
    <r>
      <t>m*</t>
    </r>
    <r>
      <rPr>
        <b/>
        <sz val="8"/>
        <color theme="1"/>
        <rFont val="Calibri"/>
        <family val="2"/>
        <scheme val="minor"/>
      </rPr>
      <t>fl</t>
    </r>
  </si>
  <si>
    <t>Aircraft Mass Balance Characteristic</t>
  </si>
  <si>
    <t>Component</t>
  </si>
  <si>
    <t>Relative mass</t>
  </si>
  <si>
    <t>Actual mass, kg</t>
  </si>
  <si>
    <t>m*</t>
  </si>
  <si>
    <t>Wing</t>
  </si>
  <si>
    <t>Fuselage</t>
  </si>
  <si>
    <t>Landing gear</t>
  </si>
  <si>
    <t>Construction</t>
  </si>
  <si>
    <t>Powerplant</t>
  </si>
  <si>
    <t>Aircraft loading</t>
  </si>
  <si>
    <t>Fuel</t>
  </si>
  <si>
    <r>
      <t>m*</t>
    </r>
    <r>
      <rPr>
        <b/>
        <sz val="8"/>
        <color theme="1"/>
        <rFont val="Calibri"/>
        <family val="2"/>
        <scheme val="minor"/>
      </rPr>
      <t>w</t>
    </r>
  </si>
  <si>
    <r>
      <t>m*</t>
    </r>
    <r>
      <rPr>
        <sz val="8"/>
        <color theme="1"/>
        <rFont val="Calibri"/>
        <family val="2"/>
        <scheme val="minor"/>
      </rPr>
      <t>w</t>
    </r>
  </si>
  <si>
    <r>
      <t>m</t>
    </r>
    <r>
      <rPr>
        <sz val="8"/>
        <color theme="1"/>
        <rFont val="Calibri"/>
        <family val="2"/>
        <scheme val="minor"/>
      </rPr>
      <t>ld</t>
    </r>
  </si>
  <si>
    <r>
      <t>m*</t>
    </r>
    <r>
      <rPr>
        <sz val="8"/>
        <color theme="1"/>
        <rFont val="Calibri"/>
        <family val="2"/>
        <scheme val="minor"/>
      </rPr>
      <t>pp</t>
    </r>
  </si>
  <si>
    <r>
      <t>m*</t>
    </r>
    <r>
      <rPr>
        <sz val="8"/>
        <color theme="1"/>
        <rFont val="Calibri"/>
        <family val="2"/>
        <scheme val="minor"/>
      </rPr>
      <t>m</t>
    </r>
  </si>
  <si>
    <r>
      <t>m*</t>
    </r>
    <r>
      <rPr>
        <sz val="8"/>
        <color theme="1"/>
        <rFont val="Calibri"/>
        <family val="2"/>
        <scheme val="minor"/>
      </rPr>
      <t>c</t>
    </r>
  </si>
  <si>
    <r>
      <t>m*</t>
    </r>
    <r>
      <rPr>
        <sz val="8"/>
        <color theme="1"/>
        <rFont val="Calibri"/>
        <family val="2"/>
        <scheme val="minor"/>
      </rPr>
      <t>eq</t>
    </r>
  </si>
  <si>
    <r>
      <t>m*</t>
    </r>
    <r>
      <rPr>
        <sz val="8"/>
        <color theme="1"/>
        <rFont val="Calibri"/>
        <family val="2"/>
        <scheme val="minor"/>
      </rPr>
      <t>lm</t>
    </r>
  </si>
  <si>
    <r>
      <t>m</t>
    </r>
    <r>
      <rPr>
        <sz val="8"/>
        <color theme="1"/>
        <rFont val="Calibri"/>
        <family val="2"/>
        <scheme val="minor"/>
      </rPr>
      <t>tail</t>
    </r>
  </si>
  <si>
    <r>
      <t>m</t>
    </r>
    <r>
      <rPr>
        <sz val="8"/>
        <color theme="1"/>
        <rFont val="Calibri"/>
        <family val="2"/>
        <scheme val="minor"/>
      </rPr>
      <t>w</t>
    </r>
  </si>
  <si>
    <r>
      <t>m</t>
    </r>
    <r>
      <rPr>
        <sz val="8"/>
        <color theme="1"/>
        <rFont val="Calibri"/>
        <family val="2"/>
        <scheme val="minor"/>
      </rPr>
      <t>m</t>
    </r>
  </si>
  <si>
    <r>
      <t>m*</t>
    </r>
    <r>
      <rPr>
        <sz val="8"/>
        <color theme="1"/>
        <rFont val="Calibri"/>
        <family val="2"/>
        <scheme val="minor"/>
      </rPr>
      <t>ld</t>
    </r>
  </si>
  <si>
    <r>
      <t>m</t>
    </r>
    <r>
      <rPr>
        <sz val="8"/>
        <color theme="1"/>
        <rFont val="Calibri"/>
        <family val="2"/>
        <scheme val="minor"/>
      </rPr>
      <t>c</t>
    </r>
  </si>
  <si>
    <r>
      <t>m</t>
    </r>
    <r>
      <rPr>
        <sz val="8"/>
        <color theme="1"/>
        <rFont val="Calibri"/>
        <family val="2"/>
        <scheme val="minor"/>
      </rPr>
      <t>pp</t>
    </r>
  </si>
  <si>
    <r>
      <t>m</t>
    </r>
    <r>
      <rPr>
        <sz val="8"/>
        <color theme="1"/>
        <rFont val="Calibri"/>
        <family val="2"/>
        <scheme val="minor"/>
      </rPr>
      <t>eq</t>
    </r>
  </si>
  <si>
    <r>
      <t>m</t>
    </r>
    <r>
      <rPr>
        <sz val="8"/>
        <color theme="1"/>
        <rFont val="Calibri"/>
        <family val="2"/>
        <scheme val="minor"/>
      </rPr>
      <t>lm</t>
    </r>
  </si>
  <si>
    <r>
      <t>m*</t>
    </r>
    <r>
      <rPr>
        <b/>
        <sz val="8"/>
        <color theme="1"/>
        <rFont val="Calibri"/>
        <family val="2"/>
        <scheme val="minor"/>
      </rPr>
      <t>tail</t>
    </r>
  </si>
  <si>
    <r>
      <t>m*</t>
    </r>
    <r>
      <rPr>
        <b/>
        <sz val="8"/>
        <color theme="1"/>
        <rFont val="Calibri"/>
        <family val="2"/>
        <scheme val="minor"/>
      </rPr>
      <t>ld</t>
    </r>
  </si>
  <si>
    <t>Moment</t>
  </si>
  <si>
    <t>Distance</t>
  </si>
  <si>
    <t>Force</t>
  </si>
  <si>
    <t>mg, daN</t>
  </si>
  <si>
    <t>x, m</t>
  </si>
  <si>
    <t>mgx, daNm</t>
  </si>
  <si>
    <t>1.1 Wing</t>
  </si>
  <si>
    <t>1.2 Fuselage</t>
  </si>
  <si>
    <t>2. Powerplant</t>
  </si>
  <si>
    <t>3. Equipment</t>
  </si>
  <si>
    <t>3.1 Front compartment</t>
  </si>
  <si>
    <t>3.2 Back compartment</t>
  </si>
  <si>
    <t>4. Cabin crew</t>
  </si>
  <si>
    <t>4.1 Pilots</t>
  </si>
  <si>
    <t>5. Fuel</t>
  </si>
  <si>
    <t>4.3 Crew luggage</t>
  </si>
  <si>
    <t>6. Load</t>
  </si>
  <si>
    <t xml:space="preserve">Aircraft Balancing </t>
  </si>
  <si>
    <t>Σ(mgi x)</t>
  </si>
  <si>
    <t>Empty</t>
  </si>
  <si>
    <t>Σ(mgi x) No Load</t>
  </si>
  <si>
    <t>Σ(mgi x) No Fuel</t>
  </si>
  <si>
    <t>Σ(mgi x) Empty</t>
  </si>
  <si>
    <t>Coordinates of the mass center</t>
  </si>
  <si>
    <t>Full</t>
  </si>
  <si>
    <t>No Load</t>
  </si>
  <si>
    <t>No Fuel</t>
  </si>
  <si>
    <t>Median aerodynamic chord coordinate</t>
  </si>
  <si>
    <t>Final aircraft centering coefficient</t>
  </si>
  <si>
    <t>4.2 Flight attendants</t>
  </si>
  <si>
    <t>7. Passengers</t>
  </si>
  <si>
    <t>Σ(mg)i</t>
  </si>
  <si>
    <t>1.5 Front landing gear</t>
  </si>
  <si>
    <t>1.6 Main landing gear</t>
  </si>
  <si>
    <t>1.3 Horizontal surface</t>
  </si>
  <si>
    <t>1.4 Vertical surface</t>
  </si>
  <si>
    <t>Equipment</t>
  </si>
  <si>
    <t>Maneuvering  lift coefficient</t>
  </si>
  <si>
    <t>Maneuvering  Overload</t>
  </si>
  <si>
    <t>Aileron chord</t>
  </si>
  <si>
    <t>Re-estimation of Aircraft Masses</t>
  </si>
  <si>
    <t>Construction type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</si>
</sst>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1" fillId="0" borderId="8" xfId="0" applyFont="1" applyBorder="1" applyAlignment="1">
      <alignment horizontal="center" vertical="center" wrapText="1"/>
    </xf>
    <xf numFmtId="0" fontId="0" fillId="5" borderId="1" xfId="0" applyFill="1" applyBorder="1"/>
    <xf numFmtId="0" fontId="0" fillId="0" borderId="3" xfId="0" applyBorder="1"/>
    <xf numFmtId="0" fontId="0" fillId="5" borderId="4" xfId="0" applyFill="1" applyBorder="1"/>
    <xf numFmtId="0" fontId="0" fillId="0" borderId="6" xfId="0" applyBorder="1"/>
    <xf numFmtId="0" fontId="0" fillId="5" borderId="9" xfId="0" applyFill="1" applyBorder="1"/>
    <xf numFmtId="0" fontId="0" fillId="0" borderId="12" xfId="0" applyBorder="1"/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0" borderId="5" xfId="0" applyBorder="1"/>
    <xf numFmtId="0" fontId="8" fillId="0" borderId="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 wrapText="1"/>
    </xf>
    <xf numFmtId="0" fontId="0" fillId="7" borderId="5" xfId="0" applyFill="1" applyBorder="1"/>
    <xf numFmtId="0" fontId="0" fillId="7" borderId="39" xfId="0" applyFill="1" applyBorder="1"/>
    <xf numFmtId="0" fontId="0" fillId="7" borderId="25" xfId="0" applyFill="1" applyBorder="1"/>
    <xf numFmtId="0" fontId="0" fillId="0" borderId="0" xfId="0" applyBorder="1"/>
    <xf numFmtId="0" fontId="0" fillId="0" borderId="25" xfId="0" applyBorder="1"/>
    <xf numFmtId="0" fontId="0" fillId="0" borderId="5" xfId="0" applyBorder="1" applyAlignment="1">
      <alignment horizontal="center"/>
    </xf>
    <xf numFmtId="0" fontId="10" fillId="6" borderId="41" xfId="0" applyFont="1" applyFill="1" applyBorder="1" applyAlignment="1">
      <alignment vertical="center"/>
    </xf>
    <xf numFmtId="0" fontId="13" fillId="9" borderId="30" xfId="0" applyFont="1" applyFill="1" applyBorder="1" applyAlignment="1">
      <alignment vertical="center"/>
    </xf>
    <xf numFmtId="0" fontId="13" fillId="9" borderId="34" xfId="0" applyFont="1" applyFill="1" applyBorder="1" applyAlignment="1">
      <alignment vertical="center"/>
    </xf>
    <xf numFmtId="0" fontId="13" fillId="9" borderId="42" xfId="0" applyFont="1" applyFill="1" applyBorder="1" applyAlignment="1">
      <alignment vertical="center"/>
    </xf>
    <xf numFmtId="0" fontId="10" fillId="9" borderId="41" xfId="0" applyFont="1" applyFill="1" applyBorder="1" applyAlignment="1">
      <alignment vertical="center"/>
    </xf>
    <xf numFmtId="0" fontId="15" fillId="6" borderId="40" xfId="0" applyFont="1" applyFill="1" applyBorder="1" applyAlignment="1">
      <alignment vertical="center"/>
    </xf>
    <xf numFmtId="2" fontId="10" fillId="0" borderId="0" xfId="0" applyNumberFormat="1" applyFont="1"/>
    <xf numFmtId="164" fontId="3" fillId="7" borderId="5" xfId="0" applyNumberFormat="1" applyFon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3" fillId="7" borderId="5" xfId="0" applyNumberFormat="1" applyFont="1" applyFill="1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center" vertical="center"/>
    </xf>
    <xf numFmtId="164" fontId="0" fillId="7" borderId="5" xfId="0" applyNumberFormat="1" applyFill="1" applyBorder="1"/>
    <xf numFmtId="164" fontId="0" fillId="0" borderId="5" xfId="0" applyNumberFormat="1" applyFont="1" applyFill="1" applyBorder="1" applyAlignment="1">
      <alignment horizontal="center" vertical="center" wrapText="1"/>
    </xf>
    <xf numFmtId="164" fontId="0" fillId="0" borderId="5" xfId="0" applyNumberFormat="1" applyBorder="1"/>
    <xf numFmtId="164" fontId="1" fillId="0" borderId="5" xfId="0" applyNumberFormat="1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6" xfId="0" applyBorder="1" applyAlignment="1">
      <alignment horizontal="center"/>
    </xf>
    <xf numFmtId="0" fontId="10" fillId="10" borderId="45" xfId="0" applyFont="1" applyFill="1" applyBorder="1" applyAlignment="1">
      <alignment horizontal="center"/>
    </xf>
    <xf numFmtId="0" fontId="10" fillId="10" borderId="46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4" fillId="8" borderId="37" xfId="0" applyFont="1" applyFill="1" applyBorder="1" applyAlignment="1">
      <alignment horizontal="center"/>
    </xf>
    <xf numFmtId="0" fontId="0" fillId="7" borderId="26" xfId="0" applyFill="1" applyBorder="1" applyAlignment="1">
      <alignment horizontal="left" vertical="top" wrapText="1"/>
    </xf>
    <xf numFmtId="0" fontId="0" fillId="7" borderId="37" xfId="0" applyFill="1" applyBorder="1" applyAlignment="1">
      <alignment horizontal="left" vertical="top" wrapText="1"/>
    </xf>
    <xf numFmtId="0" fontId="0" fillId="7" borderId="38" xfId="0" applyFill="1" applyBorder="1" applyAlignment="1">
      <alignment horizontal="left" vertical="top" wrapText="1"/>
    </xf>
    <xf numFmtId="0" fontId="0" fillId="7" borderId="8" xfId="0" applyFill="1" applyBorder="1" applyAlignment="1">
      <alignment horizontal="left" vertical="top" wrapText="1"/>
    </xf>
    <xf numFmtId="0" fontId="0" fillId="7" borderId="15" xfId="0" applyFill="1" applyBorder="1" applyAlignment="1">
      <alignment horizontal="left" vertical="top" wrapText="1"/>
    </xf>
    <xf numFmtId="0" fontId="0" fillId="7" borderId="16" xfId="0" applyFill="1" applyBorder="1" applyAlignment="1">
      <alignment horizontal="left" vertical="top" wrapText="1"/>
    </xf>
    <xf numFmtId="0" fontId="0" fillId="7" borderId="20" xfId="0" applyFill="1" applyBorder="1" applyAlignment="1">
      <alignment horizontal="left" vertical="top" wrapText="1"/>
    </xf>
    <xf numFmtId="0" fontId="0" fillId="7" borderId="21" xfId="0" applyFill="1" applyBorder="1" applyAlignment="1">
      <alignment horizontal="left" vertical="top" wrapText="1"/>
    </xf>
    <xf numFmtId="0" fontId="0" fillId="7" borderId="22" xfId="0" applyFill="1" applyBorder="1" applyAlignment="1">
      <alignment horizontal="left" vertical="top" wrapText="1"/>
    </xf>
    <xf numFmtId="0" fontId="0" fillId="7" borderId="8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7" borderId="16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3" fillId="2" borderId="5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left" vertical="top"/>
    </xf>
    <xf numFmtId="0" fontId="3" fillId="7" borderId="15" xfId="0" applyFont="1" applyFill="1" applyBorder="1" applyAlignment="1">
      <alignment horizontal="left" vertical="top"/>
    </xf>
    <xf numFmtId="0" fontId="3" fillId="7" borderId="16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3" xfId="0" applyBorder="1" applyAlignment="1">
      <alignment horizontal="center"/>
    </xf>
    <xf numFmtId="0" fontId="10" fillId="2" borderId="4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2" borderId="9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0" fillId="3" borderId="7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7" xfId="0" applyFill="1" applyBorder="1" applyAlignment="1">
      <alignment horizontal="left" vertical="top" wrapText="1"/>
    </xf>
    <xf numFmtId="0" fontId="0" fillId="3" borderId="18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76</xdr:row>
      <xdr:rowOff>9525</xdr:rowOff>
    </xdr:from>
    <xdr:to>
      <xdr:col>11</xdr:col>
      <xdr:colOff>923925</xdr:colOff>
      <xdr:row>89</xdr:row>
      <xdr:rowOff>180975</xdr:rowOff>
    </xdr:to>
    <xdr:pic>
      <xdr:nvPicPr>
        <xdr:cNvPr id="2" name="Picture 1" descr="Private Jet Drawing Stock Illustrations, Images &amp; Vectors | Shutterstock">
          <a:extLst>
            <a:ext uri="{FF2B5EF4-FFF2-40B4-BE49-F238E27FC236}">
              <a16:creationId xmlns:a16="http://schemas.microsoft.com/office/drawing/2014/main" id="{F7C9E0DC-6EBD-4F97-B2D7-56A188D43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649450"/>
          <a:ext cx="4733925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79119</xdr:colOff>
      <xdr:row>230</xdr:row>
      <xdr:rowOff>173052</xdr:rowOff>
    </xdr:from>
    <xdr:to>
      <xdr:col>17</xdr:col>
      <xdr:colOff>278766</xdr:colOff>
      <xdr:row>250</xdr:row>
      <xdr:rowOff>49227</xdr:rowOff>
    </xdr:to>
    <xdr:pic>
      <xdr:nvPicPr>
        <xdr:cNvPr id="3" name="Picture 2" descr="Private Jet Drawing Stock Illustrations, Images &amp; Vectors | Shutterstock">
          <a:extLst>
            <a:ext uri="{FF2B5EF4-FFF2-40B4-BE49-F238E27FC236}">
              <a16:creationId xmlns:a16="http://schemas.microsoft.com/office/drawing/2014/main" id="{BD6AB543-E01A-46A1-B437-CD7AC2D1B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402" y="45056509"/>
          <a:ext cx="6850581" cy="3835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19050</xdr:colOff>
      <xdr:row>271</xdr:row>
      <xdr:rowOff>50379</xdr:rowOff>
    </xdr:from>
    <xdr:ext cx="892037" cy="246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8AC6C48-018B-4D08-A754-EB417174741C}"/>
                </a:ext>
              </a:extLst>
            </xdr:cNvPr>
            <xdr:cNvSpPr txBox="1"/>
          </xdr:nvSpPr>
          <xdr:spPr>
            <a:xfrm>
              <a:off x="1783246" y="53001096"/>
              <a:ext cx="892037" cy="246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r>
                <a:rPr lang="en-US" sz="1000"/>
                <a:t>Xm=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sz="10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a:rPr lang="en-US" sz="1000" i="1">
                          <a:latin typeface="Cambria Math" panose="02040503050406030204" pitchFamily="18" charset="0"/>
                        </a:rPr>
                        <m:t>𝑘</m:t>
                      </m:r>
                      <m:r>
                        <a:rPr lang="en-US" sz="1000" i="1">
                          <a:latin typeface="Cambria Math" panose="02040503050406030204" pitchFamily="18" charset="0"/>
                        </a:rPr>
                        <m:t>=0</m:t>
                      </m:r>
                    </m:sub>
                    <m:sup>
                      <m:r>
                        <a:rPr lang="en-US" sz="1000" i="1">
                          <a:latin typeface="Cambria Math" panose="02040503050406030204" pitchFamily="18" charset="0"/>
                        </a:rPr>
                        <m:t>𝑛</m:t>
                      </m:r>
                    </m:sup>
                    <m:e>
                      <m:f>
                        <m:fPr>
                          <m:ctrlPr>
                            <a:rPr lang="en-US" sz="10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d>
                            <m:dPr>
                              <m:ctrlPr>
                                <a:rPr lang="en-US" sz="10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000" b="0" i="1">
                                  <a:latin typeface="Cambria Math" panose="02040503050406030204" pitchFamily="18" charset="0"/>
                                </a:rPr>
                                <m:t>𝑚𝑔𝑥</m:t>
                              </m:r>
                            </m:e>
                          </m:d>
                          <m:r>
                            <a:rPr lang="en-US" sz="10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num>
                        <m:den>
                          <m:d>
                            <m:dPr>
                              <m:ctrlPr>
                                <a:rPr lang="en-US" sz="10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000" b="0" i="1">
                                  <a:latin typeface="Cambria Math" panose="02040503050406030204" pitchFamily="18" charset="0"/>
                                </a:rPr>
                                <m:t>𝑚𝑔</m:t>
                              </m:r>
                            </m:e>
                          </m:d>
                          <m:r>
                            <a:rPr lang="en-US" sz="10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den>
                      </m:f>
                    </m:e>
                  </m:nary>
                </m:oMath>
              </a14:m>
              <a:endParaRPr lang="en-US" sz="1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8AC6C48-018B-4D08-A754-EB417174741C}"/>
                </a:ext>
              </a:extLst>
            </xdr:cNvPr>
            <xdr:cNvSpPr txBox="1"/>
          </xdr:nvSpPr>
          <xdr:spPr>
            <a:xfrm>
              <a:off x="1783246" y="53001096"/>
              <a:ext cx="892037" cy="246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r>
                <a:rPr lang="en-US" sz="1000"/>
                <a:t>Xm=</a:t>
              </a:r>
              <a:r>
                <a:rPr lang="en-US" sz="1000" i="0">
                  <a:latin typeface="Cambria Math" panose="02040503050406030204" pitchFamily="18" charset="0"/>
                </a:rPr>
                <a:t>∑_(𝑘=0)^𝑛</a:t>
              </a:r>
              <a:r>
                <a:rPr lang="en-US" sz="1000" b="0" i="0">
                  <a:latin typeface="Cambria Math" panose="02040503050406030204" pitchFamily="18" charset="0"/>
                </a:rPr>
                <a:t>▒(𝑚𝑔𝑥)𝑖/(𝑚𝑔)𝑖</a:t>
              </a:r>
              <a:endParaRPr lang="en-US" sz="1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77"/>
  <sheetViews>
    <sheetView tabSelected="1" zoomScale="115" zoomScaleNormal="115" workbookViewId="0">
      <selection activeCell="B212" sqref="B212:D212"/>
    </sheetView>
  </sheetViews>
  <sheetFormatPr defaultRowHeight="15" x14ac:dyDescent="0.25"/>
  <cols>
    <col min="1" max="1" width="4.7109375" customWidth="1"/>
    <col min="2" max="2" width="12.85546875" customWidth="1"/>
    <col min="3" max="3" width="8.85546875" customWidth="1"/>
    <col min="4" max="4" width="12.7109375" customWidth="1"/>
    <col min="5" max="6" width="11" customWidth="1"/>
    <col min="7" max="7" width="13.140625" bestFit="1" customWidth="1"/>
    <col min="8" max="8" width="13.7109375" customWidth="1"/>
    <col min="12" max="12" width="35.42578125" customWidth="1"/>
  </cols>
  <sheetData>
    <row r="1" spans="1:47" ht="15" customHeight="1" x14ac:dyDescent="0.25">
      <c r="A1" s="134" t="s">
        <v>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</row>
    <row r="2" spans="1:47" ht="15" customHeight="1" x14ac:dyDescent="0.25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</row>
    <row r="4" spans="1:47" ht="15.75" thickBot="1" x14ac:dyDescent="0.3"/>
    <row r="5" spans="1:47" x14ac:dyDescent="0.25">
      <c r="A5" s="1" t="s">
        <v>1</v>
      </c>
      <c r="B5" s="2" t="s">
        <v>2</v>
      </c>
      <c r="C5" s="7" t="s">
        <v>4</v>
      </c>
      <c r="D5" s="3" t="s">
        <v>14</v>
      </c>
      <c r="F5" s="7" t="s">
        <v>4</v>
      </c>
      <c r="G5" s="3" t="s">
        <v>14</v>
      </c>
    </row>
    <row r="6" spans="1:47" x14ac:dyDescent="0.25">
      <c r="A6" s="4">
        <v>1</v>
      </c>
      <c r="B6" s="5" t="s">
        <v>3</v>
      </c>
      <c r="C6" s="9" t="s">
        <v>5</v>
      </c>
      <c r="D6" s="6">
        <f>90*3</f>
        <v>270</v>
      </c>
      <c r="F6" s="9" t="s">
        <v>74</v>
      </c>
      <c r="G6" s="6">
        <v>1.59</v>
      </c>
    </row>
    <row r="7" spans="1:47" x14ac:dyDescent="0.25">
      <c r="A7" s="4">
        <f>A6+1</f>
        <v>2</v>
      </c>
      <c r="B7" s="5" t="s">
        <v>10</v>
      </c>
      <c r="C7" s="9" t="s">
        <v>6</v>
      </c>
      <c r="D7" s="6">
        <f>80*12+30*12</f>
        <v>1320</v>
      </c>
      <c r="F7" s="9" t="s">
        <v>75</v>
      </c>
      <c r="G7" s="6">
        <v>-0.1</v>
      </c>
    </row>
    <row r="8" spans="1:47" x14ac:dyDescent="0.25">
      <c r="A8" s="4">
        <f t="shared" ref="A8:A11" si="0">A7+1</f>
        <v>3</v>
      </c>
      <c r="B8" s="5" t="s">
        <v>11</v>
      </c>
      <c r="C8" s="9" t="s">
        <v>7</v>
      </c>
      <c r="D8" s="6">
        <f>D10-D9-D6-D7</f>
        <v>4246.0043797533717</v>
      </c>
    </row>
    <row r="9" spans="1:47" x14ac:dyDescent="0.25">
      <c r="A9" s="4">
        <f>A7+1</f>
        <v>3</v>
      </c>
      <c r="B9" s="5" t="s">
        <v>12</v>
      </c>
      <c r="C9" s="9" t="s">
        <v>8</v>
      </c>
      <c r="D9" s="6">
        <f>D10*D11</f>
        <v>7663.9956202466283</v>
      </c>
    </row>
    <row r="10" spans="1:47" ht="16.5" customHeight="1" x14ac:dyDescent="0.25">
      <c r="A10" s="4">
        <f>A8+1</f>
        <v>4</v>
      </c>
      <c r="B10" s="5" t="s">
        <v>13</v>
      </c>
      <c r="C10" s="9" t="s">
        <v>9</v>
      </c>
      <c r="D10" s="6">
        <v>13500</v>
      </c>
    </row>
    <row r="11" spans="1:47" ht="15.75" thickBot="1" x14ac:dyDescent="0.3">
      <c r="A11" s="10">
        <f t="shared" si="0"/>
        <v>5</v>
      </c>
      <c r="B11" s="11" t="s">
        <v>76</v>
      </c>
      <c r="C11" s="12" t="s">
        <v>77</v>
      </c>
      <c r="D11" s="13">
        <f>G6*(2.2*D10)^G7</f>
        <v>0.56770337927752801</v>
      </c>
    </row>
    <row r="14" spans="1:47" ht="15" customHeight="1" x14ac:dyDescent="0.25">
      <c r="A14" s="134" t="s">
        <v>15</v>
      </c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</row>
    <row r="15" spans="1:47" ht="15" customHeight="1" x14ac:dyDescent="0.25">
      <c r="A15" s="13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</row>
    <row r="16" spans="1:47" ht="15.75" thickBot="1" x14ac:dyDescent="0.3"/>
    <row r="17" spans="1:47" x14ac:dyDescent="0.25">
      <c r="A17" s="1" t="s">
        <v>1</v>
      </c>
      <c r="B17" s="2" t="s">
        <v>16</v>
      </c>
      <c r="C17" s="7" t="s">
        <v>17</v>
      </c>
      <c r="D17" s="7" t="s">
        <v>18</v>
      </c>
      <c r="E17" s="7" t="s">
        <v>19</v>
      </c>
      <c r="F17" s="3" t="s">
        <v>20</v>
      </c>
      <c r="I17" s="30" t="s">
        <v>69</v>
      </c>
      <c r="J17" s="31">
        <v>10</v>
      </c>
    </row>
    <row r="18" spans="1:47" x14ac:dyDescent="0.25">
      <c r="A18" s="4">
        <v>1</v>
      </c>
      <c r="B18" s="5" t="s">
        <v>21</v>
      </c>
      <c r="C18" s="8">
        <f>C19*C20</f>
        <v>13095</v>
      </c>
      <c r="D18" s="8">
        <f>D19*D20</f>
        <v>12477.958115183248</v>
      </c>
      <c r="E18" s="9">
        <f>E19*E20</f>
        <v>7902.9251868909605</v>
      </c>
      <c r="F18" s="6">
        <f>F19*F20</f>
        <v>7665.8374312842316</v>
      </c>
      <c r="I18" s="32" t="s">
        <v>70</v>
      </c>
      <c r="J18" s="33">
        <v>3000</v>
      </c>
    </row>
    <row r="19" spans="1:47" x14ac:dyDescent="0.25">
      <c r="A19" s="4">
        <f>A18+1</f>
        <v>2</v>
      </c>
      <c r="B19" s="5" t="s">
        <v>22</v>
      </c>
      <c r="C19" s="8">
        <v>13500</v>
      </c>
      <c r="D19" s="8">
        <v>13095</v>
      </c>
      <c r="E19" s="9">
        <f>D18</f>
        <v>12477.958115183248</v>
      </c>
      <c r="F19" s="6">
        <f>E18</f>
        <v>7902.9251868909605</v>
      </c>
      <c r="I19" s="32" t="s">
        <v>71</v>
      </c>
      <c r="J19" s="33">
        <v>1.9</v>
      </c>
    </row>
    <row r="20" spans="1:47" ht="15.75" thickBot="1" x14ac:dyDescent="0.3">
      <c r="A20" s="10">
        <f t="shared" ref="A20" si="1">A19+1</f>
        <v>3</v>
      </c>
      <c r="B20" s="11" t="s">
        <v>23</v>
      </c>
      <c r="C20" s="14">
        <v>0.97</v>
      </c>
      <c r="D20" s="14">
        <f>(1-0.009*J17)/(1-0.0045*J17)</f>
        <v>0.95287958115183258</v>
      </c>
      <c r="E20" s="12">
        <f>EXP((-J18*J19)/(J20*J21))</f>
        <v>0.63335083464294029</v>
      </c>
      <c r="F20" s="13">
        <v>0.97</v>
      </c>
      <c r="I20" s="32" t="s">
        <v>31</v>
      </c>
      <c r="J20" s="33">
        <v>780</v>
      </c>
    </row>
    <row r="21" spans="1:47" x14ac:dyDescent="0.25">
      <c r="A21" s="36"/>
      <c r="B21" s="37"/>
      <c r="C21" s="38"/>
      <c r="D21" s="38"/>
      <c r="E21" s="39"/>
      <c r="F21" s="40"/>
      <c r="I21" s="32" t="s">
        <v>73</v>
      </c>
      <c r="J21" s="33">
        <v>16</v>
      </c>
    </row>
    <row r="22" spans="1:47" ht="15.75" thickBot="1" x14ac:dyDescent="0.3">
      <c r="A22" s="10"/>
      <c r="B22" s="11"/>
      <c r="C22" s="14"/>
      <c r="D22" s="14"/>
      <c r="E22" s="12"/>
      <c r="F22" s="13"/>
      <c r="I22" s="34" t="s">
        <v>72</v>
      </c>
      <c r="J22" s="35">
        <v>3</v>
      </c>
    </row>
    <row r="28" spans="1:47" ht="15" customHeight="1" x14ac:dyDescent="0.25">
      <c r="A28" s="134" t="s">
        <v>24</v>
      </c>
      <c r="B28" s="134"/>
      <c r="C28" s="134"/>
      <c r="D28" s="134"/>
      <c r="E28" s="134"/>
      <c r="F28" s="134"/>
      <c r="G28" s="134"/>
      <c r="H28" s="134"/>
      <c r="I28" s="134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</row>
    <row r="29" spans="1:47" ht="15" customHeight="1" x14ac:dyDescent="0.25">
      <c r="A29" s="134"/>
      <c r="B29" s="134"/>
      <c r="C29" s="134"/>
      <c r="D29" s="134"/>
      <c r="E29" s="134"/>
      <c r="F29" s="134"/>
      <c r="G29" s="134"/>
      <c r="H29" s="134"/>
      <c r="I29" s="134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</row>
    <row r="30" spans="1:47" ht="15.75" thickBot="1" x14ac:dyDescent="0.3"/>
    <row r="31" spans="1:47" x14ac:dyDescent="0.25">
      <c r="A31" s="1" t="s">
        <v>1</v>
      </c>
      <c r="B31" s="138" t="s">
        <v>2</v>
      </c>
      <c r="C31" s="139"/>
      <c r="D31" s="140"/>
      <c r="E31" s="7" t="s">
        <v>47</v>
      </c>
      <c r="F31" s="3" t="s">
        <v>14</v>
      </c>
    </row>
    <row r="32" spans="1:47" ht="15.75" x14ac:dyDescent="0.25">
      <c r="A32" s="4">
        <v>1</v>
      </c>
      <c r="B32" s="104" t="s">
        <v>25</v>
      </c>
      <c r="C32" s="105"/>
      <c r="D32" s="106"/>
      <c r="E32" s="9" t="s">
        <v>26</v>
      </c>
      <c r="F32" s="6">
        <v>3</v>
      </c>
    </row>
    <row r="33" spans="1:7" x14ac:dyDescent="0.25">
      <c r="A33" s="4">
        <f>A32+1</f>
        <v>2</v>
      </c>
      <c r="B33" s="104" t="s">
        <v>27</v>
      </c>
      <c r="C33" s="105"/>
      <c r="D33" s="106"/>
      <c r="E33" s="9" t="s">
        <v>28</v>
      </c>
      <c r="F33" s="6">
        <v>0.53</v>
      </c>
    </row>
    <row r="34" spans="1:7" x14ac:dyDescent="0.25">
      <c r="A34" s="4">
        <f t="shared" ref="A34:A41" si="2">A33+1</f>
        <v>3</v>
      </c>
      <c r="B34" s="104" t="s">
        <v>348</v>
      </c>
      <c r="C34" s="105"/>
      <c r="D34" s="106"/>
      <c r="E34" s="9" t="s">
        <v>29</v>
      </c>
      <c r="F34" s="6">
        <v>2</v>
      </c>
    </row>
    <row r="35" spans="1:7" x14ac:dyDescent="0.25">
      <c r="A35" s="4">
        <f t="shared" si="2"/>
        <v>4</v>
      </c>
      <c r="B35" s="104" t="s">
        <v>30</v>
      </c>
      <c r="C35" s="105"/>
      <c r="D35" s="106"/>
      <c r="E35" s="9" t="s">
        <v>31</v>
      </c>
      <c r="F35" s="6">
        <v>216.1</v>
      </c>
    </row>
    <row r="36" spans="1:7" ht="17.25" customHeight="1" x14ac:dyDescent="0.25">
      <c r="A36" s="4">
        <f t="shared" si="2"/>
        <v>5</v>
      </c>
      <c r="B36" s="104" t="s">
        <v>33</v>
      </c>
      <c r="C36" s="105"/>
      <c r="D36" s="106"/>
      <c r="E36" s="9" t="s">
        <v>32</v>
      </c>
      <c r="F36" s="6">
        <v>47.1</v>
      </c>
      <c r="G36" t="s">
        <v>78</v>
      </c>
    </row>
    <row r="37" spans="1:7" x14ac:dyDescent="0.25">
      <c r="A37" s="4">
        <f t="shared" si="2"/>
        <v>6</v>
      </c>
      <c r="B37" s="104" t="s">
        <v>34</v>
      </c>
      <c r="C37" s="105"/>
      <c r="D37" s="106"/>
      <c r="E37" s="9" t="s">
        <v>35</v>
      </c>
      <c r="F37" s="6">
        <f>1-E20</f>
        <v>0.36664916535705971</v>
      </c>
    </row>
    <row r="38" spans="1:7" x14ac:dyDescent="0.25">
      <c r="A38" s="4">
        <f t="shared" si="2"/>
        <v>7</v>
      </c>
      <c r="B38" s="104" t="s">
        <v>36</v>
      </c>
      <c r="C38" s="105"/>
      <c r="D38" s="106"/>
      <c r="E38" s="15" t="s">
        <v>37</v>
      </c>
      <c r="F38" s="6">
        <v>0.31</v>
      </c>
    </row>
    <row r="39" spans="1:7" x14ac:dyDescent="0.25">
      <c r="A39" s="4">
        <f t="shared" si="2"/>
        <v>8</v>
      </c>
      <c r="B39" s="104" t="s">
        <v>38</v>
      </c>
      <c r="C39" s="105"/>
      <c r="D39" s="106"/>
      <c r="E39" s="9" t="s">
        <v>39</v>
      </c>
      <c r="F39" s="6">
        <v>1.5</v>
      </c>
    </row>
    <row r="40" spans="1:7" ht="15.75" thickBot="1" x14ac:dyDescent="0.3">
      <c r="A40" s="16">
        <f t="shared" si="2"/>
        <v>9</v>
      </c>
      <c r="B40" s="141" t="s">
        <v>40</v>
      </c>
      <c r="C40" s="142"/>
      <c r="D40" s="143"/>
      <c r="E40" s="17" t="s">
        <v>41</v>
      </c>
      <c r="F40" s="18">
        <f>(F38*F35^2)/2</f>
        <v>7238.3775500000002</v>
      </c>
    </row>
    <row r="41" spans="1:7" x14ac:dyDescent="0.25">
      <c r="A41" s="19">
        <f t="shared" si="2"/>
        <v>10</v>
      </c>
      <c r="B41" s="166" t="s">
        <v>42</v>
      </c>
      <c r="C41" s="167"/>
      <c r="D41" s="168"/>
      <c r="E41" s="20" t="s">
        <v>44</v>
      </c>
      <c r="F41" s="21">
        <f>(F32*(F36*1.3)^2)/(30.2*(1-F37))</f>
        <v>588.02864605806644</v>
      </c>
    </row>
    <row r="42" spans="1:7" x14ac:dyDescent="0.25">
      <c r="A42" s="22">
        <f>A40+1</f>
        <v>10</v>
      </c>
      <c r="B42" s="172" t="s">
        <v>43</v>
      </c>
      <c r="C42" s="173"/>
      <c r="D42" s="174"/>
      <c r="E42" s="23" t="s">
        <v>45</v>
      </c>
      <c r="F42" s="41">
        <f>(F33*F38*F35^2)/(20*(1-0.6*F37))</f>
        <v>491.83185324240651</v>
      </c>
    </row>
    <row r="43" spans="1:7" ht="15.75" thickBot="1" x14ac:dyDescent="0.3">
      <c r="A43" s="24">
        <f t="shared" ref="A43" si="3">A42+1</f>
        <v>11</v>
      </c>
      <c r="B43" s="169" t="s">
        <v>349</v>
      </c>
      <c r="C43" s="170"/>
      <c r="D43" s="171"/>
      <c r="E43" s="25" t="s">
        <v>46</v>
      </c>
      <c r="F43" s="26">
        <f>0.1*(F34/F39)*F40</f>
        <v>965.11700666666673</v>
      </c>
    </row>
    <row r="50" spans="1:56" ht="15" customHeight="1" x14ac:dyDescent="0.25">
      <c r="A50" s="134" t="s">
        <v>48</v>
      </c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8"/>
      <c r="AW50" s="28"/>
      <c r="AX50" s="28"/>
      <c r="AY50" s="28"/>
      <c r="AZ50" s="28"/>
      <c r="BA50" s="28"/>
      <c r="BB50" s="28"/>
      <c r="BC50" s="28"/>
      <c r="BD50" s="28"/>
    </row>
    <row r="51" spans="1:56" ht="15" customHeight="1" x14ac:dyDescent="0.25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8"/>
      <c r="AW51" s="28"/>
      <c r="AX51" s="28"/>
      <c r="AY51" s="28"/>
      <c r="AZ51" s="28"/>
      <c r="BA51" s="28"/>
      <c r="BB51" s="28"/>
      <c r="BC51" s="28"/>
      <c r="BD51" s="28"/>
    </row>
    <row r="53" spans="1:56" ht="15.75" thickBot="1" x14ac:dyDescent="0.3"/>
    <row r="54" spans="1:56" x14ac:dyDescent="0.25">
      <c r="A54" s="1" t="s">
        <v>1</v>
      </c>
      <c r="B54" s="138" t="s">
        <v>2</v>
      </c>
      <c r="C54" s="139"/>
      <c r="D54" s="140"/>
      <c r="E54" s="7" t="s">
        <v>47</v>
      </c>
      <c r="F54" s="3" t="s">
        <v>14</v>
      </c>
    </row>
    <row r="55" spans="1:56" ht="15.75" x14ac:dyDescent="0.25">
      <c r="A55" s="4">
        <v>1</v>
      </c>
      <c r="B55" s="104" t="s">
        <v>49</v>
      </c>
      <c r="C55" s="105"/>
      <c r="D55" s="106"/>
      <c r="E55" s="29" t="s">
        <v>59</v>
      </c>
      <c r="F55" s="6">
        <v>1.5</v>
      </c>
    </row>
    <row r="56" spans="1:56" x14ac:dyDescent="0.25">
      <c r="A56" s="4">
        <f>A55+1</f>
        <v>2</v>
      </c>
      <c r="B56" s="104" t="s">
        <v>50</v>
      </c>
      <c r="C56" s="105"/>
      <c r="D56" s="106"/>
      <c r="E56" s="9" t="s">
        <v>60</v>
      </c>
      <c r="F56" s="6">
        <v>10</v>
      </c>
    </row>
    <row r="57" spans="1:56" x14ac:dyDescent="0.25">
      <c r="A57" s="4">
        <f t="shared" ref="A57:A66" si="4">A56+1</f>
        <v>3</v>
      </c>
      <c r="B57" s="104" t="s">
        <v>51</v>
      </c>
      <c r="C57" s="105"/>
      <c r="D57" s="106"/>
      <c r="E57" s="9" t="s">
        <v>61</v>
      </c>
      <c r="F57" s="6">
        <v>2</v>
      </c>
    </row>
    <row r="58" spans="1:56" x14ac:dyDescent="0.25">
      <c r="A58" s="4">
        <f t="shared" si="4"/>
        <v>4</v>
      </c>
      <c r="B58" s="104" t="s">
        <v>52</v>
      </c>
      <c r="C58" s="105"/>
      <c r="D58" s="106"/>
      <c r="E58" s="9" t="s">
        <v>58</v>
      </c>
      <c r="F58" s="6">
        <v>1.7000000000000001E-2</v>
      </c>
    </row>
    <row r="59" spans="1:56" x14ac:dyDescent="0.25">
      <c r="A59" s="4">
        <f t="shared" si="4"/>
        <v>5</v>
      </c>
      <c r="B59" s="104" t="s">
        <v>53</v>
      </c>
      <c r="C59" s="105"/>
      <c r="D59" s="106"/>
      <c r="E59" s="15" t="s">
        <v>62</v>
      </c>
      <c r="F59" s="6">
        <f>0.31</f>
        <v>0.31</v>
      </c>
    </row>
    <row r="60" spans="1:56" x14ac:dyDescent="0.25">
      <c r="A60" s="4">
        <f t="shared" si="4"/>
        <v>6</v>
      </c>
      <c r="B60" s="104" t="s">
        <v>54</v>
      </c>
      <c r="C60" s="105"/>
      <c r="D60" s="106"/>
      <c r="E60" s="15" t="s">
        <v>63</v>
      </c>
      <c r="F60" s="6">
        <v>2.2999999999999998</v>
      </c>
    </row>
    <row r="61" spans="1:56" x14ac:dyDescent="0.25">
      <c r="A61" s="4">
        <f t="shared" si="4"/>
        <v>7</v>
      </c>
      <c r="B61" s="104" t="s">
        <v>55</v>
      </c>
      <c r="C61" s="105"/>
      <c r="D61" s="106"/>
      <c r="E61" s="9" t="s">
        <v>64</v>
      </c>
      <c r="F61" s="6">
        <v>0.02</v>
      </c>
    </row>
    <row r="62" spans="1:56" x14ac:dyDescent="0.25">
      <c r="A62" s="4">
        <f t="shared" si="4"/>
        <v>8</v>
      </c>
      <c r="B62" s="141" t="s">
        <v>56</v>
      </c>
      <c r="C62" s="142"/>
      <c r="D62" s="143"/>
      <c r="E62" s="17" t="s">
        <v>65</v>
      </c>
      <c r="F62" s="18">
        <v>1510</v>
      </c>
    </row>
    <row r="63" spans="1:56" ht="15.75" thickBot="1" x14ac:dyDescent="0.3">
      <c r="A63" s="4">
        <f t="shared" si="4"/>
        <v>9</v>
      </c>
      <c r="B63" s="141" t="s">
        <v>57</v>
      </c>
      <c r="C63" s="142"/>
      <c r="D63" s="143"/>
      <c r="E63" s="17" t="s">
        <v>66</v>
      </c>
      <c r="F63" s="18">
        <v>12</v>
      </c>
    </row>
    <row r="64" spans="1:56" x14ac:dyDescent="0.25">
      <c r="A64" s="4">
        <f t="shared" si="4"/>
        <v>10</v>
      </c>
      <c r="B64" s="166" t="s">
        <v>80</v>
      </c>
      <c r="C64" s="167"/>
      <c r="D64" s="168"/>
      <c r="E64" s="20" t="s">
        <v>67</v>
      </c>
      <c r="F64" s="44">
        <f>F55*(F57/(F57-1)*(1/F56+F58))</f>
        <v>0.35100000000000003</v>
      </c>
    </row>
    <row r="65" spans="1:56" x14ac:dyDescent="0.25">
      <c r="A65" s="4">
        <f t="shared" si="4"/>
        <v>11</v>
      </c>
      <c r="B65" s="172" t="s">
        <v>79</v>
      </c>
      <c r="C65" s="173"/>
      <c r="D65" s="174"/>
      <c r="E65" s="42" t="s">
        <v>68</v>
      </c>
      <c r="F65" s="43">
        <f>1/(J21*F59^0.85*0.8)</f>
        <v>0.21141343889216599</v>
      </c>
    </row>
    <row r="66" spans="1:56" ht="14.25" customHeight="1" thickBot="1" x14ac:dyDescent="0.3">
      <c r="A66" s="4">
        <f t="shared" si="4"/>
        <v>12</v>
      </c>
      <c r="B66" s="169" t="s">
        <v>81</v>
      </c>
      <c r="C66" s="170"/>
      <c r="D66" s="171"/>
      <c r="E66" s="25" t="s">
        <v>82</v>
      </c>
      <c r="F66" s="26">
        <f>1.05*(520/(F60*F62)+0.5*(3*F61+1/F63))</f>
        <v>0.23246278433630868</v>
      </c>
    </row>
    <row r="72" spans="1:56" ht="15" customHeight="1" x14ac:dyDescent="0.25">
      <c r="A72" s="134" t="s">
        <v>103</v>
      </c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8"/>
      <c r="AW72" s="28"/>
      <c r="AX72" s="28"/>
      <c r="AY72" s="28"/>
      <c r="AZ72" s="28"/>
      <c r="BA72" s="28"/>
      <c r="BB72" s="28"/>
      <c r="BC72" s="28"/>
      <c r="BD72" s="28"/>
    </row>
    <row r="73" spans="1:56" ht="15" customHeight="1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8"/>
      <c r="AW73" s="28"/>
      <c r="AX73" s="28"/>
      <c r="AY73" s="28"/>
      <c r="AZ73" s="28"/>
      <c r="BA73" s="28"/>
      <c r="BB73" s="28"/>
      <c r="BC73" s="28"/>
      <c r="BD73" s="28"/>
    </row>
    <row r="75" spans="1:56" ht="15.75" thickBot="1" x14ac:dyDescent="0.3"/>
    <row r="76" spans="1:56" x14ac:dyDescent="0.25">
      <c r="B76" s="164" t="s">
        <v>83</v>
      </c>
      <c r="C76" s="165"/>
      <c r="D76" s="160" t="s">
        <v>92</v>
      </c>
      <c r="E76" s="161"/>
    </row>
    <row r="77" spans="1:56" ht="15.75" customHeight="1" x14ac:dyDescent="0.25">
      <c r="B77" s="155" t="s">
        <v>84</v>
      </c>
      <c r="C77" s="156"/>
      <c r="D77" s="93" t="s">
        <v>93</v>
      </c>
      <c r="E77" s="157"/>
      <c r="L77" s="175"/>
    </row>
    <row r="78" spans="1:56" x14ac:dyDescent="0.25">
      <c r="B78" s="155" t="s">
        <v>85</v>
      </c>
      <c r="C78" s="156"/>
      <c r="D78" s="93" t="s">
        <v>94</v>
      </c>
      <c r="E78" s="157"/>
      <c r="L78" s="175"/>
    </row>
    <row r="79" spans="1:56" x14ac:dyDescent="0.25">
      <c r="B79" s="155" t="s">
        <v>86</v>
      </c>
      <c r="C79" s="156"/>
      <c r="D79" s="93" t="s">
        <v>92</v>
      </c>
      <c r="E79" s="157"/>
      <c r="L79" s="175"/>
    </row>
    <row r="80" spans="1:56" x14ac:dyDescent="0.25">
      <c r="B80" s="155" t="s">
        <v>87</v>
      </c>
      <c r="C80" s="156"/>
      <c r="D80" s="93" t="s">
        <v>95</v>
      </c>
      <c r="E80" s="157"/>
      <c r="L80" s="175"/>
    </row>
    <row r="81" spans="1:56" x14ac:dyDescent="0.25">
      <c r="B81" s="155" t="s">
        <v>88</v>
      </c>
      <c r="C81" s="156"/>
      <c r="D81" s="93" t="s">
        <v>96</v>
      </c>
      <c r="E81" s="157"/>
      <c r="L81" s="175"/>
    </row>
    <row r="82" spans="1:56" x14ac:dyDescent="0.25">
      <c r="B82" s="155" t="s">
        <v>89</v>
      </c>
      <c r="C82" s="156"/>
      <c r="D82" s="93" t="s">
        <v>97</v>
      </c>
      <c r="E82" s="157"/>
      <c r="L82" s="175"/>
    </row>
    <row r="83" spans="1:56" x14ac:dyDescent="0.25">
      <c r="B83" s="155" t="s">
        <v>90</v>
      </c>
      <c r="C83" s="156"/>
      <c r="D83" s="93" t="s">
        <v>98</v>
      </c>
      <c r="E83" s="157"/>
      <c r="L83" s="175"/>
    </row>
    <row r="84" spans="1:56" x14ac:dyDescent="0.25">
      <c r="B84" s="155" t="s">
        <v>51</v>
      </c>
      <c r="C84" s="156"/>
      <c r="D84" s="93">
        <v>2</v>
      </c>
      <c r="E84" s="157"/>
      <c r="L84" s="175"/>
    </row>
    <row r="85" spans="1:56" ht="15.75" thickBot="1" x14ac:dyDescent="0.3">
      <c r="B85" s="162" t="s">
        <v>91</v>
      </c>
      <c r="C85" s="163"/>
      <c r="D85" s="158" t="s">
        <v>99</v>
      </c>
      <c r="E85" s="159"/>
      <c r="L85" s="175"/>
    </row>
    <row r="86" spans="1:56" x14ac:dyDescent="0.25">
      <c r="L86" s="175"/>
    </row>
    <row r="87" spans="1:56" x14ac:dyDescent="0.25">
      <c r="L87" s="175"/>
    </row>
    <row r="88" spans="1:56" x14ac:dyDescent="0.25">
      <c r="L88" s="175"/>
    </row>
    <row r="89" spans="1:56" x14ac:dyDescent="0.25">
      <c r="L89" s="175"/>
    </row>
    <row r="90" spans="1:56" x14ac:dyDescent="0.25">
      <c r="L90" s="175"/>
    </row>
    <row r="91" spans="1:56" x14ac:dyDescent="0.25">
      <c r="L91" s="175"/>
    </row>
    <row r="92" spans="1:56" ht="15" customHeight="1" x14ac:dyDescent="0.25">
      <c r="A92" s="134" t="s">
        <v>104</v>
      </c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8"/>
      <c r="AW92" s="28"/>
      <c r="AX92" s="28"/>
      <c r="AY92" s="28"/>
      <c r="AZ92" s="28"/>
      <c r="BA92" s="28"/>
      <c r="BB92" s="28"/>
      <c r="BC92" s="28"/>
      <c r="BD92" s="28"/>
    </row>
    <row r="93" spans="1:56" ht="15" customHeight="1" x14ac:dyDescent="0.25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8"/>
      <c r="AW93" s="28"/>
      <c r="AX93" s="28"/>
      <c r="AY93" s="28"/>
      <c r="AZ93" s="28"/>
      <c r="BA93" s="28"/>
      <c r="BB93" s="28"/>
      <c r="BC93" s="28"/>
      <c r="BD93" s="28"/>
    </row>
    <row r="96" spans="1:56" ht="15.75" thickBot="1" x14ac:dyDescent="0.3"/>
    <row r="97" spans="1:7" x14ac:dyDescent="0.25">
      <c r="A97" s="1" t="s">
        <v>1</v>
      </c>
      <c r="B97" s="138" t="s">
        <v>2</v>
      </c>
      <c r="C97" s="139"/>
      <c r="D97" s="140"/>
      <c r="E97" s="7" t="s">
        <v>47</v>
      </c>
      <c r="F97" s="3" t="s">
        <v>14</v>
      </c>
    </row>
    <row r="98" spans="1:7" ht="15.75" customHeight="1" x14ac:dyDescent="0.25">
      <c r="A98" s="4">
        <v>1</v>
      </c>
      <c r="B98" s="104" t="s">
        <v>106</v>
      </c>
      <c r="C98" s="105"/>
      <c r="D98" s="106"/>
      <c r="E98" s="29" t="s">
        <v>105</v>
      </c>
      <c r="F98" s="6">
        <f>(0.1*(D10+1500)*9.81)/F42</f>
        <v>29.918761672289445</v>
      </c>
      <c r="G98" t="s">
        <v>214</v>
      </c>
    </row>
    <row r="99" spans="1:7" ht="15.75" customHeight="1" x14ac:dyDescent="0.25">
      <c r="A99" s="4">
        <v>2</v>
      </c>
      <c r="B99" s="104" t="s">
        <v>126</v>
      </c>
      <c r="C99" s="105"/>
      <c r="D99" s="106"/>
      <c r="E99" s="29" t="s">
        <v>130</v>
      </c>
      <c r="F99" s="6">
        <f>0.1*F64*(D10+1500)*9.81</f>
        <v>5164.9650000000011</v>
      </c>
    </row>
    <row r="100" spans="1:7" ht="15" customHeight="1" x14ac:dyDescent="0.25">
      <c r="A100" s="4">
        <v>3</v>
      </c>
      <c r="B100" s="104" t="s">
        <v>107</v>
      </c>
      <c r="C100" s="105"/>
      <c r="D100" s="106"/>
      <c r="E100" s="15" t="s">
        <v>116</v>
      </c>
      <c r="F100" s="6">
        <v>8.5</v>
      </c>
    </row>
    <row r="101" spans="1:7" ht="15" customHeight="1" x14ac:dyDescent="0.25">
      <c r="A101" s="4">
        <f t="shared" ref="A101:A110" si="5">A100+1</f>
        <v>4</v>
      </c>
      <c r="B101" s="104" t="s">
        <v>108</v>
      </c>
      <c r="C101" s="105"/>
      <c r="D101" s="106"/>
      <c r="E101" s="9" t="s">
        <v>117</v>
      </c>
      <c r="F101" s="6">
        <f>SQRT(F98*F100)</f>
        <v>15.947083564541208</v>
      </c>
      <c r="G101" t="s">
        <v>215</v>
      </c>
    </row>
    <row r="102" spans="1:7" ht="15" customHeight="1" x14ac:dyDescent="0.25">
      <c r="A102" s="4">
        <f t="shared" si="5"/>
        <v>5</v>
      </c>
      <c r="B102" s="104" t="s">
        <v>109</v>
      </c>
      <c r="C102" s="105"/>
      <c r="D102" s="106"/>
      <c r="E102" s="9" t="s">
        <v>118</v>
      </c>
      <c r="F102" s="6">
        <v>3</v>
      </c>
    </row>
    <row r="103" spans="1:7" ht="15" customHeight="1" x14ac:dyDescent="0.25">
      <c r="A103" s="4">
        <f t="shared" si="5"/>
        <v>6</v>
      </c>
      <c r="B103" s="104" t="s">
        <v>110</v>
      </c>
      <c r="C103" s="105"/>
      <c r="D103" s="106"/>
      <c r="E103" s="15" t="s">
        <v>119</v>
      </c>
      <c r="F103" s="6">
        <f>F102*F104</f>
        <v>2.8141912172719774</v>
      </c>
    </row>
    <row r="104" spans="1:7" ht="15" customHeight="1" x14ac:dyDescent="0.25">
      <c r="A104" s="4">
        <f t="shared" si="5"/>
        <v>7</v>
      </c>
      <c r="B104" s="104" t="s">
        <v>111</v>
      </c>
      <c r="C104" s="105"/>
      <c r="D104" s="106"/>
      <c r="E104" s="15" t="s">
        <v>121</v>
      </c>
      <c r="F104" s="6">
        <f>F105/2</f>
        <v>0.93806373909065921</v>
      </c>
    </row>
    <row r="105" spans="1:7" ht="15" customHeight="1" x14ac:dyDescent="0.25">
      <c r="A105" s="4">
        <f t="shared" si="5"/>
        <v>8</v>
      </c>
      <c r="B105" s="104" t="s">
        <v>112</v>
      </c>
      <c r="C105" s="105"/>
      <c r="D105" s="106"/>
      <c r="E105" s="9" t="s">
        <v>122</v>
      </c>
      <c r="F105" s="6">
        <f>F98/F101</f>
        <v>1.8761274781813184</v>
      </c>
    </row>
    <row r="106" spans="1:7" ht="15" customHeight="1" x14ac:dyDescent="0.25">
      <c r="A106" s="4">
        <f>A105+1</f>
        <v>9</v>
      </c>
      <c r="B106" s="141" t="s">
        <v>217</v>
      </c>
      <c r="C106" s="142"/>
      <c r="D106" s="143"/>
      <c r="E106" s="17" t="s">
        <v>123</v>
      </c>
      <c r="F106" s="18">
        <f>(2/3)*F103*((1+F102+F102^2)/(F102*(1+F102)))</f>
        <v>2.0324714346964279</v>
      </c>
    </row>
    <row r="107" spans="1:7" ht="15" customHeight="1" x14ac:dyDescent="0.25">
      <c r="A107" s="4">
        <f>A106+1</f>
        <v>10</v>
      </c>
      <c r="B107" s="104" t="s">
        <v>127</v>
      </c>
      <c r="C107" s="105"/>
      <c r="D107" s="106"/>
      <c r="E107" s="17" t="s">
        <v>128</v>
      </c>
      <c r="F107" s="18">
        <v>10</v>
      </c>
    </row>
    <row r="108" spans="1:7" ht="15" customHeight="1" x14ac:dyDescent="0.25">
      <c r="A108" s="4">
        <f>A107+1</f>
        <v>11</v>
      </c>
      <c r="B108" s="141" t="s">
        <v>113</v>
      </c>
      <c r="C108" s="142"/>
      <c r="D108" s="143"/>
      <c r="E108" s="17" t="s">
        <v>124</v>
      </c>
      <c r="F108" s="18">
        <f>ATAN((2/F101)*(F104-F103+(F101/2)*TAN(F107)))</f>
        <v>0.39171978504069088</v>
      </c>
      <c r="G108">
        <v>21</v>
      </c>
    </row>
    <row r="109" spans="1:7" ht="15" customHeight="1" x14ac:dyDescent="0.25">
      <c r="A109" s="4">
        <f t="shared" si="5"/>
        <v>12</v>
      </c>
      <c r="B109" s="104" t="s">
        <v>114</v>
      </c>
      <c r="C109" s="105"/>
      <c r="D109" s="106"/>
      <c r="E109" s="9" t="s">
        <v>125</v>
      </c>
      <c r="F109" s="6">
        <f>ATAN((2/F101)*((F104-F103)/4+(F101/2)*TAN(F107)))</f>
        <v>0.53269081542787167</v>
      </c>
      <c r="G109">
        <v>28</v>
      </c>
    </row>
    <row r="110" spans="1:7" ht="15.75" customHeight="1" thickBot="1" x14ac:dyDescent="0.3">
      <c r="A110" s="10">
        <f t="shared" si="5"/>
        <v>13</v>
      </c>
      <c r="B110" s="144" t="s">
        <v>115</v>
      </c>
      <c r="C110" s="145"/>
      <c r="D110" s="146"/>
      <c r="E110" s="45" t="s">
        <v>120</v>
      </c>
      <c r="F110" s="13">
        <v>5</v>
      </c>
    </row>
    <row r="111" spans="1:7" x14ac:dyDescent="0.25">
      <c r="B111" s="147" t="s">
        <v>216</v>
      </c>
      <c r="C111" s="148"/>
      <c r="D111" s="149" t="s">
        <v>100</v>
      </c>
      <c r="E111" s="150"/>
    </row>
    <row r="112" spans="1:7" ht="15.75" thickBot="1" x14ac:dyDescent="0.3">
      <c r="B112" s="151" t="s">
        <v>101</v>
      </c>
      <c r="C112" s="152"/>
      <c r="D112" s="153" t="s">
        <v>102</v>
      </c>
      <c r="E112" s="154"/>
    </row>
    <row r="115" spans="1:56" ht="15" customHeight="1" x14ac:dyDescent="0.25">
      <c r="A115" s="134" t="s">
        <v>129</v>
      </c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8"/>
      <c r="AW115" s="28"/>
      <c r="AX115" s="28"/>
      <c r="AY115" s="28"/>
      <c r="AZ115" s="28"/>
      <c r="BA115" s="28"/>
      <c r="BB115" s="28"/>
      <c r="BC115" s="28"/>
      <c r="BD115" s="28"/>
    </row>
    <row r="116" spans="1:56" ht="15" customHeight="1" x14ac:dyDescent="0.25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8"/>
      <c r="AW116" s="28"/>
      <c r="AX116" s="28"/>
      <c r="AY116" s="28"/>
      <c r="AZ116" s="28"/>
      <c r="BA116" s="28"/>
      <c r="BB116" s="28"/>
      <c r="BC116" s="28"/>
      <c r="BD116" s="28"/>
    </row>
    <row r="117" spans="1:56" ht="15.75" thickBot="1" x14ac:dyDescent="0.3"/>
    <row r="118" spans="1:56" x14ac:dyDescent="0.25">
      <c r="A118" s="1" t="s">
        <v>1</v>
      </c>
      <c r="B118" s="138" t="s">
        <v>2</v>
      </c>
      <c r="C118" s="139"/>
      <c r="D118" s="140"/>
      <c r="E118" s="7" t="s">
        <v>47</v>
      </c>
      <c r="F118" s="3" t="s">
        <v>14</v>
      </c>
    </row>
    <row r="119" spans="1:56" ht="15.75" x14ac:dyDescent="0.25">
      <c r="A119" s="4">
        <v>1</v>
      </c>
      <c r="B119" s="104" t="s">
        <v>131</v>
      </c>
      <c r="C119" s="105"/>
      <c r="D119" s="106"/>
      <c r="E119" s="29" t="s">
        <v>139</v>
      </c>
      <c r="F119" s="6">
        <f>(F126*F120*F129)/(F98*F106)</f>
        <v>0.91854778678827864</v>
      </c>
    </row>
    <row r="120" spans="1:56" ht="32.25" customHeight="1" x14ac:dyDescent="0.25">
      <c r="A120" s="4">
        <v>2</v>
      </c>
      <c r="B120" s="104" t="s">
        <v>132</v>
      </c>
      <c r="C120" s="105"/>
      <c r="D120" s="106"/>
      <c r="E120" s="29" t="s">
        <v>155</v>
      </c>
      <c r="F120" s="6">
        <v>2.2000000000000002</v>
      </c>
    </row>
    <row r="121" spans="1:56" ht="15.75" x14ac:dyDescent="0.25">
      <c r="A121" s="4">
        <v>3</v>
      </c>
      <c r="B121" s="104" t="s">
        <v>156</v>
      </c>
      <c r="C121" s="105"/>
      <c r="D121" s="106"/>
      <c r="E121" s="29" t="s">
        <v>159</v>
      </c>
      <c r="F121" s="6">
        <f>SQRT(F126*F122)</f>
        <v>7.2111025509279782</v>
      </c>
    </row>
    <row r="122" spans="1:56" x14ac:dyDescent="0.25">
      <c r="A122" s="4">
        <v>4</v>
      </c>
      <c r="B122" s="104" t="s">
        <v>133</v>
      </c>
      <c r="C122" s="105"/>
      <c r="D122" s="106"/>
      <c r="E122" s="15" t="s">
        <v>140</v>
      </c>
      <c r="F122" s="6">
        <v>4</v>
      </c>
    </row>
    <row r="123" spans="1:56" x14ac:dyDescent="0.25">
      <c r="A123" s="4">
        <f t="shared" ref="A123:A130" si="6">A122+1</f>
        <v>5</v>
      </c>
      <c r="B123" s="104" t="s">
        <v>134</v>
      </c>
      <c r="C123" s="105"/>
      <c r="D123" s="106"/>
      <c r="E123" s="9" t="s">
        <v>141</v>
      </c>
      <c r="F123" s="6">
        <v>3</v>
      </c>
    </row>
    <row r="124" spans="1:56" x14ac:dyDescent="0.25">
      <c r="A124" s="4">
        <f t="shared" si="6"/>
        <v>6</v>
      </c>
      <c r="B124" s="104" t="s">
        <v>135</v>
      </c>
      <c r="C124" s="105"/>
      <c r="D124" s="106"/>
      <c r="E124" s="9" t="s">
        <v>142</v>
      </c>
      <c r="F124" s="6">
        <v>35.1</v>
      </c>
    </row>
    <row r="125" spans="1:56" x14ac:dyDescent="0.25">
      <c r="A125" s="4">
        <f t="shared" si="6"/>
        <v>7</v>
      </c>
      <c r="B125" s="104" t="s">
        <v>136</v>
      </c>
      <c r="C125" s="105"/>
      <c r="D125" s="106"/>
      <c r="E125" s="9" t="s">
        <v>154</v>
      </c>
      <c r="F125" s="6">
        <v>0</v>
      </c>
    </row>
    <row r="126" spans="1:56" x14ac:dyDescent="0.25">
      <c r="A126" s="4">
        <f t="shared" si="6"/>
        <v>8</v>
      </c>
      <c r="B126" s="104" t="s">
        <v>175</v>
      </c>
      <c r="C126" s="105"/>
      <c r="D126" s="106"/>
      <c r="E126" s="9" t="s">
        <v>176</v>
      </c>
      <c r="F126" s="6">
        <v>13</v>
      </c>
    </row>
    <row r="127" spans="1:56" x14ac:dyDescent="0.25">
      <c r="A127" s="4">
        <f t="shared" si="6"/>
        <v>9</v>
      </c>
      <c r="B127" s="104" t="s">
        <v>110</v>
      </c>
      <c r="C127" s="105"/>
      <c r="D127" s="106"/>
      <c r="E127" s="15" t="s">
        <v>138</v>
      </c>
      <c r="F127" s="6">
        <f>F123*F128</f>
        <v>2.7041634565979922</v>
      </c>
    </row>
    <row r="128" spans="1:56" x14ac:dyDescent="0.25">
      <c r="A128" s="4">
        <f t="shared" si="6"/>
        <v>10</v>
      </c>
      <c r="B128" s="104" t="s">
        <v>111</v>
      </c>
      <c r="C128" s="105"/>
      <c r="D128" s="106"/>
      <c r="E128" s="15" t="s">
        <v>137</v>
      </c>
      <c r="F128" s="6">
        <f>(F126/F121)/2</f>
        <v>0.90138781886599739</v>
      </c>
    </row>
    <row r="129" spans="1:56" x14ac:dyDescent="0.25">
      <c r="A129" s="4">
        <f t="shared" si="6"/>
        <v>11</v>
      </c>
      <c r="B129" s="141" t="s">
        <v>218</v>
      </c>
      <c r="C129" s="142"/>
      <c r="D129" s="143"/>
      <c r="E129" s="17" t="s">
        <v>152</v>
      </c>
      <c r="F129" s="18">
        <f>(2/3)*F127*((1+F123+F123^2)/(F123*(1+F123)))</f>
        <v>1.9530069408763275</v>
      </c>
    </row>
    <row r="130" spans="1:56" ht="15.75" thickBot="1" x14ac:dyDescent="0.3">
      <c r="A130" s="4">
        <f t="shared" si="6"/>
        <v>12</v>
      </c>
      <c r="B130" s="144" t="s">
        <v>113</v>
      </c>
      <c r="C130" s="145"/>
      <c r="D130" s="146"/>
      <c r="E130" s="12" t="s">
        <v>153</v>
      </c>
      <c r="F130" s="13">
        <f>ATAN((2/F121)*(F128-F127+(F121/2)*TAN(F124)))</f>
        <v>0.10244693995538795</v>
      </c>
      <c r="G130">
        <v>6</v>
      </c>
    </row>
    <row r="133" spans="1:56" ht="15" customHeight="1" x14ac:dyDescent="0.25">
      <c r="A133" s="134" t="s">
        <v>143</v>
      </c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8"/>
      <c r="AW133" s="28"/>
      <c r="AX133" s="28"/>
      <c r="AY133" s="28"/>
      <c r="AZ133" s="28"/>
      <c r="BA133" s="28"/>
      <c r="BB133" s="28"/>
      <c r="BC133" s="28"/>
      <c r="BD133" s="28"/>
    </row>
    <row r="134" spans="1:56" ht="15" customHeight="1" x14ac:dyDescent="0.25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8"/>
      <c r="AW134" s="28"/>
      <c r="AX134" s="28"/>
      <c r="AY134" s="28"/>
      <c r="AZ134" s="28"/>
      <c r="BA134" s="28"/>
      <c r="BB134" s="28"/>
      <c r="BC134" s="28"/>
      <c r="BD134" s="28"/>
    </row>
    <row r="135" spans="1:56" ht="15.75" thickBot="1" x14ac:dyDescent="0.3"/>
    <row r="136" spans="1:56" x14ac:dyDescent="0.25">
      <c r="A136" s="1" t="s">
        <v>1</v>
      </c>
      <c r="B136" s="138" t="s">
        <v>2</v>
      </c>
      <c r="C136" s="139"/>
      <c r="D136" s="140"/>
      <c r="E136" s="7" t="s">
        <v>47</v>
      </c>
      <c r="F136" s="3" t="s">
        <v>14</v>
      </c>
    </row>
    <row r="137" spans="1:56" ht="15.75" x14ac:dyDescent="0.25">
      <c r="A137" s="4">
        <v>1</v>
      </c>
      <c r="B137" s="104" t="s">
        <v>131</v>
      </c>
      <c r="C137" s="105"/>
      <c r="D137" s="106"/>
      <c r="E137" s="29" t="s">
        <v>144</v>
      </c>
      <c r="F137" s="6">
        <f>(F144*F138*F147)/(F98*F101)</f>
        <v>7.5255327945316614E-2</v>
      </c>
    </row>
    <row r="138" spans="1:56" ht="32.25" customHeight="1" x14ac:dyDescent="0.25">
      <c r="A138" s="4">
        <v>2</v>
      </c>
      <c r="B138" s="104" t="s">
        <v>132</v>
      </c>
      <c r="C138" s="105"/>
      <c r="D138" s="106"/>
      <c r="E138" s="29" t="s">
        <v>145</v>
      </c>
      <c r="F138" s="6">
        <v>2</v>
      </c>
    </row>
    <row r="139" spans="1:56" ht="15.75" x14ac:dyDescent="0.25">
      <c r="A139" s="4">
        <v>3</v>
      </c>
      <c r="B139" s="120" t="s">
        <v>157</v>
      </c>
      <c r="C139" s="121"/>
      <c r="D139" s="122"/>
      <c r="E139" s="29" t="s">
        <v>158</v>
      </c>
      <c r="F139" s="6">
        <f>SQRT(F144*F140)</f>
        <v>2.5495097567963922</v>
      </c>
    </row>
    <row r="140" spans="1:56" x14ac:dyDescent="0.25">
      <c r="A140" s="4">
        <v>4</v>
      </c>
      <c r="B140" s="104" t="s">
        <v>166</v>
      </c>
      <c r="C140" s="105"/>
      <c r="D140" s="106"/>
      <c r="E140" s="15" t="s">
        <v>146</v>
      </c>
      <c r="F140" s="6">
        <v>1</v>
      </c>
    </row>
    <row r="141" spans="1:56" x14ac:dyDescent="0.25">
      <c r="A141" s="4">
        <f t="shared" ref="A141:A148" si="7">A140+1</f>
        <v>5</v>
      </c>
      <c r="B141" s="104" t="s">
        <v>161</v>
      </c>
      <c r="C141" s="105"/>
      <c r="D141" s="106"/>
      <c r="E141" s="9" t="s">
        <v>147</v>
      </c>
      <c r="F141" s="6">
        <v>3</v>
      </c>
    </row>
    <row r="142" spans="1:56" x14ac:dyDescent="0.25">
      <c r="A142" s="4">
        <f t="shared" si="7"/>
        <v>6</v>
      </c>
      <c r="B142" s="104" t="s">
        <v>162</v>
      </c>
      <c r="C142" s="105"/>
      <c r="D142" s="106"/>
      <c r="E142" s="9" t="s">
        <v>148</v>
      </c>
      <c r="F142" s="6">
        <v>39</v>
      </c>
    </row>
    <row r="143" spans="1:56" x14ac:dyDescent="0.25">
      <c r="A143" s="4">
        <f>A142+1</f>
        <v>7</v>
      </c>
      <c r="B143" s="104" t="s">
        <v>163</v>
      </c>
      <c r="C143" s="105"/>
      <c r="D143" s="106"/>
      <c r="E143" s="9" t="s">
        <v>120</v>
      </c>
      <c r="F143" s="6">
        <v>0</v>
      </c>
    </row>
    <row r="144" spans="1:56" x14ac:dyDescent="0.25">
      <c r="A144" s="4">
        <f t="shared" ref="A144:A147" si="8">A143+1</f>
        <v>8</v>
      </c>
      <c r="B144" s="104" t="s">
        <v>219</v>
      </c>
      <c r="C144" s="105"/>
      <c r="D144" s="106"/>
      <c r="E144" s="9" t="s">
        <v>177</v>
      </c>
      <c r="F144" s="6">
        <v>6.5</v>
      </c>
    </row>
    <row r="145" spans="1:56" x14ac:dyDescent="0.25">
      <c r="A145" s="4">
        <f t="shared" si="8"/>
        <v>9</v>
      </c>
      <c r="B145" s="104" t="s">
        <v>110</v>
      </c>
      <c r="C145" s="105"/>
      <c r="D145" s="106"/>
      <c r="E145" s="15" t="s">
        <v>149</v>
      </c>
      <c r="F145" s="6">
        <f>F141*F146</f>
        <v>3.8242646351945888</v>
      </c>
    </row>
    <row r="146" spans="1:56" x14ac:dyDescent="0.25">
      <c r="A146" s="4">
        <f t="shared" si="8"/>
        <v>10</v>
      </c>
      <c r="B146" s="104" t="s">
        <v>111</v>
      </c>
      <c r="C146" s="105"/>
      <c r="D146" s="106"/>
      <c r="E146" s="15" t="s">
        <v>150</v>
      </c>
      <c r="F146" s="6">
        <f>(F144/F139)/2</f>
        <v>1.2747548783981963</v>
      </c>
    </row>
    <row r="147" spans="1:56" x14ac:dyDescent="0.25">
      <c r="A147" s="4">
        <f t="shared" si="8"/>
        <v>11</v>
      </c>
      <c r="B147" s="141" t="s">
        <v>218</v>
      </c>
      <c r="C147" s="142"/>
      <c r="D147" s="143"/>
      <c r="E147" s="17" t="s">
        <v>160</v>
      </c>
      <c r="F147" s="18">
        <f>(2/3)*F145*((1+F141+F141^2)/(F141*(1+F141)))</f>
        <v>2.7619689031960912</v>
      </c>
    </row>
    <row r="148" spans="1:56" ht="15.75" thickBot="1" x14ac:dyDescent="0.3">
      <c r="A148" s="10">
        <f t="shared" si="7"/>
        <v>12</v>
      </c>
      <c r="B148" s="144" t="s">
        <v>113</v>
      </c>
      <c r="C148" s="145"/>
      <c r="D148" s="146"/>
      <c r="E148" s="12" t="s">
        <v>151</v>
      </c>
      <c r="F148" s="13">
        <f>ATAN((2/F139)*(F146-F145+(F139/2)*TAN(F142)))</f>
        <v>1.016258736581132</v>
      </c>
      <c r="G148">
        <v>45</v>
      </c>
    </row>
    <row r="150" spans="1:56" ht="15" customHeight="1" x14ac:dyDescent="0.25">
      <c r="A150" s="134" t="s">
        <v>174</v>
      </c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8"/>
      <c r="AW150" s="28"/>
      <c r="AX150" s="28"/>
      <c r="AY150" s="28"/>
      <c r="AZ150" s="28"/>
      <c r="BA150" s="28"/>
      <c r="BB150" s="28"/>
      <c r="BC150" s="28"/>
      <c r="BD150" s="28"/>
    </row>
    <row r="151" spans="1:56" ht="15" customHeight="1" x14ac:dyDescent="0.25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8"/>
      <c r="AW151" s="28"/>
      <c r="AX151" s="28"/>
      <c r="AY151" s="28"/>
      <c r="AZ151" s="28"/>
      <c r="BA151" s="28"/>
      <c r="BB151" s="28"/>
      <c r="BC151" s="28"/>
      <c r="BD151" s="28"/>
    </row>
    <row r="152" spans="1:56" ht="15.75" thickBot="1" x14ac:dyDescent="0.3"/>
    <row r="153" spans="1:56" x14ac:dyDescent="0.25">
      <c r="A153" s="1" t="s">
        <v>1</v>
      </c>
      <c r="B153" s="138" t="s">
        <v>2</v>
      </c>
      <c r="C153" s="139"/>
      <c r="D153" s="140"/>
      <c r="E153" s="7" t="s">
        <v>47</v>
      </c>
      <c r="F153" s="3" t="s">
        <v>14</v>
      </c>
    </row>
    <row r="154" spans="1:56" ht="15.75" x14ac:dyDescent="0.25">
      <c r="A154" s="4">
        <v>1</v>
      </c>
      <c r="B154" s="104" t="s">
        <v>164</v>
      </c>
      <c r="C154" s="105"/>
      <c r="D154" s="106"/>
      <c r="E154" s="29" t="s">
        <v>173</v>
      </c>
      <c r="F154" s="6">
        <f>0.35*F126</f>
        <v>4.55</v>
      </c>
    </row>
    <row r="155" spans="1:56" ht="32.25" customHeight="1" x14ac:dyDescent="0.25">
      <c r="A155" s="4">
        <v>2</v>
      </c>
      <c r="B155" s="104" t="s">
        <v>165</v>
      </c>
      <c r="C155" s="105"/>
      <c r="D155" s="106"/>
      <c r="E155" s="29" t="s">
        <v>172</v>
      </c>
      <c r="F155" s="6">
        <f>0.4*F144</f>
        <v>2.6</v>
      </c>
    </row>
    <row r="156" spans="1:56" ht="15.75" x14ac:dyDescent="0.25">
      <c r="A156" s="4">
        <v>3</v>
      </c>
      <c r="B156" s="120" t="s">
        <v>167</v>
      </c>
      <c r="C156" s="121"/>
      <c r="D156" s="122"/>
      <c r="E156" s="29" t="s">
        <v>171</v>
      </c>
      <c r="F156" s="6">
        <f>0.06*F98</f>
        <v>1.7951257003373666</v>
      </c>
    </row>
    <row r="157" spans="1:56" x14ac:dyDescent="0.25">
      <c r="A157" s="4">
        <v>4</v>
      </c>
      <c r="B157" s="104" t="s">
        <v>168</v>
      </c>
      <c r="C157" s="105"/>
      <c r="D157" s="106"/>
      <c r="E157" s="15" t="s">
        <v>170</v>
      </c>
      <c r="F157" s="6">
        <f>0.35*F101</f>
        <v>5.5814792475894226</v>
      </c>
    </row>
    <row r="158" spans="1:56" ht="15.75" thickBot="1" x14ac:dyDescent="0.3">
      <c r="A158" s="10">
        <f t="shared" ref="A158" si="9">A157+1</f>
        <v>5</v>
      </c>
      <c r="B158" s="144" t="s">
        <v>350</v>
      </c>
      <c r="C158" s="145"/>
      <c r="D158" s="146"/>
      <c r="E158" s="12" t="s">
        <v>169</v>
      </c>
      <c r="F158" s="13">
        <f>0.23*F106</f>
        <v>0.46746842998017846</v>
      </c>
    </row>
    <row r="162" spans="1:56" ht="15" customHeight="1" x14ac:dyDescent="0.25">
      <c r="A162" s="134" t="s">
        <v>178</v>
      </c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8"/>
      <c r="AW162" s="28"/>
      <c r="AX162" s="28"/>
      <c r="AY162" s="28"/>
      <c r="AZ162" s="28"/>
      <c r="BA162" s="28"/>
      <c r="BB162" s="28"/>
      <c r="BC162" s="28"/>
      <c r="BD162" s="28"/>
    </row>
    <row r="163" spans="1:56" ht="15" customHeight="1" x14ac:dyDescent="0.25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8"/>
      <c r="AW163" s="28"/>
      <c r="AX163" s="28"/>
      <c r="AY163" s="28"/>
      <c r="AZ163" s="28"/>
      <c r="BA163" s="28"/>
      <c r="BB163" s="28"/>
      <c r="BC163" s="28"/>
      <c r="BD163" s="28"/>
    </row>
    <row r="166" spans="1:56" x14ac:dyDescent="0.25">
      <c r="A166" s="49" t="s">
        <v>1</v>
      </c>
      <c r="B166" s="123" t="s">
        <v>2</v>
      </c>
      <c r="C166" s="123"/>
      <c r="D166" s="123"/>
      <c r="E166" s="50" t="s">
        <v>47</v>
      </c>
      <c r="F166" s="51" t="s">
        <v>202</v>
      </c>
    </row>
    <row r="167" spans="1:56" ht="15" customHeight="1" x14ac:dyDescent="0.25">
      <c r="A167" s="52"/>
      <c r="B167" s="52" t="s">
        <v>179</v>
      </c>
      <c r="C167" s="52"/>
      <c r="D167" s="52"/>
      <c r="E167" s="52" t="s">
        <v>192</v>
      </c>
      <c r="F167" s="52">
        <f>F168*F169+F170*F171+F172*2+F173*2</f>
        <v>2070</v>
      </c>
    </row>
    <row r="168" spans="1:56" ht="15.75" x14ac:dyDescent="0.25">
      <c r="A168" s="46">
        <v>1</v>
      </c>
      <c r="B168" s="127" t="s">
        <v>180</v>
      </c>
      <c r="C168" s="127"/>
      <c r="D168" s="127"/>
      <c r="E168" s="53" t="s">
        <v>188</v>
      </c>
      <c r="F168" s="46">
        <v>1260</v>
      </c>
    </row>
    <row r="169" spans="1:56" ht="15.75" x14ac:dyDescent="0.25">
      <c r="A169" s="46">
        <v>2</v>
      </c>
      <c r="B169" s="127" t="s">
        <v>181</v>
      </c>
      <c r="C169" s="127"/>
      <c r="D169" s="127"/>
      <c r="E169" s="53" t="s">
        <v>189</v>
      </c>
      <c r="F169" s="46">
        <v>1</v>
      </c>
    </row>
    <row r="170" spans="1:56" ht="15.75" x14ac:dyDescent="0.25">
      <c r="A170" s="46">
        <v>3</v>
      </c>
      <c r="B170" s="128" t="s">
        <v>182</v>
      </c>
      <c r="C170" s="128"/>
      <c r="D170" s="128"/>
      <c r="E170" s="53" t="s">
        <v>190</v>
      </c>
      <c r="F170" s="46">
        <v>510</v>
      </c>
    </row>
    <row r="171" spans="1:56" x14ac:dyDescent="0.25">
      <c r="A171" s="46">
        <v>4</v>
      </c>
      <c r="B171" s="127" t="s">
        <v>183</v>
      </c>
      <c r="C171" s="127"/>
      <c r="D171" s="127"/>
      <c r="E171" s="48" t="s">
        <v>191</v>
      </c>
      <c r="F171" s="46">
        <v>1</v>
      </c>
    </row>
    <row r="172" spans="1:56" x14ac:dyDescent="0.25">
      <c r="A172" s="46">
        <v>5</v>
      </c>
      <c r="B172" s="127" t="s">
        <v>184</v>
      </c>
      <c r="C172" s="127"/>
      <c r="D172" s="127"/>
      <c r="E172" s="48" t="s">
        <v>186</v>
      </c>
      <c r="F172" s="46">
        <v>30</v>
      </c>
    </row>
    <row r="173" spans="1:56" x14ac:dyDescent="0.25">
      <c r="A173" s="46">
        <f t="shared" ref="A173:A183" si="10">A172+1</f>
        <v>6</v>
      </c>
      <c r="B173" s="127" t="s">
        <v>185</v>
      </c>
      <c r="C173" s="127"/>
      <c r="D173" s="127"/>
      <c r="E173" s="47" t="s">
        <v>187</v>
      </c>
      <c r="F173" s="46">
        <v>120</v>
      </c>
    </row>
    <row r="174" spans="1:56" ht="15" customHeight="1" x14ac:dyDescent="0.25">
      <c r="A174" s="52"/>
      <c r="B174" s="133" t="s">
        <v>193</v>
      </c>
      <c r="C174" s="133"/>
      <c r="D174" s="133"/>
      <c r="E174" s="54" t="s">
        <v>210</v>
      </c>
      <c r="F174" s="54">
        <f>F175+(F177-1)*F178+F176</f>
        <v>6580</v>
      </c>
    </row>
    <row r="175" spans="1:56" x14ac:dyDescent="0.25">
      <c r="A175" s="46">
        <f t="shared" si="10"/>
        <v>1</v>
      </c>
      <c r="B175" s="127" t="s">
        <v>194</v>
      </c>
      <c r="C175" s="127"/>
      <c r="D175" s="127"/>
      <c r="E175" s="47" t="s">
        <v>199</v>
      </c>
      <c r="F175" s="46">
        <v>630</v>
      </c>
    </row>
    <row r="176" spans="1:56" ht="15" customHeight="1" x14ac:dyDescent="0.25">
      <c r="A176" s="46">
        <f t="shared" si="10"/>
        <v>2</v>
      </c>
      <c r="B176" s="127" t="s">
        <v>195</v>
      </c>
      <c r="C176" s="127"/>
      <c r="D176" s="127"/>
      <c r="E176" s="47" t="s">
        <v>200</v>
      </c>
      <c r="F176" s="46">
        <v>1000</v>
      </c>
    </row>
    <row r="177" spans="1:56" x14ac:dyDescent="0.25">
      <c r="A177" s="46">
        <f t="shared" si="10"/>
        <v>3</v>
      </c>
      <c r="B177" s="127" t="s">
        <v>196</v>
      </c>
      <c r="C177" s="127"/>
      <c r="D177" s="127"/>
      <c r="E177" s="47" t="s">
        <v>201</v>
      </c>
      <c r="F177" s="46">
        <v>6</v>
      </c>
    </row>
    <row r="178" spans="1:56" x14ac:dyDescent="0.25">
      <c r="A178" s="46">
        <f t="shared" si="10"/>
        <v>4</v>
      </c>
      <c r="B178" s="127" t="s">
        <v>197</v>
      </c>
      <c r="C178" s="127"/>
      <c r="D178" s="127"/>
      <c r="E178" s="47" t="s">
        <v>198</v>
      </c>
      <c r="F178" s="46">
        <v>990</v>
      </c>
    </row>
    <row r="179" spans="1:56" x14ac:dyDescent="0.25">
      <c r="A179" s="52"/>
      <c r="B179" s="133" t="s">
        <v>203</v>
      </c>
      <c r="C179" s="133"/>
      <c r="D179" s="133"/>
      <c r="E179" s="54" t="s">
        <v>204</v>
      </c>
      <c r="F179" s="54">
        <v>2100</v>
      </c>
    </row>
    <row r="180" spans="1:56" ht="15" customHeight="1" x14ac:dyDescent="0.25">
      <c r="A180" s="52"/>
      <c r="B180" s="133" t="s">
        <v>205</v>
      </c>
      <c r="C180" s="133"/>
      <c r="D180" s="133"/>
      <c r="E180" s="54" t="s">
        <v>213</v>
      </c>
      <c r="F180" s="54">
        <f>F174+F181*F183+F182*F183</f>
        <v>14980</v>
      </c>
    </row>
    <row r="181" spans="1:56" ht="15" customHeight="1" x14ac:dyDescent="0.25">
      <c r="A181" s="46">
        <f t="shared" si="10"/>
        <v>1</v>
      </c>
      <c r="B181" s="137" t="s">
        <v>206</v>
      </c>
      <c r="C181" s="137"/>
      <c r="D181" s="137"/>
      <c r="E181" s="48" t="s">
        <v>211</v>
      </c>
      <c r="F181" s="46">
        <v>1.5</v>
      </c>
    </row>
    <row r="182" spans="1:56" ht="15" customHeight="1" x14ac:dyDescent="0.25">
      <c r="A182" s="46">
        <f t="shared" si="10"/>
        <v>2</v>
      </c>
      <c r="B182" s="137" t="s">
        <v>207</v>
      </c>
      <c r="C182" s="137"/>
      <c r="D182" s="137"/>
      <c r="E182" s="47" t="s">
        <v>212</v>
      </c>
      <c r="F182" s="46">
        <v>2.5</v>
      </c>
    </row>
    <row r="183" spans="1:56" ht="15" customHeight="1" x14ac:dyDescent="0.25">
      <c r="A183" s="46">
        <f t="shared" si="10"/>
        <v>3</v>
      </c>
      <c r="B183" s="137" t="s">
        <v>208</v>
      </c>
      <c r="C183" s="137"/>
      <c r="D183" s="137"/>
      <c r="E183" s="47" t="s">
        <v>209</v>
      </c>
      <c r="F183" s="46">
        <v>2100</v>
      </c>
    </row>
    <row r="187" spans="1:56" ht="15" customHeight="1" x14ac:dyDescent="0.25">
      <c r="A187" s="134" t="s">
        <v>351</v>
      </c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8"/>
      <c r="AW187" s="28"/>
      <c r="AX187" s="28"/>
      <c r="AY187" s="28"/>
      <c r="AZ187" s="28"/>
      <c r="BA187" s="28"/>
      <c r="BB187" s="28"/>
      <c r="BC187" s="28"/>
      <c r="BD187" s="28"/>
    </row>
    <row r="188" spans="1:56" ht="15" customHeight="1" x14ac:dyDescent="0.25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8"/>
      <c r="AW188" s="28"/>
      <c r="AX188" s="28"/>
      <c r="AY188" s="28"/>
      <c r="AZ188" s="28"/>
      <c r="BA188" s="28"/>
      <c r="BB188" s="28"/>
      <c r="BC188" s="28"/>
      <c r="BD188" s="28"/>
    </row>
    <row r="191" spans="1:56" x14ac:dyDescent="0.25">
      <c r="A191" s="49" t="s">
        <v>1</v>
      </c>
      <c r="B191" s="123" t="s">
        <v>2</v>
      </c>
      <c r="C191" s="123"/>
      <c r="D191" s="123"/>
      <c r="E191" s="50" t="s">
        <v>47</v>
      </c>
      <c r="F191" s="55" t="s">
        <v>202</v>
      </c>
    </row>
    <row r="192" spans="1:56" x14ac:dyDescent="0.25">
      <c r="A192" s="52"/>
      <c r="B192" s="124" t="s">
        <v>239</v>
      </c>
      <c r="C192" s="125"/>
      <c r="D192" s="126"/>
      <c r="E192" s="52" t="s">
        <v>293</v>
      </c>
      <c r="F192" s="77">
        <f>1.15*10^(-4)*F194*F193*F195*F196*((F198*F197*SQRT(F199))/(SQRT(F200*F201)*(COS(F202))^1.5))*((F203+4)/(F203+1)*(1-(F204-1)/(F203+3)))</f>
        <v>0.13893066642163743</v>
      </c>
    </row>
    <row r="193" spans="1:7" ht="15.75" x14ac:dyDescent="0.25">
      <c r="A193" s="46">
        <v>1</v>
      </c>
      <c r="B193" s="127" t="s">
        <v>352</v>
      </c>
      <c r="C193" s="127"/>
      <c r="D193" s="127"/>
      <c r="E193" s="53" t="s">
        <v>220</v>
      </c>
      <c r="F193" s="78">
        <v>0.95</v>
      </c>
    </row>
    <row r="194" spans="1:7" ht="15.75" x14ac:dyDescent="0.25">
      <c r="A194" s="46">
        <f>A193+1</f>
        <v>2</v>
      </c>
      <c r="B194" s="127" t="s">
        <v>229</v>
      </c>
      <c r="C194" s="127"/>
      <c r="D194" s="127"/>
      <c r="E194" s="56" t="s">
        <v>221</v>
      </c>
      <c r="F194" s="78">
        <v>1.1499999999999999</v>
      </c>
    </row>
    <row r="195" spans="1:7" ht="15.75" x14ac:dyDescent="0.25">
      <c r="A195" s="46">
        <f t="shared" ref="A195:A204" si="11">A194+1</f>
        <v>3</v>
      </c>
      <c r="B195" s="128" t="s">
        <v>230</v>
      </c>
      <c r="C195" s="128"/>
      <c r="D195" s="128"/>
      <c r="E195" s="56" t="s">
        <v>222</v>
      </c>
      <c r="F195" s="78">
        <v>1</v>
      </c>
    </row>
    <row r="196" spans="1:7" ht="15.75" x14ac:dyDescent="0.25">
      <c r="A196" s="46">
        <f t="shared" si="11"/>
        <v>4</v>
      </c>
      <c r="B196" s="127" t="s">
        <v>231</v>
      </c>
      <c r="C196" s="127"/>
      <c r="D196" s="127"/>
      <c r="E196" s="57" t="s">
        <v>225</v>
      </c>
      <c r="F196" s="78">
        <v>0.68411999999999995</v>
      </c>
    </row>
    <row r="197" spans="1:7" ht="15.75" x14ac:dyDescent="0.25">
      <c r="A197" s="46">
        <f t="shared" si="11"/>
        <v>5</v>
      </c>
      <c r="B197" s="127" t="s">
        <v>232</v>
      </c>
      <c r="C197" s="127"/>
      <c r="D197" s="127"/>
      <c r="E197" s="57" t="s">
        <v>224</v>
      </c>
      <c r="F197" s="78">
        <v>5.5</v>
      </c>
    </row>
    <row r="198" spans="1:7" ht="15.75" x14ac:dyDescent="0.25">
      <c r="A198" s="46">
        <f t="shared" si="11"/>
        <v>6</v>
      </c>
      <c r="B198" s="127" t="s">
        <v>233</v>
      </c>
      <c r="C198" s="127"/>
      <c r="D198" s="127"/>
      <c r="E198" s="57" t="s">
        <v>116</v>
      </c>
      <c r="F198" s="78">
        <v>8.5</v>
      </c>
    </row>
    <row r="199" spans="1:7" ht="15.75" x14ac:dyDescent="0.25">
      <c r="A199" s="46">
        <f t="shared" si="11"/>
        <v>7</v>
      </c>
      <c r="B199" s="127" t="s">
        <v>234</v>
      </c>
      <c r="C199" s="127"/>
      <c r="D199" s="127"/>
      <c r="E199" s="53" t="s">
        <v>105</v>
      </c>
      <c r="F199" s="78">
        <v>29.918759999999999</v>
      </c>
    </row>
    <row r="200" spans="1:7" ht="15.75" x14ac:dyDescent="0.25">
      <c r="A200" s="46">
        <f t="shared" si="11"/>
        <v>8</v>
      </c>
      <c r="B200" s="128" t="s">
        <v>235</v>
      </c>
      <c r="C200" s="128"/>
      <c r="D200" s="128"/>
      <c r="E200" s="57" t="s">
        <v>223</v>
      </c>
      <c r="F200" s="78">
        <v>0.9</v>
      </c>
    </row>
    <row r="201" spans="1:7" ht="15.75" x14ac:dyDescent="0.25">
      <c r="A201" s="46">
        <f t="shared" si="11"/>
        <v>9</v>
      </c>
      <c r="B201" s="127" t="s">
        <v>236</v>
      </c>
      <c r="C201" s="127"/>
      <c r="D201" s="127"/>
      <c r="E201" s="56" t="s">
        <v>228</v>
      </c>
      <c r="F201" s="78">
        <v>0.12</v>
      </c>
    </row>
    <row r="202" spans="1:7" ht="15.75" x14ac:dyDescent="0.25">
      <c r="A202" s="46">
        <f t="shared" si="11"/>
        <v>10</v>
      </c>
      <c r="B202" s="127" t="s">
        <v>114</v>
      </c>
      <c r="C202" s="127"/>
      <c r="D202" s="127"/>
      <c r="E202" s="56" t="s">
        <v>226</v>
      </c>
      <c r="F202" s="78">
        <v>0.48869200000000002</v>
      </c>
    </row>
    <row r="203" spans="1:7" ht="15.75" x14ac:dyDescent="0.25">
      <c r="A203" s="46">
        <f t="shared" si="11"/>
        <v>11</v>
      </c>
      <c r="B203" s="127" t="s">
        <v>237</v>
      </c>
      <c r="C203" s="127"/>
      <c r="D203" s="127"/>
      <c r="E203" s="57" t="s">
        <v>118</v>
      </c>
      <c r="F203" s="78">
        <v>3</v>
      </c>
    </row>
    <row r="204" spans="1:7" ht="15.75" x14ac:dyDescent="0.25">
      <c r="A204" s="46">
        <f t="shared" si="11"/>
        <v>12</v>
      </c>
      <c r="B204" s="104" t="s">
        <v>238</v>
      </c>
      <c r="C204" s="105"/>
      <c r="D204" s="106"/>
      <c r="E204" s="57" t="s">
        <v>227</v>
      </c>
      <c r="F204" s="78">
        <f>F201/0.11</f>
        <v>1.0909090909090908</v>
      </c>
    </row>
    <row r="205" spans="1:7" x14ac:dyDescent="0.25">
      <c r="A205" s="52"/>
      <c r="B205" s="133" t="s">
        <v>268</v>
      </c>
      <c r="C205" s="133"/>
      <c r="D205" s="133"/>
      <c r="E205" s="54" t="s">
        <v>240</v>
      </c>
      <c r="F205" s="79">
        <f>1.14*F206*(1-0.4*F207)*F208^1.5*F209^(-0.75)</f>
        <v>4.099257289188292E-2</v>
      </c>
    </row>
    <row r="206" spans="1:7" x14ac:dyDescent="0.25">
      <c r="A206" s="46">
        <f t="shared" ref="A206:A213" si="12">A205+1</f>
        <v>1</v>
      </c>
      <c r="B206" s="127" t="s">
        <v>247</v>
      </c>
      <c r="C206" s="127"/>
      <c r="D206" s="127"/>
      <c r="E206" s="47" t="s">
        <v>241</v>
      </c>
      <c r="F206" s="78">
        <v>1.1399999999999999</v>
      </c>
    </row>
    <row r="207" spans="1:7" x14ac:dyDescent="0.25">
      <c r="A207" s="46">
        <f t="shared" si="12"/>
        <v>2</v>
      </c>
      <c r="B207" s="127" t="s">
        <v>246</v>
      </c>
      <c r="C207" s="127"/>
      <c r="D207" s="127"/>
      <c r="E207" s="47" t="s">
        <v>242</v>
      </c>
      <c r="F207" s="78">
        <v>0.8</v>
      </c>
    </row>
    <row r="208" spans="1:7" x14ac:dyDescent="0.25">
      <c r="A208" s="46">
        <f t="shared" si="12"/>
        <v>3</v>
      </c>
      <c r="B208" s="127" t="s">
        <v>244</v>
      </c>
      <c r="C208" s="127"/>
      <c r="D208" s="127"/>
      <c r="E208" s="47" t="s">
        <v>245</v>
      </c>
      <c r="F208" s="78">
        <v>15</v>
      </c>
      <c r="G208" t="s">
        <v>215</v>
      </c>
    </row>
    <row r="209" spans="1:7" x14ac:dyDescent="0.25">
      <c r="A209" s="46">
        <f t="shared" si="12"/>
        <v>4</v>
      </c>
      <c r="B209" s="127" t="s">
        <v>243</v>
      </c>
      <c r="C209" s="127"/>
      <c r="D209" s="127"/>
      <c r="E209" s="47" t="s">
        <v>9</v>
      </c>
      <c r="F209" s="78">
        <v>13500</v>
      </c>
    </row>
    <row r="210" spans="1:7" x14ac:dyDescent="0.25">
      <c r="A210" s="52"/>
      <c r="B210" s="133" t="s">
        <v>269</v>
      </c>
      <c r="C210" s="133"/>
      <c r="D210" s="133"/>
      <c r="E210" s="54" t="s">
        <v>309</v>
      </c>
      <c r="F210" s="79">
        <f>((F211*F212)/F209)*(4.4 +0.8*10^(-3)*F209)*F213</f>
        <v>3.1585262222222223E-2</v>
      </c>
    </row>
    <row r="211" spans="1:7" x14ac:dyDescent="0.25">
      <c r="A211" s="46">
        <f t="shared" si="12"/>
        <v>1</v>
      </c>
      <c r="B211" s="127" t="s">
        <v>251</v>
      </c>
      <c r="C211" s="127"/>
      <c r="D211" s="127"/>
      <c r="E211" s="48" t="s">
        <v>248</v>
      </c>
      <c r="F211" s="78">
        <f>0.643+1.02*10^(-3)*J20</f>
        <v>1.4386000000000001</v>
      </c>
    </row>
    <row r="212" spans="1:7" x14ac:dyDescent="0.25">
      <c r="A212" s="46">
        <f t="shared" si="12"/>
        <v>2</v>
      </c>
      <c r="B212" s="127" t="s">
        <v>250</v>
      </c>
      <c r="C212" s="127"/>
      <c r="D212" s="127"/>
      <c r="E212" s="48" t="s">
        <v>249</v>
      </c>
      <c r="F212" s="78">
        <v>1</v>
      </c>
    </row>
    <row r="213" spans="1:7" x14ac:dyDescent="0.25">
      <c r="A213" s="46">
        <f t="shared" si="12"/>
        <v>3</v>
      </c>
      <c r="B213" s="127" t="s">
        <v>253</v>
      </c>
      <c r="C213" s="127"/>
      <c r="D213" s="127"/>
      <c r="E213" s="48" t="s">
        <v>252</v>
      </c>
      <c r="F213" s="78">
        <f>F144+F126</f>
        <v>19.5</v>
      </c>
      <c r="G213" t="s">
        <v>214</v>
      </c>
    </row>
    <row r="214" spans="1:7" x14ac:dyDescent="0.25">
      <c r="A214" s="52"/>
      <c r="B214" s="133" t="s">
        <v>270</v>
      </c>
      <c r="C214" s="133"/>
      <c r="D214" s="133"/>
      <c r="E214" s="54" t="s">
        <v>310</v>
      </c>
      <c r="F214" s="79">
        <f>F215*F216*(6*F217+11.3)*10^(-3)+0.0625*F218*(SQRT(F219)/(1+F219))+0.005</f>
        <v>3.8706334688162279E-2</v>
      </c>
    </row>
    <row r="215" spans="1:7" x14ac:dyDescent="0.25">
      <c r="A215" s="69">
        <v>1</v>
      </c>
      <c r="B215" s="129" t="s">
        <v>259</v>
      </c>
      <c r="C215" s="130"/>
      <c r="D215" s="131"/>
      <c r="E215" s="59" t="s">
        <v>254</v>
      </c>
      <c r="F215" s="78">
        <v>0.7</v>
      </c>
    </row>
    <row r="216" spans="1:7" x14ac:dyDescent="0.25">
      <c r="A216" s="69">
        <f>A215+1</f>
        <v>2</v>
      </c>
      <c r="B216" s="129" t="s">
        <v>260</v>
      </c>
      <c r="C216" s="130"/>
      <c r="D216" s="131"/>
      <c r="E216" s="59" t="s">
        <v>255</v>
      </c>
      <c r="F216" s="80">
        <v>1.2</v>
      </c>
    </row>
    <row r="217" spans="1:7" x14ac:dyDescent="0.25">
      <c r="A217" s="69">
        <f t="shared" ref="A217:A219" si="13">A216+1</f>
        <v>3</v>
      </c>
      <c r="B217" s="129" t="s">
        <v>262</v>
      </c>
      <c r="C217" s="130"/>
      <c r="D217" s="131"/>
      <c r="E217" s="59" t="s">
        <v>256</v>
      </c>
      <c r="F217" s="80">
        <v>1.5</v>
      </c>
    </row>
    <row r="218" spans="1:7" x14ac:dyDescent="0.25">
      <c r="A218" s="69">
        <f t="shared" si="13"/>
        <v>4</v>
      </c>
      <c r="B218" s="129" t="s">
        <v>261</v>
      </c>
      <c r="C218" s="130"/>
      <c r="D218" s="131"/>
      <c r="E218" s="59" t="s">
        <v>257</v>
      </c>
      <c r="F218" s="80">
        <v>1</v>
      </c>
    </row>
    <row r="219" spans="1:7" x14ac:dyDescent="0.25">
      <c r="A219" s="69">
        <f t="shared" si="13"/>
        <v>5</v>
      </c>
      <c r="B219" s="129" t="s">
        <v>263</v>
      </c>
      <c r="C219" s="130"/>
      <c r="D219" s="131"/>
      <c r="E219" s="59" t="s">
        <v>258</v>
      </c>
      <c r="F219" s="80">
        <v>12</v>
      </c>
      <c r="G219" t="s">
        <v>264</v>
      </c>
    </row>
    <row r="220" spans="1:7" x14ac:dyDescent="0.25">
      <c r="A220" s="52"/>
      <c r="B220" s="132" t="s">
        <v>265</v>
      </c>
      <c r="C220" s="133"/>
      <c r="D220" s="133"/>
      <c r="E220" s="54" t="s">
        <v>266</v>
      </c>
      <c r="F220" s="79">
        <f>SUM(F214,F210,F205,F192)</f>
        <v>0.25021483622390484</v>
      </c>
    </row>
    <row r="221" spans="1:7" x14ac:dyDescent="0.25">
      <c r="A221" s="52"/>
      <c r="B221" s="132" t="s">
        <v>267</v>
      </c>
      <c r="C221" s="133"/>
      <c r="D221" s="133"/>
      <c r="E221" s="54" t="s">
        <v>271</v>
      </c>
      <c r="F221" s="79">
        <v>7.6999999999999999E-2</v>
      </c>
    </row>
    <row r="222" spans="1:7" x14ac:dyDescent="0.25">
      <c r="A222" s="52"/>
      <c r="B222" s="132" t="s">
        <v>272</v>
      </c>
      <c r="C222" s="133"/>
      <c r="D222" s="133"/>
      <c r="E222" s="54" t="s">
        <v>273</v>
      </c>
      <c r="F222" s="81">
        <f>200/F209 + 0.02*F223*(1+0.1*(F224/F225))+0.08</f>
        <v>9.8076353276353279E-2</v>
      </c>
    </row>
    <row r="223" spans="1:7" x14ac:dyDescent="0.25">
      <c r="A223" s="69">
        <f t="shared" ref="A223:A225" si="14">A222+1</f>
        <v>1</v>
      </c>
      <c r="B223" s="129" t="s">
        <v>275</v>
      </c>
      <c r="C223" s="130"/>
      <c r="D223" s="131"/>
      <c r="E223" s="59" t="s">
        <v>274</v>
      </c>
      <c r="F223" s="82">
        <f>(D6+D7)/D10</f>
        <v>0.11777777777777777</v>
      </c>
    </row>
    <row r="224" spans="1:7" x14ac:dyDescent="0.25">
      <c r="A224" s="69">
        <f t="shared" si="14"/>
        <v>2</v>
      </c>
      <c r="B224" s="129" t="s">
        <v>276</v>
      </c>
      <c r="C224" s="130"/>
      <c r="D224" s="131"/>
      <c r="E224" s="59" t="s">
        <v>70</v>
      </c>
      <c r="F224" s="83">
        <v>3000</v>
      </c>
      <c r="G224" t="s">
        <v>279</v>
      </c>
    </row>
    <row r="225" spans="1:56" x14ac:dyDescent="0.25">
      <c r="A225" s="69">
        <f t="shared" si="14"/>
        <v>3</v>
      </c>
      <c r="B225" s="129" t="s">
        <v>30</v>
      </c>
      <c r="C225" s="130"/>
      <c r="D225" s="131"/>
      <c r="E225" s="59" t="s">
        <v>277</v>
      </c>
      <c r="F225" s="83">
        <v>780</v>
      </c>
      <c r="G225" t="s">
        <v>278</v>
      </c>
    </row>
    <row r="226" spans="1:56" x14ac:dyDescent="0.25">
      <c r="A226" s="52"/>
      <c r="B226" s="132" t="s">
        <v>34</v>
      </c>
      <c r="C226" s="133"/>
      <c r="D226" s="133"/>
      <c r="E226" s="54" t="s">
        <v>280</v>
      </c>
      <c r="F226" s="79">
        <f>D8/D10</f>
        <v>0.31451884294469418</v>
      </c>
    </row>
    <row r="230" spans="1:56" ht="15" customHeight="1" x14ac:dyDescent="0.25">
      <c r="A230" s="134" t="s">
        <v>281</v>
      </c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8"/>
      <c r="AW230" s="28"/>
      <c r="AX230" s="28"/>
      <c r="AY230" s="28"/>
      <c r="AZ230" s="28"/>
      <c r="BA230" s="28"/>
      <c r="BB230" s="28"/>
      <c r="BC230" s="28"/>
      <c r="BD230" s="28"/>
    </row>
    <row r="231" spans="1:56" ht="15" customHeight="1" x14ac:dyDescent="0.25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8"/>
      <c r="AW231" s="28"/>
      <c r="AX231" s="28"/>
      <c r="AY231" s="28"/>
      <c r="AZ231" s="28"/>
      <c r="BA231" s="28"/>
      <c r="BB231" s="28"/>
      <c r="BC231" s="28"/>
      <c r="BD231" s="28"/>
    </row>
    <row r="233" spans="1:56" x14ac:dyDescent="0.25">
      <c r="A233" s="49" t="s">
        <v>1</v>
      </c>
      <c r="B233" s="123" t="s">
        <v>282</v>
      </c>
      <c r="C233" s="123"/>
      <c r="D233" s="123"/>
      <c r="E233" s="135" t="s">
        <v>283</v>
      </c>
      <c r="F233" s="136"/>
      <c r="G233" s="135" t="s">
        <v>284</v>
      </c>
      <c r="H233" s="136"/>
    </row>
    <row r="234" spans="1:56" x14ac:dyDescent="0.25">
      <c r="A234" s="52"/>
      <c r="B234" s="124"/>
      <c r="C234" s="125"/>
      <c r="D234" s="126"/>
      <c r="E234" s="60" t="s">
        <v>285</v>
      </c>
      <c r="F234" s="52" t="s">
        <v>14</v>
      </c>
      <c r="G234" s="52" t="s">
        <v>215</v>
      </c>
      <c r="H234" s="52" t="s">
        <v>14</v>
      </c>
    </row>
    <row r="235" spans="1:56" ht="15.75" x14ac:dyDescent="0.25">
      <c r="A235" s="46">
        <v>1</v>
      </c>
      <c r="B235" s="127" t="s">
        <v>286</v>
      </c>
      <c r="C235" s="127"/>
      <c r="D235" s="127"/>
      <c r="E235" s="62" t="s">
        <v>294</v>
      </c>
      <c r="F235" s="84">
        <f>F192</f>
        <v>0.13893066642163743</v>
      </c>
      <c r="G235" s="62" t="s">
        <v>302</v>
      </c>
      <c r="H235" s="63">
        <f>F235*$F$209</f>
        <v>1875.5639966921053</v>
      </c>
    </row>
    <row r="236" spans="1:56" ht="15.75" x14ac:dyDescent="0.25">
      <c r="A236" s="46">
        <f>A235+1</f>
        <v>2</v>
      </c>
      <c r="B236" s="127" t="s">
        <v>287</v>
      </c>
      <c r="C236" s="127"/>
      <c r="D236" s="127"/>
      <c r="E236" s="61" t="s">
        <v>297</v>
      </c>
      <c r="F236" s="82">
        <f>F205</f>
        <v>4.099257289188292E-2</v>
      </c>
      <c r="G236" s="61" t="s">
        <v>303</v>
      </c>
      <c r="H236" s="63">
        <f t="shared" ref="H236:H243" si="15">F236*$F$209</f>
        <v>553.39973404041939</v>
      </c>
    </row>
    <row r="237" spans="1:56" ht="15.75" x14ac:dyDescent="0.25">
      <c r="A237" s="46">
        <f t="shared" ref="A237:A243" si="16">A236+1</f>
        <v>3</v>
      </c>
      <c r="B237" s="128" t="s">
        <v>288</v>
      </c>
      <c r="C237" s="128"/>
      <c r="D237" s="128"/>
      <c r="E237" s="61" t="s">
        <v>304</v>
      </c>
      <c r="F237" s="82">
        <f>F214</f>
        <v>3.8706334688162279E-2</v>
      </c>
      <c r="G237" s="61" t="s">
        <v>295</v>
      </c>
      <c r="H237" s="63">
        <f t="shared" si="15"/>
        <v>522.53551829019079</v>
      </c>
    </row>
    <row r="238" spans="1:56" ht="15.75" x14ac:dyDescent="0.25">
      <c r="A238" s="46">
        <f t="shared" si="16"/>
        <v>4</v>
      </c>
      <c r="B238" s="127" t="s">
        <v>289</v>
      </c>
      <c r="C238" s="127"/>
      <c r="D238" s="127"/>
      <c r="E238" s="61" t="s">
        <v>298</v>
      </c>
      <c r="F238" s="82">
        <f>F220</f>
        <v>0.25021483622390484</v>
      </c>
      <c r="G238" s="61" t="s">
        <v>305</v>
      </c>
      <c r="H238" s="63">
        <f>F238*$F$209</f>
        <v>3377.9002890227152</v>
      </c>
    </row>
    <row r="239" spans="1:56" ht="15.75" x14ac:dyDescent="0.25">
      <c r="A239" s="46">
        <f t="shared" si="16"/>
        <v>5</v>
      </c>
      <c r="B239" s="127" t="s">
        <v>290</v>
      </c>
      <c r="C239" s="127"/>
      <c r="D239" s="127"/>
      <c r="E239" s="61" t="s">
        <v>296</v>
      </c>
      <c r="F239" s="82">
        <f>F221</f>
        <v>7.6999999999999999E-2</v>
      </c>
      <c r="G239" s="61" t="s">
        <v>306</v>
      </c>
      <c r="H239" s="63">
        <f t="shared" si="15"/>
        <v>1039.5</v>
      </c>
    </row>
    <row r="240" spans="1:56" ht="15.75" customHeight="1" x14ac:dyDescent="0.25">
      <c r="A240" s="46">
        <f t="shared" si="16"/>
        <v>6</v>
      </c>
      <c r="B240" s="127" t="s">
        <v>347</v>
      </c>
      <c r="C240" s="127"/>
      <c r="D240" s="127"/>
      <c r="E240" s="61" t="s">
        <v>299</v>
      </c>
      <c r="F240" s="82">
        <f>F222</f>
        <v>9.8076353276353279E-2</v>
      </c>
      <c r="G240" s="61" t="s">
        <v>307</v>
      </c>
      <c r="H240" s="63">
        <f t="shared" si="15"/>
        <v>1324.0307692307692</v>
      </c>
    </row>
    <row r="241" spans="1:8" ht="15.75" x14ac:dyDescent="0.25">
      <c r="A241" s="46">
        <f t="shared" si="16"/>
        <v>7</v>
      </c>
      <c r="B241" s="127" t="s">
        <v>291</v>
      </c>
      <c r="C241" s="127"/>
      <c r="D241" s="127"/>
      <c r="E241" s="61" t="s">
        <v>300</v>
      </c>
      <c r="F241" s="84">
        <f>F223</f>
        <v>0.11777777777777777</v>
      </c>
      <c r="G241" s="61" t="s">
        <v>308</v>
      </c>
      <c r="H241" s="63">
        <f t="shared" si="15"/>
        <v>1590</v>
      </c>
    </row>
    <row r="242" spans="1:8" ht="15.75" x14ac:dyDescent="0.25">
      <c r="A242" s="46">
        <f t="shared" si="16"/>
        <v>8</v>
      </c>
      <c r="B242" s="128" t="s">
        <v>292</v>
      </c>
      <c r="C242" s="128"/>
      <c r="D242" s="128"/>
      <c r="E242" s="61" t="s">
        <v>35</v>
      </c>
      <c r="F242" s="82">
        <f>F226</f>
        <v>0.31451884294469418</v>
      </c>
      <c r="G242" s="61" t="s">
        <v>7</v>
      </c>
      <c r="H242" s="63">
        <f t="shared" si="15"/>
        <v>4246.0043797533717</v>
      </c>
    </row>
    <row r="243" spans="1:8" ht="15.75" x14ac:dyDescent="0.25">
      <c r="A243" s="46">
        <f t="shared" si="16"/>
        <v>9</v>
      </c>
      <c r="B243" s="127" t="s">
        <v>87</v>
      </c>
      <c r="C243" s="127"/>
      <c r="D243" s="127"/>
      <c r="E243" s="61" t="s">
        <v>301</v>
      </c>
      <c r="F243" s="82">
        <f>F210</f>
        <v>3.1585262222222223E-2</v>
      </c>
      <c r="G243" s="61" t="s">
        <v>301</v>
      </c>
      <c r="H243" s="63">
        <f t="shared" si="15"/>
        <v>426.40104000000002</v>
      </c>
    </row>
    <row r="244" spans="1:8" x14ac:dyDescent="0.25">
      <c r="H244" s="76">
        <f>SUM(H235:H243)</f>
        <v>14955.335727029571</v>
      </c>
    </row>
    <row r="245" spans="1:8" ht="21" x14ac:dyDescent="0.35">
      <c r="B245" s="107" t="s">
        <v>328</v>
      </c>
      <c r="C245" s="107"/>
      <c r="D245" s="107"/>
      <c r="E245" s="107"/>
      <c r="F245" s="107"/>
      <c r="G245" s="107"/>
    </row>
    <row r="246" spans="1:8" x14ac:dyDescent="0.25">
      <c r="B246" s="123" t="s">
        <v>282</v>
      </c>
      <c r="C246" s="123"/>
      <c r="D246" s="123"/>
      <c r="E246" s="50" t="s">
        <v>311</v>
      </c>
      <c r="F246" s="55" t="s">
        <v>312</v>
      </c>
      <c r="G246" s="55" t="s">
        <v>313</v>
      </c>
    </row>
    <row r="247" spans="1:8" x14ac:dyDescent="0.25">
      <c r="B247" s="124"/>
      <c r="C247" s="125"/>
      <c r="D247" s="126"/>
      <c r="E247" s="60" t="s">
        <v>316</v>
      </c>
      <c r="F247" s="60" t="s">
        <v>315</v>
      </c>
      <c r="G247" s="60" t="s">
        <v>314</v>
      </c>
    </row>
    <row r="248" spans="1:8" x14ac:dyDescent="0.25">
      <c r="B248" s="127" t="s">
        <v>317</v>
      </c>
      <c r="C248" s="127"/>
      <c r="D248" s="127"/>
      <c r="E248" s="58">
        <f>F248*G248</f>
        <v>13799.462105662165</v>
      </c>
      <c r="F248" s="58">
        <v>7.5</v>
      </c>
      <c r="G248" s="58">
        <f>H235*H248</f>
        <v>1839.9282807549555</v>
      </c>
      <c r="H248">
        <f>9.81*0.1</f>
        <v>0.98100000000000009</v>
      </c>
    </row>
    <row r="249" spans="1:8" x14ac:dyDescent="0.25">
      <c r="B249" s="104" t="s">
        <v>318</v>
      </c>
      <c r="C249" s="105"/>
      <c r="D249" s="106"/>
      <c r="E249" s="58">
        <f t="shared" ref="E249:E253" si="17">F249*G249</f>
        <v>4071.6385432023858</v>
      </c>
      <c r="F249" s="58">
        <v>7.5</v>
      </c>
      <c r="G249" s="58">
        <f>H236*H248</f>
        <v>542.88513909365145</v>
      </c>
    </row>
    <row r="250" spans="1:8" x14ac:dyDescent="0.25">
      <c r="B250" s="104" t="s">
        <v>345</v>
      </c>
      <c r="C250" s="105"/>
      <c r="D250" s="106"/>
      <c r="E250" s="58">
        <f t="shared" si="17"/>
        <v>2342.4767533440008</v>
      </c>
      <c r="F250" s="58">
        <v>14</v>
      </c>
      <c r="G250" s="58">
        <f>H243*H248*0.4</f>
        <v>167.31976809600005</v>
      </c>
    </row>
    <row r="251" spans="1:8" ht="15" customHeight="1" x14ac:dyDescent="0.25">
      <c r="B251" s="104" t="s">
        <v>346</v>
      </c>
      <c r="C251" s="105"/>
      <c r="D251" s="106"/>
      <c r="E251" s="58">
        <f t="shared" si="17"/>
        <v>3388.2253039440002</v>
      </c>
      <c r="F251" s="58">
        <v>13.5</v>
      </c>
      <c r="G251" s="58">
        <f>H243*H248*0.6</f>
        <v>250.97965214400003</v>
      </c>
    </row>
    <row r="252" spans="1:8" ht="15" customHeight="1" x14ac:dyDescent="0.25">
      <c r="B252" s="104" t="s">
        <v>343</v>
      </c>
      <c r="C252" s="105"/>
      <c r="D252" s="106"/>
      <c r="E252" s="58">
        <f t="shared" si="17"/>
        <v>322.94262636888664</v>
      </c>
      <c r="F252" s="58">
        <v>2.1</v>
      </c>
      <c r="G252" s="58">
        <f>H248*H237*0.3</f>
        <v>153.78220303280315</v>
      </c>
    </row>
    <row r="253" spans="1:8" ht="15" customHeight="1" x14ac:dyDescent="0.25">
      <c r="B253" s="104" t="s">
        <v>344</v>
      </c>
      <c r="C253" s="105"/>
      <c r="D253" s="106"/>
      <c r="E253" s="58">
        <f t="shared" si="17"/>
        <v>2583.5410109510931</v>
      </c>
      <c r="F253" s="58">
        <v>7.2</v>
      </c>
      <c r="G253" s="58">
        <f>H248*H237*0.7</f>
        <v>358.82514040987405</v>
      </c>
    </row>
    <row r="254" spans="1:8" ht="15" customHeight="1" x14ac:dyDescent="0.25">
      <c r="B254" s="111" t="s">
        <v>319</v>
      </c>
      <c r="C254" s="112"/>
      <c r="D254" s="113"/>
      <c r="E254" s="64">
        <f>F254*G254</f>
        <v>9942.5576250000013</v>
      </c>
      <c r="F254" s="64">
        <v>9.75</v>
      </c>
      <c r="G254" s="64">
        <f>H239*H248</f>
        <v>1019.7495000000001</v>
      </c>
    </row>
    <row r="255" spans="1:8" x14ac:dyDescent="0.25">
      <c r="B255" s="117" t="s">
        <v>320</v>
      </c>
      <c r="C255" s="118"/>
      <c r="D255" s="119"/>
      <c r="E255" s="64">
        <f t="shared" ref="E255:E258" si="18">F255*G255</f>
        <v>9871.4438030769234</v>
      </c>
      <c r="F255" s="64">
        <v>7.6</v>
      </c>
      <c r="G255" s="64">
        <f>H240*H248</f>
        <v>1298.8741846153848</v>
      </c>
    </row>
    <row r="256" spans="1:8" ht="15" customHeight="1" x14ac:dyDescent="0.25">
      <c r="B256" s="104" t="s">
        <v>321</v>
      </c>
      <c r="C256" s="105"/>
      <c r="D256" s="106"/>
      <c r="E256" s="64">
        <f t="shared" si="18"/>
        <v>1818.4238584615387</v>
      </c>
      <c r="F256" s="58">
        <v>2.8</v>
      </c>
      <c r="G256" s="58">
        <f>0.5*H240*H248</f>
        <v>649.43709230769241</v>
      </c>
    </row>
    <row r="257" spans="2:8" ht="15" customHeight="1" x14ac:dyDescent="0.25">
      <c r="B257" s="104" t="s">
        <v>322</v>
      </c>
      <c r="C257" s="105"/>
      <c r="D257" s="106"/>
      <c r="E257" s="64">
        <f t="shared" si="18"/>
        <v>7923.1325261538468</v>
      </c>
      <c r="F257" s="58">
        <v>12.2</v>
      </c>
      <c r="G257" s="58">
        <f>H248*H240*0.5</f>
        <v>649.43709230769241</v>
      </c>
    </row>
    <row r="258" spans="2:8" x14ac:dyDescent="0.25">
      <c r="B258" s="111" t="s">
        <v>323</v>
      </c>
      <c r="C258" s="112"/>
      <c r="D258" s="113"/>
      <c r="E258" s="64">
        <f t="shared" si="18"/>
        <v>768.12299999999993</v>
      </c>
      <c r="F258" s="64">
        <v>2.9</v>
      </c>
      <c r="G258" s="64">
        <f>H248*D6</f>
        <v>264.87</v>
      </c>
    </row>
    <row r="259" spans="2:8" x14ac:dyDescent="0.25">
      <c r="B259" s="120" t="s">
        <v>324</v>
      </c>
      <c r="C259" s="121"/>
      <c r="D259" s="122"/>
      <c r="E259" s="58"/>
      <c r="F259" s="58">
        <v>2.4</v>
      </c>
      <c r="G259" s="58"/>
    </row>
    <row r="260" spans="2:8" ht="15" customHeight="1" x14ac:dyDescent="0.25">
      <c r="B260" s="104" t="s">
        <v>340</v>
      </c>
      <c r="C260" s="105"/>
      <c r="D260" s="106"/>
      <c r="E260" s="58"/>
      <c r="F260" s="58">
        <v>7.5</v>
      </c>
      <c r="G260" s="58"/>
    </row>
    <row r="261" spans="2:8" ht="15" customHeight="1" x14ac:dyDescent="0.25">
      <c r="B261" s="104" t="s">
        <v>326</v>
      </c>
      <c r="C261" s="105"/>
      <c r="D261" s="106"/>
      <c r="E261" s="58"/>
      <c r="F261" s="58">
        <v>2.5</v>
      </c>
      <c r="G261" s="58"/>
    </row>
    <row r="262" spans="2:8" x14ac:dyDescent="0.25">
      <c r="B262" s="111" t="s">
        <v>325</v>
      </c>
      <c r="C262" s="112"/>
      <c r="D262" s="113"/>
      <c r="E262" s="64">
        <f>F262*G262</f>
        <v>33739.175401958266</v>
      </c>
      <c r="F262" s="64">
        <v>8.1</v>
      </c>
      <c r="G262" s="64">
        <f>H248*D8</f>
        <v>4165.3302965380581</v>
      </c>
    </row>
    <row r="263" spans="2:8" x14ac:dyDescent="0.25">
      <c r="B263" s="111" t="s">
        <v>327</v>
      </c>
      <c r="C263" s="112"/>
      <c r="D263" s="113"/>
      <c r="E263" s="64">
        <f t="shared" ref="E263:E264" si="19">F263*G263</f>
        <v>13258.215000000002</v>
      </c>
      <c r="F263" s="64">
        <v>8.5</v>
      </c>
      <c r="G263" s="64">
        <f>H241*H248</f>
        <v>1559.7900000000002</v>
      </c>
    </row>
    <row r="264" spans="2:8" ht="15.75" thickBot="1" x14ac:dyDescent="0.3">
      <c r="B264" s="114" t="s">
        <v>341</v>
      </c>
      <c r="C264" s="115"/>
      <c r="D264" s="116"/>
      <c r="E264" s="64">
        <f t="shared" si="19"/>
        <v>7063.2000000000016</v>
      </c>
      <c r="F264" s="65">
        <v>7.5</v>
      </c>
      <c r="G264" s="65">
        <f>H248*12*80</f>
        <v>941.76000000000022</v>
      </c>
    </row>
    <row r="265" spans="2:8" ht="22.5" customHeight="1" x14ac:dyDescent="0.25">
      <c r="B265" s="71" t="s">
        <v>329</v>
      </c>
      <c r="C265" s="72"/>
      <c r="D265" s="73"/>
      <c r="E265" s="74">
        <f>SUM(E248:E264)</f>
        <v>110892.5575581231</v>
      </c>
      <c r="F265" s="75" t="s">
        <v>342</v>
      </c>
      <c r="G265" s="70">
        <f>SUM(G248:G264)</f>
        <v>13862.968349300112</v>
      </c>
    </row>
    <row r="266" spans="2:8" x14ac:dyDescent="0.25">
      <c r="B266" s="108" t="s">
        <v>331</v>
      </c>
      <c r="C266" s="109"/>
      <c r="D266" s="110"/>
      <c r="E266" s="66">
        <f>E265-E263</f>
        <v>97634.342558123099</v>
      </c>
      <c r="F266" s="66" t="s">
        <v>342</v>
      </c>
      <c r="G266" s="66">
        <f>G265-G263</f>
        <v>12303.178349300111</v>
      </c>
    </row>
    <row r="267" spans="2:8" x14ac:dyDescent="0.25">
      <c r="B267" s="111" t="s">
        <v>332</v>
      </c>
      <c r="C267" s="112"/>
      <c r="D267" s="113"/>
      <c r="E267" s="64">
        <f>E265-E262</f>
        <v>77153.382156164822</v>
      </c>
      <c r="F267" s="66" t="s">
        <v>342</v>
      </c>
      <c r="G267" s="64">
        <f>G265-G262</f>
        <v>9697.6380527620531</v>
      </c>
    </row>
    <row r="268" spans="2:8" x14ac:dyDescent="0.25">
      <c r="B268" s="111" t="s">
        <v>333</v>
      </c>
      <c r="C268" s="112"/>
      <c r="D268" s="113"/>
      <c r="E268" s="64">
        <f>E265-E264-E263-E262-E258</f>
        <v>56063.844156164836</v>
      </c>
      <c r="F268" s="66" t="s">
        <v>342</v>
      </c>
      <c r="G268" s="64">
        <f>G265-G264-G263-G262-G258</f>
        <v>6931.218052762053</v>
      </c>
    </row>
    <row r="271" spans="2:8" x14ac:dyDescent="0.25">
      <c r="B271" s="91"/>
      <c r="C271" s="92"/>
      <c r="D271" s="93"/>
      <c r="E271" s="58" t="s">
        <v>335</v>
      </c>
      <c r="F271" s="58" t="s">
        <v>336</v>
      </c>
      <c r="G271" s="58" t="s">
        <v>337</v>
      </c>
      <c r="H271" s="58" t="s">
        <v>330</v>
      </c>
    </row>
    <row r="272" spans="2:8" x14ac:dyDescent="0.25">
      <c r="B272" s="98" t="s">
        <v>334</v>
      </c>
      <c r="C272" s="99"/>
      <c r="D272" s="102"/>
      <c r="E272" s="94">
        <f>E265/G265</f>
        <v>7.9991928686558413</v>
      </c>
      <c r="F272" s="90">
        <f>E266/G266</f>
        <v>7.9357008234930779</v>
      </c>
      <c r="G272" s="90">
        <f>E267/G267</f>
        <v>7.9558941812836803</v>
      </c>
      <c r="H272" s="90">
        <f>E268/G268</f>
        <v>8.08859910760183</v>
      </c>
    </row>
    <row r="273" spans="2:8" ht="15.75" thickBot="1" x14ac:dyDescent="0.3">
      <c r="B273" s="100"/>
      <c r="C273" s="101"/>
      <c r="D273" s="103"/>
      <c r="E273" s="95"/>
      <c r="F273" s="94"/>
      <c r="G273" s="94"/>
      <c r="H273" s="94"/>
    </row>
    <row r="274" spans="2:8" x14ac:dyDescent="0.25">
      <c r="B274" s="85" t="s">
        <v>339</v>
      </c>
      <c r="C274" s="86"/>
      <c r="D274" s="86"/>
      <c r="E274" s="96">
        <f>(E272-$E$277)/$E$276</f>
        <v>0.24590781707184306</v>
      </c>
      <c r="F274" s="96">
        <f t="shared" ref="F274:H274" si="20">(F272-$E$277)/$E$276</f>
        <v>0.21463094753353595</v>
      </c>
      <c r="G274" s="96">
        <f t="shared" si="20"/>
        <v>0.22457841442545831</v>
      </c>
      <c r="H274" s="96">
        <f t="shared" si="20"/>
        <v>0.28995029931124633</v>
      </c>
    </row>
    <row r="275" spans="2:8" ht="15.75" thickBot="1" x14ac:dyDescent="0.3">
      <c r="B275" s="87"/>
      <c r="C275" s="88"/>
      <c r="D275" s="88"/>
      <c r="E275" s="97"/>
      <c r="F275" s="97"/>
      <c r="G275" s="97"/>
      <c r="H275" s="97"/>
    </row>
    <row r="276" spans="2:8" x14ac:dyDescent="0.25">
      <c r="B276" s="89" t="s">
        <v>218</v>
      </c>
      <c r="C276" s="89"/>
      <c r="D276" s="89"/>
      <c r="E276" s="68">
        <v>2.0299999999999998</v>
      </c>
      <c r="F276" s="67"/>
      <c r="G276" s="67"/>
      <c r="H276" s="67"/>
    </row>
    <row r="277" spans="2:8" x14ac:dyDescent="0.25">
      <c r="B277" s="90" t="s">
        <v>338</v>
      </c>
      <c r="C277" s="90"/>
      <c r="D277" s="90"/>
      <c r="E277" s="58">
        <v>7.5</v>
      </c>
      <c r="F277" s="67"/>
      <c r="G277" s="67"/>
      <c r="H277" s="67"/>
    </row>
  </sheetData>
  <mergeCells count="231">
    <mergeCell ref="A28:I29"/>
    <mergeCell ref="B31:D31"/>
    <mergeCell ref="B32:D32"/>
    <mergeCell ref="A72:I73"/>
    <mergeCell ref="J72:R73"/>
    <mergeCell ref="L77:L91"/>
    <mergeCell ref="B66:D66"/>
    <mergeCell ref="A50:I51"/>
    <mergeCell ref="B59:D59"/>
    <mergeCell ref="B60:D60"/>
    <mergeCell ref="B61:D61"/>
    <mergeCell ref="B62:D62"/>
    <mergeCell ref="B63:D63"/>
    <mergeCell ref="B64:D64"/>
    <mergeCell ref="B54:D54"/>
    <mergeCell ref="B55:D55"/>
    <mergeCell ref="B56:D56"/>
    <mergeCell ref="B57:D57"/>
    <mergeCell ref="B58:D58"/>
    <mergeCell ref="B65:D65"/>
    <mergeCell ref="B81:C81"/>
    <mergeCell ref="B82:C82"/>
    <mergeCell ref="B83:C83"/>
    <mergeCell ref="B84:C84"/>
    <mergeCell ref="AM1:AU2"/>
    <mergeCell ref="J50:R51"/>
    <mergeCell ref="B41:D41"/>
    <mergeCell ref="J14:R15"/>
    <mergeCell ref="S14:AA15"/>
    <mergeCell ref="AB14:AJ15"/>
    <mergeCell ref="B43:D43"/>
    <mergeCell ref="AK14:AS15"/>
    <mergeCell ref="AT14:AU15"/>
    <mergeCell ref="B39:D39"/>
    <mergeCell ref="B40:D40"/>
    <mergeCell ref="B42:D42"/>
    <mergeCell ref="B33:D33"/>
    <mergeCell ref="B34:D34"/>
    <mergeCell ref="B35:D35"/>
    <mergeCell ref="B36:D36"/>
    <mergeCell ref="J1:R2"/>
    <mergeCell ref="S1:AA2"/>
    <mergeCell ref="AB1:AJ2"/>
    <mergeCell ref="AK1:AL2"/>
    <mergeCell ref="B37:D37"/>
    <mergeCell ref="B38:D38"/>
    <mergeCell ref="A1:I2"/>
    <mergeCell ref="A14:I15"/>
    <mergeCell ref="B78:C78"/>
    <mergeCell ref="B79:C79"/>
    <mergeCell ref="B80:C8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B85:C85"/>
    <mergeCell ref="B76:C76"/>
    <mergeCell ref="B77:C77"/>
    <mergeCell ref="A92:I93"/>
    <mergeCell ref="J92:R93"/>
    <mergeCell ref="B97:D97"/>
    <mergeCell ref="B98:D98"/>
    <mergeCell ref="B100:D100"/>
    <mergeCell ref="B99:D99"/>
    <mergeCell ref="B111:C111"/>
    <mergeCell ref="D111:E111"/>
    <mergeCell ref="B112:C112"/>
    <mergeCell ref="D112:E112"/>
    <mergeCell ref="B106:D106"/>
    <mergeCell ref="B108:D108"/>
    <mergeCell ref="B109:D109"/>
    <mergeCell ref="B110:D110"/>
    <mergeCell ref="B107:D107"/>
    <mergeCell ref="B101:D101"/>
    <mergeCell ref="B102:D102"/>
    <mergeCell ref="B103:D103"/>
    <mergeCell ref="B104:D104"/>
    <mergeCell ref="B105:D105"/>
    <mergeCell ref="B122:D122"/>
    <mergeCell ref="B123:D123"/>
    <mergeCell ref="B124:D124"/>
    <mergeCell ref="B127:D127"/>
    <mergeCell ref="B128:D128"/>
    <mergeCell ref="A115:I116"/>
    <mergeCell ref="J115:R116"/>
    <mergeCell ref="B118:D118"/>
    <mergeCell ref="B119:D119"/>
    <mergeCell ref="B120:D120"/>
    <mergeCell ref="J162:R163"/>
    <mergeCell ref="B154:D154"/>
    <mergeCell ref="B155:D155"/>
    <mergeCell ref="B156:D156"/>
    <mergeCell ref="B157:D157"/>
    <mergeCell ref="B158:D158"/>
    <mergeCell ref="B121:D121"/>
    <mergeCell ref="B139:D139"/>
    <mergeCell ref="A150:I151"/>
    <mergeCell ref="J150:R151"/>
    <mergeCell ref="B153:D153"/>
    <mergeCell ref="B143:D143"/>
    <mergeCell ref="B145:D145"/>
    <mergeCell ref="B146:D146"/>
    <mergeCell ref="B147:D147"/>
    <mergeCell ref="B148:D148"/>
    <mergeCell ref="B137:D137"/>
    <mergeCell ref="B138:D138"/>
    <mergeCell ref="B140:D140"/>
    <mergeCell ref="B141:D141"/>
    <mergeCell ref="B142:D142"/>
    <mergeCell ref="B125:D125"/>
    <mergeCell ref="A133:I134"/>
    <mergeCell ref="J133:R134"/>
    <mergeCell ref="B173:D173"/>
    <mergeCell ref="B171:D171"/>
    <mergeCell ref="B174:D174"/>
    <mergeCell ref="B166:D166"/>
    <mergeCell ref="B168:D168"/>
    <mergeCell ref="B169:D169"/>
    <mergeCell ref="B170:D170"/>
    <mergeCell ref="B172:D172"/>
    <mergeCell ref="B126:D126"/>
    <mergeCell ref="B144:D144"/>
    <mergeCell ref="A162:I163"/>
    <mergeCell ref="B136:D136"/>
    <mergeCell ref="B129:D129"/>
    <mergeCell ref="B130:D130"/>
    <mergeCell ref="B179:D179"/>
    <mergeCell ref="B180:D180"/>
    <mergeCell ref="B181:D181"/>
    <mergeCell ref="B182:D182"/>
    <mergeCell ref="B183:D183"/>
    <mergeCell ref="B175:D175"/>
    <mergeCell ref="B176:D176"/>
    <mergeCell ref="B177:D177"/>
    <mergeCell ref="B178:D178"/>
    <mergeCell ref="A187:I188"/>
    <mergeCell ref="J187:R188"/>
    <mergeCell ref="B191:D191"/>
    <mergeCell ref="B193:D193"/>
    <mergeCell ref="B194:D194"/>
    <mergeCell ref="B195:D195"/>
    <mergeCell ref="B196:D196"/>
    <mergeCell ref="B197:D197"/>
    <mergeCell ref="B203:D203"/>
    <mergeCell ref="B192:D192"/>
    <mergeCell ref="B198:D198"/>
    <mergeCell ref="B199:D199"/>
    <mergeCell ref="B200:D200"/>
    <mergeCell ref="B201:D201"/>
    <mergeCell ref="B202:D202"/>
    <mergeCell ref="B213:D213"/>
    <mergeCell ref="B204:D204"/>
    <mergeCell ref="B214:D21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J230:R231"/>
    <mergeCell ref="B233:D233"/>
    <mergeCell ref="B234:D234"/>
    <mergeCell ref="B235:D235"/>
    <mergeCell ref="E233:F233"/>
    <mergeCell ref="G233:H233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23:D223"/>
    <mergeCell ref="B224:D224"/>
    <mergeCell ref="B225:D225"/>
    <mergeCell ref="B226:D226"/>
    <mergeCell ref="A230:I231"/>
    <mergeCell ref="B261:D261"/>
    <mergeCell ref="B245:G245"/>
    <mergeCell ref="B266:D266"/>
    <mergeCell ref="B267:D267"/>
    <mergeCell ref="B268:D268"/>
    <mergeCell ref="B260:D260"/>
    <mergeCell ref="B262:D262"/>
    <mergeCell ref="B263:D263"/>
    <mergeCell ref="B264:D264"/>
    <mergeCell ref="B253:D253"/>
    <mergeCell ref="B252:D252"/>
    <mergeCell ref="B254:D254"/>
    <mergeCell ref="B255:D255"/>
    <mergeCell ref="B256:D256"/>
    <mergeCell ref="B257:D257"/>
    <mergeCell ref="B258:D258"/>
    <mergeCell ref="B259:D259"/>
    <mergeCell ref="B246:D246"/>
    <mergeCell ref="B247:D247"/>
    <mergeCell ref="B248:D248"/>
    <mergeCell ref="B249:D249"/>
    <mergeCell ref="B250:D250"/>
    <mergeCell ref="B251:D251"/>
    <mergeCell ref="B274:D275"/>
    <mergeCell ref="B276:D276"/>
    <mergeCell ref="B277:D277"/>
    <mergeCell ref="B271:D271"/>
    <mergeCell ref="E272:E273"/>
    <mergeCell ref="F272:F273"/>
    <mergeCell ref="G272:G273"/>
    <mergeCell ref="H272:H273"/>
    <mergeCell ref="E274:E275"/>
    <mergeCell ref="F274:F275"/>
    <mergeCell ref="G274:G275"/>
    <mergeCell ref="H274:H275"/>
    <mergeCell ref="B272:C273"/>
    <mergeCell ref="D272:D273"/>
  </mergeCells>
  <phoneticPr fontId="11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Yanev</dc:creator>
  <cp:lastModifiedBy>Martin Yanev</cp:lastModifiedBy>
  <dcterms:created xsi:type="dcterms:W3CDTF">2015-06-05T18:19:34Z</dcterms:created>
  <dcterms:modified xsi:type="dcterms:W3CDTF">2021-02-13T14:05:12Z</dcterms:modified>
</cp:coreProperties>
</file>