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martisi_microsoft_com/Documents/FY19/SAP on Azure/"/>
    </mc:Choice>
  </mc:AlternateContent>
  <xr:revisionPtr revIDLastSave="882" documentId="8_{A6D96EFD-F064-4C84-A79A-441D2E0358B5}" xr6:coauthVersionLast="40" xr6:coauthVersionMax="40" xr10:uidLastSave="{D4E3BFA1-48FF-490B-AF21-272F6C3685DA}"/>
  <bookViews>
    <workbookView xWindow="0" yWindow="0" windowWidth="20330" windowHeight="11490" xr2:uid="{00000000-000D-0000-FFFF-FFFF00000000}"/>
  </bookViews>
  <sheets>
    <sheet name="Readme" sheetId="3" r:id="rId1"/>
    <sheet name="landscape calculation" sheetId="1" r:id="rId2"/>
    <sheet name="pricing" sheetId="2" r:id="rId3"/>
  </sheets>
  <definedNames>
    <definedName name="_xlnm._FilterDatabase" localSheetId="1" hidden="1">'landscape calculation'!$H$2:$I$11</definedName>
    <definedName name="tableref">'landscape calculation'!#REF!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6" i="1" l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H25" i="1"/>
  <c r="I25" i="1" s="1"/>
  <c r="F25" i="1"/>
  <c r="G25" i="1" s="1"/>
  <c r="H24" i="1"/>
  <c r="I24" i="1" s="1"/>
  <c r="F24" i="1"/>
  <c r="G24" i="1" s="1"/>
  <c r="H23" i="1"/>
  <c r="I23" i="1" s="1"/>
  <c r="F23" i="1"/>
  <c r="G23" i="1" s="1"/>
  <c r="H22" i="1"/>
  <c r="I22" i="1" s="1"/>
  <c r="F22" i="1"/>
  <c r="G22" i="1" s="1"/>
  <c r="H21" i="1"/>
  <c r="I21" i="1" s="1"/>
  <c r="F21" i="1"/>
  <c r="G21" i="1" s="1"/>
  <c r="H20" i="1"/>
  <c r="I20" i="1" s="1"/>
  <c r="F20" i="1"/>
  <c r="G20" i="1" s="1"/>
  <c r="H19" i="1"/>
  <c r="I19" i="1" s="1"/>
  <c r="F19" i="1"/>
  <c r="G19" i="1" s="1"/>
  <c r="H18" i="1"/>
  <c r="I18" i="1" s="1"/>
  <c r="F18" i="1"/>
  <c r="G18" i="1" s="1"/>
  <c r="H17" i="1"/>
  <c r="I17" i="1" s="1"/>
  <c r="F17" i="1"/>
  <c r="G17" i="1" s="1"/>
  <c r="I26" i="1" l="1"/>
  <c r="G26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3" i="1"/>
  <c r="I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3" i="1"/>
  <c r="G3" i="1" s="1"/>
  <c r="H47" i="2"/>
  <c r="H46" i="2"/>
  <c r="H45" i="2"/>
  <c r="H44" i="2"/>
  <c r="H43" i="2"/>
  <c r="H42" i="2"/>
  <c r="H41" i="2"/>
  <c r="H40" i="2"/>
  <c r="H39" i="2"/>
  <c r="H38" i="2"/>
  <c r="H34" i="2"/>
  <c r="H33" i="2"/>
  <c r="H29" i="2"/>
  <c r="H28" i="2"/>
  <c r="H27" i="2"/>
  <c r="I12" i="1" l="1"/>
  <c r="K47" i="2"/>
  <c r="K46" i="2"/>
  <c r="K45" i="2"/>
  <c r="K44" i="2"/>
  <c r="K43" i="2"/>
  <c r="K42" i="2"/>
  <c r="K41" i="2"/>
  <c r="K40" i="2"/>
  <c r="K39" i="2"/>
  <c r="K38" i="2"/>
  <c r="K37" i="2"/>
  <c r="K34" i="2"/>
  <c r="K33" i="2"/>
  <c r="K32" i="2"/>
  <c r="K29" i="2"/>
  <c r="K28" i="2"/>
  <c r="K27" i="2"/>
  <c r="K26" i="2"/>
  <c r="K25" i="2"/>
  <c r="K31" i="2"/>
  <c r="K36" i="2"/>
  <c r="K35" i="2"/>
  <c r="K30" i="2"/>
  <c r="K24" i="2"/>
  <c r="R12" i="1" l="1"/>
  <c r="S12" i="1"/>
  <c r="T12" i="1"/>
  <c r="Q12" i="1"/>
  <c r="U12" i="1"/>
  <c r="V12" i="1"/>
  <c r="W12" i="1"/>
  <c r="X12" i="1"/>
  <c r="X27" i="1" l="1"/>
  <c r="P12" i="1" l="1"/>
  <c r="O12" i="1"/>
  <c r="N12" i="1"/>
  <c r="M12" i="1"/>
  <c r="L12" i="1"/>
  <c r="K12" i="1"/>
  <c r="X13" i="1" l="1"/>
  <c r="C36" i="1" s="1"/>
  <c r="G12" i="1" l="1"/>
  <c r="C35" i="1" s="1"/>
  <c r="C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Sih</author>
  </authors>
  <commentList>
    <comment ref="A32" authorId="0" shapeId="0" xr:uid="{6DAF844C-155B-4B5C-8B80-9D35B1447167}">
      <text>
        <r>
          <rPr>
            <b/>
            <sz val="9"/>
            <color indexed="81"/>
            <rFont val="Tahoma"/>
            <family val="2"/>
          </rPr>
          <t>Martin Sih:</t>
        </r>
        <r>
          <rPr>
            <sz val="9"/>
            <color indexed="81"/>
            <rFont val="Tahoma"/>
            <family val="2"/>
          </rPr>
          <t xml:space="preserve">
all VMs backupped with Azure backup. Day, week, month, year</t>
        </r>
      </text>
    </comment>
    <comment ref="A33" authorId="0" shapeId="0" xr:uid="{BC98C9EB-4BE0-4B02-9814-243CE2C01E15}">
      <text>
        <r>
          <rPr>
            <b/>
            <sz val="9"/>
            <color indexed="81"/>
            <rFont val="Tahoma"/>
            <family val="2"/>
          </rPr>
          <t>Martin Sih:</t>
        </r>
        <r>
          <rPr>
            <sz val="9"/>
            <color indexed="81"/>
            <rFont val="Tahoma"/>
            <family val="2"/>
          </rPr>
          <t xml:space="preserve">
assumption: 100Mbps, 1TB outbound traffic</t>
        </r>
      </text>
    </comment>
    <comment ref="A34" authorId="0" shapeId="0" xr:uid="{F5EADCDA-A29D-418A-A6E9-8FD639B3DE7B}">
      <text>
        <r>
          <rPr>
            <b/>
            <sz val="9"/>
            <color indexed="81"/>
            <rFont val="Tahoma"/>
            <family val="2"/>
          </rPr>
          <t>Martin Sih:</t>
        </r>
        <r>
          <rPr>
            <sz val="9"/>
            <color indexed="81"/>
            <rFont val="Tahoma"/>
            <family val="2"/>
          </rPr>
          <t xml:space="preserve">
assumption: 30GB churn per day across all production DBs = 0.9TB traffic</t>
        </r>
      </text>
    </comment>
  </commentList>
</comments>
</file>

<file path=xl/sharedStrings.xml><?xml version="1.0" encoding="utf-8"?>
<sst xmlns="http://schemas.openxmlformats.org/spreadsheetml/2006/main" count="249" uniqueCount="138">
  <si>
    <t>OS</t>
  </si>
  <si>
    <t>VM type</t>
  </si>
  <si>
    <t>hours per month</t>
  </si>
  <si>
    <t>P20</t>
  </si>
  <si>
    <t>P10</t>
  </si>
  <si>
    <t>Role</t>
  </si>
  <si>
    <t>Storage</t>
  </si>
  <si>
    <t>P15</t>
  </si>
  <si>
    <t>storage pricing (pmnth)</t>
  </si>
  <si>
    <t>Total</t>
  </si>
  <si>
    <t>DC West Europe</t>
  </si>
  <si>
    <t>RI 1year</t>
  </si>
  <si>
    <t>D4Sv3</t>
  </si>
  <si>
    <t>D2Sv3</t>
  </si>
  <si>
    <t>M64ms</t>
  </si>
  <si>
    <t>P30</t>
  </si>
  <si>
    <t>P40</t>
  </si>
  <si>
    <t>S40</t>
  </si>
  <si>
    <t>RI 3 year</t>
  </si>
  <si>
    <t>M64s</t>
  </si>
  <si>
    <t>16 vCPU 128GB</t>
  </si>
  <si>
    <t>32 vCPU 256GB</t>
  </si>
  <si>
    <t>DS11v2</t>
  </si>
  <si>
    <t>DS12v2</t>
  </si>
  <si>
    <t>DS13v2</t>
  </si>
  <si>
    <t>DS14v2</t>
  </si>
  <si>
    <t>M128s</t>
  </si>
  <si>
    <t>M128ms</t>
  </si>
  <si>
    <t>D8Sv3</t>
  </si>
  <si>
    <t>D16Sv3</t>
  </si>
  <si>
    <t>D32Sv3</t>
  </si>
  <si>
    <t>P6</t>
  </si>
  <si>
    <t>64GB</t>
  </si>
  <si>
    <t>128GB</t>
  </si>
  <si>
    <t>256GB</t>
  </si>
  <si>
    <t>512GB</t>
  </si>
  <si>
    <t>1024GB</t>
  </si>
  <si>
    <t>2048GB</t>
  </si>
  <si>
    <t>4096GB</t>
  </si>
  <si>
    <t>P50</t>
  </si>
  <si>
    <t>S20</t>
  </si>
  <si>
    <t>S30</t>
  </si>
  <si>
    <t>S50</t>
  </si>
  <si>
    <t>compute</t>
  </si>
  <si>
    <t>subtotals</t>
  </si>
  <si>
    <t>E8Sv3</t>
  </si>
  <si>
    <t>E4Sv3</t>
  </si>
  <si>
    <t>E32Sv3</t>
  </si>
  <si>
    <t>E16Sv3</t>
  </si>
  <si>
    <t>E64Sv3</t>
  </si>
  <si>
    <t>E2Sv3</t>
  </si>
  <si>
    <t>D64Sv3</t>
  </si>
  <si>
    <t>DS15v2</t>
  </si>
  <si>
    <t>20 cores 140GB</t>
  </si>
  <si>
    <t>64 vCPU 256GB</t>
  </si>
  <si>
    <t>2 vCPU 16GB</t>
  </si>
  <si>
    <t>4 vCPU 32GB</t>
  </si>
  <si>
    <t>8 vCPU 64GB</t>
  </si>
  <si>
    <t>2 vCPU 8GB</t>
  </si>
  <si>
    <t>8 vCPU 32GB</t>
  </si>
  <si>
    <t>4 vCPU 16GB</t>
  </si>
  <si>
    <t>16 vCPU 64GB</t>
  </si>
  <si>
    <t>32 vCPU 128GB</t>
  </si>
  <si>
    <t>2 cores, 14GB</t>
  </si>
  <si>
    <t>4 cores 28GB</t>
  </si>
  <si>
    <t>8 cores 56GB</t>
  </si>
  <si>
    <t>16cores 112GB</t>
  </si>
  <si>
    <t>64 vCPU 432GB</t>
  </si>
  <si>
    <t>64 vCPU 1024 GB</t>
  </si>
  <si>
    <t>64 vCPU 1792 GB)</t>
  </si>
  <si>
    <t>128 vCPU 3891 GB)</t>
  </si>
  <si>
    <t>128 vCPU 2048 GB)</t>
  </si>
  <si>
    <t>SAPS</t>
  </si>
  <si>
    <t>specs</t>
  </si>
  <si>
    <t>Linux pricing</t>
  </si>
  <si>
    <t>PAYG</t>
  </si>
  <si>
    <t>m32ts</t>
  </si>
  <si>
    <t>m32ls</t>
  </si>
  <si>
    <t>m64ls</t>
  </si>
  <si>
    <t>32 vCPU 192GB</t>
  </si>
  <si>
    <t>64 vCPU 512GB</t>
  </si>
  <si>
    <t>S6</t>
  </si>
  <si>
    <t>S10</t>
  </si>
  <si>
    <t>S15</t>
  </si>
  <si>
    <t>total compute costs per month</t>
  </si>
  <si>
    <t>total storage costs per month</t>
  </si>
  <si>
    <t>annual costs</t>
  </si>
  <si>
    <t>SAP S/4 HANA DB</t>
  </si>
  <si>
    <t>SAP BW/4 HANA DB</t>
  </si>
  <si>
    <t>ADS</t>
  </si>
  <si>
    <t>SAP DMS</t>
  </si>
  <si>
    <t>SAP BO</t>
  </si>
  <si>
    <t>SAP ASCS &amp; PAI for S/4</t>
  </si>
  <si>
    <t>SAP ASCS &amp; PAI for BW</t>
  </si>
  <si>
    <t>expressRoute</t>
  </si>
  <si>
    <t>inter zonal data traffic</t>
  </si>
  <si>
    <t>Web dispatcher</t>
  </si>
  <si>
    <t>NFS server</t>
  </si>
  <si>
    <t>Production (zone 1)</t>
  </si>
  <si>
    <t>QAS/DEV (zone 2)</t>
  </si>
  <si>
    <t>Azure backup VMs</t>
  </si>
  <si>
    <t>HANA Backup Storage hot tier (10TB)</t>
  </si>
  <si>
    <t>HANA Backup Storage cold tier (10TB)</t>
  </si>
  <si>
    <t>Windows PAYG</t>
  </si>
  <si>
    <t>Windows 3yr reservation</t>
  </si>
  <si>
    <t>SLES for SAP 3yr reservation</t>
  </si>
  <si>
    <t>SUSE licensing</t>
  </si>
  <si>
    <t>BYOL</t>
  </si>
  <si>
    <t>RI 3year</t>
  </si>
  <si>
    <t>Pay model</t>
  </si>
  <si>
    <t>RI 3yr</t>
  </si>
  <si>
    <t>Compute cost per month</t>
  </si>
  <si>
    <t>Compute cost per hour</t>
  </si>
  <si>
    <t>SW license per hour</t>
  </si>
  <si>
    <t>SW license per month</t>
  </si>
  <si>
    <t>Windows OS Pricing</t>
  </si>
  <si>
    <t>This calculation sheet is provided as an example. No rights can be derived from the results!!!</t>
  </si>
  <si>
    <t>pricing - contains all the relevant pricing information on compute, storage and software licenses</t>
  </si>
  <si>
    <t>landscape calculation - actual cost calculation for different SAP landscapes</t>
  </si>
  <si>
    <t>prices are Web-direct and based on the West Europe region. The prices are not automatically adjusted, so before quoting always check on azure.com</t>
  </si>
  <si>
    <t>for each landscape it is recommended to copy the relevant rows. In the example an architecture that uses 2 AV zones is used.</t>
  </si>
  <si>
    <t>At the bottom a table is included that lists the most common miscellaneous components such as backup, networking etc.</t>
  </si>
  <si>
    <t xml:space="preserve">The workbook consist of two main sheets: </t>
  </si>
  <si>
    <t>Instructions</t>
  </si>
  <si>
    <t>column A</t>
  </si>
  <si>
    <t>free format text field for the system description</t>
  </si>
  <si>
    <t>column B</t>
  </si>
  <si>
    <t>select the payment model for the VM from the dropdown list. Either "PAYG" or 3yr RI</t>
  </si>
  <si>
    <t>column C</t>
  </si>
  <si>
    <t>column D</t>
  </si>
  <si>
    <t>select VM T-shirt size</t>
  </si>
  <si>
    <t>column E</t>
  </si>
  <si>
    <t>set the run hours if PAYG is selected for the VM type. This also determines the software licensing costs if PAYG is selected for the SW license</t>
  </si>
  <si>
    <t>column K - X</t>
  </si>
  <si>
    <t>select the OS and the payment model for the OS. Either "Windows PAYG","Windows 3yr reservation","SLES for SAP BYOL", "SLES for SAP 3yr reservation"</t>
  </si>
  <si>
    <t>storage configuration. Fill in the number of disks per VM, either Premium or standard HDD</t>
  </si>
  <si>
    <t>For HANA production systems the disk configuration as mentioned in the Azure documentation is recommended: https://docs.microsoft.com/en-us/azure/virtual-machines/workloads/sap/hana-vm-operations</t>
  </si>
  <si>
    <t>No discounts are applied!!! In a future version I plan to include the CSP discounts for PAYG and RI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</si>
</sst>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€-2]\ #,##0.00"/>
    <numFmt numFmtId="165" formatCode="[$€-2]\ #,##0.000"/>
    <numFmt numFmtId="166" formatCode="[$€-2]\ #,##0"/>
    <numFmt numFmtId="167" formatCode="0.0000"/>
  </numFmts>
  <fonts count="20" x14ac:knownFonts="1">
    <font>
      <sz val="10"/>
      <name val="Arial"/>
    </font>
    <font>
      <b/>
      <sz val="10"/>
      <name val="Verdana"/>
    </font>
    <font>
      <sz val="10"/>
      <name val="Verdana"/>
    </font>
    <font>
      <sz val="10"/>
      <name val="Verdana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b/>
      <sz val="11"/>
      <name val="Arial"/>
      <family val="2"/>
    </font>
    <font>
      <sz val="10"/>
      <color theme="1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14"/>
      <name val="Arial"/>
      <family val="2"/>
    </font>
    <font>
      <sz val="16"/>
      <name val="Arial"/>
      <family val="2"/>
    </font>
    <font>
      <u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6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165" fontId="4" fillId="0" borderId="0" xfId="0" applyNumberFormat="1" applyFont="1"/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right" vertical="top"/>
    </xf>
    <xf numFmtId="0" fontId="10" fillId="3" borderId="1" xfId="0" applyFont="1" applyFill="1" applyBorder="1" applyAlignment="1">
      <alignment vertical="top"/>
    </xf>
    <xf numFmtId="165" fontId="10" fillId="3" borderId="2" xfId="0" applyNumberFormat="1" applyFont="1" applyFill="1" applyBorder="1" applyAlignment="1">
      <alignment vertical="top"/>
    </xf>
    <xf numFmtId="0" fontId="8" fillId="2" borderId="2" xfId="0" applyFont="1" applyFill="1" applyBorder="1"/>
    <xf numFmtId="165" fontId="8" fillId="2" borderId="1" xfId="0" applyNumberFormat="1" applyFont="1" applyFill="1" applyBorder="1"/>
    <xf numFmtId="0" fontId="9" fillId="0" borderId="3" xfId="0" applyFont="1" applyBorder="1"/>
    <xf numFmtId="165" fontId="9" fillId="0" borderId="4" xfId="0" applyNumberFormat="1" applyFont="1" applyBorder="1"/>
    <xf numFmtId="0" fontId="11" fillId="4" borderId="0" xfId="0" applyFont="1" applyFill="1" applyBorder="1" applyAlignment="1">
      <alignment horizontal="left" vertical="center"/>
    </xf>
    <xf numFmtId="165" fontId="0" fillId="0" borderId="0" xfId="0" applyNumberFormat="1" applyFont="1"/>
    <xf numFmtId="166" fontId="0" fillId="0" borderId="0" xfId="0" applyNumberFormat="1"/>
    <xf numFmtId="0" fontId="12" fillId="0" borderId="0" xfId="0" applyFont="1"/>
    <xf numFmtId="165" fontId="12" fillId="0" borderId="0" xfId="0" applyNumberFormat="1" applyFont="1"/>
    <xf numFmtId="0" fontId="0" fillId="0" borderId="5" xfId="0" applyBorder="1"/>
    <xf numFmtId="0" fontId="0" fillId="0" borderId="6" xfId="0" applyBorder="1"/>
    <xf numFmtId="166" fontId="13" fillId="2" borderId="2" xfId="0" applyNumberFormat="1" applyFont="1" applyFill="1" applyBorder="1"/>
    <xf numFmtId="0" fontId="9" fillId="0" borderId="4" xfId="0" applyFont="1" applyBorder="1"/>
    <xf numFmtId="0" fontId="0" fillId="0" borderId="0" xfId="0" applyAlignment="1">
      <alignment horizontal="right"/>
    </xf>
    <xf numFmtId="0" fontId="0" fillId="0" borderId="0" xfId="0" applyBorder="1"/>
    <xf numFmtId="0" fontId="0" fillId="0" borderId="7" xfId="0" applyBorder="1"/>
    <xf numFmtId="166" fontId="0" fillId="0" borderId="7" xfId="0" applyNumberFormat="1" applyBorder="1"/>
    <xf numFmtId="0" fontId="4" fillId="0" borderId="6" xfId="0" applyFont="1" applyBorder="1"/>
    <xf numFmtId="166" fontId="0" fillId="0" borderId="0" xfId="0" applyNumberFormat="1" applyBorder="1"/>
    <xf numFmtId="167" fontId="0" fillId="0" borderId="6" xfId="1" applyNumberFormat="1" applyFont="1" applyBorder="1"/>
    <xf numFmtId="0" fontId="9" fillId="0" borderId="0" xfId="0" applyFont="1" applyBorder="1"/>
    <xf numFmtId="0" fontId="4" fillId="0" borderId="0" xfId="0" applyFont="1" applyAlignment="1">
      <alignment vertical="top"/>
    </xf>
    <xf numFmtId="0" fontId="0" fillId="0" borderId="0" xfId="0" applyAlignment="1">
      <alignment horizontal="left" indent="1"/>
    </xf>
    <xf numFmtId="165" fontId="4" fillId="0" borderId="0" xfId="0" applyNumberFormat="1" applyFont="1" applyAlignment="1">
      <alignment vertical="top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left" indent="1"/>
    </xf>
    <xf numFmtId="0" fontId="18" fillId="0" borderId="0" xfId="0" applyFont="1" applyAlignment="1">
      <alignment horizontal="left"/>
    </xf>
    <xf numFmtId="0" fontId="19" fillId="0" borderId="0" xfId="0" applyFont="1"/>
    <xf numFmtId="0" fontId="18" fillId="5" borderId="0" xfId="0" applyFont="1" applyFill="1"/>
  </cellXfs>
  <cellStyles count="2">
    <cellStyle name="Currency" xfId="1" builtinId="4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66" formatCode="[$€-2]\ #,##0"/>
    </dxf>
    <dxf>
      <numFmt numFmtId="165" formatCode="[$€-2]\ #,##0.000"/>
    </dxf>
    <dxf>
      <numFmt numFmtId="166" formatCode="[$€-2]\ #,##0"/>
    </dxf>
    <dxf>
      <numFmt numFmtId="165" formatCode="[$€-2]\ #,##0.000"/>
    </dxf>
    <dxf>
      <numFmt numFmtId="165" formatCode="[$€-2]\ #,##0.000"/>
    </dxf>
    <dxf>
      <numFmt numFmtId="165" formatCode="[$€-2]\ #,##0.000"/>
    </dxf>
    <dxf>
      <numFmt numFmtId="166" formatCode="[$€-2]\ #,##0"/>
    </dxf>
    <dxf>
      <font>
        <color theme="1"/>
        <family val="2"/>
      </font>
      <numFmt numFmtId="165" formatCode="[$€-2]\ #,##0.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DEBF7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2:I12" totalsRowShown="0" headerRowDxfId="19">
  <autoFilter ref="A2:I12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Role" dataDxfId="18" totalsRowDxfId="17"/>
    <tableColumn id="2" xr3:uid="{9E955E7A-6221-43F0-B4AE-69A7A55460F7}" name="Pay model" dataDxfId="16" totalsRowDxfId="15"/>
    <tableColumn id="3" xr3:uid="{00000000-0010-0000-0000-000003000000}" name="OS"/>
    <tableColumn id="4" xr3:uid="{00000000-0010-0000-0000-000004000000}" name="VM type"/>
    <tableColumn id="5" xr3:uid="{00000000-0010-0000-0000-000005000000}" name="hours per month"/>
    <tableColumn id="6" xr3:uid="{00000000-0010-0000-0000-000006000000}" name="Compute cost per hour" dataDxfId="7">
      <calculatedColumnFormula>IF(B3="RI",VLOOKUP(D3,pricing!$A$24:$H$47,6,FALSE),VLOOKUP(D3,pricing!$A$24:$H$47,4,FALSE))</calculatedColumnFormula>
    </tableColumn>
    <tableColumn id="7" xr3:uid="{00000000-0010-0000-0000-000007000000}" name="Compute cost per month" dataDxfId="6"/>
    <tableColumn id="8" xr3:uid="{55AA7837-FB2D-400A-874C-4B1460F8B8CC}" name="SW license per hour" dataDxfId="5"/>
    <tableColumn id="9" xr3:uid="{12FB4B54-44C9-4AC4-B556-29792C85B169}" name="SW license per month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E9092A-4C3C-4F95-B199-76B95D0F9E08}" name="Table32" displayName="Table32" ref="A16:I27" totalsRowCount="1">
  <autoFilter ref="A16:I26" xr:uid="{158E8384-CB94-419B-AFFD-E885383D5676}"/>
  <tableColumns count="9">
    <tableColumn id="1" xr3:uid="{733D0D65-4DF8-468A-A6C6-2F2D8C0AE5AC}" name="Role" totalsRowLabel="Total" dataDxfId="14" totalsRowDxfId="1"/>
    <tableColumn id="2" xr3:uid="{5BF1357E-A10D-4997-8446-E1FE1987FEB4}" name="Pay model" dataDxfId="13" totalsRowDxfId="0"/>
    <tableColumn id="3" xr3:uid="{60A9F3BE-4782-44FA-8CEF-80FF8B5F7A98}" name="OS" dataDxfId="12"/>
    <tableColumn id="4" xr3:uid="{B98FD152-707F-43F8-BE8E-FBCA507B9445}" name="VM type" dataDxfId="11"/>
    <tableColumn id="5" xr3:uid="{301B1408-FCBD-49E7-A46F-AF4041C22BC2}" name="hours per month" dataDxfId="10"/>
    <tableColumn id="6" xr3:uid="{0D74C485-EF49-4022-81BE-38C3B6C84501}" name="Compute cost per hour" dataDxfId="9"/>
    <tableColumn id="7" xr3:uid="{67541A2C-D5B4-4CE2-90FD-5C92B26A2BC0}" name="Compute cost per month" dataDxfId="8"/>
    <tableColumn id="8" xr3:uid="{34C2510A-3BBB-4951-BD25-AA7745DCF947}" name="SW license per hour" dataDxfId="3"/>
    <tableColumn id="9" xr3:uid="{078D2CE8-2ADA-4E3A-B7A5-4BD861BE3D11}" name="SW license per month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1B3D-D888-4F32-A4A2-E6100712C5E3}">
  <dimension ref="A1:B21"/>
  <sheetViews>
    <sheetView tabSelected="1" workbookViewId="0">
      <selection activeCell="D4" sqref="D4"/>
    </sheetView>
  </sheetViews>
  <sheetFormatPr defaultRowHeight="12.5" x14ac:dyDescent="0.25"/>
  <cols>
    <col min="1" max="1" width="21.36328125" bestFit="1" customWidth="1"/>
    <col min="2" max="2" width="15.1796875" customWidth="1"/>
    <col min="3" max="3" width="23.453125" customWidth="1"/>
    <col min="4" max="4" width="15.26953125" bestFit="1" customWidth="1"/>
    <col min="5" max="5" width="17.08984375" bestFit="1" customWidth="1"/>
    <col min="6" max="6" width="22.1796875" bestFit="1" customWidth="1"/>
    <col min="8" max="8" width="17.81640625" customWidth="1"/>
  </cols>
  <sheetData>
    <row r="1" spans="1:2" ht="20" x14ac:dyDescent="0.4">
      <c r="A1" s="46" t="s">
        <v>116</v>
      </c>
    </row>
    <row r="3" spans="1:2" ht="20" x14ac:dyDescent="0.4">
      <c r="A3" s="42" t="s">
        <v>122</v>
      </c>
    </row>
    <row r="4" spans="1:2" ht="20" x14ac:dyDescent="0.4">
      <c r="A4" s="42"/>
    </row>
    <row r="5" spans="1:2" ht="20" x14ac:dyDescent="0.4">
      <c r="A5" s="44" t="s">
        <v>117</v>
      </c>
    </row>
    <row r="6" spans="1:2" ht="20" x14ac:dyDescent="0.4">
      <c r="A6" s="43" t="s">
        <v>119</v>
      </c>
    </row>
    <row r="7" spans="1:2" ht="20" x14ac:dyDescent="0.4">
      <c r="A7" s="43" t="s">
        <v>137</v>
      </c>
    </row>
    <row r="9" spans="1:2" ht="20" x14ac:dyDescent="0.4">
      <c r="A9" s="44" t="s">
        <v>118</v>
      </c>
    </row>
    <row r="10" spans="1:2" ht="20" x14ac:dyDescent="0.4">
      <c r="A10" s="43" t="s">
        <v>120</v>
      </c>
    </row>
    <row r="11" spans="1:2" ht="20" x14ac:dyDescent="0.4">
      <c r="A11" s="43" t="s">
        <v>121</v>
      </c>
    </row>
    <row r="14" spans="1:2" ht="17.5" x14ac:dyDescent="0.35">
      <c r="A14" s="45" t="s">
        <v>123</v>
      </c>
    </row>
    <row r="15" spans="1:2" ht="17.5" x14ac:dyDescent="0.35">
      <c r="A15" s="41" t="s">
        <v>124</v>
      </c>
      <c r="B15" s="41" t="s">
        <v>125</v>
      </c>
    </row>
    <row r="16" spans="1:2" ht="17.5" x14ac:dyDescent="0.35">
      <c r="A16" s="41" t="s">
        <v>126</v>
      </c>
      <c r="B16" s="41" t="s">
        <v>127</v>
      </c>
    </row>
    <row r="17" spans="1:2" ht="17.5" x14ac:dyDescent="0.35">
      <c r="A17" s="41" t="s">
        <v>128</v>
      </c>
      <c r="B17" s="41" t="s">
        <v>134</v>
      </c>
    </row>
    <row r="18" spans="1:2" ht="17.5" x14ac:dyDescent="0.35">
      <c r="A18" s="41" t="s">
        <v>129</v>
      </c>
      <c r="B18" s="41" t="s">
        <v>130</v>
      </c>
    </row>
    <row r="19" spans="1:2" ht="17.5" x14ac:dyDescent="0.35">
      <c r="A19" s="41" t="s">
        <v>131</v>
      </c>
      <c r="B19" s="41" t="s">
        <v>132</v>
      </c>
    </row>
    <row r="20" spans="1:2" ht="17.5" x14ac:dyDescent="0.35">
      <c r="A20" s="41" t="s">
        <v>133</v>
      </c>
      <c r="B20" s="41" t="s">
        <v>135</v>
      </c>
    </row>
    <row r="21" spans="1:2" ht="17.5" x14ac:dyDescent="0.35">
      <c r="A21" s="41"/>
      <c r="B21" s="41" t="s">
        <v>136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zoomScaleNormal="100" workbookViewId="0">
      <selection activeCell="C24" sqref="C24"/>
    </sheetView>
  </sheetViews>
  <sheetFormatPr defaultRowHeight="12.5" x14ac:dyDescent="0.25"/>
  <cols>
    <col min="1" max="1" width="34.90625" customWidth="1"/>
    <col min="2" max="2" width="10.54296875" customWidth="1"/>
    <col min="3" max="3" width="28.453125" customWidth="1"/>
    <col min="4" max="4" width="11.54296875" customWidth="1"/>
    <col min="5" max="5" width="11" customWidth="1"/>
    <col min="6" max="6" width="19.81640625" customWidth="1"/>
    <col min="7" max="7" width="24.81640625" style="7" customWidth="1"/>
    <col min="8" max="9" width="23.90625" style="7" customWidth="1"/>
    <col min="10" max="10" width="17.81640625" bestFit="1" customWidth="1"/>
    <col min="14" max="15" width="9.453125" bestFit="1" customWidth="1"/>
    <col min="16" max="16" width="10.453125" bestFit="1" customWidth="1"/>
  </cols>
  <sheetData>
    <row r="1" spans="1:24" ht="15.5" x14ac:dyDescent="0.35">
      <c r="A1" s="10" t="s">
        <v>98</v>
      </c>
      <c r="B1" s="10"/>
      <c r="C1" s="8" t="s">
        <v>43</v>
      </c>
      <c r="K1" s="8" t="s">
        <v>6</v>
      </c>
    </row>
    <row r="2" spans="1:24" s="4" customFormat="1" ht="13.5" x14ac:dyDescent="0.25">
      <c r="A2" s="4" t="s">
        <v>5</v>
      </c>
      <c r="B2" s="38" t="s">
        <v>109</v>
      </c>
      <c r="C2" s="5" t="s">
        <v>0</v>
      </c>
      <c r="D2" s="4" t="s">
        <v>1</v>
      </c>
      <c r="E2" s="4" t="s">
        <v>2</v>
      </c>
      <c r="F2" s="40" t="s">
        <v>112</v>
      </c>
      <c r="G2" s="38" t="s">
        <v>111</v>
      </c>
      <c r="H2" s="38" t="s">
        <v>113</v>
      </c>
      <c r="I2" s="38" t="s">
        <v>114</v>
      </c>
      <c r="J2" s="14"/>
      <c r="K2" s="15" t="s">
        <v>31</v>
      </c>
      <c r="L2" s="15" t="s">
        <v>4</v>
      </c>
      <c r="M2" s="15" t="s">
        <v>7</v>
      </c>
      <c r="N2" s="15" t="s">
        <v>3</v>
      </c>
      <c r="O2" s="15" t="s">
        <v>15</v>
      </c>
      <c r="P2" s="16" t="s">
        <v>16</v>
      </c>
      <c r="Q2" s="16" t="s">
        <v>39</v>
      </c>
      <c r="R2" s="16" t="s">
        <v>81</v>
      </c>
      <c r="S2" s="16" t="s">
        <v>82</v>
      </c>
      <c r="T2" s="16" t="s">
        <v>83</v>
      </c>
      <c r="U2" s="16" t="s">
        <v>40</v>
      </c>
      <c r="V2" s="16" t="s">
        <v>41</v>
      </c>
      <c r="W2" s="16" t="s">
        <v>17</v>
      </c>
      <c r="X2" s="16" t="s">
        <v>42</v>
      </c>
    </row>
    <row r="3" spans="1:24" ht="14.5" x14ac:dyDescent="0.3">
      <c r="A3" s="26" t="s">
        <v>87</v>
      </c>
      <c r="B3" s="21" t="s">
        <v>110</v>
      </c>
      <c r="C3" s="3" t="s">
        <v>105</v>
      </c>
      <c r="D3" s="8" t="s">
        <v>13</v>
      </c>
      <c r="E3" s="2">
        <v>730</v>
      </c>
      <c r="F3" s="18">
        <f>IF(B3="RI 3yr",VLOOKUP(D3,pricing!$A$24:$K$47,6,FALSE),VLOOKUP(D3,pricing!$A$24:$K$47,4,FALSE))</f>
        <v>4.3999999999999997E-2</v>
      </c>
      <c r="G3" s="23">
        <f>IF((B3="RI 3yr"), F3*732, F3*E3)</f>
        <v>32.207999999999998</v>
      </c>
      <c r="H3" s="7">
        <f>IF(C3="SLES for SAP 3yr reservation",VLOOKUP(D3,pricing!$A$24:$K$47,11,FALSE),IF(C3="Windows 3yr reservation",VLOOKUP(D3,pricing!$A$24:$K$47,8,FALSE),IF(C3="Windows PAYG",VLOOKUP(D3,pricing!$A$24:$K$47,7,FALSE),IF(C3="SLES for SAP BYOL",VLOOKUP(D3,pricing!$A$24:$K$47,9,FALSE)))))</f>
        <v>5.1853571704976356E-2</v>
      </c>
      <c r="I3" s="23">
        <f>IF(C3="SLES for SAP 3yr reservation", H3*732,IF(C3="Windows PAYG",H3*E3,IF(C3="Windows 3yr reservation",H3*732, 0)))</f>
        <v>37.956814488042696</v>
      </c>
      <c r="K3" s="17">
        <v>2</v>
      </c>
      <c r="L3" s="17"/>
      <c r="M3" s="17"/>
      <c r="N3" s="17">
        <v>6</v>
      </c>
      <c r="O3" s="17">
        <v>1</v>
      </c>
      <c r="P3" s="17"/>
      <c r="Q3" s="17"/>
      <c r="R3" s="17"/>
      <c r="S3" s="17"/>
      <c r="T3" s="17"/>
      <c r="U3" s="17"/>
      <c r="V3" s="17"/>
      <c r="W3" s="17"/>
      <c r="X3" s="17"/>
    </row>
    <row r="4" spans="1:24" ht="14.5" x14ac:dyDescent="0.3">
      <c r="A4" s="27" t="s">
        <v>88</v>
      </c>
      <c r="B4" s="21" t="s">
        <v>110</v>
      </c>
      <c r="C4" s="3" t="s">
        <v>104</v>
      </c>
      <c r="D4" s="8" t="s">
        <v>78</v>
      </c>
      <c r="E4" s="2">
        <v>730</v>
      </c>
      <c r="F4" s="18">
        <f>IF(B4="RI 3yr",VLOOKUP(D4,pricing!$A$24:$K$47,6,FALSE),VLOOKUP(D4,pricing!$A$24:$K$47,4,FALSE))</f>
        <v>1.5329999999999999</v>
      </c>
      <c r="G4" s="23">
        <f t="shared" ref="G4:G11" si="0">IF((B4="RI 3yr"), F4*732, F4*E4)</f>
        <v>1122.1559999999999</v>
      </c>
      <c r="H4" s="7">
        <f>IF(C4="SLES for SAP 3yr reservation",VLOOKUP(D4,pricing!$A$24:$K$47,11,FALSE),IF(C4="Windows 3yr reservation",VLOOKUP(D4,pricing!$A$24:$K$47,8,FALSE),IF(C4="Windows PAYG",VLOOKUP(D4,pricing!$A$24:$K$47,7,FALSE),IF(C4="SLES for SAP BYOL",VLOOKUP(D4,pricing!$A$24:$K$47,9,FALSE)))))</f>
        <v>0.160761991499696</v>
      </c>
      <c r="I4" s="23">
        <f t="shared" ref="I4:I11" si="1">IF(C4="SLES for SAP 3yr reservation", H4*732,IF(C4="Windows PAYG",H4*E4,IF(C4="Windows 3yr reservation",H4*732, 0)))</f>
        <v>117.67777777777748</v>
      </c>
      <c r="K4" s="17">
        <v>2</v>
      </c>
      <c r="L4" s="17"/>
      <c r="M4" s="17"/>
      <c r="N4" s="17">
        <v>6</v>
      </c>
      <c r="O4" s="17">
        <v>1</v>
      </c>
      <c r="P4" s="17"/>
      <c r="Q4" s="17"/>
      <c r="R4" s="17"/>
      <c r="S4" s="17"/>
      <c r="T4" s="17"/>
      <c r="U4" s="17"/>
      <c r="V4" s="17"/>
      <c r="W4" s="17"/>
      <c r="X4" s="17"/>
    </row>
    <row r="5" spans="1:24" ht="14.5" x14ac:dyDescent="0.3">
      <c r="A5" s="27" t="s">
        <v>89</v>
      </c>
      <c r="B5" s="21" t="s">
        <v>110</v>
      </c>
      <c r="C5" s="3" t="s">
        <v>105</v>
      </c>
      <c r="D5" s="8" t="s">
        <v>50</v>
      </c>
      <c r="E5" s="2">
        <v>730</v>
      </c>
      <c r="F5" s="18">
        <f>IF(B5="RI 3yr",VLOOKUP(D5,pricing!$A$24:$K$47,6,FALSE),VLOOKUP(D5,pricing!$A$24:$K$47,4,FALSE))</f>
        <v>5.0999999999999997E-2</v>
      </c>
      <c r="G5" s="23">
        <f t="shared" si="0"/>
        <v>37.332000000000001</v>
      </c>
      <c r="H5" s="7">
        <f>IF(C5="SLES for SAP 3yr reservation",VLOOKUP(D5,pricing!$A$24:$K$47,11,FALSE),IF(C5="Windows 3yr reservation",VLOOKUP(D5,pricing!$A$24:$K$47,8,FALSE),IF(C5="Windows PAYG",VLOOKUP(D5,pricing!$A$24:$K$47,7,FALSE),IF(C5="SLES for SAP BYOL",VLOOKUP(D5,pricing!$A$24:$K$47,9,FALSE)))))</f>
        <v>5.1853571704976356E-2</v>
      </c>
      <c r="I5" s="23">
        <f t="shared" si="1"/>
        <v>37.956814488042696</v>
      </c>
      <c r="K5" s="17">
        <v>1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4" ht="14.5" x14ac:dyDescent="0.3">
      <c r="A6" s="27" t="s">
        <v>90</v>
      </c>
      <c r="B6" s="21" t="s">
        <v>110</v>
      </c>
      <c r="C6" s="3" t="s">
        <v>105</v>
      </c>
      <c r="D6" s="8" t="s">
        <v>50</v>
      </c>
      <c r="E6" s="2">
        <v>730</v>
      </c>
      <c r="F6" s="18">
        <f>IF(B6="RI 3yr",VLOOKUP(D6,pricing!$A$24:$K$47,6,FALSE),VLOOKUP(D6,pricing!$A$24:$K$47,4,FALSE))</f>
        <v>5.0999999999999997E-2</v>
      </c>
      <c r="G6" s="23">
        <f t="shared" si="0"/>
        <v>37.332000000000001</v>
      </c>
      <c r="H6" s="7">
        <f>IF(C6="SLES for SAP 3yr reservation",VLOOKUP(D6,pricing!$A$24:$K$47,11,FALSE),IF(C6="Windows 3yr reservation",VLOOKUP(D6,pricing!$A$24:$K$47,8,FALSE),IF(C6="Windows PAYG",VLOOKUP(D6,pricing!$A$24:$K$47,7,FALSE),IF(C6="SLES for SAP BYOL",VLOOKUP(D6,pricing!$A$24:$K$47,9,FALSE)))))</f>
        <v>5.1853571704976356E-2</v>
      </c>
      <c r="I6" s="23">
        <f t="shared" si="1"/>
        <v>37.956814488042696</v>
      </c>
      <c r="K6" s="17">
        <v>1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ht="14.5" x14ac:dyDescent="0.3">
      <c r="A7" s="27" t="s">
        <v>91</v>
      </c>
      <c r="B7" s="21" t="s">
        <v>110</v>
      </c>
      <c r="C7" s="3" t="s">
        <v>105</v>
      </c>
      <c r="D7" s="8" t="s">
        <v>50</v>
      </c>
      <c r="E7" s="2">
        <v>730</v>
      </c>
      <c r="F7" s="18">
        <f>IF(B7="RI 3yr",VLOOKUP(D7,pricing!$A$24:$K$47,6,FALSE),VLOOKUP(D7,pricing!$A$24:$K$47,4,FALSE))</f>
        <v>5.0999999999999997E-2</v>
      </c>
      <c r="G7" s="23">
        <f t="shared" si="0"/>
        <v>37.332000000000001</v>
      </c>
      <c r="H7" s="7">
        <f>IF(C7="SLES for SAP 3yr reservation",VLOOKUP(D7,pricing!$A$24:$K$47,11,FALSE),IF(C7="Windows 3yr reservation",VLOOKUP(D7,pricing!$A$24:$K$47,8,FALSE),IF(C7="Windows PAYG",VLOOKUP(D7,pricing!$A$24:$K$47,7,FALSE),IF(C7="SLES for SAP BYOL",VLOOKUP(D7,pricing!$A$24:$K$47,9,FALSE)))))</f>
        <v>5.1853571704976356E-2</v>
      </c>
      <c r="I7" s="23">
        <f t="shared" si="1"/>
        <v>37.956814488042696</v>
      </c>
      <c r="K7" s="17">
        <v>1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ht="14.5" x14ac:dyDescent="0.3">
      <c r="A8" s="34" t="s">
        <v>96</v>
      </c>
      <c r="B8" s="21" t="s">
        <v>110</v>
      </c>
      <c r="C8" s="3" t="s">
        <v>103</v>
      </c>
      <c r="D8" s="8" t="s">
        <v>29</v>
      </c>
      <c r="E8" s="2">
        <v>730</v>
      </c>
      <c r="F8" s="18">
        <f>IF(B8="RI 3yr",VLOOKUP(D8,pricing!$A$24:$K$47,6,FALSE),VLOOKUP(D8,pricing!$A$24:$K$47,4,FALSE))</f>
        <v>0.35499999999999998</v>
      </c>
      <c r="G8" s="23">
        <f t="shared" si="0"/>
        <v>259.86</v>
      </c>
      <c r="H8" s="7">
        <f>IF(C8="SLES for SAP 3yr reservation",VLOOKUP(D8,pricing!$A$24:$K$47,11,FALSE),IF(C8="Windows 3yr reservation",VLOOKUP(D8,pricing!$A$24:$K$47,8,FALSE),IF(C8="Windows PAYG",VLOOKUP(D8,pricing!$A$24:$K$47,7,FALSE),IF(C8="SLES for SAP BYOL",VLOOKUP(D8,pricing!$A$24:$K$47,9,FALSE)))))</f>
        <v>0.62</v>
      </c>
      <c r="I8" s="23">
        <f t="shared" si="1"/>
        <v>452.6</v>
      </c>
      <c r="K8" s="17">
        <v>1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ht="14.5" x14ac:dyDescent="0.3">
      <c r="A9" s="34" t="s">
        <v>97</v>
      </c>
      <c r="B9" s="21" t="s">
        <v>110</v>
      </c>
      <c r="C9" s="3" t="s">
        <v>105</v>
      </c>
      <c r="D9" s="8" t="s">
        <v>13</v>
      </c>
      <c r="E9" s="2">
        <v>730</v>
      </c>
      <c r="F9" s="18">
        <f>IF(B9="RI 3yr",VLOOKUP(D9,pricing!$A$24:$K$47,6,FALSE),VLOOKUP(D9,pricing!$A$24:$K$47,4,FALSE))</f>
        <v>4.3999999999999997E-2</v>
      </c>
      <c r="G9" s="23">
        <f t="shared" si="0"/>
        <v>32.207999999999998</v>
      </c>
      <c r="H9" s="7">
        <f>IF(C9="SLES for SAP 3yr reservation",VLOOKUP(D9,pricing!$A$24:$K$47,11,FALSE),IF(C9="Windows 3yr reservation",VLOOKUP(D9,pricing!$A$24:$K$47,8,FALSE),IF(C9="Windows PAYG",VLOOKUP(D9,pricing!$A$24:$K$47,7,FALSE),IF(C9="SLES for SAP BYOL",VLOOKUP(D9,pricing!$A$24:$K$47,9,FALSE)))))</f>
        <v>5.1853571704976356E-2</v>
      </c>
      <c r="I9" s="23">
        <f t="shared" si="1"/>
        <v>37.956814488042696</v>
      </c>
      <c r="K9" s="17">
        <v>1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 ht="14.5" x14ac:dyDescent="0.3">
      <c r="A10" s="34" t="s">
        <v>92</v>
      </c>
      <c r="B10" s="21" t="s">
        <v>110</v>
      </c>
      <c r="C10" s="3" t="s">
        <v>105</v>
      </c>
      <c r="D10" s="8" t="s">
        <v>13</v>
      </c>
      <c r="E10" s="2">
        <v>730</v>
      </c>
      <c r="F10" s="18">
        <f>IF(B10="RI 3yr",VLOOKUP(D10,pricing!$A$24:$K$47,6,FALSE),VLOOKUP(D10,pricing!$A$24:$K$47,4,FALSE))</f>
        <v>4.3999999999999997E-2</v>
      </c>
      <c r="G10" s="23">
        <f t="shared" si="0"/>
        <v>32.207999999999998</v>
      </c>
      <c r="H10" s="7">
        <f>IF(C10="SLES for SAP 3yr reservation",VLOOKUP(D10,pricing!$A$24:$K$47,11,FALSE),IF(C10="Windows 3yr reservation",VLOOKUP(D10,pricing!$A$24:$K$47,8,FALSE),IF(C10="Windows PAYG",VLOOKUP(D10,pricing!$A$24:$K$47,7,FALSE),IF(C10="SLES for SAP BYOL",VLOOKUP(D10,pricing!$A$24:$K$47,9,FALSE)))))</f>
        <v>5.1853571704976356E-2</v>
      </c>
      <c r="I10" s="23">
        <f t="shared" si="1"/>
        <v>37.956814488042696</v>
      </c>
      <c r="K10" s="17">
        <v>1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ht="14.5" x14ac:dyDescent="0.3">
      <c r="A11" s="34" t="s">
        <v>93</v>
      </c>
      <c r="B11" s="21" t="s">
        <v>110</v>
      </c>
      <c r="C11" s="3" t="s">
        <v>105</v>
      </c>
      <c r="D11" s="8" t="s">
        <v>13</v>
      </c>
      <c r="E11" s="2">
        <v>730</v>
      </c>
      <c r="F11" s="18">
        <f>IF(B11="RI 3yr",VLOOKUP(D11,pricing!$A$24:$K$47,6,FALSE),VLOOKUP(D11,pricing!$A$24:$K$47,4,FALSE))</f>
        <v>4.3999999999999997E-2</v>
      </c>
      <c r="G11" s="23">
        <f t="shared" si="0"/>
        <v>32.207999999999998</v>
      </c>
      <c r="H11" s="7">
        <f>IF(C11="SLES for SAP 3yr reservation",VLOOKUP(D11,pricing!$A$24:$K$47,11,FALSE),IF(C11="Windows 3yr reservation",VLOOKUP(D11,pricing!$A$24:$K$47,8,FALSE),IF(C11="Windows PAYG",VLOOKUP(D11,pricing!$A$24:$K$47,7,FALSE),IF(C11="SLES for SAP BYOL",VLOOKUP(D11,pricing!$A$24:$K$47,9,FALSE)))))</f>
        <v>5.1853571704976356E-2</v>
      </c>
      <c r="I11" s="23">
        <f t="shared" si="1"/>
        <v>37.956814488042696</v>
      </c>
      <c r="K11" s="17">
        <v>1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x14ac:dyDescent="0.25">
      <c r="A12" s="9" t="s">
        <v>44</v>
      </c>
      <c r="B12" s="9"/>
      <c r="F12" s="7"/>
      <c r="G12" s="23">
        <f>SUBTOTAL(109,G3:G11)</f>
        <v>1622.8440000000005</v>
      </c>
      <c r="H12" s="23"/>
      <c r="I12" s="23">
        <f>SUBTOTAL(109,I3:I11)</f>
        <v>835.97547919407646</v>
      </c>
      <c r="K12" s="28">
        <f>SUM(K3:K11)*VLOOKUP(K2,pricing!$A$4:$C$17,3,FALSE)</f>
        <v>104.17</v>
      </c>
      <c r="L12" s="28">
        <f>SUM(L3:L11)*VLOOKUP(L2,pricing!$A$4:$C$17,3,FALSE)</f>
        <v>0</v>
      </c>
      <c r="M12" s="28">
        <f>SUM(M3:M11)*VLOOKUP(M2,pricing!$A$4:$C$17,3,FALSE)</f>
        <v>0</v>
      </c>
      <c r="N12" s="28">
        <f>SUM(N3:N11)*VLOOKUP(N2,pricing!$A$4:$C$17,3,FALSE)</f>
        <v>815.04</v>
      </c>
      <c r="O12" s="28">
        <f>SUM(O3:O11)*VLOOKUP(O2,pricing!$A$4:$C$17,3,FALSE)</f>
        <v>250.76</v>
      </c>
      <c r="P12" s="28">
        <f>SUM(P3:P11)*VLOOKUP(P2,pricing!$A$4:$C$17,3,FALSE)</f>
        <v>0</v>
      </c>
      <c r="Q12" s="28">
        <f>SUM(Q3:Q11)*VLOOKUP(Q2,pricing!$A$4:$C$17,3,FALSE)</f>
        <v>0</v>
      </c>
      <c r="R12" s="28">
        <f>SUM(R3:R11)*VLOOKUP(R2,pricing!$A$4:$C$17,3,FALSE)</f>
        <v>0</v>
      </c>
      <c r="S12" s="28">
        <f>SUM(S3:S11)*VLOOKUP(S2,pricing!$A$4:$C$17,3,FALSE)</f>
        <v>0</v>
      </c>
      <c r="T12" s="28">
        <f>SUM(T3:T11)*VLOOKUP(T2,pricing!$A$4:$C$17,3,FALSE)</f>
        <v>0</v>
      </c>
      <c r="U12" s="28">
        <f>SUM(U3:U11)*VLOOKUP(U2,pricing!$A$4:$C$17,3,FALSE)</f>
        <v>0</v>
      </c>
      <c r="V12" s="28">
        <f>SUM(V3:V11)*VLOOKUP(V2,pricing!$A$4:$C$17,3,FALSE)</f>
        <v>0</v>
      </c>
      <c r="W12" s="28">
        <f>SUM(W3:W11)*VLOOKUP(W2,pricing!$A$4:$C$17,3,FALSE)</f>
        <v>0</v>
      </c>
      <c r="X12" s="28">
        <f>SUM(X3:X11)*VLOOKUP(X2,pricing!$A$4:$C$17,3,FALSE)</f>
        <v>0</v>
      </c>
    </row>
    <row r="13" spans="1:24" x14ac:dyDescent="0.25">
      <c r="A13" s="8"/>
      <c r="B13" s="8"/>
      <c r="X13" s="23">
        <f>SUM(K12:X12)</f>
        <v>1169.9699999999998</v>
      </c>
    </row>
    <row r="14" spans="1:24" ht="15.5" x14ac:dyDescent="0.35">
      <c r="A14" s="10"/>
      <c r="B14" s="10"/>
      <c r="C14" s="1"/>
      <c r="D14" s="1"/>
    </row>
    <row r="15" spans="1:24" ht="15.5" x14ac:dyDescent="0.35">
      <c r="A15" s="10" t="s">
        <v>99</v>
      </c>
      <c r="B15" s="10"/>
      <c r="C15" s="8" t="s">
        <v>43</v>
      </c>
      <c r="K15" s="8" t="s">
        <v>6</v>
      </c>
    </row>
    <row r="16" spans="1:24" s="4" customFormat="1" ht="13.5" x14ac:dyDescent="0.25">
      <c r="A16" s="4" t="s">
        <v>5</v>
      </c>
      <c r="B16" s="38" t="s">
        <v>109</v>
      </c>
      <c r="C16" s="5" t="s">
        <v>0</v>
      </c>
      <c r="D16" s="4" t="s">
        <v>1</v>
      </c>
      <c r="E16" s="4" t="s">
        <v>2</v>
      </c>
      <c r="F16" s="40" t="s">
        <v>112</v>
      </c>
      <c r="G16" s="38" t="s">
        <v>111</v>
      </c>
      <c r="H16" s="38" t="s">
        <v>113</v>
      </c>
      <c r="I16" s="38" t="s">
        <v>114</v>
      </c>
      <c r="J16" s="14"/>
      <c r="K16" s="15" t="s">
        <v>31</v>
      </c>
      <c r="L16" s="15" t="s">
        <v>4</v>
      </c>
      <c r="M16" s="15" t="s">
        <v>7</v>
      </c>
      <c r="N16" s="15" t="s">
        <v>3</v>
      </c>
      <c r="O16" s="15" t="s">
        <v>15</v>
      </c>
      <c r="P16" s="16" t="s">
        <v>16</v>
      </c>
      <c r="Q16" s="16" t="s">
        <v>39</v>
      </c>
      <c r="R16" s="16" t="s">
        <v>81</v>
      </c>
      <c r="S16" s="16" t="s">
        <v>82</v>
      </c>
      <c r="T16" s="16" t="s">
        <v>83</v>
      </c>
      <c r="U16" s="16" t="s">
        <v>40</v>
      </c>
      <c r="V16" s="16" t="s">
        <v>41</v>
      </c>
      <c r="W16" s="16" t="s">
        <v>17</v>
      </c>
      <c r="X16" s="16" t="s">
        <v>42</v>
      </c>
    </row>
    <row r="17" spans="1:24" ht="14.5" x14ac:dyDescent="0.3">
      <c r="A17" s="26" t="s">
        <v>87</v>
      </c>
      <c r="B17" s="21" t="s">
        <v>110</v>
      </c>
      <c r="C17" s="3" t="s">
        <v>105</v>
      </c>
      <c r="D17" s="8" t="s">
        <v>13</v>
      </c>
      <c r="E17" s="2">
        <v>730</v>
      </c>
      <c r="F17" s="18">
        <f>IF(B17="RI 3yr",VLOOKUP(D17,pricing!$A$24:$K$47,6,FALSE),VLOOKUP(D17,pricing!$A$24:$K$47,4,FALSE))</f>
        <v>4.3999999999999997E-2</v>
      </c>
      <c r="G17" s="23">
        <f>IF((B17="RI 3yr"), F17*732, F17*E17)</f>
        <v>32.207999999999998</v>
      </c>
      <c r="H17" s="7">
        <f>IF(C17="SLES for SAP 3yr reservation",VLOOKUP(D17,pricing!$A$24:$K$47,11,FALSE),IF(C17="Windows 3yr reservation",VLOOKUP(D17,pricing!$A$24:$K$47,8,FALSE),IF(C17="Windows PAYG",VLOOKUP(D17,pricing!$A$24:$K$47,7,FALSE),IF(C17="SLES for SAP BYOL",VLOOKUP(D17,pricing!$A$24:$K$47,9,FALSE)))))</f>
        <v>5.1853571704976356E-2</v>
      </c>
      <c r="I17" s="23">
        <f>IF(C17="SLES for SAP 3yr reservation", H17*732,IF(C17="Windows PAYG",H17*E17,IF(C17="Windows 3yr reservation",H17*732, 0)))</f>
        <v>37.956814488042696</v>
      </c>
      <c r="K17" s="17">
        <v>2</v>
      </c>
      <c r="L17" s="17"/>
      <c r="M17" s="17"/>
      <c r="N17" s="17">
        <v>6</v>
      </c>
      <c r="O17" s="17">
        <v>1</v>
      </c>
      <c r="P17" s="17"/>
      <c r="Q17" s="17"/>
      <c r="R17" s="17"/>
      <c r="S17" s="17"/>
      <c r="T17" s="17"/>
      <c r="U17" s="17"/>
      <c r="V17" s="17"/>
      <c r="W17" s="17"/>
      <c r="X17" s="17"/>
    </row>
    <row r="18" spans="1:24" ht="14.5" x14ac:dyDescent="0.3">
      <c r="A18" s="27" t="s">
        <v>88</v>
      </c>
      <c r="B18" s="21" t="s">
        <v>110</v>
      </c>
      <c r="C18" s="3" t="s">
        <v>105</v>
      </c>
      <c r="D18" s="8" t="s">
        <v>78</v>
      </c>
      <c r="E18" s="2">
        <v>730</v>
      </c>
      <c r="F18" s="18">
        <f>IF(B18="RI 3yr",VLOOKUP(D18,pricing!$A$24:$K$47,6,FALSE),VLOOKUP(D18,pricing!$A$24:$K$47,4,FALSE))</f>
        <v>1.5329999999999999</v>
      </c>
      <c r="G18" s="23">
        <f t="shared" ref="G18:G25" si="2">IF((B18="RI 3yr"), F18*732, F18*E18)</f>
        <v>1122.1559999999999</v>
      </c>
      <c r="H18" s="7">
        <f>IF(C18="SLES for SAP 3yr reservation",VLOOKUP(D18,pricing!$A$24:$K$47,11,FALSE),IF(C18="Windows 3yr reservation",VLOOKUP(D18,pricing!$A$24:$K$47,8,FALSE),IF(C18="Windows PAYG",VLOOKUP(D18,pricing!$A$24:$K$47,7,FALSE),IF(C18="SLES for SAP BYOL",VLOOKUP(D18,pricing!$A$24:$K$47,9,FALSE)))))</f>
        <v>0.12508706756442967</v>
      </c>
      <c r="I18" s="23">
        <f t="shared" ref="I18:I25" si="3">IF(C18="SLES for SAP 3yr reservation", H18*732,IF(C18="Windows PAYG",H18*E18,IF(C18="Windows 3yr reservation",H18*732, 0)))</f>
        <v>91.563733457162513</v>
      </c>
      <c r="K18" s="17">
        <v>2</v>
      </c>
      <c r="L18" s="17"/>
      <c r="M18" s="17"/>
      <c r="N18" s="17">
        <v>6</v>
      </c>
      <c r="O18" s="17">
        <v>1</v>
      </c>
      <c r="P18" s="17"/>
      <c r="Q18" s="17"/>
      <c r="R18" s="17"/>
      <c r="S18" s="17"/>
      <c r="T18" s="17"/>
      <c r="U18" s="17"/>
      <c r="V18" s="17"/>
      <c r="W18" s="17"/>
      <c r="X18" s="17"/>
    </row>
    <row r="19" spans="1:24" ht="14.5" x14ac:dyDescent="0.3">
      <c r="A19" s="27" t="s">
        <v>89</v>
      </c>
      <c r="B19" s="21" t="s">
        <v>110</v>
      </c>
      <c r="C19" s="3" t="s">
        <v>105</v>
      </c>
      <c r="D19" s="8" t="s">
        <v>50</v>
      </c>
      <c r="E19" s="2">
        <v>730</v>
      </c>
      <c r="F19" s="18">
        <f>IF(B19="RI 3yr",VLOOKUP(D19,pricing!$A$24:$K$47,6,FALSE),VLOOKUP(D19,pricing!$A$24:$K$47,4,FALSE))</f>
        <v>5.0999999999999997E-2</v>
      </c>
      <c r="G19" s="23">
        <f t="shared" si="2"/>
        <v>37.332000000000001</v>
      </c>
      <c r="H19" s="7">
        <f>IF(C19="SLES for SAP 3yr reservation",VLOOKUP(D19,pricing!$A$24:$K$47,11,FALSE),IF(C19="Windows 3yr reservation",VLOOKUP(D19,pricing!$A$24:$K$47,8,FALSE),IF(C19="Windows PAYG",VLOOKUP(D19,pricing!$A$24:$K$47,7,FALSE),IF(C19="SLES for SAP BYOL",VLOOKUP(D19,pricing!$A$24:$K$47,9,FALSE)))))</f>
        <v>5.1853571704976356E-2</v>
      </c>
      <c r="I19" s="23">
        <f t="shared" si="3"/>
        <v>37.956814488042696</v>
      </c>
      <c r="K19" s="17">
        <v>1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ht="14.5" x14ac:dyDescent="0.3">
      <c r="A20" s="27" t="s">
        <v>90</v>
      </c>
      <c r="B20" s="21" t="s">
        <v>110</v>
      </c>
      <c r="C20" s="3" t="s">
        <v>105</v>
      </c>
      <c r="D20" s="8" t="s">
        <v>50</v>
      </c>
      <c r="E20" s="2">
        <v>730</v>
      </c>
      <c r="F20" s="18">
        <f>IF(B20="RI 3yr",VLOOKUP(D20,pricing!$A$24:$K$47,6,FALSE),VLOOKUP(D20,pricing!$A$24:$K$47,4,FALSE))</f>
        <v>5.0999999999999997E-2</v>
      </c>
      <c r="G20" s="23">
        <f t="shared" si="2"/>
        <v>37.332000000000001</v>
      </c>
      <c r="H20" s="7">
        <f>IF(C20="SLES for SAP 3yr reservation",VLOOKUP(D20,pricing!$A$24:$K$47,11,FALSE),IF(C20="Windows 3yr reservation",VLOOKUP(D20,pricing!$A$24:$K$47,8,FALSE),IF(C20="Windows PAYG",VLOOKUP(D20,pricing!$A$24:$K$47,7,FALSE),IF(C20="SLES for SAP BYOL",VLOOKUP(D20,pricing!$A$24:$K$47,9,FALSE)))))</f>
        <v>5.1853571704976356E-2</v>
      </c>
      <c r="I20" s="23">
        <f t="shared" si="3"/>
        <v>37.956814488042696</v>
      </c>
      <c r="K20" s="17">
        <v>1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ht="14.5" x14ac:dyDescent="0.3">
      <c r="A21" s="27" t="s">
        <v>91</v>
      </c>
      <c r="B21" s="21" t="s">
        <v>110</v>
      </c>
      <c r="C21" s="3" t="s">
        <v>105</v>
      </c>
      <c r="D21" s="8" t="s">
        <v>50</v>
      </c>
      <c r="E21" s="2">
        <v>730</v>
      </c>
      <c r="F21" s="18">
        <f>IF(B21="RI 3yr",VLOOKUP(D21,pricing!$A$24:$K$47,6,FALSE),VLOOKUP(D21,pricing!$A$24:$K$47,4,FALSE))</f>
        <v>5.0999999999999997E-2</v>
      </c>
      <c r="G21" s="23">
        <f t="shared" si="2"/>
        <v>37.332000000000001</v>
      </c>
      <c r="H21" s="7">
        <f>IF(C21="SLES for SAP 3yr reservation",VLOOKUP(D21,pricing!$A$24:$K$47,11,FALSE),IF(C21="Windows 3yr reservation",VLOOKUP(D21,pricing!$A$24:$K$47,8,FALSE),IF(C21="Windows PAYG",VLOOKUP(D21,pricing!$A$24:$K$47,7,FALSE),IF(C21="SLES for SAP BYOL",VLOOKUP(D21,pricing!$A$24:$K$47,9,FALSE)))))</f>
        <v>5.1853571704976356E-2</v>
      </c>
      <c r="I21" s="23">
        <f t="shared" si="3"/>
        <v>37.956814488042696</v>
      </c>
      <c r="K21" s="17">
        <v>1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ht="14.5" x14ac:dyDescent="0.3">
      <c r="A22" s="34" t="s">
        <v>96</v>
      </c>
      <c r="B22" s="21" t="s">
        <v>110</v>
      </c>
      <c r="C22" s="3" t="s">
        <v>105</v>
      </c>
      <c r="D22" s="8" t="s">
        <v>51</v>
      </c>
      <c r="E22" s="2">
        <v>730</v>
      </c>
      <c r="F22" s="18">
        <f>IF(B22="RI 3yr",VLOOKUP(D22,pricing!$A$24:$K$47,6,FALSE),VLOOKUP(D22,pricing!$A$24:$K$47,4,FALSE))</f>
        <v>1.421</v>
      </c>
      <c r="G22" s="23">
        <f t="shared" si="2"/>
        <v>1040.172</v>
      </c>
      <c r="H22" s="7">
        <f>IF(C22="SLES for SAP 3yr reservation",VLOOKUP(D22,pricing!$A$24:$K$47,11,FALSE),IF(C22="Windows 3yr reservation",VLOOKUP(D22,pricing!$A$24:$K$47,8,FALSE),IF(C22="Windows PAYG",VLOOKUP(D22,pricing!$A$24:$K$47,7,FALSE),IF(C22="SLES for SAP BYOL",VLOOKUP(D22,pricing!$A$24:$K$47,9,FALSE)))))</f>
        <v>0.12508706756442967</v>
      </c>
      <c r="I22" s="23">
        <f t="shared" si="3"/>
        <v>91.563733457162513</v>
      </c>
      <c r="K22" s="17">
        <v>1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ht="14.5" x14ac:dyDescent="0.3">
      <c r="A23" s="34" t="s">
        <v>97</v>
      </c>
      <c r="B23" s="21" t="s">
        <v>110</v>
      </c>
      <c r="C23" s="3" t="s">
        <v>105</v>
      </c>
      <c r="D23" s="8" t="s">
        <v>13</v>
      </c>
      <c r="E23" s="2">
        <v>730</v>
      </c>
      <c r="F23" s="18">
        <f>IF(B23="RI 3yr",VLOOKUP(D23,pricing!$A$24:$K$47,6,FALSE),VLOOKUP(D23,pricing!$A$24:$K$47,4,FALSE))</f>
        <v>4.3999999999999997E-2</v>
      </c>
      <c r="G23" s="23">
        <f t="shared" si="2"/>
        <v>32.207999999999998</v>
      </c>
      <c r="H23" s="7">
        <f>IF(C23="SLES for SAP 3yr reservation",VLOOKUP(D23,pricing!$A$24:$K$47,11,FALSE),IF(C23="Windows 3yr reservation",VLOOKUP(D23,pricing!$A$24:$K$47,8,FALSE),IF(C23="Windows PAYG",VLOOKUP(D23,pricing!$A$24:$K$47,7,FALSE),IF(C23="SLES for SAP BYOL",VLOOKUP(D23,pricing!$A$24:$K$47,9,FALSE)))))</f>
        <v>5.1853571704976356E-2</v>
      </c>
      <c r="I23" s="23">
        <f t="shared" si="3"/>
        <v>37.956814488042696</v>
      </c>
      <c r="K23" s="17">
        <v>1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ht="14.5" x14ac:dyDescent="0.3">
      <c r="A24" s="34" t="s">
        <v>92</v>
      </c>
      <c r="B24" s="21" t="s">
        <v>110</v>
      </c>
      <c r="C24" s="3" t="s">
        <v>105</v>
      </c>
      <c r="D24" s="8" t="s">
        <v>13</v>
      </c>
      <c r="E24" s="2">
        <v>730</v>
      </c>
      <c r="F24" s="18">
        <f>IF(B24="RI 3yr",VLOOKUP(D24,pricing!$A$24:$K$47,6,FALSE),VLOOKUP(D24,pricing!$A$24:$K$47,4,FALSE))</f>
        <v>4.3999999999999997E-2</v>
      </c>
      <c r="G24" s="23">
        <f t="shared" si="2"/>
        <v>32.207999999999998</v>
      </c>
      <c r="H24" s="7">
        <f>IF(C24="SLES for SAP 3yr reservation",VLOOKUP(D24,pricing!$A$24:$K$47,11,FALSE),IF(C24="Windows 3yr reservation",VLOOKUP(D24,pricing!$A$24:$K$47,8,FALSE),IF(C24="Windows PAYG",VLOOKUP(D24,pricing!$A$24:$K$47,7,FALSE),IF(C24="SLES for SAP BYOL",VLOOKUP(D24,pricing!$A$24:$K$47,9,FALSE)))))</f>
        <v>5.1853571704976356E-2</v>
      </c>
      <c r="I24" s="23">
        <f t="shared" si="3"/>
        <v>37.956814488042696</v>
      </c>
      <c r="K24" s="17">
        <v>1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ht="14.5" x14ac:dyDescent="0.3">
      <c r="A25" s="34" t="s">
        <v>93</v>
      </c>
      <c r="B25" s="21" t="s">
        <v>110</v>
      </c>
      <c r="C25" s="3" t="s">
        <v>105</v>
      </c>
      <c r="D25" s="8" t="s">
        <v>13</v>
      </c>
      <c r="E25" s="2">
        <v>730</v>
      </c>
      <c r="F25" s="18">
        <f>IF(B25="RI 3yr",VLOOKUP(D25,pricing!$A$24:$K$47,6,FALSE),VLOOKUP(D25,pricing!$A$24:$K$47,4,FALSE))</f>
        <v>4.3999999999999997E-2</v>
      </c>
      <c r="G25" s="23">
        <f t="shared" si="2"/>
        <v>32.207999999999998</v>
      </c>
      <c r="H25" s="7">
        <f>IF(C25="SLES for SAP 3yr reservation",VLOOKUP(D25,pricing!$A$24:$K$47,11,FALSE),IF(C25="Windows 3yr reservation",VLOOKUP(D25,pricing!$A$24:$K$47,8,FALSE),IF(C25="Windows PAYG",VLOOKUP(D25,pricing!$A$24:$K$47,7,FALSE),IF(C25="SLES for SAP BYOL",VLOOKUP(D25,pricing!$A$24:$K$47,9,FALSE)))))</f>
        <v>5.1853571704976356E-2</v>
      </c>
      <c r="I25" s="23">
        <f t="shared" si="3"/>
        <v>37.956814488042696</v>
      </c>
      <c r="K25" s="17">
        <v>1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ht="13" thickBot="1" x14ac:dyDescent="0.3">
      <c r="A26" s="9" t="s">
        <v>44</v>
      </c>
      <c r="B26" s="9"/>
      <c r="F26" s="7"/>
      <c r="G26" s="23">
        <f>SUBTOTAL(109,G17:G25)</f>
        <v>2403.1560000000004</v>
      </c>
      <c r="H26" s="23"/>
      <c r="I26" s="23">
        <f>SUBTOTAL(109,I17:I25)</f>
        <v>448.82516833062397</v>
      </c>
      <c r="K26" s="28">
        <f>SUM(K17:K25)*VLOOKUP(K16,pricing!$A$4:$C$17,3,FALSE)</f>
        <v>104.17</v>
      </c>
      <c r="L26" s="28">
        <f>SUM(L17:L25)*VLOOKUP(L16,pricing!$A$4:$C$17,3,FALSE)</f>
        <v>0</v>
      </c>
      <c r="M26" s="28">
        <f>SUM(M17:M25)*VLOOKUP(M16,pricing!$A$4:$C$17,3,FALSE)</f>
        <v>0</v>
      </c>
      <c r="N26" s="28">
        <f>SUM(N17:N25)*VLOOKUP(N16,pricing!$A$4:$C$17,3,FALSE)</f>
        <v>815.04</v>
      </c>
      <c r="O26" s="28">
        <f>SUM(O17:O25)*VLOOKUP(O16,pricing!$A$4:$C$17,3,FALSE)</f>
        <v>250.76</v>
      </c>
      <c r="P26" s="28">
        <f>SUM(P17:P25)*VLOOKUP(P16,pricing!$A$4:$C$17,3,FALSE)</f>
        <v>0</v>
      </c>
      <c r="Q26" s="28">
        <f>SUM(Q17:Q25)*VLOOKUP(Q16,pricing!$A$4:$C$17,3,FALSE)</f>
        <v>0</v>
      </c>
      <c r="R26" s="28">
        <f>SUM(R17:R25)*VLOOKUP(R16,pricing!$A$4:$C$17,3,FALSE)</f>
        <v>0</v>
      </c>
      <c r="S26" s="28">
        <f>SUM(S17:S25)*VLOOKUP(S16,pricing!$A$4:$C$17,3,FALSE)</f>
        <v>0</v>
      </c>
      <c r="T26" s="28">
        <f>SUM(T17:T25)*VLOOKUP(T16,pricing!$A$4:$C$17,3,FALSE)</f>
        <v>0</v>
      </c>
      <c r="U26" s="28">
        <f>SUM(U17:U25)*VLOOKUP(U16,pricing!$A$4:$C$17,3,FALSE)</f>
        <v>0</v>
      </c>
      <c r="V26" s="28">
        <f>SUM(V17:V25)*VLOOKUP(V16,pricing!$A$4:$C$17,3,FALSE)</f>
        <v>0</v>
      </c>
      <c r="W26" s="28">
        <f>SUM(W17:W25)*VLOOKUP(W16,pricing!$A$4:$C$17,3,FALSE)</f>
        <v>0</v>
      </c>
      <c r="X26" s="28">
        <f>SUM(X17:X25)*VLOOKUP(X16,pricing!$A$4:$C$17,3,FALSE)</f>
        <v>0</v>
      </c>
    </row>
    <row r="27" spans="1:24" ht="13.5" thickTop="1" x14ac:dyDescent="0.3">
      <c r="A27" s="8" t="s">
        <v>9</v>
      </c>
      <c r="B27" s="8"/>
      <c r="G27"/>
      <c r="H27"/>
      <c r="I27"/>
      <c r="K27" s="19"/>
      <c r="L27" s="19"/>
      <c r="M27" s="19"/>
      <c r="N27" s="19"/>
      <c r="O27" s="19"/>
      <c r="P27" s="20"/>
      <c r="X27" s="23">
        <f>SUM(K26:X26)</f>
        <v>1169.9699999999998</v>
      </c>
    </row>
    <row r="28" spans="1:24" ht="14" x14ac:dyDescent="0.3">
      <c r="A28" s="24"/>
      <c r="B28" s="24"/>
      <c r="C28" s="25"/>
    </row>
    <row r="30" spans="1:24" x14ac:dyDescent="0.25">
      <c r="A30" s="8" t="s">
        <v>101</v>
      </c>
      <c r="C30" s="35">
        <v>169</v>
      </c>
    </row>
    <row r="31" spans="1:24" x14ac:dyDescent="0.25">
      <c r="A31" s="8" t="s">
        <v>102</v>
      </c>
      <c r="C31" s="35">
        <v>86</v>
      </c>
    </row>
    <row r="32" spans="1:24" x14ac:dyDescent="0.25">
      <c r="A32" s="8" t="s">
        <v>100</v>
      </c>
      <c r="C32" s="35">
        <v>170</v>
      </c>
    </row>
    <row r="33" spans="1:9" x14ac:dyDescent="0.25">
      <c r="A33" s="8" t="s">
        <v>94</v>
      </c>
      <c r="C33" s="35">
        <v>114</v>
      </c>
    </row>
    <row r="34" spans="1:9" x14ac:dyDescent="0.25">
      <c r="A34" s="8" t="s">
        <v>95</v>
      </c>
      <c r="C34" s="35">
        <v>15</v>
      </c>
    </row>
    <row r="35" spans="1:9" x14ac:dyDescent="0.25">
      <c r="A35" s="31" t="s">
        <v>84</v>
      </c>
      <c r="B35" s="31"/>
      <c r="C35" s="35">
        <f>'landscape calculation'!G26+'landscape calculation'!G12</f>
        <v>4026.0000000000009</v>
      </c>
    </row>
    <row r="36" spans="1:9" ht="13" thickBot="1" x14ac:dyDescent="0.3">
      <c r="A36" s="32" t="s">
        <v>85</v>
      </c>
      <c r="B36" s="32"/>
      <c r="C36" s="33">
        <f>'landscape calculation'!X13+'landscape calculation'!X27</f>
        <v>2339.9399999999996</v>
      </c>
    </row>
    <row r="37" spans="1:9" ht="13.5" thickTop="1" x14ac:dyDescent="0.3">
      <c r="A37" s="30" t="s">
        <v>86</v>
      </c>
      <c r="C37" s="23">
        <f>SUM(C30:C36)*12</f>
        <v>83039.28</v>
      </c>
      <c r="G37" s="29"/>
      <c r="H37" s="37"/>
      <c r="I37" s="37"/>
    </row>
  </sheetData>
  <dataValidations count="2">
    <dataValidation type="list" allowBlank="1" showInputMessage="1" showErrorMessage="1" sqref="B3:B11 B17:B25" xr:uid="{390FA7BE-B646-4166-8E28-1070EBCC2664}">
      <formula1>"RI 3yr, PAYG"</formula1>
    </dataValidation>
    <dataValidation type="list" allowBlank="1" showInputMessage="1" showErrorMessage="1" sqref="C3:C11 C17:C25" xr:uid="{41B89E7C-210F-4A44-8FD7-1683A49C81D4}">
      <formula1>"Windows PAYG,Windows 3yr reservation,SLES for SAP BYOL, SLES for SAP 3yr reservation"</formula1>
    </dataValidation>
  </dataValidations>
  <pageMargins left="0.75" right="0.75" top="1" bottom="1" header="0.5" footer="0.5"/>
  <pageSetup orientation="portrait" horizontalDpi="300" verticalDpi="300" r:id="rId1"/>
  <headerFooter alignWithMargins="0"/>
  <legacy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FE7989-56B8-451B-8B1D-0D87EE9E1BC5}">
          <x14:formula1>
            <xm:f>pricing!$A$24:$A$47</xm:f>
          </x14:formula1>
          <xm:sqref>D3:D11 D17:D25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60"/>
  <sheetViews>
    <sheetView topLeftCell="A27" workbookViewId="0">
      <selection activeCell="B54" sqref="B54"/>
    </sheetView>
  </sheetViews>
  <sheetFormatPr defaultRowHeight="12.5" x14ac:dyDescent="0.25"/>
  <cols>
    <col min="1" max="1" width="20.08984375" customWidth="1"/>
    <col min="2" max="2" width="30" customWidth="1"/>
    <col min="3" max="3" width="10.453125" bestFit="1" customWidth="1"/>
    <col min="4" max="4" width="11.6328125" bestFit="1" customWidth="1"/>
    <col min="5" max="5" width="13.36328125" bestFit="1" customWidth="1"/>
    <col min="8" max="8" width="11" customWidth="1"/>
  </cols>
  <sheetData>
    <row r="2" spans="1:3" x14ac:dyDescent="0.25">
      <c r="A2" t="s">
        <v>10</v>
      </c>
    </row>
    <row r="3" spans="1:3" ht="13.5" x14ac:dyDescent="0.3">
      <c r="A3" s="11" t="s">
        <v>8</v>
      </c>
      <c r="B3" s="11"/>
      <c r="C3" s="3"/>
    </row>
    <row r="4" spans="1:3" x14ac:dyDescent="0.25">
      <c r="A4" s="8" t="s">
        <v>31</v>
      </c>
      <c r="B4" t="s">
        <v>32</v>
      </c>
      <c r="C4" s="6">
        <v>9.4700000000000006</v>
      </c>
    </row>
    <row r="5" spans="1:3" x14ac:dyDescent="0.25">
      <c r="A5" t="s">
        <v>4</v>
      </c>
      <c r="B5" t="s">
        <v>33</v>
      </c>
      <c r="C5" s="6">
        <v>18.28</v>
      </c>
    </row>
    <row r="6" spans="1:3" x14ac:dyDescent="0.25">
      <c r="A6" t="s">
        <v>7</v>
      </c>
      <c r="B6" t="s">
        <v>34</v>
      </c>
      <c r="C6" s="6">
        <v>35.26</v>
      </c>
    </row>
    <row r="7" spans="1:3" x14ac:dyDescent="0.25">
      <c r="A7" t="s">
        <v>3</v>
      </c>
      <c r="B7" t="s">
        <v>35</v>
      </c>
      <c r="C7" s="6">
        <v>67.92</v>
      </c>
    </row>
    <row r="8" spans="1:3" x14ac:dyDescent="0.25">
      <c r="A8" s="8" t="s">
        <v>15</v>
      </c>
      <c r="B8" t="s">
        <v>36</v>
      </c>
      <c r="C8" s="6">
        <v>125.38</v>
      </c>
    </row>
    <row r="9" spans="1:3" x14ac:dyDescent="0.25">
      <c r="A9" s="8" t="s">
        <v>16</v>
      </c>
      <c r="B9" t="s">
        <v>37</v>
      </c>
      <c r="C9" s="6">
        <v>240.29</v>
      </c>
    </row>
    <row r="10" spans="1:3" x14ac:dyDescent="0.25">
      <c r="A10" s="8" t="s">
        <v>39</v>
      </c>
      <c r="B10" t="s">
        <v>38</v>
      </c>
      <c r="C10" s="6">
        <v>459.68</v>
      </c>
    </row>
    <row r="11" spans="1:3" x14ac:dyDescent="0.25">
      <c r="A11" s="8" t="s">
        <v>81</v>
      </c>
      <c r="B11" t="s">
        <v>32</v>
      </c>
      <c r="C11" s="6">
        <v>2.54</v>
      </c>
    </row>
    <row r="12" spans="1:3" x14ac:dyDescent="0.25">
      <c r="A12" s="8" t="s">
        <v>82</v>
      </c>
      <c r="B12" t="s">
        <v>33</v>
      </c>
      <c r="C12" s="6">
        <v>4.97</v>
      </c>
    </row>
    <row r="13" spans="1:3" x14ac:dyDescent="0.25">
      <c r="A13" s="8" t="s">
        <v>83</v>
      </c>
      <c r="B13" t="s">
        <v>34</v>
      </c>
      <c r="C13" s="6">
        <v>9.5530000000000008</v>
      </c>
    </row>
    <row r="14" spans="1:3" x14ac:dyDescent="0.25">
      <c r="A14" t="s">
        <v>40</v>
      </c>
      <c r="B14" t="s">
        <v>35</v>
      </c>
      <c r="C14" s="6">
        <v>18.350000000000001</v>
      </c>
    </row>
    <row r="15" spans="1:3" x14ac:dyDescent="0.25">
      <c r="A15" t="s">
        <v>41</v>
      </c>
      <c r="B15" t="s">
        <v>36</v>
      </c>
      <c r="C15" s="6">
        <v>34.542000000000002</v>
      </c>
    </row>
    <row r="16" spans="1:3" x14ac:dyDescent="0.25">
      <c r="A16" t="s">
        <v>17</v>
      </c>
      <c r="B16" t="s">
        <v>37</v>
      </c>
      <c r="C16" s="6">
        <v>69.082999999999998</v>
      </c>
    </row>
    <row r="17" spans="1:11" x14ac:dyDescent="0.25">
      <c r="A17" s="8" t="s">
        <v>42</v>
      </c>
      <c r="B17" t="s">
        <v>38</v>
      </c>
      <c r="C17" s="6">
        <v>138.16999999999999</v>
      </c>
    </row>
    <row r="18" spans="1:11" x14ac:dyDescent="0.25">
      <c r="A18" s="8"/>
      <c r="C18" s="6"/>
    </row>
    <row r="19" spans="1:11" x14ac:dyDescent="0.25">
      <c r="A19" s="8"/>
      <c r="C19" s="6"/>
    </row>
    <row r="20" spans="1:11" x14ac:dyDescent="0.25">
      <c r="A20" s="8"/>
      <c r="C20" s="6"/>
    </row>
    <row r="21" spans="1:11" x14ac:dyDescent="0.25">
      <c r="A21" s="8"/>
      <c r="C21" s="6"/>
    </row>
    <row r="22" spans="1:11" x14ac:dyDescent="0.25">
      <c r="D22" t="s">
        <v>74</v>
      </c>
      <c r="G22" s="8" t="s">
        <v>115</v>
      </c>
      <c r="I22" t="s">
        <v>106</v>
      </c>
    </row>
    <row r="23" spans="1:11" ht="13" x14ac:dyDescent="0.3">
      <c r="A23" s="11" t="s">
        <v>1</v>
      </c>
      <c r="B23" s="11" t="s">
        <v>73</v>
      </c>
      <c r="C23" s="11" t="s">
        <v>72</v>
      </c>
      <c r="D23" s="11" t="s">
        <v>75</v>
      </c>
      <c r="E23" s="11" t="s">
        <v>11</v>
      </c>
      <c r="F23" s="11" t="s">
        <v>18</v>
      </c>
      <c r="G23" s="11" t="s">
        <v>75</v>
      </c>
      <c r="H23" s="11" t="s">
        <v>18</v>
      </c>
      <c r="I23" s="11" t="s">
        <v>107</v>
      </c>
      <c r="J23" s="11" t="s">
        <v>75</v>
      </c>
      <c r="K23" s="11" t="s">
        <v>108</v>
      </c>
    </row>
    <row r="24" spans="1:11" x14ac:dyDescent="0.25">
      <c r="A24" s="8" t="s">
        <v>13</v>
      </c>
      <c r="B24" s="8" t="s">
        <v>58</v>
      </c>
      <c r="C24">
        <v>2178</v>
      </c>
      <c r="D24" s="7">
        <v>0.10100000000000001</v>
      </c>
      <c r="E24" s="7">
        <v>6.4000000000000001E-2</v>
      </c>
      <c r="F24" s="7">
        <v>4.3999999999999997E-2</v>
      </c>
      <c r="G24" s="7">
        <v>7.7600000000000002E-2</v>
      </c>
      <c r="H24" s="22">
        <v>2.0095248937462049E-2</v>
      </c>
      <c r="I24" s="22">
        <v>0</v>
      </c>
      <c r="J24" s="7"/>
      <c r="K24" s="7">
        <f>0.0611872146118721/1.18</f>
        <v>5.1853571704976356E-2</v>
      </c>
    </row>
    <row r="25" spans="1:11" x14ac:dyDescent="0.25">
      <c r="A25" s="8" t="s">
        <v>12</v>
      </c>
      <c r="B25" s="8" t="s">
        <v>60</v>
      </c>
      <c r="C25">
        <v>4355</v>
      </c>
      <c r="D25" s="7">
        <v>0.20200000000000001</v>
      </c>
      <c r="E25" s="7">
        <v>0.129</v>
      </c>
      <c r="F25" s="7">
        <v>8.8999999999999996E-2</v>
      </c>
      <c r="G25" s="7">
        <v>0.156</v>
      </c>
      <c r="H25" s="22">
        <v>2.0095248937462049E-2</v>
      </c>
      <c r="I25" s="22">
        <v>0</v>
      </c>
      <c r="J25" s="7"/>
      <c r="K25" s="7">
        <f>0.122412480974125/1.18</f>
        <v>0.10373939065603814</v>
      </c>
    </row>
    <row r="26" spans="1:11" x14ac:dyDescent="0.25">
      <c r="A26" s="8" t="s">
        <v>28</v>
      </c>
      <c r="B26" s="8" t="s">
        <v>59</v>
      </c>
      <c r="C26">
        <v>8710</v>
      </c>
      <c r="D26" s="7">
        <v>0.40500000000000003</v>
      </c>
      <c r="E26" s="7">
        <v>0.25800000000000001</v>
      </c>
      <c r="F26" s="7">
        <v>0.17799999999999999</v>
      </c>
      <c r="G26" s="7">
        <v>0.31</v>
      </c>
      <c r="H26" s="22">
        <v>2.0095248937462049E-2</v>
      </c>
      <c r="I26" s="22">
        <v>0</v>
      </c>
      <c r="J26" s="7"/>
      <c r="K26" s="7">
        <f t="shared" ref="K26:K29" si="0">0.147602739726027/1.18</f>
        <v>0.12508706756442967</v>
      </c>
    </row>
    <row r="27" spans="1:11" x14ac:dyDescent="0.25">
      <c r="A27" s="8" t="s">
        <v>29</v>
      </c>
      <c r="B27" s="8" t="s">
        <v>61</v>
      </c>
      <c r="C27">
        <v>17420</v>
      </c>
      <c r="D27" s="7">
        <v>0.81</v>
      </c>
      <c r="E27" s="7">
        <v>0.51600000000000001</v>
      </c>
      <c r="F27" s="7">
        <v>0.35499999999999998</v>
      </c>
      <c r="G27" s="7">
        <v>0.62</v>
      </c>
      <c r="H27" s="22">
        <f>2*0.020095248937462</f>
        <v>4.0190497874924E-2</v>
      </c>
      <c r="I27" s="22">
        <v>0</v>
      </c>
      <c r="J27" s="7"/>
      <c r="K27" s="7">
        <f t="shared" si="0"/>
        <v>0.12508706756442967</v>
      </c>
    </row>
    <row r="28" spans="1:11" x14ac:dyDescent="0.25">
      <c r="A28" s="8" t="s">
        <v>30</v>
      </c>
      <c r="B28" s="8" t="s">
        <v>62</v>
      </c>
      <c r="C28">
        <v>34840</v>
      </c>
      <c r="D28" s="7">
        <v>1.619</v>
      </c>
      <c r="E28" s="7">
        <v>1.0309999999999999</v>
      </c>
      <c r="F28" s="7">
        <v>0.71</v>
      </c>
      <c r="G28" s="7">
        <v>1.2410000000000001</v>
      </c>
      <c r="H28" s="22">
        <f>4*0.020095248937462</f>
        <v>8.0380995749848E-2</v>
      </c>
      <c r="I28" s="22">
        <v>0</v>
      </c>
      <c r="J28" s="7"/>
      <c r="K28" s="7">
        <f t="shared" si="0"/>
        <v>0.12508706756442967</v>
      </c>
    </row>
    <row r="29" spans="1:11" x14ac:dyDescent="0.25">
      <c r="A29" s="8" t="s">
        <v>51</v>
      </c>
      <c r="B29" s="8" t="s">
        <v>54</v>
      </c>
      <c r="C29">
        <v>69680</v>
      </c>
      <c r="D29" s="7">
        <v>3.238</v>
      </c>
      <c r="E29" s="7">
        <v>2.0630000000000002</v>
      </c>
      <c r="F29" s="7">
        <v>1.421</v>
      </c>
      <c r="G29" s="7">
        <v>2.4830000000000001</v>
      </c>
      <c r="H29" s="22">
        <f>8*0.020095248937462</f>
        <v>0.160761991499696</v>
      </c>
      <c r="I29" s="22">
        <v>0</v>
      </c>
      <c r="J29" s="7"/>
      <c r="K29" s="7">
        <f t="shared" si="0"/>
        <v>0.12508706756442967</v>
      </c>
    </row>
    <row r="30" spans="1:11" x14ac:dyDescent="0.25">
      <c r="A30" s="8" t="s">
        <v>22</v>
      </c>
      <c r="B30" s="8" t="s">
        <v>63</v>
      </c>
      <c r="C30">
        <v>3530</v>
      </c>
      <c r="D30" s="7">
        <v>0.27400000000000002</v>
      </c>
      <c r="E30" s="7">
        <v>0.18099999999999999</v>
      </c>
      <c r="F30" s="7">
        <v>0.14599999999999999</v>
      </c>
      <c r="G30" s="7">
        <v>7.4999999999999997E-2</v>
      </c>
      <c r="H30" s="22">
        <v>2.0095248937462049E-2</v>
      </c>
      <c r="I30" s="22">
        <v>0</v>
      </c>
      <c r="J30" s="7"/>
      <c r="K30" s="7">
        <f>0.0611872146118721/1.18</f>
        <v>5.1853571704976356E-2</v>
      </c>
    </row>
    <row r="31" spans="1:11" x14ac:dyDescent="0.25">
      <c r="A31" s="8" t="s">
        <v>23</v>
      </c>
      <c r="B31" s="8" t="s">
        <v>64</v>
      </c>
      <c r="C31">
        <v>6680</v>
      </c>
      <c r="D31" s="7">
        <v>0.54800000000000004</v>
      </c>
      <c r="E31" s="7">
        <v>0.36199999999999999</v>
      </c>
      <c r="F31" s="7">
        <v>0.29299999999999998</v>
      </c>
      <c r="G31" s="7">
        <v>0.15</v>
      </c>
      <c r="H31" s="22">
        <v>2.0095248937462049E-2</v>
      </c>
      <c r="I31" s="22">
        <v>0</v>
      </c>
      <c r="J31" s="7"/>
      <c r="K31" s="7">
        <f>0.122412480974125/1.18</f>
        <v>0.10373939065603814</v>
      </c>
    </row>
    <row r="32" spans="1:11" x14ac:dyDescent="0.25">
      <c r="A32" s="8" t="s">
        <v>24</v>
      </c>
      <c r="B32" s="8" t="s">
        <v>65</v>
      </c>
      <c r="C32">
        <v>12300</v>
      </c>
      <c r="D32" s="12">
        <v>0.995</v>
      </c>
      <c r="E32" s="7">
        <v>0.72499999999999998</v>
      </c>
      <c r="F32" s="7">
        <v>0.58499999999999996</v>
      </c>
      <c r="G32" s="12">
        <v>0.3</v>
      </c>
      <c r="H32" s="22">
        <v>2.0095248937462049E-2</v>
      </c>
      <c r="I32" s="22">
        <v>0</v>
      </c>
      <c r="J32" s="7"/>
      <c r="K32" s="7">
        <f t="shared" ref="K32:K34" si="1">0.147602739726027/1.18</f>
        <v>0.12508706756442967</v>
      </c>
    </row>
    <row r="33" spans="1:18" x14ac:dyDescent="0.25">
      <c r="A33" s="8" t="s">
        <v>25</v>
      </c>
      <c r="B33" s="8" t="s">
        <v>66</v>
      </c>
      <c r="C33">
        <v>24180</v>
      </c>
      <c r="D33" s="7">
        <v>1.879</v>
      </c>
      <c r="E33" s="7">
        <v>1.45</v>
      </c>
      <c r="F33" s="7">
        <v>1.17</v>
      </c>
      <c r="G33" s="7">
        <v>0.6</v>
      </c>
      <c r="H33" s="22">
        <f>2*0.020095248937462</f>
        <v>4.0190497874924E-2</v>
      </c>
      <c r="I33" s="22">
        <v>0</v>
      </c>
      <c r="J33" s="7"/>
      <c r="K33" s="7">
        <f t="shared" si="1"/>
        <v>0.12508706756442967</v>
      </c>
    </row>
    <row r="34" spans="1:18" x14ac:dyDescent="0.25">
      <c r="A34" s="8" t="s">
        <v>52</v>
      </c>
      <c r="B34" s="8" t="s">
        <v>53</v>
      </c>
      <c r="C34">
        <v>30430</v>
      </c>
      <c r="D34" s="7">
        <v>1.6</v>
      </c>
      <c r="E34" s="7">
        <v>1.0389999999999999</v>
      </c>
      <c r="F34" s="7">
        <v>0.68899999999999995</v>
      </c>
      <c r="G34" s="7">
        <v>0.749</v>
      </c>
      <c r="H34" s="22">
        <f>3*0.020095248937462</f>
        <v>6.0285746812386E-2</v>
      </c>
      <c r="I34" s="22">
        <v>0</v>
      </c>
      <c r="J34" s="7"/>
      <c r="K34" s="7">
        <f t="shared" si="1"/>
        <v>0.12508706756442967</v>
      </c>
    </row>
    <row r="35" spans="1:18" x14ac:dyDescent="0.25">
      <c r="A35" t="s">
        <v>50</v>
      </c>
      <c r="B35" s="8" t="s">
        <v>55</v>
      </c>
      <c r="C35">
        <v>2189</v>
      </c>
      <c r="D35" s="7">
        <v>0.13500000000000001</v>
      </c>
      <c r="E35" s="7">
        <v>7.9000000000000001E-2</v>
      </c>
      <c r="F35" s="22">
        <v>5.0999999999999997E-2</v>
      </c>
      <c r="G35" s="7">
        <v>7.8E-2</v>
      </c>
      <c r="H35" s="22">
        <v>2.0095248937462049E-2</v>
      </c>
      <c r="I35" s="22">
        <v>0</v>
      </c>
      <c r="J35" s="7"/>
      <c r="K35" s="7">
        <f>0.0611872146118721/1.18</f>
        <v>5.1853571704976356E-2</v>
      </c>
    </row>
    <row r="36" spans="1:18" x14ac:dyDescent="0.25">
      <c r="A36" t="s">
        <v>46</v>
      </c>
      <c r="B36" s="8" t="s">
        <v>56</v>
      </c>
      <c r="C36">
        <v>4378</v>
      </c>
      <c r="D36" s="7">
        <v>0.27</v>
      </c>
      <c r="E36" s="7">
        <v>0.159</v>
      </c>
      <c r="F36" s="22">
        <v>0.10100000000000001</v>
      </c>
      <c r="G36" s="7">
        <v>0.156</v>
      </c>
      <c r="H36" s="22">
        <v>2.0095248937462049E-2</v>
      </c>
      <c r="I36" s="22">
        <v>0</v>
      </c>
      <c r="J36" s="7"/>
      <c r="K36" s="7">
        <f>0.122412480974125/1.18</f>
        <v>0.10373939065603814</v>
      </c>
    </row>
    <row r="37" spans="1:18" x14ac:dyDescent="0.25">
      <c r="A37" t="s">
        <v>45</v>
      </c>
      <c r="B37" s="8" t="s">
        <v>57</v>
      </c>
      <c r="C37">
        <v>8756</v>
      </c>
      <c r="D37" s="7">
        <v>0.54</v>
      </c>
      <c r="E37" s="7">
        <v>0.317</v>
      </c>
      <c r="F37" s="22">
        <v>0.20300000000000001</v>
      </c>
      <c r="G37" s="7">
        <v>0.31</v>
      </c>
      <c r="H37" s="22">
        <v>2.0095248937462049E-2</v>
      </c>
      <c r="I37" s="22">
        <v>0</v>
      </c>
      <c r="J37" s="7"/>
      <c r="K37" s="7">
        <f t="shared" ref="K37:K47" si="2">0.147602739726027/1.18</f>
        <v>0.12508706756442967</v>
      </c>
    </row>
    <row r="38" spans="1:18" x14ac:dyDescent="0.25">
      <c r="A38" t="s">
        <v>48</v>
      </c>
      <c r="B38" s="8" t="s">
        <v>20</v>
      </c>
      <c r="C38">
        <v>17513</v>
      </c>
      <c r="D38" s="7">
        <v>1.079</v>
      </c>
      <c r="E38" s="7">
        <v>0.63500000000000001</v>
      </c>
      <c r="F38" s="7">
        <v>0.40600000000000003</v>
      </c>
      <c r="G38" s="7">
        <v>0.62</v>
      </c>
      <c r="H38" s="22">
        <f>2*0.020095248937462</f>
        <v>4.0190497874924E-2</v>
      </c>
      <c r="I38" s="22">
        <v>0</v>
      </c>
      <c r="J38" s="7"/>
      <c r="K38" s="7">
        <f t="shared" si="2"/>
        <v>0.12508706756442967</v>
      </c>
    </row>
    <row r="39" spans="1:18" x14ac:dyDescent="0.25">
      <c r="A39" t="s">
        <v>47</v>
      </c>
      <c r="B39" s="8" t="s">
        <v>21</v>
      </c>
      <c r="C39">
        <v>35025</v>
      </c>
      <c r="D39" s="7">
        <v>2.1589999999999998</v>
      </c>
      <c r="E39" s="7">
        <v>1.27</v>
      </c>
      <c r="F39" s="7">
        <v>0.81200000000000006</v>
      </c>
      <c r="G39" s="7">
        <v>1.2410000000000001</v>
      </c>
      <c r="H39" s="22">
        <f>4*0.020095248937462</f>
        <v>8.0380995749848E-2</v>
      </c>
      <c r="I39" s="22">
        <v>0</v>
      </c>
      <c r="J39" s="7"/>
      <c r="K39" s="7">
        <f t="shared" si="2"/>
        <v>0.12508706756442967</v>
      </c>
    </row>
    <row r="40" spans="1:18" x14ac:dyDescent="0.25">
      <c r="A40" t="s">
        <v>49</v>
      </c>
      <c r="B40" s="8" t="s">
        <v>67</v>
      </c>
      <c r="C40">
        <v>70050</v>
      </c>
      <c r="D40" s="7">
        <v>4.07</v>
      </c>
      <c r="E40" s="7">
        <v>2.3940000000000001</v>
      </c>
      <c r="F40" s="7">
        <v>1.5309999999999999</v>
      </c>
      <c r="G40" s="7">
        <v>2.4830000000000001</v>
      </c>
      <c r="H40" s="22">
        <f>8*0.020095248937462</f>
        <v>0.160761991499696</v>
      </c>
      <c r="I40" s="22">
        <v>0</v>
      </c>
      <c r="J40" s="7"/>
      <c r="K40" s="7">
        <f t="shared" si="2"/>
        <v>0.12508706756442967</v>
      </c>
    </row>
    <row r="41" spans="1:18" ht="14.5" x14ac:dyDescent="0.25">
      <c r="A41" s="13" t="s">
        <v>19</v>
      </c>
      <c r="B41" s="8" t="s">
        <v>68</v>
      </c>
      <c r="C41">
        <v>67315</v>
      </c>
      <c r="D41" s="7">
        <v>7.8739999999999997</v>
      </c>
      <c r="E41" s="7">
        <v>4.516</v>
      </c>
      <c r="F41" s="7">
        <v>2.1970000000000001</v>
      </c>
      <c r="G41" s="7">
        <v>2.4830000000000001</v>
      </c>
      <c r="H41" s="22">
        <f t="shared" ref="H41:H42" si="3">8*0.020095248937462</f>
        <v>0.160761991499696</v>
      </c>
      <c r="I41" s="22">
        <v>0</v>
      </c>
      <c r="J41" s="7"/>
      <c r="K41" s="7">
        <f t="shared" si="2"/>
        <v>0.12508706756442967</v>
      </c>
    </row>
    <row r="42" spans="1:18" ht="14.5" x14ac:dyDescent="0.25">
      <c r="A42" s="13" t="s">
        <v>14</v>
      </c>
      <c r="B42" s="8" t="s">
        <v>69</v>
      </c>
      <c r="C42">
        <v>68930</v>
      </c>
      <c r="D42" s="7">
        <v>12.204000000000001</v>
      </c>
      <c r="E42" s="7">
        <v>6.9989999999999997</v>
      </c>
      <c r="F42" s="7">
        <v>3.4049999999999998</v>
      </c>
      <c r="G42" s="7">
        <v>2.4830000000000001</v>
      </c>
      <c r="H42" s="22">
        <f t="shared" si="3"/>
        <v>0.160761991499696</v>
      </c>
      <c r="I42" s="22">
        <v>0</v>
      </c>
      <c r="J42" s="7"/>
      <c r="K42" s="7">
        <f t="shared" si="2"/>
        <v>0.12508706756442967</v>
      </c>
    </row>
    <row r="43" spans="1:18" ht="14.5" x14ac:dyDescent="0.25">
      <c r="A43" s="13" t="s">
        <v>26</v>
      </c>
      <c r="B43" s="8" t="s">
        <v>71</v>
      </c>
      <c r="C43">
        <v>134630</v>
      </c>
      <c r="D43" s="7">
        <v>16.094000000000001</v>
      </c>
      <c r="E43" s="7">
        <v>9.3529999999999998</v>
      </c>
      <c r="F43" s="7">
        <v>4.7270000000000003</v>
      </c>
      <c r="G43" s="7">
        <v>4.9660000000000002</v>
      </c>
      <c r="H43" s="22">
        <f>16*0.020095248937462</f>
        <v>0.321523982999392</v>
      </c>
      <c r="I43" s="22">
        <v>0</v>
      </c>
      <c r="J43" s="7"/>
      <c r="K43" s="7">
        <f t="shared" si="2"/>
        <v>0.12508706756442967</v>
      </c>
    </row>
    <row r="44" spans="1:18" ht="14.5" x14ac:dyDescent="0.25">
      <c r="A44" s="13" t="s">
        <v>27</v>
      </c>
      <c r="B44" s="8" t="s">
        <v>70</v>
      </c>
      <c r="C44">
        <v>134630</v>
      </c>
      <c r="D44" s="7">
        <v>31.853999999999999</v>
      </c>
      <c r="E44" s="7">
        <v>18.367000000000001</v>
      </c>
      <c r="F44" s="7">
        <v>9.1129999999999995</v>
      </c>
      <c r="G44" s="7">
        <v>4.9660000000000002</v>
      </c>
      <c r="H44" s="22">
        <f>16*0.020095248937462</f>
        <v>0.321523982999392</v>
      </c>
      <c r="I44" s="22">
        <v>0</v>
      </c>
      <c r="J44" s="7"/>
      <c r="K44" s="7">
        <f t="shared" si="2"/>
        <v>0.12508706756442967</v>
      </c>
      <c r="Q44" s="35"/>
    </row>
    <row r="45" spans="1:18" ht="14.5" x14ac:dyDescent="0.25">
      <c r="A45" s="13" t="s">
        <v>77</v>
      </c>
      <c r="B45" s="8" t="s">
        <v>21</v>
      </c>
      <c r="C45">
        <v>33300</v>
      </c>
      <c r="D45" s="7">
        <v>2.907</v>
      </c>
      <c r="E45" s="7">
        <v>1.6719999999999999</v>
      </c>
      <c r="F45" s="7">
        <v>0.81299999999999994</v>
      </c>
      <c r="G45" s="7">
        <v>1.2410000000000001</v>
      </c>
      <c r="H45" s="22">
        <f>4*0.020095248937462</f>
        <v>8.0380995749848E-2</v>
      </c>
      <c r="I45" s="22">
        <v>0</v>
      </c>
      <c r="J45" s="7"/>
      <c r="K45" s="7">
        <f t="shared" si="2"/>
        <v>0.12508706756442967</v>
      </c>
      <c r="Q45" s="35"/>
    </row>
    <row r="46" spans="1:18" ht="14.5" x14ac:dyDescent="0.25">
      <c r="A46" s="13" t="s">
        <v>76</v>
      </c>
      <c r="B46" s="8" t="s">
        <v>79</v>
      </c>
      <c r="C46">
        <v>33670</v>
      </c>
      <c r="D46" s="7">
        <v>2.7389999999999999</v>
      </c>
      <c r="E46" s="7">
        <v>1.575</v>
      </c>
      <c r="F46" s="7">
        <v>0.76600000000000001</v>
      </c>
      <c r="G46" s="7">
        <v>1.2410000000000001</v>
      </c>
      <c r="H46" s="22">
        <f>4*0.020095248937462</f>
        <v>8.0380995749848E-2</v>
      </c>
      <c r="I46" s="22">
        <v>0</v>
      </c>
      <c r="J46" s="7"/>
      <c r="K46" s="7">
        <f t="shared" si="2"/>
        <v>0.12508706756442967</v>
      </c>
      <c r="Q46" s="6"/>
    </row>
    <row r="47" spans="1:18" x14ac:dyDescent="0.25">
      <c r="A47" t="s">
        <v>78</v>
      </c>
      <c r="B47" s="8" t="s">
        <v>80</v>
      </c>
      <c r="C47">
        <v>66600</v>
      </c>
      <c r="D47" s="7">
        <v>5.48</v>
      </c>
      <c r="E47" s="7">
        <v>3.1509999999999998</v>
      </c>
      <c r="F47" s="7">
        <v>1.5329999999999999</v>
      </c>
      <c r="G47" s="7">
        <v>2.4830000000000001</v>
      </c>
      <c r="H47" s="22">
        <f>8*0.020095248937462</f>
        <v>0.160761991499696</v>
      </c>
      <c r="I47" s="22">
        <v>0</v>
      </c>
      <c r="J47" s="7"/>
      <c r="K47" s="7">
        <f t="shared" si="2"/>
        <v>0.12508706756442967</v>
      </c>
      <c r="Q47" s="6"/>
    </row>
    <row r="48" spans="1:18" x14ac:dyDescent="0.25">
      <c r="R48" s="6"/>
    </row>
    <row r="50" spans="1:6" x14ac:dyDescent="0.25">
      <c r="A50" s="8"/>
    </row>
    <row r="51" spans="1:6" x14ac:dyDescent="0.25">
      <c r="A51" s="8"/>
    </row>
    <row r="52" spans="1:6" x14ac:dyDescent="0.25">
      <c r="A52" s="8"/>
    </row>
    <row r="53" spans="1:6" x14ac:dyDescent="0.25">
      <c r="A53" s="8"/>
    </row>
    <row r="58" spans="1:6" x14ac:dyDescent="0.25">
      <c r="A58" s="39"/>
      <c r="E58" s="36"/>
      <c r="F58" s="36"/>
    </row>
    <row r="59" spans="1:6" x14ac:dyDescent="0.25">
      <c r="A59" s="39"/>
      <c r="E59" s="36"/>
      <c r="F59" s="36"/>
    </row>
    <row r="60" spans="1:6" x14ac:dyDescent="0.25">
      <c r="A60" s="39"/>
      <c r="E60" s="36"/>
      <c r="F60" s="3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landscape calculation</vt:lpstr>
      <vt:lpstr>pricing</vt:lpstr>
    </vt:vector>
  </TitlesOfParts>
  <Company>Robware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RVTools Export information</dc:subject>
  <dc:creator>Martin Sih</dc:creator>
  <cp:lastModifiedBy>Martin Sih</cp:lastModifiedBy>
  <dcterms:created xsi:type="dcterms:W3CDTF">2017-11-17T12:54:36Z</dcterms:created>
  <dcterms:modified xsi:type="dcterms:W3CDTF">2019-01-16T13:05:07Z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martisi@microsoft.com</vt:lpwstr>
  </property>
  <property fmtid="{D5CDD505-2E9C-101B-9397-08002B2CF9AE}" pid="5" name="MSIP_Label_f42aa342-8706-4288-bd11-ebb85995028c_SetDate">
    <vt:lpwstr>2017-11-17T12:53:53.3600190Z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