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605" yWindow="0" windowWidth="18135" windowHeight="13290"/>
  </bookViews>
  <sheets>
    <sheet name="Welcome" sheetId="5" r:id="rId1"/>
    <sheet name="builder" sheetId="1" r:id="rId2"/>
    <sheet name="print" sheetId="3" r:id="rId3"/>
    <sheet name="sheet" sheetId="2" r:id="rId4"/>
    <sheet name="adv shuffle" sheetId="4" state="hidden" r:id="rId5"/>
    <sheet name="styles" sheetId="6" state="hidden" r:id="rId6"/>
  </sheets>
  <calcPr calcId="145621" concurrentCalc="0"/>
</workbook>
</file>

<file path=xl/calcChain.xml><?xml version="1.0" encoding="utf-8"?>
<calcChain xmlns="http://schemas.openxmlformats.org/spreadsheetml/2006/main">
  <c r="I108" i="1" l="1"/>
  <c r="E30" i="1"/>
  <c r="B30" i="1"/>
  <c r="B31" i="1"/>
  <c r="B62" i="1"/>
  <c r="E31" i="1"/>
  <c r="B63" i="1"/>
  <c r="B32" i="1"/>
  <c r="B64" i="1"/>
  <c r="E32" i="1"/>
  <c r="B65" i="1"/>
  <c r="B60" i="1"/>
  <c r="B61" i="1"/>
  <c r="B112" i="1"/>
  <c r="T151" i="1"/>
  <c r="S151" i="1"/>
  <c r="T147" i="1"/>
  <c r="S147" i="1"/>
  <c r="G31" i="4"/>
  <c r="H31" i="4"/>
  <c r="G32" i="4"/>
  <c r="H32" i="4"/>
  <c r="G33" i="4"/>
  <c r="H33" i="4"/>
  <c r="G34" i="4"/>
  <c r="H34" i="4"/>
  <c r="G35" i="4"/>
  <c r="H35" i="4"/>
  <c r="G36" i="4"/>
  <c r="H36" i="4"/>
  <c r="G37" i="4"/>
  <c r="H37" i="4"/>
  <c r="I37" i="4"/>
  <c r="J37" i="4"/>
  <c r="B138" i="3"/>
  <c r="B123" i="3"/>
  <c r="B139" i="3"/>
  <c r="I36" i="4"/>
  <c r="J36" i="4"/>
  <c r="B136" i="3"/>
  <c r="B137" i="3"/>
  <c r="I35" i="4"/>
  <c r="J35" i="4"/>
  <c r="B134" i="3"/>
  <c r="B135" i="3"/>
  <c r="I34" i="4"/>
  <c r="J34" i="4"/>
  <c r="B132" i="3"/>
  <c r="B133" i="3"/>
  <c r="I33" i="4"/>
  <c r="J33" i="4"/>
  <c r="B130" i="3"/>
  <c r="B131" i="3"/>
  <c r="I32" i="4"/>
  <c r="J32" i="4"/>
  <c r="B128" i="3"/>
  <c r="B129" i="3"/>
  <c r="I31" i="4"/>
  <c r="J31" i="4"/>
  <c r="B126" i="3"/>
  <c r="B127" i="3"/>
  <c r="Y83" i="1"/>
  <c r="C11" i="3"/>
  <c r="B12" i="3"/>
  <c r="T95" i="1"/>
  <c r="T78" i="1"/>
  <c r="T55" i="1"/>
  <c r="T37" i="1"/>
  <c r="K104" i="6"/>
  <c r="K106" i="6"/>
  <c r="R5" i="3"/>
  <c r="Q41" i="3"/>
  <c r="Q43" i="3"/>
  <c r="D11" i="6"/>
  <c r="G109" i="1"/>
  <c r="P11" i="3"/>
  <c r="G95" i="1"/>
  <c r="T110" i="1"/>
  <c r="T83" i="1"/>
  <c r="T52" i="1"/>
  <c r="T63" i="1"/>
  <c r="T45" i="1"/>
  <c r="T112" i="1"/>
  <c r="T111" i="1"/>
  <c r="D75" i="1"/>
  <c r="P75" i="1"/>
  <c r="T81" i="1"/>
  <c r="T77" i="1"/>
  <c r="T100" i="1"/>
  <c r="T109" i="1"/>
  <c r="T102" i="1"/>
  <c r="T70" i="1"/>
  <c r="T64" i="1"/>
  <c r="T41" i="1"/>
  <c r="T31" i="1"/>
  <c r="T15" i="1"/>
  <c r="T97" i="1"/>
  <c r="T91" i="1"/>
  <c r="T60" i="1"/>
  <c r="T49" i="1"/>
  <c r="T48" i="1"/>
  <c r="T27" i="1"/>
  <c r="T12" i="1"/>
  <c r="T25" i="1"/>
  <c r="T57" i="1"/>
  <c r="T34" i="1"/>
  <c r="AC43" i="1"/>
  <c r="AB115" i="1"/>
  <c r="T17" i="1"/>
  <c r="AB41" i="1"/>
  <c r="AS26" i="1"/>
  <c r="AS20" i="1"/>
  <c r="E106" i="1"/>
  <c r="L32" i="4"/>
  <c r="M32" i="4"/>
  <c r="L33" i="4"/>
  <c r="M33" i="4"/>
  <c r="L31" i="4"/>
  <c r="M31" i="4"/>
  <c r="N31" i="4"/>
  <c r="O31" i="4"/>
  <c r="N33" i="4"/>
  <c r="O33" i="4"/>
  <c r="N32" i="4"/>
  <c r="O32" i="4"/>
  <c r="X3" i="2"/>
  <c r="X11" i="2"/>
  <c r="S35" i="4"/>
  <c r="S28"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3" i="4"/>
  <c r="T105" i="1"/>
  <c r="T104" i="1"/>
  <c r="T103" i="1"/>
  <c r="T99" i="1"/>
  <c r="T98" i="1"/>
  <c r="B110" i="3"/>
  <c r="B104" i="3"/>
  <c r="B107" i="3"/>
  <c r="B113" i="3"/>
  <c r="D107" i="3"/>
  <c r="X51" i="2"/>
  <c r="B108" i="3"/>
  <c r="D110" i="3"/>
  <c r="X50" i="2"/>
  <c r="B111" i="3"/>
  <c r="D104" i="3"/>
  <c r="X52" i="2"/>
  <c r="B105" i="3"/>
  <c r="N7" i="3"/>
  <c r="S20" i="3"/>
  <c r="S19" i="3"/>
  <c r="C44" i="2"/>
  <c r="C43" i="2"/>
  <c r="X53" i="2"/>
  <c r="C47" i="2"/>
  <c r="C46" i="2"/>
  <c r="C45" i="2"/>
  <c r="C20" i="2"/>
  <c r="C17" i="2"/>
  <c r="C15" i="2"/>
  <c r="C13" i="2"/>
  <c r="C10" i="2"/>
  <c r="C7" i="2"/>
  <c r="C4" i="2"/>
  <c r="P86" i="1"/>
  <c r="C14" i="3"/>
  <c r="B15" i="3"/>
  <c r="G103" i="1"/>
  <c r="B17" i="4"/>
  <c r="H17" i="4"/>
  <c r="K17" i="4"/>
  <c r="B18" i="4"/>
  <c r="H18" i="4"/>
  <c r="K18" i="4"/>
  <c r="B19" i="4"/>
  <c r="B20" i="4"/>
  <c r="H20" i="4"/>
  <c r="K20" i="4"/>
  <c r="B21" i="4"/>
  <c r="H21" i="4"/>
  <c r="K21" i="4"/>
  <c r="B22" i="4"/>
  <c r="H22" i="4"/>
  <c r="K22" i="4"/>
  <c r="B23" i="4"/>
  <c r="H23" i="4"/>
  <c r="K23" i="4"/>
  <c r="B16" i="4"/>
  <c r="O76" i="1"/>
  <c r="O100" i="1"/>
  <c r="E100" i="1"/>
  <c r="E99" i="1"/>
  <c r="P71" i="1"/>
  <c r="P73" i="1"/>
  <c r="P74" i="1"/>
  <c r="M26" i="1"/>
  <c r="M22" i="1"/>
  <c r="G99" i="1"/>
  <c r="B53" i="2"/>
  <c r="C25" i="2"/>
  <c r="C32" i="2"/>
  <c r="B35" i="2"/>
  <c r="H16" i="4"/>
  <c r="K16" i="4"/>
  <c r="H19" i="4"/>
  <c r="K19" i="4"/>
  <c r="Q119" i="3"/>
  <c r="Q170" i="3"/>
  <c r="B43" i="4"/>
  <c r="B44" i="4"/>
  <c r="B48" i="4"/>
  <c r="B34" i="4"/>
  <c r="B35" i="4"/>
  <c r="B36" i="4"/>
  <c r="Q29" i="4"/>
  <c r="S29" i="4"/>
  <c r="B27" i="2"/>
  <c r="R31" i="4"/>
  <c r="Q31" i="4"/>
  <c r="S31" i="4"/>
  <c r="R30" i="4"/>
  <c r="Q30" i="4"/>
  <c r="B115" i="3"/>
  <c r="B117" i="3"/>
  <c r="R29" i="4"/>
  <c r="E108" i="1"/>
  <c r="E107" i="1"/>
  <c r="D74" i="1"/>
  <c r="D73" i="1"/>
  <c r="D72" i="1"/>
  <c r="G41" i="1"/>
  <c r="E38" i="1"/>
  <c r="B38" i="1"/>
  <c r="T10" i="1"/>
  <c r="D67" i="1"/>
  <c r="E10" i="1"/>
  <c r="F10" i="1"/>
  <c r="P10" i="1"/>
  <c r="G8" i="1"/>
  <c r="S159" i="1"/>
  <c r="S30" i="4"/>
  <c r="B114" i="3"/>
  <c r="R32" i="4"/>
  <c r="Q32" i="4"/>
  <c r="S32" i="4"/>
  <c r="B118" i="3"/>
  <c r="R34" i="4"/>
  <c r="Q34" i="4"/>
  <c r="S34" i="4"/>
  <c r="B116" i="3"/>
  <c r="R33" i="4"/>
  <c r="Q33" i="4"/>
  <c r="S33" i="4"/>
  <c r="N4" i="2"/>
  <c r="M4" i="2"/>
  <c r="O4" i="2"/>
  <c r="AG131" i="1"/>
  <c r="AG127" i="1"/>
  <c r="AG129" i="1"/>
  <c r="AG128" i="1"/>
  <c r="AG130" i="1"/>
  <c r="AG132" i="1"/>
  <c r="C76" i="6"/>
  <c r="C77" i="6"/>
  <c r="C78" i="6"/>
  <c r="C75" i="6"/>
  <c r="B9" i="4"/>
  <c r="H9" i="4"/>
  <c r="K9" i="4"/>
  <c r="B10" i="4"/>
  <c r="H10" i="4"/>
  <c r="K10" i="4"/>
  <c r="B11" i="4"/>
  <c r="H11" i="4"/>
  <c r="K11" i="4"/>
  <c r="B12" i="4"/>
  <c r="H12" i="4"/>
  <c r="K12" i="4"/>
  <c r="B13" i="4"/>
  <c r="H13" i="4"/>
  <c r="K13" i="4"/>
  <c r="B14" i="4"/>
  <c r="H14" i="4"/>
  <c r="K14" i="4"/>
  <c r="B15" i="4"/>
  <c r="H15" i="4"/>
  <c r="K15" i="4"/>
  <c r="B8" i="4"/>
  <c r="H8" i="4"/>
  <c r="K8" i="4"/>
  <c r="Q74" i="3"/>
  <c r="S23" i="3"/>
  <c r="S22" i="3"/>
  <c r="S21" i="3"/>
  <c r="Q49" i="3"/>
  <c r="B26" i="3"/>
  <c r="N6" i="3"/>
  <c r="Q100" i="3"/>
  <c r="B36" i="3"/>
  <c r="AS27" i="1"/>
  <c r="B35" i="3"/>
  <c r="B30" i="3"/>
  <c r="AS21" i="1"/>
  <c r="B29" i="3"/>
  <c r="C8" i="3"/>
  <c r="C7" i="3"/>
  <c r="C6" i="3"/>
  <c r="C5" i="3"/>
  <c r="C4" i="3"/>
  <c r="C3" i="3"/>
  <c r="C2" i="3"/>
  <c r="B120" i="3"/>
  <c r="B59" i="2"/>
  <c r="B60" i="2"/>
  <c r="C60" i="2"/>
  <c r="C59" i="2"/>
  <c r="B101" i="3"/>
  <c r="B75" i="3"/>
  <c r="B50" i="3"/>
  <c r="F24" i="1"/>
  <c r="B24" i="1"/>
  <c r="D70" i="1"/>
  <c r="T106" i="1"/>
  <c r="T90" i="1"/>
  <c r="T76" i="1"/>
  <c r="T62" i="1"/>
  <c r="T59" i="1"/>
  <c r="T56" i="1"/>
  <c r="T44" i="1"/>
  <c r="D71" i="1"/>
  <c r="T11" i="1"/>
  <c r="T108" i="1"/>
  <c r="T87" i="1"/>
  <c r="T84" i="1"/>
  <c r="P72" i="1"/>
  <c r="T75" i="1"/>
  <c r="T72" i="1"/>
  <c r="T67" i="1"/>
  <c r="P67" i="1"/>
  <c r="T65" i="1"/>
  <c r="T39" i="1"/>
  <c r="T36" i="1"/>
  <c r="T26" i="1"/>
  <c r="T20" i="1"/>
  <c r="T19" i="1"/>
  <c r="T18" i="1"/>
  <c r="P69" i="1"/>
  <c r="T16" i="1"/>
  <c r="T14" i="1"/>
  <c r="T107" i="1"/>
  <c r="T93" i="1"/>
  <c r="T88" i="1"/>
  <c r="T85" i="1"/>
  <c r="T80" i="1"/>
  <c r="T74" i="1"/>
  <c r="T73" i="1"/>
  <c r="T71" i="1"/>
  <c r="T68" i="1"/>
  <c r="T50" i="1"/>
  <c r="T43" i="1"/>
  <c r="T42" i="1"/>
  <c r="T40" i="1"/>
  <c r="T35" i="1"/>
  <c r="T32" i="1"/>
  <c r="T29" i="1"/>
  <c r="T24" i="1"/>
  <c r="T23" i="1"/>
  <c r="T96" i="1"/>
  <c r="T86" i="1"/>
  <c r="T79" i="1"/>
  <c r="T58" i="1"/>
  <c r="T53" i="1"/>
  <c r="T38" i="1"/>
  <c r="T28" i="1"/>
  <c r="T22" i="1"/>
  <c r="T82" i="1"/>
  <c r="T13" i="1"/>
  <c r="T94" i="1"/>
  <c r="T89" i="1"/>
  <c r="T51" i="1"/>
  <c r="T47" i="1"/>
  <c r="T46" i="1"/>
  <c r="P68" i="1"/>
  <c r="T66" i="1"/>
  <c r="T61" i="1"/>
  <c r="T21" i="1"/>
  <c r="T92" i="1"/>
  <c r="P70" i="1"/>
  <c r="T69" i="1"/>
  <c r="T54" i="1"/>
  <c r="T33" i="1"/>
  <c r="B39" i="1"/>
  <c r="E39" i="1"/>
  <c r="E37" i="1"/>
  <c r="E36" i="1"/>
  <c r="E35" i="1"/>
  <c r="B37" i="1"/>
  <c r="B36" i="1"/>
  <c r="B35" i="1"/>
  <c r="E11" i="1"/>
  <c r="F11" i="1"/>
  <c r="P11" i="1"/>
  <c r="O7" i="2"/>
  <c r="E12" i="1"/>
  <c r="F12" i="1"/>
  <c r="P12" i="1"/>
  <c r="E13" i="1"/>
  <c r="F13" i="1"/>
  <c r="E14" i="1"/>
  <c r="F14" i="1"/>
  <c r="P14" i="1"/>
  <c r="AC45" i="1"/>
  <c r="AC44" i="1"/>
  <c r="D69" i="1"/>
  <c r="D68" i="1"/>
  <c r="AB40" i="1"/>
  <c r="AB39" i="1"/>
  <c r="AC39" i="1"/>
  <c r="D64" i="1"/>
  <c r="AC41" i="1"/>
  <c r="T30" i="1"/>
  <c r="D61" i="1"/>
  <c r="AC40" i="1"/>
  <c r="AB118" i="1"/>
  <c r="AB116" i="1"/>
  <c r="T101" i="1"/>
  <c r="AB117" i="1"/>
  <c r="B32" i="3"/>
  <c r="X6" i="2"/>
  <c r="B38" i="3"/>
  <c r="X14" i="2"/>
  <c r="O10" i="2"/>
  <c r="N10" i="2"/>
  <c r="M10" i="2"/>
  <c r="O15" i="2"/>
  <c r="M15" i="2"/>
  <c r="N15" i="2"/>
  <c r="N7" i="2"/>
  <c r="M7" i="2"/>
  <c r="P13" i="1"/>
  <c r="C23" i="3"/>
  <c r="C22" i="3"/>
  <c r="C21" i="3"/>
  <c r="E11" i="3"/>
  <c r="E14" i="3"/>
  <c r="C20" i="3"/>
  <c r="C19" i="3"/>
  <c r="C44" i="1"/>
  <c r="E44" i="1"/>
  <c r="O44" i="1"/>
  <c r="C55" i="1"/>
  <c r="E55" i="1"/>
  <c r="C51" i="1"/>
  <c r="E51" i="1"/>
  <c r="C47" i="1"/>
  <c r="E47" i="1"/>
  <c r="C43" i="1"/>
  <c r="E43" i="1"/>
  <c r="C54" i="1"/>
  <c r="E54" i="1"/>
  <c r="C50" i="1"/>
  <c r="E50" i="1"/>
  <c r="C46" i="1"/>
  <c r="E46" i="1"/>
  <c r="C57" i="1"/>
  <c r="C53" i="1"/>
  <c r="E53" i="1"/>
  <c r="C49" i="1"/>
  <c r="E49" i="1"/>
  <c r="C45" i="1"/>
  <c r="E45" i="1"/>
  <c r="C42" i="1"/>
  <c r="E42" i="1"/>
  <c r="C56" i="1"/>
  <c r="E56" i="1"/>
  <c r="C52" i="1"/>
  <c r="E52" i="1"/>
  <c r="C48" i="1"/>
  <c r="E48" i="1"/>
  <c r="AB119" i="1"/>
  <c r="F112" i="1"/>
  <c r="D60" i="1"/>
  <c r="G107" i="1"/>
  <c r="N11" i="3"/>
  <c r="B2" i="4"/>
  <c r="F2" i="4"/>
  <c r="B3" i="4"/>
  <c r="H3" i="4"/>
  <c r="K3" i="4"/>
  <c r="H30" i="1"/>
  <c r="G59" i="1"/>
  <c r="E57" i="1"/>
  <c r="O57" i="1"/>
  <c r="E92" i="1"/>
  <c r="C93" i="1"/>
  <c r="D91" i="1"/>
  <c r="B93" i="1"/>
  <c r="F7" i="3"/>
  <c r="B92" i="1"/>
  <c r="D92" i="1"/>
  <c r="D63" i="1"/>
  <c r="G25" i="2"/>
  <c r="J25" i="2"/>
  <c r="F25" i="2"/>
  <c r="I25" i="2"/>
  <c r="H25" i="2"/>
  <c r="O13" i="2"/>
  <c r="N13" i="2"/>
  <c r="M13" i="2"/>
  <c r="F105" i="1"/>
  <c r="T114" i="1"/>
  <c r="B98" i="3"/>
  <c r="AU115" i="1"/>
  <c r="P15" i="1"/>
  <c r="H21" i="3"/>
  <c r="O48" i="1"/>
  <c r="O45" i="1"/>
  <c r="O47" i="1"/>
  <c r="O54" i="1"/>
  <c r="O51" i="1"/>
  <c r="O53" i="1"/>
  <c r="O55" i="1"/>
  <c r="O49" i="1"/>
  <c r="O46" i="1"/>
  <c r="O52" i="1"/>
  <c r="O50" i="1"/>
  <c r="O56" i="1"/>
  <c r="O42" i="1"/>
  <c r="O43" i="1"/>
  <c r="D62" i="1"/>
  <c r="B7" i="4"/>
  <c r="D65" i="1"/>
  <c r="B6" i="4"/>
  <c r="B4" i="4"/>
  <c r="B5" i="4"/>
  <c r="T149" i="1"/>
  <c r="S149" i="1"/>
  <c r="T152" i="1"/>
  <c r="T153" i="1"/>
  <c r="T150" i="1"/>
  <c r="S150" i="1"/>
  <c r="T146" i="1"/>
  <c r="S146" i="1"/>
  <c r="T148" i="1"/>
  <c r="S148" i="1"/>
  <c r="T145" i="1"/>
  <c r="S145" i="1"/>
  <c r="T163" i="1"/>
  <c r="T157" i="1"/>
  <c r="S152" i="1"/>
  <c r="T160" i="1"/>
  <c r="T156" i="1"/>
  <c r="T161" i="1"/>
  <c r="T155" i="1"/>
  <c r="T162" i="1"/>
  <c r="T158" i="1"/>
  <c r="T154" i="1"/>
  <c r="S153" i="1"/>
  <c r="T164" i="1"/>
  <c r="T159" i="1"/>
  <c r="S154" i="1"/>
  <c r="B117" i="1"/>
  <c r="G117" i="1"/>
  <c r="AS116" i="1"/>
  <c r="E2" i="4"/>
  <c r="F3" i="4"/>
  <c r="H2" i="4"/>
  <c r="K2" i="4"/>
  <c r="D2" i="4"/>
  <c r="D3" i="4"/>
  <c r="E3" i="4"/>
  <c r="C2" i="4"/>
  <c r="J27" i="2"/>
  <c r="F8" i="3"/>
  <c r="F6" i="3"/>
  <c r="Q33" i="2"/>
  <c r="T33" i="2"/>
  <c r="S33" i="2"/>
  <c r="R33" i="2"/>
  <c r="U33" i="2"/>
  <c r="S35" i="2"/>
  <c r="T35" i="2"/>
  <c r="R35" i="2"/>
  <c r="U35" i="2"/>
  <c r="Q35" i="2"/>
  <c r="S23" i="2"/>
  <c r="R23" i="2"/>
  <c r="Q23" i="2"/>
  <c r="T23" i="2"/>
  <c r="U23" i="2"/>
  <c r="J33" i="2"/>
  <c r="F33" i="2"/>
  <c r="I33" i="2"/>
  <c r="H33" i="2"/>
  <c r="G33" i="2"/>
  <c r="U21" i="2"/>
  <c r="T21" i="2"/>
  <c r="S21" i="2"/>
  <c r="R21" i="2"/>
  <c r="Q21" i="2"/>
  <c r="U29" i="2"/>
  <c r="T29" i="2"/>
  <c r="S29" i="2"/>
  <c r="R29" i="2"/>
  <c r="Q29" i="2"/>
  <c r="G21" i="2"/>
  <c r="I21" i="2"/>
  <c r="H21" i="2"/>
  <c r="J21" i="2"/>
  <c r="F21" i="2"/>
  <c r="H35" i="2"/>
  <c r="G35" i="2"/>
  <c r="J35" i="2"/>
  <c r="F35" i="2"/>
  <c r="I35" i="2"/>
  <c r="J23" i="2"/>
  <c r="F23" i="2"/>
  <c r="I23" i="2"/>
  <c r="H23" i="2"/>
  <c r="G23" i="2"/>
  <c r="R25" i="2"/>
  <c r="U25" i="2"/>
  <c r="Q25" i="2"/>
  <c r="T25" i="2"/>
  <c r="S25" i="2"/>
  <c r="U31" i="2"/>
  <c r="T31" i="2"/>
  <c r="S31" i="2"/>
  <c r="R31" i="2"/>
  <c r="Q31" i="2"/>
  <c r="I31" i="2"/>
  <c r="H31" i="2"/>
  <c r="G31" i="2"/>
  <c r="J31" i="2"/>
  <c r="F31" i="2"/>
  <c r="S27" i="2"/>
  <c r="R27" i="2"/>
  <c r="U27" i="2"/>
  <c r="Q27" i="2"/>
  <c r="T27" i="2"/>
  <c r="G29" i="2"/>
  <c r="F29" i="2"/>
  <c r="I29" i="2"/>
  <c r="H29" i="2"/>
  <c r="J29" i="2"/>
  <c r="G27" i="2"/>
  <c r="I27" i="2"/>
  <c r="H27" i="2"/>
  <c r="F27" i="2"/>
  <c r="H26" i="3"/>
  <c r="H20" i="3"/>
  <c r="P24" i="3"/>
  <c r="H5" i="4"/>
  <c r="K5" i="4"/>
  <c r="P21" i="3"/>
  <c r="H23" i="3"/>
  <c r="H4" i="4"/>
  <c r="K4" i="4"/>
  <c r="B49" i="3"/>
  <c r="D4" i="4"/>
  <c r="B47" i="3"/>
  <c r="F4" i="4"/>
  <c r="P25" i="3"/>
  <c r="P20" i="3"/>
  <c r="H22" i="3"/>
  <c r="H19" i="3"/>
  <c r="P22" i="3"/>
  <c r="P19" i="3"/>
  <c r="P23" i="3"/>
  <c r="H24" i="3"/>
  <c r="H7" i="4"/>
  <c r="K7" i="4"/>
  <c r="P26" i="3"/>
  <c r="H25" i="3"/>
  <c r="H6" i="4"/>
  <c r="K6" i="4"/>
  <c r="D124" i="3"/>
  <c r="F124" i="3"/>
  <c r="V154" i="1"/>
  <c r="V156" i="1"/>
  <c r="V160" i="1"/>
  <c r="V164" i="1"/>
  <c r="V148" i="1"/>
  <c r="V153" i="1"/>
  <c r="V157" i="1"/>
  <c r="V161" i="1"/>
  <c r="V152" i="1"/>
  <c r="V149" i="1"/>
  <c r="V158" i="1"/>
  <c r="V162" i="1"/>
  <c r="V146" i="1"/>
  <c r="V150" i="1"/>
  <c r="V155" i="1"/>
  <c r="V159" i="1"/>
  <c r="V163" i="1"/>
  <c r="V147" i="1"/>
  <c r="V151" i="1"/>
  <c r="V145" i="1"/>
  <c r="G112" i="1"/>
  <c r="B114" i="1"/>
  <c r="G42" i="4"/>
  <c r="H42" i="4"/>
  <c r="G46" i="4"/>
  <c r="H46" i="4"/>
  <c r="G50" i="4"/>
  <c r="H50" i="4"/>
  <c r="G39" i="4"/>
  <c r="H39" i="4"/>
  <c r="G43" i="4"/>
  <c r="H43" i="4"/>
  <c r="G47" i="4"/>
  <c r="H47" i="4"/>
  <c r="G51" i="4"/>
  <c r="H51" i="4"/>
  <c r="G40" i="4"/>
  <c r="H40" i="4"/>
  <c r="G44" i="4"/>
  <c r="H44" i="4"/>
  <c r="G48" i="4"/>
  <c r="H48" i="4"/>
  <c r="G38" i="4"/>
  <c r="H38" i="4"/>
  <c r="G41" i="4"/>
  <c r="H41" i="4"/>
  <c r="G45" i="4"/>
  <c r="H45" i="4"/>
  <c r="G49" i="4"/>
  <c r="H49" i="4"/>
  <c r="F114" i="1"/>
  <c r="H114" i="1"/>
  <c r="F115" i="1"/>
  <c r="H51" i="6"/>
  <c r="H64" i="6"/>
  <c r="H115" i="1"/>
  <c r="M51" i="6"/>
  <c r="B125" i="1"/>
  <c r="K123" i="1"/>
  <c r="E123" i="1"/>
  <c r="G132" i="1"/>
  <c r="H30" i="4"/>
  <c r="B125" i="3"/>
  <c r="D125" i="3"/>
  <c r="AS117" i="1"/>
  <c r="D141" i="3"/>
  <c r="AS132" i="1"/>
  <c r="B141" i="3"/>
  <c r="G2" i="4"/>
  <c r="E4" i="4"/>
  <c r="E5" i="4"/>
  <c r="R35" i="4"/>
  <c r="D5" i="4"/>
  <c r="F5" i="4"/>
  <c r="C3" i="4"/>
  <c r="G3" i="4"/>
  <c r="D123" i="3"/>
  <c r="E123" i="3"/>
  <c r="R124" i="3"/>
  <c r="S124" i="3"/>
  <c r="I45" i="4"/>
  <c r="J45" i="4"/>
  <c r="I48" i="4"/>
  <c r="J48" i="4"/>
  <c r="I44" i="4"/>
  <c r="J44" i="4"/>
  <c r="I50" i="4"/>
  <c r="J50" i="4"/>
  <c r="I43" i="4"/>
  <c r="J43" i="4"/>
  <c r="I39" i="4"/>
  <c r="J39" i="4"/>
  <c r="I41" i="4"/>
  <c r="J41" i="4"/>
  <c r="I42" i="4"/>
  <c r="J42" i="4"/>
  <c r="I40" i="4"/>
  <c r="J40" i="4"/>
  <c r="I49" i="4"/>
  <c r="J49" i="4"/>
  <c r="I38" i="4"/>
  <c r="J38" i="4"/>
  <c r="I51" i="4"/>
  <c r="J51" i="4"/>
  <c r="I47" i="4"/>
  <c r="J47" i="4"/>
  <c r="I46" i="4"/>
  <c r="J46" i="4"/>
  <c r="S123" i="3"/>
  <c r="R123" i="3"/>
  <c r="H58" i="6"/>
  <c r="B37" i="4"/>
  <c r="H61" i="6"/>
  <c r="H60" i="6"/>
  <c r="H54" i="6"/>
  <c r="B33" i="4"/>
  <c r="H52" i="6"/>
  <c r="B31" i="4"/>
  <c r="H53" i="6"/>
  <c r="B32" i="4"/>
  <c r="H62" i="6"/>
  <c r="H59" i="6"/>
  <c r="H63" i="6"/>
  <c r="M62" i="6"/>
  <c r="B51" i="4"/>
  <c r="C51" i="4"/>
  <c r="M64" i="6"/>
  <c r="B53" i="4"/>
  <c r="C53" i="4"/>
  <c r="M63" i="6"/>
  <c r="B52" i="4"/>
  <c r="C52" i="4"/>
  <c r="M52" i="6"/>
  <c r="B41" i="4"/>
  <c r="M60" i="6"/>
  <c r="M56" i="6"/>
  <c r="B45" i="4"/>
  <c r="M61" i="6"/>
  <c r="M58" i="6"/>
  <c r="B47" i="4"/>
  <c r="M57" i="6"/>
  <c r="M53" i="6"/>
  <c r="B42" i="4"/>
  <c r="Q42" i="4"/>
  <c r="S42" i="4"/>
  <c r="Q41" i="4"/>
  <c r="S41" i="4"/>
  <c r="B158" i="3"/>
  <c r="B159" i="3"/>
  <c r="Q51" i="4"/>
  <c r="S51" i="4"/>
  <c r="B164" i="3"/>
  <c r="Q54" i="4"/>
  <c r="S54" i="4"/>
  <c r="B144" i="3"/>
  <c r="B145" i="3"/>
  <c r="Q44" i="4"/>
  <c r="S44" i="4"/>
  <c r="B162" i="3"/>
  <c r="Q53" i="4"/>
  <c r="S53" i="4"/>
  <c r="B152" i="3"/>
  <c r="B153" i="3"/>
  <c r="Q48" i="4"/>
  <c r="S48" i="4"/>
  <c r="B160" i="3"/>
  <c r="B161" i="3"/>
  <c r="Q52" i="4"/>
  <c r="S52" i="4"/>
  <c r="Q39" i="4"/>
  <c r="S39" i="4"/>
  <c r="Q37" i="4"/>
  <c r="S37" i="4"/>
  <c r="B168" i="3"/>
  <c r="Q56" i="4"/>
  <c r="S56" i="4"/>
  <c r="B150" i="3"/>
  <c r="B151" i="3"/>
  <c r="Q47" i="4"/>
  <c r="S47" i="4"/>
  <c r="B166" i="3"/>
  <c r="Q55" i="4"/>
  <c r="S55" i="4"/>
  <c r="Q40" i="4"/>
  <c r="S40" i="4"/>
  <c r="B146" i="3"/>
  <c r="B147" i="3"/>
  <c r="Q45" i="4"/>
  <c r="S45" i="4"/>
  <c r="B156" i="3"/>
  <c r="Q50" i="4"/>
  <c r="S50" i="4"/>
  <c r="Q38" i="4"/>
  <c r="S38" i="4"/>
  <c r="B142" i="3"/>
  <c r="B143" i="3"/>
  <c r="Q43" i="4"/>
  <c r="S43" i="4"/>
  <c r="B148" i="3"/>
  <c r="B149" i="3"/>
  <c r="Q46" i="4"/>
  <c r="S46" i="4"/>
  <c r="B154" i="3"/>
  <c r="B155" i="3"/>
  <c r="Q49" i="4"/>
  <c r="S49" i="4"/>
  <c r="F6" i="4"/>
  <c r="F7" i="4"/>
  <c r="E6" i="4"/>
  <c r="E7" i="4"/>
  <c r="D6" i="4"/>
  <c r="C4" i="4"/>
  <c r="C42" i="4"/>
  <c r="C32" i="4"/>
  <c r="C35" i="4"/>
  <c r="B39" i="4"/>
  <c r="C39" i="4"/>
  <c r="C48" i="4"/>
  <c r="B46" i="4"/>
  <c r="C46" i="4"/>
  <c r="C41" i="4"/>
  <c r="B49" i="4"/>
  <c r="C49" i="4"/>
  <c r="B40" i="4"/>
  <c r="C40" i="4"/>
  <c r="C45" i="4"/>
  <c r="B50" i="4"/>
  <c r="C50" i="4"/>
  <c r="C31" i="4"/>
  <c r="B38" i="4"/>
  <c r="C38" i="4"/>
  <c r="C43" i="4"/>
  <c r="C44" i="4"/>
  <c r="C47" i="4"/>
  <c r="C36" i="4"/>
  <c r="C37" i="4"/>
  <c r="C33" i="4"/>
  <c r="C34" i="4"/>
  <c r="AS126" i="1"/>
  <c r="AS120" i="1"/>
  <c r="AS121" i="1"/>
  <c r="AS128" i="1"/>
  <c r="AS122" i="1"/>
  <c r="AS124" i="1"/>
  <c r="AS130" i="1"/>
  <c r="AS131" i="1"/>
  <c r="AS145" i="1"/>
  <c r="AS133" i="1"/>
  <c r="AS147" i="1"/>
  <c r="B157" i="3"/>
  <c r="AS141" i="1"/>
  <c r="AS153" i="1"/>
  <c r="B163" i="3"/>
  <c r="AS155" i="1"/>
  <c r="B165" i="3"/>
  <c r="AS139" i="1"/>
  <c r="AS137" i="1"/>
  <c r="AS157" i="1"/>
  <c r="B167" i="3"/>
  <c r="AS159" i="1"/>
  <c r="B169" i="3"/>
  <c r="AS143" i="1"/>
  <c r="AS135" i="1"/>
  <c r="AS136" i="1"/>
  <c r="D44" i="4"/>
  <c r="E44" i="4"/>
  <c r="D48" i="4"/>
  <c r="E48" i="4"/>
  <c r="D52" i="4"/>
  <c r="E52" i="4"/>
  <c r="D45" i="4"/>
  <c r="E45" i="4"/>
  <c r="D49" i="4"/>
  <c r="E49" i="4"/>
  <c r="D53" i="4"/>
  <c r="E53" i="4"/>
  <c r="D42" i="4"/>
  <c r="E42" i="4"/>
  <c r="D46" i="4"/>
  <c r="E46" i="4"/>
  <c r="D50" i="4"/>
  <c r="E50" i="4"/>
  <c r="D41" i="4"/>
  <c r="E41" i="4"/>
  <c r="D43" i="4"/>
  <c r="E43" i="4"/>
  <c r="D47" i="4"/>
  <c r="E47" i="4"/>
  <c r="D51" i="4"/>
  <c r="E51" i="4"/>
  <c r="R41" i="4"/>
  <c r="AS149" i="1"/>
  <c r="AS152" i="1"/>
  <c r="R52" i="4"/>
  <c r="AS150" i="1"/>
  <c r="R51" i="4"/>
  <c r="Q36" i="4"/>
  <c r="S36" i="4"/>
  <c r="AS151" i="1"/>
  <c r="F8" i="4"/>
  <c r="F9" i="4"/>
  <c r="E8" i="4"/>
  <c r="E9" i="4"/>
  <c r="D7" i="4"/>
  <c r="D8" i="4"/>
  <c r="D9" i="4"/>
  <c r="C5" i="4"/>
  <c r="G5" i="4"/>
  <c r="G4" i="4"/>
  <c r="D36" i="4"/>
  <c r="E36" i="4"/>
  <c r="D34" i="4"/>
  <c r="E34" i="4"/>
  <c r="D33" i="4"/>
  <c r="E33" i="4"/>
  <c r="D38" i="4"/>
  <c r="E38" i="4"/>
  <c r="D39" i="4"/>
  <c r="E39" i="4"/>
  <c r="D35" i="4"/>
  <c r="E35" i="4"/>
  <c r="D40" i="4"/>
  <c r="E40" i="4"/>
  <c r="D32" i="4"/>
  <c r="E32" i="4"/>
  <c r="D31" i="4"/>
  <c r="E31" i="4"/>
  <c r="D37" i="4"/>
  <c r="E37" i="4"/>
  <c r="AS129" i="1"/>
  <c r="R42" i="4"/>
  <c r="R37" i="4"/>
  <c r="R44" i="4"/>
  <c r="AS134" i="1"/>
  <c r="R43" i="4"/>
  <c r="AS138" i="1"/>
  <c r="R45" i="4"/>
  <c r="AS148" i="1"/>
  <c r="R50" i="4"/>
  <c r="AS156" i="1"/>
  <c r="R54" i="4"/>
  <c r="AS146" i="1"/>
  <c r="R49" i="4"/>
  <c r="AS160" i="1"/>
  <c r="R56" i="4"/>
  <c r="AS158" i="1"/>
  <c r="R55" i="4"/>
  <c r="AS125" i="1"/>
  <c r="R39" i="4"/>
  <c r="AS140" i="1"/>
  <c r="R46" i="4"/>
  <c r="AS127" i="1"/>
  <c r="R40" i="4"/>
  <c r="AS119" i="1"/>
  <c r="R36" i="4"/>
  <c r="AS123" i="1"/>
  <c r="R38" i="4"/>
  <c r="AS142" i="1"/>
  <c r="R47" i="4"/>
  <c r="AS144" i="1"/>
  <c r="R48" i="4"/>
  <c r="AS154" i="1"/>
  <c r="R53" i="4"/>
  <c r="AS118" i="1"/>
  <c r="E10" i="4"/>
  <c r="E11" i="4"/>
  <c r="E12" i="4"/>
  <c r="E13" i="4"/>
  <c r="E14" i="4"/>
  <c r="E15" i="4"/>
  <c r="E16" i="4"/>
  <c r="E17" i="4"/>
  <c r="E18" i="4"/>
  <c r="E19" i="4"/>
  <c r="E20" i="4"/>
  <c r="E21" i="4"/>
  <c r="E22" i="4"/>
  <c r="E23" i="4"/>
  <c r="F10" i="4"/>
  <c r="F11" i="4"/>
  <c r="F12" i="4"/>
  <c r="F13" i="4"/>
  <c r="F14" i="4"/>
  <c r="F15" i="4"/>
  <c r="F16" i="4"/>
  <c r="F17" i="4"/>
  <c r="F18" i="4"/>
  <c r="F19" i="4"/>
  <c r="F20" i="4"/>
  <c r="F21" i="4"/>
  <c r="F22" i="4"/>
  <c r="F23" i="4"/>
  <c r="D10" i="4"/>
  <c r="C6" i="4"/>
  <c r="F24" i="4"/>
  <c r="B25" i="4"/>
  <c r="K25" i="4"/>
  <c r="D11" i="4"/>
  <c r="D12" i="4"/>
  <c r="C7" i="4"/>
  <c r="E24" i="4"/>
  <c r="B24" i="4"/>
  <c r="K24" i="4"/>
  <c r="G6" i="4"/>
  <c r="G7" i="4"/>
  <c r="D13" i="4"/>
  <c r="D14" i="4"/>
  <c r="D15" i="4"/>
  <c r="D16" i="4"/>
  <c r="D17" i="4"/>
  <c r="D18" i="4"/>
  <c r="D19" i="4"/>
  <c r="D20" i="4"/>
  <c r="D21" i="4"/>
  <c r="D22" i="4"/>
  <c r="D23" i="4"/>
  <c r="D24" i="4"/>
  <c r="C8" i="4"/>
  <c r="G8" i="4"/>
  <c r="B26" i="4"/>
  <c r="K26" i="4"/>
  <c r="C9" i="4"/>
  <c r="G9" i="4"/>
  <c r="C10" i="4"/>
  <c r="C11" i="4"/>
  <c r="G11" i="4"/>
  <c r="G10" i="4"/>
  <c r="C12" i="4"/>
  <c r="G12" i="4"/>
  <c r="C13" i="4"/>
  <c r="G13" i="4"/>
  <c r="C14" i="4"/>
  <c r="G14" i="4"/>
  <c r="C15" i="4"/>
  <c r="G15" i="4"/>
  <c r="C16" i="4"/>
  <c r="G16" i="4"/>
  <c r="C17" i="4"/>
  <c r="C18" i="4"/>
  <c r="G17" i="4"/>
  <c r="G18" i="4"/>
  <c r="C19" i="4"/>
  <c r="C20" i="4"/>
  <c r="G20" i="4"/>
  <c r="G19" i="4"/>
  <c r="C21" i="4"/>
  <c r="G21" i="4"/>
  <c r="C22" i="4"/>
  <c r="G22" i="4"/>
  <c r="C23" i="4"/>
  <c r="G23" i="4"/>
  <c r="C24" i="4"/>
  <c r="B27" i="4"/>
  <c r="K27" i="4"/>
  <c r="G24" i="4"/>
  <c r="L15" i="4"/>
  <c r="M15" i="4"/>
  <c r="Q15" i="4"/>
  <c r="S15" i="4"/>
  <c r="L13" i="4"/>
  <c r="M13" i="4"/>
  <c r="Q13" i="4"/>
  <c r="S13" i="4"/>
  <c r="L12" i="4"/>
  <c r="M12" i="4"/>
  <c r="Q12" i="4"/>
  <c r="S12" i="4"/>
  <c r="L27" i="4"/>
  <c r="M27" i="4"/>
  <c r="Q27" i="4"/>
  <c r="S27" i="4"/>
  <c r="L26" i="4"/>
  <c r="M26" i="4"/>
  <c r="Q26" i="4"/>
  <c r="S26" i="4"/>
  <c r="L2" i="4"/>
  <c r="M2" i="4"/>
  <c r="Q2" i="4"/>
  <c r="S2" i="4"/>
  <c r="L17" i="4"/>
  <c r="M17" i="4"/>
  <c r="Q17" i="4"/>
  <c r="S17" i="4"/>
  <c r="L9" i="4"/>
  <c r="M9" i="4"/>
  <c r="L11" i="4"/>
  <c r="M11" i="4"/>
  <c r="Q11" i="4"/>
  <c r="S11" i="4"/>
  <c r="L23" i="4"/>
  <c r="M23" i="4"/>
  <c r="Q23" i="4"/>
  <c r="S23" i="4"/>
  <c r="L22" i="4"/>
  <c r="M22" i="4"/>
  <c r="Q22" i="4"/>
  <c r="S22" i="4"/>
  <c r="L7" i="4"/>
  <c r="M7" i="4"/>
  <c r="Q7" i="4"/>
  <c r="S7" i="4"/>
  <c r="L8" i="4"/>
  <c r="M8" i="4"/>
  <c r="Q8" i="4"/>
  <c r="S8" i="4"/>
  <c r="L21" i="4"/>
  <c r="M21" i="4"/>
  <c r="Q21" i="4"/>
  <c r="S21" i="4"/>
  <c r="L19" i="4"/>
  <c r="M19" i="4"/>
  <c r="Q19" i="4"/>
  <c r="S19" i="4"/>
  <c r="L6" i="4"/>
  <c r="L14" i="4"/>
  <c r="M14" i="4"/>
  <c r="Q14" i="4"/>
  <c r="S14" i="4"/>
  <c r="L4" i="4"/>
  <c r="M4" i="4"/>
  <c r="Q4" i="4"/>
  <c r="S4" i="4"/>
  <c r="L16" i="4"/>
  <c r="M16" i="4"/>
  <c r="Q16" i="4"/>
  <c r="S16" i="4"/>
  <c r="L25" i="4"/>
  <c r="M25" i="4"/>
  <c r="Q25" i="4"/>
  <c r="S25" i="4"/>
  <c r="L18" i="4"/>
  <c r="M18" i="4"/>
  <c r="Q18" i="4"/>
  <c r="S18" i="4"/>
  <c r="L20" i="4"/>
  <c r="M20" i="4"/>
  <c r="Q20" i="4"/>
  <c r="S20" i="4"/>
  <c r="L5" i="4"/>
  <c r="M5" i="4"/>
  <c r="Q5" i="4"/>
  <c r="S5" i="4"/>
  <c r="L24" i="4"/>
  <c r="M24" i="4"/>
  <c r="Q24" i="4"/>
  <c r="S24" i="4"/>
  <c r="L3" i="4"/>
  <c r="M3" i="4"/>
  <c r="Q3" i="4"/>
  <c r="S3" i="4"/>
  <c r="L10" i="4"/>
  <c r="M10" i="4"/>
  <c r="Q10" i="4"/>
  <c r="S10" i="4"/>
  <c r="M6" i="4"/>
  <c r="Q6" i="4"/>
  <c r="S6" i="4"/>
  <c r="Q9" i="4"/>
  <c r="S9" i="4"/>
  <c r="B76" i="3"/>
  <c r="B77" i="3"/>
  <c r="B53" i="3"/>
  <c r="B54" i="3"/>
  <c r="AS67" i="1"/>
  <c r="X43" i="2"/>
  <c r="B79" i="3"/>
  <c r="B80" i="3"/>
  <c r="B65" i="3"/>
  <c r="B66" i="3"/>
  <c r="R6" i="4"/>
  <c r="X36" i="2"/>
  <c r="B68" i="3"/>
  <c r="B69" i="3"/>
  <c r="X41" i="2"/>
  <c r="X30" i="2"/>
  <c r="B62" i="3"/>
  <c r="B63" i="3"/>
  <c r="X45" i="2"/>
  <c r="B85" i="3"/>
  <c r="B86" i="3"/>
  <c r="X27" i="2"/>
  <c r="B59" i="3"/>
  <c r="B60" i="3"/>
  <c r="X21" i="2"/>
  <c r="X46" i="2"/>
  <c r="B88" i="3"/>
  <c r="B89" i="3"/>
  <c r="X24" i="2"/>
  <c r="B56" i="3"/>
  <c r="B57" i="3"/>
  <c r="X47" i="2"/>
  <c r="B91" i="3"/>
  <c r="B92" i="3"/>
  <c r="X39" i="2"/>
  <c r="B71" i="3"/>
  <c r="B72" i="3"/>
  <c r="X44" i="2"/>
  <c r="B82" i="3"/>
  <c r="B83" i="3"/>
  <c r="X49" i="2"/>
  <c r="B94" i="3"/>
  <c r="B95" i="3"/>
  <c r="X33" i="2"/>
  <c r="T6" i="4"/>
  <c r="V6" i="4"/>
  <c r="T55" i="4"/>
  <c r="V55" i="4"/>
  <c r="T19" i="4"/>
  <c r="V19" i="4"/>
  <c r="C79" i="2"/>
  <c r="T13" i="4"/>
  <c r="U13" i="4"/>
  <c r="B73" i="2"/>
  <c r="T23" i="4"/>
  <c r="V23" i="4"/>
  <c r="C83" i="2"/>
  <c r="T34" i="4"/>
  <c r="U34" i="4"/>
  <c r="B94" i="2"/>
  <c r="T48" i="4"/>
  <c r="V48" i="4"/>
  <c r="T38" i="4"/>
  <c r="U38" i="4"/>
  <c r="B98" i="2"/>
  <c r="T53" i="4"/>
  <c r="U53" i="4"/>
  <c r="T32" i="4"/>
  <c r="U32" i="4"/>
  <c r="B92" i="2"/>
  <c r="T51" i="4"/>
  <c r="U51" i="4"/>
  <c r="T29" i="4"/>
  <c r="U29" i="4"/>
  <c r="B89" i="2"/>
  <c r="T16" i="4"/>
  <c r="U16" i="4"/>
  <c r="B76" i="2"/>
  <c r="T7" i="4"/>
  <c r="U7" i="4"/>
  <c r="B67" i="2"/>
  <c r="T49" i="4"/>
  <c r="U49" i="4"/>
  <c r="T47" i="4"/>
  <c r="U47" i="4"/>
  <c r="T15" i="4"/>
  <c r="U15" i="4"/>
  <c r="B75" i="2"/>
  <c r="T30" i="4"/>
  <c r="V30" i="4"/>
  <c r="C90" i="2"/>
  <c r="T43" i="4"/>
  <c r="U43" i="4"/>
  <c r="T11" i="4"/>
  <c r="U11" i="4"/>
  <c r="B71" i="2"/>
  <c r="T26" i="4"/>
  <c r="U26" i="4"/>
  <c r="B86" i="2"/>
  <c r="T45" i="4"/>
  <c r="U45" i="4"/>
  <c r="T25" i="4"/>
  <c r="U25" i="4"/>
  <c r="B85" i="2"/>
  <c r="T5" i="4"/>
  <c r="U5" i="4"/>
  <c r="B65" i="2"/>
  <c r="T44" i="4"/>
  <c r="V44" i="4"/>
  <c r="T28" i="4"/>
  <c r="U28" i="4"/>
  <c r="B88" i="2"/>
  <c r="T12" i="4"/>
  <c r="U12" i="4"/>
  <c r="B72" i="2"/>
  <c r="T3" i="4"/>
  <c r="U3" i="4"/>
  <c r="B63" i="2"/>
  <c r="T41" i="4"/>
  <c r="V41" i="4"/>
  <c r="T39" i="4"/>
  <c r="V39" i="4"/>
  <c r="T54" i="4"/>
  <c r="U54" i="4"/>
  <c r="T22" i="4"/>
  <c r="U22" i="4"/>
  <c r="B82" i="2"/>
  <c r="T35" i="4"/>
  <c r="U35" i="4"/>
  <c r="B95" i="2"/>
  <c r="T50" i="4"/>
  <c r="V50" i="4"/>
  <c r="T18" i="4"/>
  <c r="V18" i="4"/>
  <c r="C78" i="2"/>
  <c r="T37" i="4"/>
  <c r="U37" i="4"/>
  <c r="B97" i="2"/>
  <c r="T21" i="4"/>
  <c r="V21" i="4"/>
  <c r="C81" i="2"/>
  <c r="T56" i="4"/>
  <c r="V56" i="4"/>
  <c r="T40" i="4"/>
  <c r="U40" i="4"/>
  <c r="T24" i="4"/>
  <c r="U24" i="4"/>
  <c r="B84" i="2"/>
  <c r="T8" i="4"/>
  <c r="U8" i="4"/>
  <c r="B68" i="2"/>
  <c r="T10" i="4"/>
  <c r="U10" i="4"/>
  <c r="B70" i="2"/>
  <c r="T9" i="4"/>
  <c r="U9" i="4"/>
  <c r="B69" i="2"/>
  <c r="T31" i="4"/>
  <c r="V31" i="4"/>
  <c r="C91" i="2"/>
  <c r="T46" i="4"/>
  <c r="V46" i="4"/>
  <c r="T14" i="4"/>
  <c r="U14" i="4"/>
  <c r="B74" i="2"/>
  <c r="T27" i="4"/>
  <c r="V27" i="4"/>
  <c r="C87" i="2"/>
  <c r="T42" i="4"/>
  <c r="V42" i="4"/>
  <c r="T2" i="4"/>
  <c r="U2" i="4"/>
  <c r="B62" i="2"/>
  <c r="T33" i="4"/>
  <c r="U33" i="4"/>
  <c r="B93" i="2"/>
  <c r="T17" i="4"/>
  <c r="V17" i="4"/>
  <c r="C77" i="2"/>
  <c r="T52" i="4"/>
  <c r="U52" i="4"/>
  <c r="T36" i="4"/>
  <c r="U36" i="4"/>
  <c r="B96" i="2"/>
  <c r="T20" i="4"/>
  <c r="U20" i="4"/>
  <c r="B80" i="2"/>
  <c r="T4" i="4"/>
  <c r="U4" i="4"/>
  <c r="B64" i="2"/>
  <c r="U31" i="4"/>
  <c r="B91" i="2"/>
  <c r="U6" i="4"/>
  <c r="B66" i="2"/>
  <c r="U55" i="4"/>
  <c r="AS108" i="1"/>
  <c r="AS101" i="1"/>
  <c r="AU73" i="1"/>
  <c r="AU80" i="1"/>
  <c r="AU101" i="1"/>
  <c r="AU94" i="1"/>
  <c r="AU108" i="1"/>
  <c r="AU87" i="1"/>
  <c r="AU66" i="1"/>
  <c r="AS87" i="1"/>
  <c r="AS94" i="1"/>
  <c r="AS80" i="1"/>
  <c r="AS73" i="1"/>
  <c r="AS66" i="1"/>
  <c r="U56" i="4"/>
  <c r="V32" i="4"/>
  <c r="C92" i="2"/>
  <c r="V45" i="4"/>
  <c r="U46" i="4"/>
  <c r="V49" i="4"/>
  <c r="U18" i="4"/>
  <c r="B78" i="2"/>
  <c r="V37" i="4"/>
  <c r="C97" i="2"/>
  <c r="V47" i="4"/>
  <c r="V29" i="4"/>
  <c r="C89" i="2"/>
  <c r="U48" i="4"/>
  <c r="U19" i="4"/>
  <c r="B79" i="2"/>
  <c r="V34" i="4"/>
  <c r="C94" i="2"/>
  <c r="V53" i="4"/>
  <c r="U44" i="4"/>
  <c r="U21" i="4"/>
  <c r="B81" i="2"/>
  <c r="U23" i="4"/>
  <c r="B83" i="2"/>
  <c r="V16" i="4"/>
  <c r="C76" i="2"/>
  <c r="U41" i="4"/>
  <c r="V54" i="4"/>
  <c r="V43" i="4"/>
  <c r="V51" i="4"/>
  <c r="U17" i="4"/>
  <c r="B77" i="2"/>
  <c r="V40" i="4"/>
  <c r="V25" i="4"/>
  <c r="C85" i="2"/>
  <c r="V24" i="4"/>
  <c r="C84" i="2"/>
  <c r="V38" i="4"/>
  <c r="C98" i="2"/>
  <c r="V22" i="4"/>
  <c r="C82" i="2"/>
  <c r="U42" i="4"/>
  <c r="V35" i="4"/>
  <c r="C95" i="2"/>
  <c r="V26" i="4"/>
  <c r="C86" i="2"/>
  <c r="V15" i="4"/>
  <c r="C75" i="2"/>
  <c r="V36" i="4"/>
  <c r="C96" i="2"/>
  <c r="U27" i="4"/>
  <c r="B87" i="2"/>
  <c r="V52" i="4"/>
  <c r="U39" i="4"/>
  <c r="U30" i="4"/>
  <c r="B90" i="2"/>
  <c r="U50" i="4"/>
  <c r="V33" i="4"/>
  <c r="C93" i="2"/>
  <c r="V28" i="4"/>
  <c r="C88" i="2"/>
  <c r="V20" i="4"/>
  <c r="C80" i="2"/>
  <c r="V14" i="4"/>
  <c r="C74" i="2"/>
  <c r="R2" i="4"/>
  <c r="V2" i="4"/>
  <c r="C62" i="2"/>
  <c r="AS88" i="1"/>
  <c r="R5" i="4"/>
  <c r="V5" i="4"/>
  <c r="C65" i="2"/>
  <c r="AU95" i="1"/>
  <c r="R13" i="4"/>
  <c r="V13" i="4"/>
  <c r="C73" i="2"/>
  <c r="AU67" i="1"/>
  <c r="R9" i="4"/>
  <c r="V9" i="4"/>
  <c r="C69" i="2"/>
  <c r="AU109" i="1"/>
  <c r="R15" i="4"/>
  <c r="AU102" i="1"/>
  <c r="R14" i="4"/>
  <c r="AS109" i="1"/>
  <c r="R8" i="4"/>
  <c r="V8" i="4"/>
  <c r="C68" i="2"/>
  <c r="AS95" i="1"/>
  <c r="C66" i="2"/>
  <c r="AU74" i="1"/>
  <c r="R10" i="4"/>
  <c r="V10" i="4"/>
  <c r="C70" i="2"/>
  <c r="AS74" i="1"/>
  <c r="R3" i="4"/>
  <c r="V3" i="4"/>
  <c r="C63" i="2"/>
  <c r="AS81" i="1"/>
  <c r="R4" i="4"/>
  <c r="V4" i="4"/>
  <c r="C64" i="2"/>
  <c r="AU88" i="1"/>
  <c r="R12" i="4"/>
  <c r="V12" i="4"/>
  <c r="C72" i="2"/>
  <c r="AU81" i="1"/>
  <c r="R11" i="4"/>
  <c r="V11" i="4"/>
  <c r="C71" i="2"/>
  <c r="AS102" i="1"/>
  <c r="R7" i="4"/>
  <c r="V7" i="4"/>
  <c r="C67" i="2"/>
</calcChain>
</file>

<file path=xl/sharedStrings.xml><?xml version="1.0" encoding="utf-8"?>
<sst xmlns="http://schemas.openxmlformats.org/spreadsheetml/2006/main" count="3012" uniqueCount="1409">
  <si>
    <t>Advantages</t>
  </si>
  <si>
    <t>Able Drinker</t>
  </si>
  <si>
    <t>Cast Iron Stomach</t>
  </si>
  <si>
    <t>Direction Sense</t>
  </si>
  <si>
    <t>Foreign Born</t>
  </si>
  <si>
    <t>Large</t>
  </si>
  <si>
    <t>Linguist</t>
  </si>
  <si>
    <t>Sea Legs</t>
  </si>
  <si>
    <t>Small</t>
  </si>
  <si>
    <t>Survivalist</t>
  </si>
  <si>
    <t>Time Sense</t>
  </si>
  <si>
    <t>Barterer</t>
  </si>
  <si>
    <t>cost</t>
  </si>
  <si>
    <t>name</t>
  </si>
  <si>
    <t>country discount</t>
  </si>
  <si>
    <t>discount</t>
  </si>
  <si>
    <t>glamour</t>
  </si>
  <si>
    <t>only</t>
  </si>
  <si>
    <t>Arcana</t>
  </si>
  <si>
    <t>The Fool</t>
  </si>
  <si>
    <t>Wily</t>
  </si>
  <si>
    <t>Curious</t>
  </si>
  <si>
    <t>The Road</t>
  </si>
  <si>
    <t>Friendly</t>
  </si>
  <si>
    <t>Underconfident</t>
  </si>
  <si>
    <t>The Magician</t>
  </si>
  <si>
    <t>Willful</t>
  </si>
  <si>
    <t>Ambitious</t>
  </si>
  <si>
    <t>The Lovers</t>
  </si>
  <si>
    <t>Passionate</t>
  </si>
  <si>
    <t>Star-crossed</t>
  </si>
  <si>
    <t>The Wheel</t>
  </si>
  <si>
    <t>Fortunate</t>
  </si>
  <si>
    <t>Unfortunate</t>
  </si>
  <si>
    <t>The Devil</t>
  </si>
  <si>
    <t>Astute</t>
  </si>
  <si>
    <t>Trusting</t>
  </si>
  <si>
    <t>The Tower</t>
  </si>
  <si>
    <t>Humble</t>
  </si>
  <si>
    <t>Arrogant</t>
  </si>
  <si>
    <t>The Beggar</t>
  </si>
  <si>
    <t>Insightful</t>
  </si>
  <si>
    <t>Envious</t>
  </si>
  <si>
    <t>The Witch</t>
  </si>
  <si>
    <t>Intuitive</t>
  </si>
  <si>
    <t>Manipulative</t>
  </si>
  <si>
    <t>The War</t>
  </si>
  <si>
    <t>Victorious</t>
  </si>
  <si>
    <t>Loyal</t>
  </si>
  <si>
    <t>The Hanged Man</t>
  </si>
  <si>
    <t>Altruistic</t>
  </si>
  <si>
    <t>Indecisive</t>
  </si>
  <si>
    <t>The Ferryman</t>
  </si>
  <si>
    <t>Adaptable</t>
  </si>
  <si>
    <t>Relentless</t>
  </si>
  <si>
    <t>The Thrones</t>
  </si>
  <si>
    <t>Comforting</t>
  </si>
  <si>
    <t>Stubborn</t>
  </si>
  <si>
    <t>The Moonless Night</t>
  </si>
  <si>
    <t>Subtle</t>
  </si>
  <si>
    <t>Confusion</t>
  </si>
  <si>
    <t>The Sun</t>
  </si>
  <si>
    <t>Glorious</t>
  </si>
  <si>
    <t>Proud</t>
  </si>
  <si>
    <t>The Prophet</t>
  </si>
  <si>
    <t>Illuminating</t>
  </si>
  <si>
    <t>Overzealous</t>
  </si>
  <si>
    <t>Reunion</t>
  </si>
  <si>
    <t>Exemplary</t>
  </si>
  <si>
    <t>Bitterness</t>
  </si>
  <si>
    <t>The Hero</t>
  </si>
  <si>
    <t>Courageous</t>
  </si>
  <si>
    <t>Foolhardy</t>
  </si>
  <si>
    <t>The Glyph</t>
  </si>
  <si>
    <t>Temperate</t>
  </si>
  <si>
    <t>Superstitious</t>
  </si>
  <si>
    <t>The Emperor</t>
  </si>
  <si>
    <t>Commanding</t>
  </si>
  <si>
    <t>Hot-headed</t>
  </si>
  <si>
    <t>Stories</t>
  </si>
  <si>
    <t>Amnesia</t>
  </si>
  <si>
    <t>Cursed</t>
  </si>
  <si>
    <t>Hunting</t>
  </si>
  <si>
    <t>Lost Love</t>
  </si>
  <si>
    <t>Obligation</t>
  </si>
  <si>
    <t>Rivalry</t>
  </si>
  <si>
    <t>Romance</t>
  </si>
  <si>
    <t>Vendetta</t>
  </si>
  <si>
    <t>Languages</t>
  </si>
  <si>
    <t>Old Thean</t>
  </si>
  <si>
    <t>Secret Society</t>
  </si>
  <si>
    <t>innate</t>
  </si>
  <si>
    <t>Skills</t>
  </si>
  <si>
    <t>Aim</t>
  </si>
  <si>
    <t>Athletics</t>
  </si>
  <si>
    <t>Brawl</t>
  </si>
  <si>
    <t>Convince</t>
  </si>
  <si>
    <t>Backgrounds</t>
  </si>
  <si>
    <t>Archaeologist</t>
  </si>
  <si>
    <t>Aristocrat</t>
  </si>
  <si>
    <t>Nations</t>
  </si>
  <si>
    <t/>
  </si>
  <si>
    <t>Brawn</t>
  </si>
  <si>
    <t>Finesse</t>
  </si>
  <si>
    <t>Resolve</t>
  </si>
  <si>
    <t>Wits</t>
  </si>
  <si>
    <t>Panache</t>
  </si>
  <si>
    <t>Traits</t>
  </si>
  <si>
    <t>start</t>
  </si>
  <si>
    <t>add</t>
  </si>
  <si>
    <t>total</t>
  </si>
  <si>
    <t>Nation</t>
  </si>
  <si>
    <t>bonus trait</t>
  </si>
  <si>
    <t>nation</t>
  </si>
  <si>
    <t>First</t>
  </si>
  <si>
    <t>allowed</t>
  </si>
  <si>
    <t>Allowed Backgrounds</t>
  </si>
  <si>
    <t>glamour?</t>
  </si>
  <si>
    <t>Quirk</t>
  </si>
  <si>
    <t>Second</t>
  </si>
  <si>
    <t>Free Skills</t>
  </si>
  <si>
    <t>Free</t>
  </si>
  <si>
    <t>Add</t>
  </si>
  <si>
    <t>Total</t>
  </si>
  <si>
    <t>Free Advantages</t>
  </si>
  <si>
    <t>current cost</t>
  </si>
  <si>
    <t>base cost</t>
  </si>
  <si>
    <t>advantage overlap</t>
  </si>
  <si>
    <t>Extra Points</t>
  </si>
  <si>
    <t>points left</t>
  </si>
  <si>
    <t>Virtue</t>
  </si>
  <si>
    <t>Hubris</t>
  </si>
  <si>
    <t>Story</t>
  </si>
  <si>
    <t>Reputation</t>
  </si>
  <si>
    <t>Avalonian</t>
  </si>
  <si>
    <t>Castillian</t>
  </si>
  <si>
    <t>Eisen</t>
  </si>
  <si>
    <t>Inish</t>
  </si>
  <si>
    <t>Montaigne</t>
  </si>
  <si>
    <t>Sarmatian</t>
  </si>
  <si>
    <t>Ussuran</t>
  </si>
  <si>
    <t>Vesten</t>
  </si>
  <si>
    <t>Vodacce</t>
  </si>
  <si>
    <t>Highland?</t>
  </si>
  <si>
    <t>None</t>
  </si>
  <si>
    <t>Character</t>
  </si>
  <si>
    <t>Concept</t>
  </si>
  <si>
    <t>Player</t>
  </si>
  <si>
    <t>Religion</t>
  </si>
  <si>
    <t>Academy</t>
  </si>
  <si>
    <t>Alchemist</t>
  </si>
  <si>
    <t>An Honest Misunderstanding</t>
  </si>
  <si>
    <t>Bar Fighter</t>
  </si>
  <si>
    <t>Boxer</t>
  </si>
  <si>
    <t>Bruiser</t>
  </si>
  <si>
    <t>Brush Pass</t>
  </si>
  <si>
    <t>Come Hither</t>
  </si>
  <si>
    <t>Connection</t>
  </si>
  <si>
    <t>Deadeye</t>
  </si>
  <si>
    <t>Disarming Smile</t>
  </si>
  <si>
    <t>Duelist Academy</t>
  </si>
  <si>
    <t>Dynamic Approach</t>
  </si>
  <si>
    <t>Eagle Eyes</t>
  </si>
  <si>
    <t>Extended Family</t>
  </si>
  <si>
    <t>Fascinate</t>
  </si>
  <si>
    <t>Fencer</t>
  </si>
  <si>
    <t>Foul Weather Jack</t>
  </si>
  <si>
    <t>Friend At Court</t>
  </si>
  <si>
    <t>Got It!</t>
  </si>
  <si>
    <t>Handy</t>
  </si>
  <si>
    <t>Hard To Kill</t>
  </si>
  <si>
    <t>Indomitable Will</t>
  </si>
  <si>
    <t>Inspire Generosity</t>
  </si>
  <si>
    <t>Joie De Vivre</t>
  </si>
  <si>
    <t>Leadership</t>
  </si>
  <si>
    <t>Legendary Trait</t>
  </si>
  <si>
    <t>Lyceum</t>
  </si>
  <si>
    <t>Married To The Sea</t>
  </si>
  <si>
    <t>Masterpiece Crafter</t>
  </si>
  <si>
    <t>Miracle Worker</t>
  </si>
  <si>
    <t>Opportunist</t>
  </si>
  <si>
    <t>Ordained</t>
  </si>
  <si>
    <t>Patron</t>
  </si>
  <si>
    <t>Perfect Balance</t>
  </si>
  <si>
    <t>Poison Immunity</t>
  </si>
  <si>
    <t>Psst, Over Here</t>
  </si>
  <si>
    <t>Quick Reflexes</t>
  </si>
  <si>
    <t>Reckless Takedown</t>
  </si>
  <si>
    <t>Rich</t>
  </si>
  <si>
    <t>Riot Breaker</t>
  </si>
  <si>
    <t>Second Story Work</t>
  </si>
  <si>
    <t>Signature Item</t>
  </si>
  <si>
    <t>Slip Free</t>
  </si>
  <si>
    <t>Sniper</t>
  </si>
  <si>
    <t>Sorcery</t>
  </si>
  <si>
    <t>Spark Of Genius</t>
  </si>
  <si>
    <t>Specialist</t>
  </si>
  <si>
    <t>Staredown</t>
  </si>
  <si>
    <t>Streetwise</t>
  </si>
  <si>
    <t>Strength Of Ten</t>
  </si>
  <si>
    <t>Team Player</t>
  </si>
  <si>
    <t>Tenure</t>
  </si>
  <si>
    <t>Together We Are Strong</t>
  </si>
  <si>
    <t>Trusted Companion</t>
  </si>
  <si>
    <t>University</t>
  </si>
  <si>
    <t>Valiant Spirit</t>
  </si>
  <si>
    <t>Virtuoso</t>
  </si>
  <si>
    <t>Avalon</t>
  </si>
  <si>
    <t>Castille</t>
  </si>
  <si>
    <t>Highland</t>
  </si>
  <si>
    <t>Inismore</t>
  </si>
  <si>
    <t>Sarmatia</t>
  </si>
  <si>
    <t>Ussura</t>
  </si>
  <si>
    <t>Empathy</t>
  </si>
  <si>
    <t>Hide</t>
  </si>
  <si>
    <t>Intimidate</t>
  </si>
  <si>
    <t>Notice</t>
  </si>
  <si>
    <t>Perform</t>
  </si>
  <si>
    <t>Ride</t>
  </si>
  <si>
    <t>Sailing</t>
  </si>
  <si>
    <t>Scholarship</t>
  </si>
  <si>
    <t>Tempt</t>
  </si>
  <si>
    <t>Theft</t>
  </si>
  <si>
    <t>Warfare</t>
  </si>
  <si>
    <t>Weaponry</t>
  </si>
  <si>
    <t>Army Officer</t>
  </si>
  <si>
    <t>Artist</t>
  </si>
  <si>
    <t>Assassin</t>
  </si>
  <si>
    <t>Cavalry</t>
  </si>
  <si>
    <t>Crafter</t>
  </si>
  <si>
    <t>Criminal</t>
  </si>
  <si>
    <t>Doctor</t>
  </si>
  <si>
    <t>Duelist</t>
  </si>
  <si>
    <t>Engineer</t>
  </si>
  <si>
    <t>Explorer</t>
  </si>
  <si>
    <t>Farmkid</t>
  </si>
  <si>
    <t>Hunter</t>
  </si>
  <si>
    <t>Jenny</t>
  </si>
  <si>
    <t>Mercenary</t>
  </si>
  <si>
    <t>Merchant</t>
  </si>
  <si>
    <t>Naval Officer</t>
  </si>
  <si>
    <t>Orphan</t>
  </si>
  <si>
    <t>Performer</t>
  </si>
  <si>
    <t>Pirate</t>
  </si>
  <si>
    <t>Priest</t>
  </si>
  <si>
    <t>Professor</t>
  </si>
  <si>
    <t>Pugilist</t>
  </si>
  <si>
    <t>Quartermaster</t>
  </si>
  <si>
    <t>Sailor</t>
  </si>
  <si>
    <t>Scholar</t>
  </si>
  <si>
    <t>Servant</t>
  </si>
  <si>
    <t>Ship Captain</t>
  </si>
  <si>
    <t>Soldier</t>
  </si>
  <si>
    <t>Spy</t>
  </si>
  <si>
    <t>Puritan</t>
  </si>
  <si>
    <t>Alquimista</t>
  </si>
  <si>
    <t>Antropologo</t>
  </si>
  <si>
    <t>Diestro</t>
  </si>
  <si>
    <t>Mirabilis (Priest)</t>
  </si>
  <si>
    <t>Hexe</t>
  </si>
  <si>
    <t>Krieger (Warrior)</t>
  </si>
  <si>
    <t>Ungetumjager (Monster Hunter)</t>
  </si>
  <si>
    <t>Vitalienbruder (Pirate)</t>
  </si>
  <si>
    <t>Glamour</t>
  </si>
  <si>
    <t>Bard</t>
  </si>
  <si>
    <t>Knight Errant</t>
  </si>
  <si>
    <t>Privateer</t>
  </si>
  <si>
    <t>Unification Agent</t>
  </si>
  <si>
    <t>Seanchaidh (Warrior-Poet)</t>
  </si>
  <si>
    <t>Saoi (Wise One)</t>
  </si>
  <si>
    <t>L'Ami Du Roi (Courtier)</t>
  </si>
  <si>
    <t>Mousquetaire</t>
  </si>
  <si>
    <t>Revolutionnaire</t>
  </si>
  <si>
    <t>Sorcier Porte</t>
  </si>
  <si>
    <t>Posel (Envoy)</t>
  </si>
  <si>
    <t>Tremtis (Expatriate)</t>
  </si>
  <si>
    <t>Winged Hussar</t>
  </si>
  <si>
    <t>Zynys (Soothsayer)</t>
  </si>
  <si>
    <t>Cossack</t>
  </si>
  <si>
    <t>Progressivist</t>
  </si>
  <si>
    <t>Touched By Matushka</t>
  </si>
  <si>
    <t>Whaler</t>
  </si>
  <si>
    <t>Bearsark</t>
  </si>
  <si>
    <t>Guildmastaren</t>
  </si>
  <si>
    <t>Sjorover (Pirate)</t>
  </si>
  <si>
    <t>Skald</t>
  </si>
  <si>
    <t>Bravo</t>
  </si>
  <si>
    <t>Consigliere</t>
  </si>
  <si>
    <t>Esploratore</t>
  </si>
  <si>
    <t>Sorte Strega</t>
  </si>
  <si>
    <t>Any</t>
  </si>
  <si>
    <t>Camaraderie</t>
  </si>
  <si>
    <t>Seidr</t>
  </si>
  <si>
    <t>Brotherhood Of The Coast</t>
  </si>
  <si>
    <t>Die Kreuzritter</t>
  </si>
  <si>
    <t>The Invisible College</t>
  </si>
  <si>
    <t>Knights Of The Rose &amp; Cross</t>
  </si>
  <si>
    <t>Los Vagabundos</t>
  </si>
  <si>
    <t>Mociutes Skara</t>
  </si>
  <si>
    <t>The Rilasciare</t>
  </si>
  <si>
    <t>The Devil's Own Luck</t>
  </si>
  <si>
    <t>We're Not So Different</t>
  </si>
  <si>
    <t>I Won't Die Here</t>
  </si>
  <si>
    <t>I'm Taking You With Me</t>
  </si>
  <si>
    <t>Earn a Hero Point when you turn an artifact of value over to a university, museum, or a publicly displayed site.</t>
  </si>
  <si>
    <t>Earn a Hero Point when you prove there is more to nobility than expensive clothes and attending court.</t>
  </si>
  <si>
    <t>Earn a Hero Point when you seize command during a moment of intense violence or extreme danger.</t>
  </si>
  <si>
    <t>Earn a Hero Point when you make a sacrifice in the hope of making Théah a more beautiful place.</t>
  </si>
  <si>
    <t>Earn a Hero Point when you go out of your way to avoid the death of an adversary or outright refuse a course of action because it could result in another person’s death.</t>
  </si>
  <si>
    <t>Earn a Hero Point when you apply your skills in horse riding to an uncommon situation.</t>
  </si>
  <si>
    <t>Earn a Hero Point when you turn the tide of violence with charm and flair.</t>
  </si>
  <si>
    <t>Earn a Hero Point when you use everyday crafting skills to solve a problem deemed too complex for such a simple solution.</t>
  </si>
  <si>
    <t>Earn a Hero Point when you break the law in the pursuit of a noble endeavor.</t>
  </si>
  <si>
    <t>Earn a Hero Point when you tend to the injuries of a Villain or the innocents harmed by a Villain.</t>
  </si>
  <si>
    <t>Earn a Hero Point when you resort to the edge of your blade to defend a noble ideal.</t>
  </si>
  <si>
    <t>Earn a Hero Point when you use your technological savvy to solve a problem.</t>
  </si>
  <si>
    <t>Earn a Hero Point when you set your eyes upon a sight few, if any, Théans have ever seen before.</t>
  </si>
  <si>
    <t>Earn a Hero Point when you solve a complex problem in a simple, tried and true method from back on the farm.</t>
  </si>
  <si>
    <t>Earn a Hero Point when you use your hunter’s acumen to save someone from danger.</t>
  </si>
  <si>
    <t>Earn a Hero Point when you resolve a conflict with seduction or sexual wiles.</t>
  </si>
  <si>
    <t>Earn a Hero Point when you choose to ply your trade for a reason that’s worth more to you than money.</t>
  </si>
  <si>
    <t>Earn a Hero Point when you sell an item for far less than it’s worth to someone who desperately needs it.</t>
  </si>
  <si>
    <t>Earn a Hero Point when you put the needs of the crew ahead of the needs of the mission.</t>
  </si>
  <si>
    <t>Earn a Hero Point when you put yourself in danger to ensure someone else doesn’t have to be alone.</t>
  </si>
  <si>
    <t>Earn a Hero Point when you use your crowd-pleasing skills for something more than making a few coins.</t>
  </si>
  <si>
    <t>Earn a Hero Point when you make a personal sacrifice to ensure the freedom of another.</t>
  </si>
  <si>
    <t>Earn a Hero Point when you set aside the rhetoric and take action to practice the virtues you preach.</t>
  </si>
  <si>
    <t>Earn a Hero Point when you use knowledge from an obscure text to solve a complicated problem.</t>
  </si>
  <si>
    <t>Earn a Hero Point when you drop what you’re holding to fight with fists regardless of your opponent's weapon.</t>
  </si>
  <si>
    <t>Earn a Hero Point when you solve a problem for your crew.</t>
  </si>
  <si>
    <t>Earn a Hero Point when you put aside your personal desires to ensure the safety and comfort of your allies.</t>
  </si>
  <si>
    <t>Earn a Hero Point when you put yourself in harm’s way in pursuit of knowledge.</t>
  </si>
  <si>
    <t>Earn a Hero Point when you put yourself in danger to assist another character with a difficult task.</t>
  </si>
  <si>
    <t>Earn a Hero Point when you’re the last one in your crew to safety.</t>
  </si>
  <si>
    <t>Earn a Hero Point when you stick to the plan regardless of the danger to yourself.</t>
  </si>
  <si>
    <t>Earn a Hero Point when you take a great risk to uncover a secret.</t>
  </si>
  <si>
    <t>Earn a Hero Point when you solve a problem by following an example set by a Legend.</t>
  </si>
  <si>
    <t>Earn a Hero Point when you uphold an ideal of knightly virtue in a way that gets you into trouble.</t>
  </si>
  <si>
    <t>Earn a Hero Point when you defeat the enemies of the Crown of Avalon.</t>
  </si>
  <si>
    <t>Earn a Hero Point when you ensure the stability of the Glamour Isles Unification.</t>
  </si>
  <si>
    <t>Earn a Hero Point when you expose corruption, hypocrisy, or ineffectiveness within the Vaticine Church.</t>
  </si>
  <si>
    <t>Earn a Hero Point when you put yourself in harm’s way to protect the artists of Théah.</t>
  </si>
  <si>
    <t>Earn a Hero Point when you enforce the ancient laws of your people.</t>
  </si>
  <si>
    <t>Earn a Hero Point when you improve another Théan's life through Alchemy.</t>
  </si>
  <si>
    <t>Earn a Hero Point when you solve a problem for a group of strangers.</t>
  </si>
  <si>
    <t>Earn a Hero Point when you best a trained duelist at her own game.</t>
  </si>
  <si>
    <t>Earn a Hero Point when you give of yourself to demonstrate the warmth and compassion of the Vaticine Church.</t>
  </si>
  <si>
    <t>Earn a Hero Point when you go out of your way to ensure that the dead stay dead.</t>
  </si>
  <si>
    <t>Earn a Hero Point when you choose to fight to defend the defenseless or prevent destruction.</t>
  </si>
  <si>
    <t>Earn a Hero Point when you choose to hunt down an inhuman creature so it will never hurt anyone ever again.</t>
  </si>
  <si>
    <t>Earn a Hero Point when you take from the rich to give to the poor.</t>
  </si>
  <si>
    <t>Earn a Hero Point when you leverage the King's favor to solve a problem.</t>
  </si>
  <si>
    <t>Earn a Hero Point when you take a serious injury to protect your comrades or King.</t>
  </si>
  <si>
    <t>Earn a Hero Point when you close a Blessure that a Villain ripped open.</t>
  </si>
  <si>
    <t>Earn a Hero Point when you insist on democracy when it would be advantageous for you to not take a vote.</t>
  </si>
  <si>
    <t>Earn a Hero Point when something from your past comes back to haunt you.</t>
  </si>
  <si>
    <t>Earn a Hero Point when you use something evil for good.</t>
  </si>
  <si>
    <t>Earn a Hero Point when you leave behind something important so you can travel light.</t>
  </si>
  <si>
    <t>Earn a Hero Point when you risk life and limb to secure a piece of advanced technology.</t>
  </si>
  <si>
    <t>Earn a Hero Point when you teach someone a lesson in a way that would make Matushka proud.</t>
  </si>
  <si>
    <t>Earn a Hero Point when you face a creature that could swallow a man whole.</t>
  </si>
  <si>
    <t>Earn a Hero Point when you let the Game Master choose your character's next action.</t>
  </si>
  <si>
    <t>Earn a Hero Point when you use the vast resources of the Vendel League for something more noble than profit.</t>
  </si>
  <si>
    <t>Earn a Hero Point when put yourself in danger in order to ensure your place of honor at the Allfather’s table.</t>
  </si>
  <si>
    <t>Earn a Hero Point when you use your knowledge as a Seidr to help another Hero to solve a problem or thwart a Villain.</t>
  </si>
  <si>
    <t>Earn a Hero Point when you put yourself in danger to defend the life of the person you’ve sworn to protect.</t>
  </si>
  <si>
    <t>Earn a Hero Point when you take a great risk to protect someone else’s secret.</t>
  </si>
  <si>
    <t>Earn a Hero Point when you commit to a dangerous course of action that you believe is destiny.</t>
  </si>
  <si>
    <t>Character:</t>
  </si>
  <si>
    <t>Player:</t>
  </si>
  <si>
    <t>Concept:</t>
  </si>
  <si>
    <t>Nation:</t>
  </si>
  <si>
    <t>Religion:</t>
  </si>
  <si>
    <t>Reputation:</t>
  </si>
  <si>
    <t>Wealth:</t>
  </si>
  <si>
    <t>Virtue:</t>
  </si>
  <si>
    <t>Hubris:</t>
  </si>
  <si>
    <t>Wealth</t>
  </si>
  <si>
    <t>Society:</t>
  </si>
  <si>
    <t>1st: +1 bonus die to all risks</t>
  </si>
  <si>
    <t>2nd: Villains get +2 Bonus dice</t>
  </si>
  <si>
    <t>3rd: Your 10's explode</t>
  </si>
  <si>
    <t>Name</t>
  </si>
  <si>
    <t>Goal</t>
  </si>
  <si>
    <t>Reward</t>
  </si>
  <si>
    <t>Step 1</t>
  </si>
  <si>
    <t>Name:</t>
  </si>
  <si>
    <t>Reward:</t>
  </si>
  <si>
    <t>Step 1:</t>
  </si>
  <si>
    <t>Goal:</t>
  </si>
  <si>
    <t>You speak, read, and write all Than languages. Even the dead ones.</t>
  </si>
  <si>
    <t>You always know what time it is. You know how long until the next sunrise or sunset, with less than a one minute margin of error.</t>
  </si>
  <si>
    <t>Spend a Hero Point to convince someone to cut you a deal, give you a reasonable discount, or assure someone who knows you that “you’re good for it.”</t>
  </si>
  <si>
    <t>Spend a Hero Point to lure another character into a private room and later leave said private room without him, removing him from the scene. He may be rescued after you’re long gone.</t>
  </si>
  <si>
    <t>You have connections who can give you information or help you out when you need it. Choose a type of contact—”Freiburg underworld,” “Five Sails city watch,” or “Vodacce high society courtiers,” for example. You can always make contact with someone of that type who will give you basic information or help you in some minor way, so long as it doesn’t cost them anything or put them in danger. If you want more hard-to-fid information or a dangerous favor, you must spend a Hero Point or agree to a cost that your connection stipulates, such as paying them money or agreeing to do a favor for them in return.</t>
  </si>
  <si>
    <t>Spend a Hero Point to reveal you have a distant cousin who lives nearby and can help you with materials, information, or shelter.</t>
  </si>
  <si>
    <t>When you are at a ball, feast, or similar high society function, spend a Hero Point to reveal you have a close friend also in attendance.</t>
  </si>
  <si>
    <t>Spend a Hero Point to immediately pick a lock, crack a safe, or disarm a trap.</t>
  </si>
  <si>
    <t>After another character attempts to intimidate, seduce, or otherwise goad you, spend a Hero Point to automatically resist.</t>
  </si>
  <si>
    <t>Spend a Hero Point to inspire a group to action. The group must be able to hear you, but if they can and they are of neutral or better disposition, they will do whatever you command so long as it is reasonable— they are unlikely to all throw themselves of a bridge to certain death, for example.</t>
  </si>
  <si>
    <t>You have access to a Ship. If you and your allies already have access to a Ship, your Ship gains an additional Background. See the Sailing chapter for more information.</t>
  </si>
  <si>
    <t>Spend a Hero Point to move across a thin beam, jump from one place to another, or otherwise perform a feat of perfect agility and balance.</t>
  </si>
  <si>
    <t>While undetected, you can spend a Hero Point to lure a single character out of position and knock him out. Any other characters in the area remain unaware of your presence.</t>
  </si>
  <si>
    <t>Spend a Hero Point to immediately defeat a single Brute Squad, regardless of its Strength. You immediately take 1 Dramatic Wound.</t>
  </si>
  <si>
    <t>You determine what your Reputation is with a single adjective—”Honorable,” “Vicious,” etc.—When you use your reputation to your advantage in a social Risk, you gain 1 Bonus Die. A Hero can buy this Advantage multiple times. Each time she does, she can choose to gain either a new Reputation or to increase the number of Bonus Dice she gains when she invoke her existing Reputation.</t>
  </si>
  <si>
    <t>Spend a Hero Point to slip your hands free from manacles, loosen the rope tying you to a chair, or similarly free yourself.</t>
  </si>
  <si>
    <t>You gain the Sorcery from your National bloodline. If you purchase this Advantage after Hero Creation, you may only do so with a Hero Story. See the Sorcery chapter for more information.</t>
  </si>
  <si>
    <t>Spend a Hero Point to intimidate a character into backing down from a threat, letting you into somewhere he shouldn’t, or otherwise getting out of your way.</t>
  </si>
  <si>
    <t>When you spend a Raise to create an Opportunity, you can spend a second Raise. If you do, you activate the Opportunity on behalf of another willing Hero— she doesn’t need to spend her own Raise.</t>
  </si>
  <si>
    <t>You begin each game with 2 Hero Points instead of 1.</t>
  </si>
  <si>
    <t>Spend a Hero Point to edit, redact, or otherwise alter something you or another Hero just said, “reinterpreting” the words into the kindest compliment.</t>
  </si>
  <si>
    <t>You gain 1 Bonus Die when you make a Brawling Risk to punch, kick, headbutt or otherwise injure another character using nothing but your own body.</t>
  </si>
  <si>
    <t>You gain 1 Bonus Die when you make a Weaponry Risk using a claymore, zweihander, battle axe, halberd or similar weapon in both hands.</t>
  </si>
  <si>
    <t>Whenever you spend a Hero Point to aid an ally, they gain four dice instead of three.</t>
  </si>
  <si>
    <t>You gain 1 Bonus Die when you make an Aim Risk using a pistol, blunderbuss, or a thrown weapon such as a knife or axe.</t>
  </si>
  <si>
    <t>Spend a Hero Point to change your Approach during an Action Sequence or Dramatic Sequence.</t>
  </si>
  <si>
    <t>You gain 1 Bonus Die when you make a Weaponry Risk using a rapier, dagger, cutlass or similar weapon in one hand.</t>
  </si>
  <si>
    <t>Your Hero gains a second Story. You create this Story in the same manner as all other Hero Stories, and its progression and rewards are determined independently. When this Story is completed, you may write a new one.</t>
  </si>
  <si>
    <t>When another Hero spends a Raise to create an Opportunity, you can spend a Hero Point to immediately activate the Opportunity for yourself.</t>
  </si>
  <si>
    <t>You can expect refuge, a place to stay, and hot meals in any church. You also have access to many—but not all—of the Church’s libraries. Finally, you gain two dice for any social Risks against characters who are adherents to your faith.</t>
  </si>
  <si>
    <t>You begin each session with 3 Wealth.</t>
  </si>
  <si>
    <t>You can expect refuge, a place to stay, and hot meals in any university. You also have access to many—but not all—of a university’s libraries simply by requesting it. Finally, you gain 2 Bonus Dice for any social Risks against characters who are members of an institution of higher learning or who respect such an education.</t>
  </si>
  <si>
    <t>You studied strategy, horsemanship, and soldiering at one of Thah’s many military academies. When you make a Risk using Athletics, Warfare or Ride, all of your dice gain +1 to their value.</t>
  </si>
  <si>
    <t>Choose a Trait. Whenever you roll a Risk using that Trait, you remove one die from your pool before you roll. That die is always considered to roll a 10. If your 10s explode, your free Legendary Trait 10 explodes as well.</t>
  </si>
  <si>
    <t>Perhaps it was study with the Church or a local shaman, but you know wounds and how to deal with them. Spend a Hero Point and 1 Raise on your Action to heal another Hero: they regain 1 Dramatic Wound. You must be able to touch the Hero you are healing.</t>
  </si>
  <si>
    <t>You’re used to your opponents coming in double digits. When you take Wounds from a Brute Squad, subtract your Resolve from the Wounds. The remainder is how many Wounds you take, to a minimum of 1 Wound.</t>
  </si>
  <si>
    <t>When you purchase this Advantage, choose a Skill that you have at least 3 Ranks in to become your Specialist Skill. When you make a Risk using any other Skill during an Action or Dramatic Sequence, you do not have to pay additional Raises to Improvise with your Specialist Skill. A Hero can only have a single Specialist Skill; purchasing this Advantage again lets you choose a new Specialist Skill, but you lose your old one.</t>
  </si>
  <si>
    <t>You may choose a Dueling Style. If you purchase this Advantage again, you gain an additional Dueling Style. See the Dueling chapter for more information.</t>
  </si>
  <si>
    <t>Spend a Hero Point to have all damage that you do this Round increased by the number of Dramatic Wounds you have.</t>
  </si>
  <si>
    <t>Just before a confrontation with a Villain occurs, spend a Hero Point and make some sort of pithy or clever comment about how “When things look darkest, that’s when souls shine brightest.” Each Hero—that hears the speech—counts all dice that roll equal to or under his Skill on his next roll as 10s.</t>
  </si>
  <si>
    <t>When you perform a feat of raw strength (lifting a castle portcullis, holding a door closed against a battering ram on the other side, etc.), spend a Hero Point to increase all of your individual dice for that Risk by your Brawn or your Resolve, whichever is greater. For example, if you are trying to keep a crumbling wall from collapsing so that your friends can escape, spend a Hero Point to increase the number on each of your individual dice by your Brawn score.</t>
  </si>
  <si>
    <t>Spend a Hero Point to give any number of your Raises to another Hero in the same scene, as long as they can see or hear you.</t>
  </si>
  <si>
    <t>Choose a specific item that is important to you. Describe it, decide why it is important, and maybe even give it a name. You can always spend a Hero Point to: get it back next scene, get 2 bonus dice using it, inflict or prevent wounds equal to raises plus highest trait.</t>
  </si>
  <si>
    <t>You work tirelessly to create objects of beauty.</t>
  </si>
  <si>
    <t>You work tirelessly to create objects of function.</t>
  </si>
  <si>
    <t>You work to heal the sick and tend to the wounded.</t>
  </si>
  <si>
    <t>You have devoted your life to mastering the blade.</t>
  </si>
  <si>
    <t>You sell your skills in battle to the highest bidder.</t>
  </si>
  <si>
    <t>You work tirelessly to create an experience of beauty.</t>
  </si>
  <si>
    <t>You serve a higher cause with every living breath you take.</t>
  </si>
  <si>
    <t>You teach others at a prestigious learning institution.</t>
  </si>
  <si>
    <t>You are a master of Hexenwerk, the sorcery of the dead.</t>
  </si>
  <si>
    <t>You fight with a nearly uncontrollable, trance-like fury.</t>
  </si>
  <si>
    <t>You work as an “advisor” to a Merchant Prince.</t>
  </si>
  <si>
    <t>You travel the world on behalf of a Merchant Prince.</t>
  </si>
  <si>
    <t>You study Syrneth ruins and explore the lost parts of Terra.</t>
  </si>
  <si>
    <t>You were born into the nobility of your home country and regularly attend the courts.</t>
  </si>
  <si>
    <t>You enlisted in the army and soon found yourself in a command position.</t>
  </si>
  <si>
    <t>You stalked the shadows as a specter of silent death in return for bloody coin, but no more.</t>
  </si>
  <si>
    <t>You are a mounted warrior and part of your Nation’s esteemed cavalry.</t>
  </si>
  <si>
    <t>You regularly attend the courts of your home Nation and act as a diplomat to foreign courts.</t>
  </si>
  <si>
    <t>You break unjust laws to achieve what you believe is the greater good.</t>
  </si>
  <si>
    <t>You were raised on a small farm, working to survive, and have never known the life of adventure.</t>
  </si>
  <si>
    <t>You sleep under the stars and hunt your meals with your own two hands.</t>
  </si>
  <si>
    <t>You travel the countryside to sell your wares in market or port.</t>
  </si>
  <si>
    <t>You enlisted in the navy and worked your way into the command crew of a ship.</t>
  </si>
  <si>
    <t>You lost your parents at a young age and have been forced to look out for yourself.</t>
  </si>
  <si>
    <t>You sail the seas, taking what you need, and providing true freedom to all who accept the call.</t>
  </si>
  <si>
    <t>You rely on your hands and feet to solve all the violent problems in your life.</t>
  </si>
  <si>
    <t>You serve aboard a ship taking care of all the things the other sailors ignore.</t>
  </si>
  <si>
    <t>You serve no country or master, but the ship and your crew are all the family you need.</t>
  </si>
  <si>
    <t>You dedicate yourself to learning and documenting all the wonders of Terra.</t>
  </si>
  <si>
    <t>You work for another doing whatever your master’s bidding may be.</t>
  </si>
  <si>
    <t>You command a crew and sail the seas for whatever banner you fly.</t>
  </si>
  <si>
    <t>You know how to fight—and how to kill—and you have made a life doing so under banners and for lords.</t>
  </si>
  <si>
    <t>You tell the old tales, the stories of Legends, and ensure the soul of Avalon is never forgotten.</t>
  </si>
  <si>
    <t>You are imbued with the legendary magic of the Knights of King Elilodd.</t>
  </si>
  <si>
    <t>You have been given a charter to sink any ships that are enemies to the Crown of Avalon.</t>
  </si>
  <si>
    <t>You have been tasked by the Crown of Avalon to keep the peace among the Isles.</t>
  </si>
  <si>
    <t>You are a reformed Objectionist who seeks to “purify” the Church of Avalon from all Vaticine practices</t>
  </si>
  <si>
    <t>You hold the highest honor bestowed by Aosdána, a state-supported association of Inish creative artists.</t>
  </si>
  <si>
    <t>You are a storyteller and historian, versed in the laws of your people and their ancient ways.</t>
  </si>
  <si>
    <t>You sought long and hard until you unlocked the mystery of alchemical creation.</t>
  </si>
  <si>
    <t>You are a cousin to the Archæologist but focused on the people you fid and not the ruins they left behind.</t>
  </si>
  <si>
    <t>You have dedicated your life to the understanding of the Sword, not just its function.</t>
  </si>
  <si>
    <t>You are a master scholar of the Vaticine Church and member of the Ordo Doctorem Mirabilis.</t>
  </si>
  <si>
    <t>You know that there are unnatural creatures stalking your homeland, and you’ve sworn to destroy them.</t>
  </si>
  <si>
    <t>You are one of the many brothers of Eisen dedicated to fair trade and equal shares.</t>
  </si>
  <si>
    <t>You are, literally, a favorite courtier of the King of Montaigne.</t>
  </si>
  <si>
    <t>You are sworn to protect the King of Montaigne and your fellow musketeers until your death.</t>
  </si>
  <si>
    <t>You have pledged yourself to seeing your country freed from the tyranny of the aristocracy.</t>
  </si>
  <si>
    <t>You have mastered the art of Porté, the magical opening of doorways.</t>
  </si>
  <si>
    <t>You act as an advisor to the entire voting body of the Commonwealth.</t>
  </si>
  <si>
    <t>You fled to the Commonwealth seeking asylum after Golden Liberty was declared.</t>
  </si>
  <si>
    <t>You serve in the proudest of cavalry regiments, an elite unit in the Sarmatian military.</t>
  </si>
  <si>
    <t>You met the Devil on the road, tricked him, and gained his powers at your command.</t>
  </si>
  <si>
    <t>You live in the Eastern steppes of Ussura, a place with a proud heritage of horsemanship and warfare.</t>
  </si>
  <si>
    <t>You travel Théah to bring innovations home to modernize the old country.</t>
  </si>
  <si>
    <t>You have been touched by Matushka and granted great power at a terrible price.</t>
  </si>
  <si>
    <t>You sail the frozen seas of Ussura with spears and boats tracking the most dangerous sea life.</t>
  </si>
  <si>
    <t>You serve on the Vendel League and manage Guilds in some capacity.</t>
  </si>
  <si>
    <t>You give honor to the ancient Vestenmennavenjar heritage of naval combat, raiding, and pillaging.</t>
  </si>
  <si>
    <t>You have sworn to protect someone else and will always be at his side.</t>
  </si>
  <si>
    <t>You can sense the strands of Fate, twisting and controlling them to your will… but not without a price.</t>
  </si>
  <si>
    <t>Activate your Virtue to escape danger from the current Scene. You cannot rescue anyone but yourself.</t>
  </si>
  <si>
    <t>You receive a Hero Point when you investigate something unusual, especially if it looks dangerous.</t>
  </si>
  <si>
    <t>Activate your Virtue when you meet a character (even a Villain) for the fist time. She treats you as friendly for one scene.</t>
  </si>
  <si>
    <t>You receive a Hero Point when your Hero decides he cannot take an action without help from another Hero—insisting another Hero spend a Hero Point to give you Bonus Dice, or asking her to use one of her Advantages to aid you, for example.</t>
  </si>
  <si>
    <t>Activate your Virtue and target a Villain. Until the end of this Scene, you cannot spend Hero Points and the Villain cannot spend Danger Points.</t>
  </si>
  <si>
    <t>You receive a Hero Point when you chase after power and the deal you’re after is dangerous or causes trouble.</t>
  </si>
  <si>
    <t>Activate your Virtue to delay an Opportunity or a Consequence by 1 Action.</t>
  </si>
  <si>
    <t>You receive 2 Hero Points when you choose to fail an important Risk before rolling.</t>
  </si>
  <si>
    <t>You receive a Hero Point when you accept someone’s lies or lopsided deal.</t>
  </si>
  <si>
    <t>Activate your Virtue to gain 2 Hero points instead of 1 when you activate your Hubris or trigger a Quirk.</t>
  </si>
  <si>
    <t>You receive a Hero Point when your Hero shows disdain, contempt, or otherwise looks down on a Villain or someone who could cause harm to friends.</t>
  </si>
  <si>
    <t>Activate your Virtue to discover a Brute Squad’s type, or to know a Villain’s Rank and Advantages.</t>
  </si>
  <si>
    <t>You receive a Hero Point when your Hero covets something, and does something unwise to get it.</t>
  </si>
  <si>
    <t>You receive a Hero Point when your Hero goes back for a fallen comrade or refuses to leave a wounded ally.</t>
  </si>
  <si>
    <t>You receive a Hero Point when your Hero takes an Action to pause in hesitation, doubt, or uncertainty before she makes a move.</t>
  </si>
  <si>
    <t>Activate your Virtue to take your fist Action before anyone else in a Round.</t>
  </si>
  <si>
    <t>You receive a Hero Point when you refuse to leave well enough alone or quit while you’re ahead, and it gets you into trouble.</t>
  </si>
  <si>
    <t>You receive a Hero Point when your Hero is stubborn and refuses to change her mind in the face of evidence.</t>
  </si>
  <si>
    <t>Activate your Virtue when you act behind the scenes, from the shadows, or through a proxy. For the next Risk, when you determine Raises, every die counts as a Raise.</t>
  </si>
  <si>
    <t>You receive a Hero Point when your Hero fails to understand an important plot element and that misunderstanding leads to danger for herself or others.</t>
  </si>
  <si>
    <t>Activate your Virtue when you are the center of attention. For the next Risk, when you determine Raises, every die counts as a Raise.</t>
  </si>
  <si>
    <t>Activate your Virtue to know whenever any other character lies to you until the end of the Scene.</t>
  </si>
  <si>
    <t>You receive a Hero Point when your Hero strongly defends one of her opinions when the time or place is inappropriate.</t>
  </si>
  <si>
    <t>Activate your Virtue and choose another Hero in the same scene to pool your Raises for the round, spending Raises to take Actions from your shared pool.</t>
  </si>
  <si>
    <t>Activate your Virtue to add Bonus Dice to your Risk equal to the Fear rating of your target.</t>
  </si>
  <si>
    <t>You receive a Hero Point when your brash, cocky, or reckless actions cause trouble for you and another Hero.</t>
  </si>
  <si>
    <t>You receive a Hero Point when you bring up old grudges or bad feelings when doing so will lead to trouble</t>
  </si>
  <si>
    <t>You receive a Hero Point when your Hero becomes enamored with someone she really shouldn’t.</t>
  </si>
  <si>
    <t>Alcohol never adversely affects you, no matter how much you drink.</t>
  </si>
  <si>
    <t>Activate your Virtue to suffer a Risk’s Consequences in place of another Hero.</t>
  </si>
  <si>
    <t>Spend a Hero Point to produce an elixir or potion that provides an immediate benefit. Using the alchemical concoction requires a Raise during an Action Sequence or a Dramatic Sequence. These are some examples of uses for alchemical concoctions. There may be others. If you want to create one of your own, consult with your GM.  Explosion: Flashbang to get away. Enhancement: You gain 1 Rank in 1 Trait for 1 Round. Oil: target is impossibly slippery.</t>
  </si>
  <si>
    <t>Activate your Virtue after a Villain spends Raises for an Action. That Action fails. The Villain still loses the Raises she spent.</t>
  </si>
  <si>
    <t>Activate your Virtue to cancel the effects of Fear on you and your friends.</t>
  </si>
  <si>
    <t>You gain 1 Bonus Die when you make a Brawling Risk to fight using an upturned table, a barstool, a plank of wood or some other improvised weapon.</t>
  </si>
  <si>
    <t>Activate your Virtue. The GM gives a Hero Point to all other Heroes in this Scene.</t>
  </si>
  <si>
    <t>You receive a Hero Point when your Hero flees of the handle and loses her temper, causing trouble.</t>
  </si>
  <si>
    <t>Spend a Hero Point to pick a pocket, steal a ring from another character’s finger, or plant a small hand-held item on another character without him noticing.</t>
  </si>
  <si>
    <t>Sophia's Daughters</t>
  </si>
  <si>
    <t>Spoiled or raw food never negatively affects you, and you still gain required sustenance from it.</t>
  </si>
  <si>
    <t>You receive a Hero Point when you try to get someone else to do your dirty work for you, and it backfires.</t>
  </si>
  <si>
    <t>You receive a Hero Point when your Hero refuses an offer of aid—for example, if a Hero tries to spend a Hero Point to give you Bonus Dice and you turn them down.</t>
  </si>
  <si>
    <t>Activate your Virtue to ask the GM one yes or no question about an NPC. The GM must answer honestly and should be generous—for example, if there is a qualifier, he should tell you and explain more fully.</t>
  </si>
  <si>
    <t>As long as you have some point of reference, you are never lost. That isn’t the same as knowing exactly where you are—if you’re knocked unconscious and wake up in a dungeon, you don’t necessarily have any idea what city you are in, but if you manage to escape your cell you will never get turned around in the winding tunnels that make up the dungeon.</t>
  </si>
  <si>
    <t>Activate your Virtue when another Hero takes Wounds to prevent her from suffering those Wounds. You take one Dramatic Wound instead.</t>
  </si>
  <si>
    <t>Spend a Hero Point to keep another character from drawing a weapon, starting a fight, or resorting to violence. She will still defend herself, but she will not start any violent conflicts.</t>
  </si>
  <si>
    <t>Activate your Virtue to prevent any magical effect (Sorcery, Artifacts, Monsters, etc.) from affecting you.</t>
  </si>
  <si>
    <t>You receive a Hero Point when you refuse to solve a problem using Sorcery, an artifact, or some other mystical effect that you don’t trust.</t>
  </si>
  <si>
    <t>Activate your Virtue the fist time you Wound a Villain during a fight to make her take a Dramatic Wound in addition to the Wounds you normally deal.</t>
  </si>
  <si>
    <t>Spend a Hero Point to capture the attention of another character. That character pays attention only to you until the end of the Scene or until you cease speaking/paying attention, whichever comes fist.</t>
  </si>
  <si>
    <t>Choose a Nation of Théah aside from your own. You were raised there, rather than your blood homeland. For example, if your parents are Castillian but you were raised in Vodacce, you would be Foreign Born [Vodacce]. Any Risk you take that would benefit from your dual heritage—using Convince to negotiate between two merchants who hail from your two cultures, or using Tempt to know just what to say to bribe a border patrol into letting you pass without inspection—gains 1 Bonus Die.</t>
  </si>
  <si>
    <t>Spend a Hero Point to repair a broken item, rig a damaged gun, patch a leaky ship, or perform similar miracles, causing the object to function normally for the rest of the Scene. At the end of the Scene—or if the object suffers any additional damage—the object becomes unusable until you have time to perform serious repairs with the proper tools.</t>
  </si>
  <si>
    <t>You no longer become Helpless when you have four Dramatic Wounds. Instead, when you have four Dramatic Wounds any Villain who takes a Risk against you gains 3 Bonus Dice (rather than 2). You gain an additional tier of Wounds. When you have taken your fifth Dramatic Wound, you become Helpless.</t>
  </si>
  <si>
    <t>Courtier</t>
  </si>
  <si>
    <t>Spend a Hero Point to ignore all negative effects from Dramatic Wounds for the round—the Villain does not gain Bonus Dice if you have 2 Dramatic Wounds, and you do not become Helpless at 4 Dramatic Wounds.</t>
  </si>
  <si>
    <t>You are concerned with applying scientific knowledge, mathematics, and ingenuity to develop solutions for technical, social and commercial problems.</t>
  </si>
  <si>
    <t>Earn a Hero Point when you use non-Thean items or knowledge to solve a problem.</t>
  </si>
  <si>
    <t>You live to see the farthest reaches that Terra has to offer.</t>
  </si>
  <si>
    <t>You studied rhetoric and debate, and refined your social graces at one of Thah’s many lyceums, finishing schools typically reserved for the social and noble elite. When you make a Risk using Convince, Intimidate, or Tempt, all of your dice gain +1 to their value.</t>
  </si>
  <si>
    <t>You seduce others for fun and profit.</t>
  </si>
  <si>
    <t>You survived the War of the Cross and carry the scars of many battles on your flesh.</t>
  </si>
  <si>
    <t>You have a patron, either an individual or an organization, who appreciates your work and supplies you with steady employment. You begin each session with 1 Wealth. You may spend a Hero Point to call in a favor from your Patron. This favor is typically political or mercantile in some way—your Patron might provide you a letter of introduction, or pull strings to get you into an exclusive party, etc. Your Patron may ask you for favors or have other expectations for you, such as expecting you to produce goods or art on her behalf if you are an artist or aiding the populace in her name if you are a knight.</t>
  </si>
  <si>
    <t>Poison never affects you, aside from some potential mild discomfort. If the poison would ordinarily kill you, it might cause you only to vomit instead, but there are no additional effects.</t>
  </si>
  <si>
    <t>Choose one Skill. You always take actions as if you had an additional Raise to spend when you use that Skill. For example, if a Hero has Quick Reflexes with Weaponry and rolls 3 Raises with that Skill, she takes her fist Action on 4 Raises. If she spends 1 Raise to take an action (and so has 2 Raises remaining) her next Action occurs on 3 Raises. A Hero can buy this Advantage multiple times. Each time they do, they choose a different Skill.</t>
  </si>
  <si>
    <t>While aboard a ship, treacherous footing never affects you. You gain 1 Bonus Die on any physical Risk while aboard a ship at sea—engaging in a sword fight on a pitching ship deck, or climbing through the rigging during a storm.</t>
  </si>
  <si>
    <t>You can spend a Hero Point to locate a way into a building or restricted area. You can bring up to one other character along with you, but everyone else has to fid their own way in—or wait for you to open a path for them.</t>
  </si>
  <si>
    <t>You gain 1 Bonus Die when you make an Aim Risk using a long-barreled musket, longbow, or crossbow.</t>
  </si>
  <si>
    <t>Choose a specific field of academic study (astronomy, mathematics, architecture, history, etc.). When you make a Risk and call on your specialized field of study, spend a Hero Point to gain additional Raises equal to your Wits.</t>
  </si>
  <si>
    <t>Earn a Hero Point when you make a personal sacrifice for the sake of liberty.</t>
  </si>
  <si>
    <t>Spend a Hero Point after you take a Risk to Re-Roll any number of dice you wish. You must keep the new roll, unless you have a different effect that allows you to Re-Roll dice. You can only use this Advantage once per Scene.</t>
  </si>
  <si>
    <t>You interpret the mysteries of the bonfire and the bones, sharing tales of glory and defeat.</t>
  </si>
  <si>
    <t>You serve your Nation by infiltrating its enemies and securing their secrets.</t>
  </si>
  <si>
    <t>Choose a specific Performance type, such as singing, playing a specific musical instrument, or dancing. You gain 1 Bonus Die when you make a Perform Risk using that art.</t>
  </si>
  <si>
    <t>Spend a Hero Point to convince a Villain you are on her side. The Villain considers you a trusted ally. As soon as the Villain sees you perform a Heroic action or if you refuse to perform a Villainous action, the illusion is over. You can only use this Advantage on each Villain once. “Fool me once...”</t>
  </si>
  <si>
    <t>Earn a Hero Point when you and your steed plunge headfirst into a battle or conflict, heedless of the danger.</t>
  </si>
  <si>
    <t>(Seidr cont.) When you do so, ask the GM a single yes or no question about the future. The GM must answer honestly, but only needs to respond yes or no. If the event in question can be changed by the actions of others, such as whether or not a person will die, then the answer given represents the outcome that is currently most likely, but otherwise this power is never wrong. Spend a Hero Point when you look at another mortal human. You know that person’s name. No disguise can hide the name from you, nor will you believe any lie designed to obscure the name. For the rest of the Scene, you always recognize it, no matter how it changes.</t>
  </si>
  <si>
    <t>You have studied under a Vesten Skald. You learned how to see the Names of things, how to know the future based on how the flames of a bonfire dance, and how to guide the passions of people either laud your heroes or deride your enemies. Spend a Hero Point and make a speech about another character. He gains a 1 Rank Reputation (as the Advantage of the same name) of your choice, increases an existing Reputation by 1 Rank, or you change their Reputation to a different Reputation of your choice (but the Rank remains the same). If you change a character’s existing Reputation, anyone who uses the new Reputation against him gains Bonus Dice equal to that Reputation’s Rank. Spend a Hero Point to cast runes, dice, or bones. (Cont. Below)</t>
  </si>
  <si>
    <t>James Anderson's Character Generator for 7th Sea 2nd Edition</t>
  </si>
  <si>
    <t>I like to make character generators, so when I got the new rules for 7th sea I dove in and made a new generator.  Compared to first edition, the coding on this was vastly simpler.</t>
  </si>
  <si>
    <t>While the sheet is protected, there is no password on the protection, and if you feel like tampering with it, go right ahead.  But if you then re-upload it, please keep what I've written on this page intact.</t>
  </si>
  <si>
    <t>The Builder tab is where you actually build the character.  The boxed areas are for you to fill in as you go along.  Some will limit what you can type, others will not.  The shaded area is for general users of the generator.  The guts of the generator are in the hidden area on the right.</t>
  </si>
  <si>
    <t>The Print tab is my own style of character sheet, with a bit more information on it.  But it also takes 2 or 3 pages.  It will fill in everything from the builder tab.  The style is inspired by my old 7th sea character generator, which was originally based upon NecroBob's 7th Sea Character Generator.  The stories area might be too small - I'm still messing around with that.</t>
  </si>
  <si>
    <t>Revision Log</t>
  </si>
  <si>
    <t>Includes descriptions for sorceries and duelist schools</t>
  </si>
  <si>
    <t>Base release.  Includes most of main rulebook.</t>
  </si>
  <si>
    <t>Includes character advancement options</t>
  </si>
  <si>
    <t>1.0.1</t>
  </si>
  <si>
    <t>1.0.2</t>
  </si>
  <si>
    <t>thistledownsname@gmail.com</t>
  </si>
  <si>
    <t>Aldana</t>
  </si>
  <si>
    <t>When you wield a fencing sword in one hand and nothing else, you can perform a special Maneuver called the Aldana Ruse, causing your target to take additional Wounds equal to your Ranks in Panache the next time he takes Wounds this Round. You can only perform Aldana Ruse once per Round.</t>
  </si>
  <si>
    <t>Ambrogia</t>
  </si>
  <si>
    <t>Aldana Ruse</t>
  </si>
  <si>
    <t>Veronica’s Guile</t>
  </si>
  <si>
    <t>When wielding a dagger in your right hand and a fencing sword (such as a rapier or cutlass) in your left, you gain an ability called Veronica’s Guile. When you build a Risk Pool for Weaponry, you may use either your Finesse or Wits. If you spend a Hero Point, you may use both.</t>
  </si>
  <si>
    <t>Boucher Step</t>
  </si>
  <si>
    <t>When wielding a dagger or knife in one hand with nothing in the other—or a dagger or knife in each hand— you gain an ability called Boucher Step. Boucher Step allows you to perform two Maneuvers back to back, spending Raises as normal for each of them before your opponent can react. All other rules for Maneuvers still apply—you cannot perform the same Maneuver twice in a row, for example. You can only use Boucher Step once per Round.</t>
  </si>
  <si>
    <t>Donovan’s Bulwark</t>
  </si>
  <si>
    <t>When you wield a heavy weapon (a longsword, mace, etc.) in one hand and nothing in the other, your Parry Maneuver is replaced by Donovan’s Bulwark. Donovan’s Bulwark prevents Wounds dealt to you or an ally within your reach equal to your Ranks in Weaponry. Additionally, when you perform the Donovan’s Bulwark Maneuver, you can spend a Hero Point to lock weapons with your opponent. Both you and your opponent lose all of your remaining Raises and can take no more Actions this Round.</t>
  </si>
  <si>
    <t>Drexel Stances</t>
  </si>
  <si>
    <t>Iron Reply</t>
  </si>
  <si>
    <t>When you wield a heavy weapon in one hand and a panzerhand in the other, your Riposte Maneuver is replaced by the Iron Reply—preventing a number of Wounds equal to your Ranks in Resolve + your Ranks in Weaponry. You also deal a number of Wounds equal to your Ranks in Brawn + your Ranks in Weaponry. You can only perform Iron Reply once per Round.</t>
  </si>
  <si>
    <t>Leegstra’s Crash</t>
  </si>
  <si>
    <t>When you wield a heavy weapon in each hand (typically axes or hammers, although heavy-bladed broadswords are not uncommon), you may perform a special Maneuver called Leegstra’s Crash. Leegstra’s Crash deals a number of Wounds equal to your Ranks in Weaponry. A Duelist can only perform Leegstra’s Crash once per Round.</t>
  </si>
  <si>
    <t>Mantovani Flay</t>
  </si>
  <si>
    <t>When you wield a whip, you gain a special Maneuver called Mantovani Flay. This Maneuver deals one Wound, and you choose a Maneuver that you know your opponent can perform (a basic Maneuver or a specific Style bonus that you know they possess). Your target cannot perform that Maneuver on their next Action because you bind their weapon, lay a particularly painful slash across the back of their hand, or otherwise control the way they can act. You can only perform Mantovani Flay once per Round.</t>
  </si>
  <si>
    <t>When you wield a heavy weapon (such as a saber or cutlass, although some Mireli Duelists favor a hatchet) in one hand, or one in each hand, you may perform a special Maneuver called Mireli’s Revision. Mireli’s Revision functions identically to either the Bash or Parry Maneuver. The Duelist chooses the effect of Mireli’s Revision when she performs it.</t>
  </si>
  <si>
    <t>Mireli’s Revision</t>
  </si>
  <si>
    <t>Sabat Gambit</t>
  </si>
  <si>
    <t>When you wield a heavy weapon (typically a heavy curved saber) in one hand, your Lunge is replaced by the Sabat Gambit. Sabat Gambit deals a number of Wounds equal to your Ranks in Weaponry + your Finesse + the number of Raises you spend.</t>
  </si>
  <si>
    <t>When you wield a fencing sword (such as a rapier or cutlass) in one hand and nothing in the other, and are wearing a long cloak, you can perform a special Maneuver called the Matador’s Flourish. Matador’s Flourish prevents a number of Wounds equal to your Ranks in Athletics. A Duelist can perform Matador’s Flourish once per Round.</t>
  </si>
  <si>
    <t>Matador’s Flourish</t>
  </si>
  <si>
    <t>When you wield a fencing sword in your right hand and a dagger in the left, you can perform a special Maneuver called Valroux Cross. Valroux Cross prevents Wounds equal to your Weaponry, and you choose a Maneuver you know your opponent can perform on her next Action. Performing any other Maneuver costs your opponent an additional Raise. You can only perform Valroux Cross once per Round, immediately following the Maneuver that caused your Wounds.</t>
  </si>
  <si>
    <t>Valroux Press</t>
  </si>
  <si>
    <t>Boucher</t>
  </si>
  <si>
    <t>Donovan</t>
  </si>
  <si>
    <t>Drexel</t>
  </si>
  <si>
    <t>Eisenfaust</t>
  </si>
  <si>
    <t>Leegstra</t>
  </si>
  <si>
    <t>Mantovani</t>
  </si>
  <si>
    <t>Mireli</t>
  </si>
  <si>
    <t>Sabat</t>
  </si>
  <si>
    <t>Torres</t>
  </si>
  <si>
    <t>Valroux</t>
  </si>
  <si>
    <t>Styles</t>
  </si>
  <si>
    <t>Hexen</t>
  </si>
  <si>
    <t>Major</t>
  </si>
  <si>
    <t>Dead Man’s Blood</t>
  </si>
  <si>
    <t>Ghost Eyes</t>
  </si>
  <si>
    <t>Corpse Tongue</t>
  </si>
  <si>
    <t>Master’s Bread</t>
  </si>
  <si>
    <t>Spectral Prison</t>
  </si>
  <si>
    <t>A mixture of blood from a fresh corpse and a number of herbs, poisons, roots, and other such things. If you introduce Dead Man’s Blood into the body of an undead (via injection, getting them to eat it, etc) the afflicted Monster is Helpless for the rest of the Scene. Note that in order for Dead Man’s Blood to be effective, a relatively large amount must be ingested. This makes it ineffective if simply applied to a weapon and then used to attack.</t>
  </si>
  <si>
    <t>Eyes carved from the recent dead, mixed with holy water and mandrake, and then smeared across the eyelids. Ghost Eyes allows you to see—for a single Scene—spirits, ghosts, and other such Monsters that would typically be invisible.</t>
  </si>
  <si>
    <t>The severed tongue of a corpse, soaked in nightshade and ground into a paste, rubbed on the hexe’s tongue. Corpse Tongue allows you to speak with a dead body, receiving messages from it about anything it knew in life. You can ask two questions for each point of Resolve you have, and the corpse must answer you honestly. After you ask your last question, you vomit, and the corpse you have been questioning crumbles into dust—you cannot question it further, even if you have an additional dose of Corpse Tongue.</t>
  </si>
  <si>
    <t>A dead brain with a number of hallucinogenic herbs, mushrooms, and the like and mixed into a dough-like substance before being allowed to dry. After eating, you can give a single command an undead Monster Squad must immediately perform (such as to attack a particular target, break down a barricade, etc.). A Monster Squad cannot attack itself. Against an undead Villain, Master’s Bread grants 1 Raise on any social Risk against the Villain.</t>
  </si>
  <si>
    <t>Moss from a tombstone or mausoleum, boiled and dissolved, mixed with salt and bone meal into a thick, gooey paste. Draw a closed circle, square, pentagram, or similar shape with this Unguent. As long as the shape remains intact and closed, no undead Monster can cross the shape or affect any creature on the other side of the line. The Monster can take other actions as normal—such as making a social Risk if it is capable of speech or shooting a gun if it knows how to do so—but no supernatural effects can cross the line. The Monster itself cannot break the line (by throwing a normal item over it, by breaking the surface the line is drawn upon, etc.), but it may be able to convince someone else to break it.</t>
  </si>
  <si>
    <t>Funeral Porridge</t>
  </si>
  <si>
    <t>Kidney and liver from a corpse, mashed into a lumpy porridge along with powerful sedatives and poisons. When consumed by the living, Funeral Porridge causes 1 Dramatic Wound immediately. If a person dies on the same day he has consumed Funeral Porridge, he rises as an undead Monster under your command within three days of his death. You determine the type of undead when you make the porridge—a walking corpse, a spirit, etc—and the Monster treats all of your commands as if he was always under the effect of Master’s Bread. Creating a dose of Funeral Porridge always results in Corruption. Feeding Funeral Porridge to a character also always results in Corruption. If you brew a dose of Funeral Porridge and then feed it to another character, you gain Corruption twice.</t>
  </si>
  <si>
    <t>Wraith Walk</t>
  </si>
  <si>
    <t>A human heart, ground up and mixed with herbs and sedatives. Consuming this Unguent causes you to immediately fall unconscious, and forces your spirit out of your body. As a spirit you can move freely, perfectly aware of the surroundings of your spirit—but not your body. You can fly, move through walls, and are invisible. While a spirit, you are subject to any effects that would affect undead and can be detected by any effect that would allow detection of invisible Monsters (such as Ghost Eyes). Your spirit is extremely fragile—you take Wounds as normal, and if you take a Dramatic Wound while you are a spirit you immediately return to your body and take an additional Dramatic Wound. If you do not return to your body before the next sunrise or the next sunset (whichever comes first), you die. If your spirit is destroyed but cannot return to your body (for example, if it is trapped in a Spectral Prison), you die.</t>
  </si>
  <si>
    <t>Revenant Venom</t>
  </si>
  <si>
    <t>Potent venom from natural creatures, such as spiders and snakes. Revenant Venom is applied to a weapon upon being mixed, and then the weapon is sheathed until ready. When that weapon is next drawn, for 1 Round all Wounds dealt to an undead Monster are doubled. Revenant Venom cannot be applied to a dracheneisen weapon—the two materials are anathema to one another. The dracheneisen causes the Venom to boil away.</t>
  </si>
  <si>
    <t>Reaper’s Poison</t>
  </si>
  <si>
    <t>A caustic blend of natural poisons sprinkled with shavings of pure silver. When you attack the undead using a flask of Reaper’s Poison, spend Raises as normal to inflict Wounds. If the Monster takes at least 1 Wound, it is inflicted with Reaper’s Poison, causing 1 Wound every time it takes an action until the end of the Round. These Wounds cannot be cancelled.</t>
  </si>
  <si>
    <t>Scourgebane</t>
  </si>
  <si>
    <t>A mixture of numerous herbs, poisons, and a splash of communion wine. When you attack an undead Monster using a flask of Scourgebane, you spend Raises as normal to inflict Wounds. If it takes at least 1 Wound from the attack, the GM cannot spend Danger Points to activate any of its Monstrous Qualities for the rest of the Round.</t>
  </si>
  <si>
    <t>Tears of the Prophet</t>
  </si>
  <si>
    <t>A viscous substance made from anointing oil and rare spices. You can apply Tears of the Prophet to a dead body that has not been affected by Hexenwerk. This body cannot return to life.</t>
  </si>
  <si>
    <t>Mother’s Mercy</t>
  </si>
  <si>
    <t>A thin soup with wild vegetables and holy water. Drinking Mother’s Mercy removes all effects of any disease, curse, or debilitating effect resulting from the undead. If a character who has eaten Funeral Porridge drinks Mother’s Mercy, he immediately dies but does not return as an undead Monster.</t>
  </si>
  <si>
    <t>Father’s Fury</t>
  </si>
  <si>
    <t>A stake of holly wood, smeared with a mash made from herbs and natural poisons, and then blessed by a priest. You can take an action to use Father’s Fury on a Helpless undead Monster. The Monster is utterly destroyed, and can never be brought to life again.</t>
  </si>
  <si>
    <t>Black Broth</t>
  </si>
  <si>
    <t>Moldy bread mixed in Monster’s blood and fetid swamp water. Choose a single Monstrous Quality at the time of brewing. When Black Broth is consumed, it grants that Monstrous Quality to the person who eats it until the end of the Scene. Willingly and knowingly drinking Black Broth, or tricking another character into drinking it, results in Corruption.</t>
  </si>
  <si>
    <t>Red Thirst</t>
  </si>
  <si>
    <t>Rotten meat and berries, boiled together with pungent roots and herbs. Spend 1 Raise during an Action Sequence to smear Red Thirst on yourself. Any undead Monsters who attack this Round must target you with all their attacks.</t>
  </si>
  <si>
    <t>Summer’s Smile</t>
  </si>
  <si>
    <t>A poultice brewed from water from a fast-flowing stream and sickeningly sweet herbs. When applied to a Dramatic Wound caused by an undead Monster, the Dramatic Wound is healed at the end of the Scene.</t>
  </si>
  <si>
    <t>Winter’s Scowl</t>
  </si>
  <si>
    <t>Holy water, a thorny rose stem, and a few drops of hexe blood. The holy water hardens into an impossibly thin and sharp blade of ice. When you make an attack against an undead Monster using Winter’s Scowl, you spend Raises as normal to inflict Wounds. If you inflict a Wound, the Monster is stunned for the rest of this Round, meaning it cannot take any actions (but may still spend Raises to defend itself, if it is a Villain). After a single use, Winter’s Scowl shatters.</t>
  </si>
  <si>
    <t>Autumn’s Sigh</t>
  </si>
  <si>
    <t>Seeds from a rotten pumpkin, common red table wine, and a teardrop. Characters who drink Autumn’s Sigh will sleep soundly for the night, untroubled by nightmares (natural or supernatural). They will awaken as normal due to outside stimulus (such as being woken normally, loud noises, etc.), but they fall asleep easily, and their sleep is idyllic and restful.</t>
  </si>
  <si>
    <t>Spring’s Laugh</t>
  </si>
  <si>
    <t>Fresh spring flowers, tree sap, and rain water mixed into a thick syrup. A character who consumes Spring’s Laugh is immune to an undead Monster’s Fear rating for one Scene.</t>
  </si>
  <si>
    <t>Widow’s Veil</t>
  </si>
  <si>
    <t>A wilted chrysanthemum taken from a grave, washed with holy water, and then blessed by a priest. A character who pins a Widow’s Veil to her clothing is immune to the first attack or supernatural effect that comes from an undead Monster. After the attack or effect is prevented, the Widow’s Veil crumbles into dust and is useless.</t>
  </si>
  <si>
    <t>Minor</t>
  </si>
  <si>
    <t>Aesc, of the Forests</t>
  </si>
  <si>
    <t>Beorhtsige, Siegebreaker</t>
  </si>
  <si>
    <t>Cenhelm, The Keen</t>
  </si>
  <si>
    <t>Ceolmund, Knight Protector</t>
  </si>
  <si>
    <t>Dudda, The Round</t>
  </si>
  <si>
    <t>Dunstan, Outsider</t>
  </si>
  <si>
    <t>Eadburg, The Wealthy</t>
  </si>
  <si>
    <t>Ealdræd, The Oldest Knight</t>
  </si>
  <si>
    <t>Frideswide, The Knight of Peace</t>
  </si>
  <si>
    <t>Godric, The Pious</t>
  </si>
  <si>
    <t>Hereward, Knight Advisor</t>
  </si>
  <si>
    <t>Hildræd, Knight Commander</t>
  </si>
  <si>
    <t>Leofric, The Beloved</t>
  </si>
  <si>
    <t>Mildgyd, The Gentle</t>
  </si>
  <si>
    <t>Osgar, The Spear Knight</t>
  </si>
  <si>
    <t>Pæga, Forgotten</t>
  </si>
  <si>
    <t>Sæwine, The Sailor</t>
  </si>
  <si>
    <t>Sunngifu, The Generous</t>
  </si>
  <si>
    <t>Wilfrith, The Knight of Will</t>
  </si>
  <si>
    <t>Wulfnoð, The Bold</t>
  </si>
  <si>
    <t>Luck</t>
  </si>
  <si>
    <t>Petty Luck</t>
  </si>
  <si>
    <t>Greater Luck</t>
  </si>
  <si>
    <t>Heroic</t>
  </si>
  <si>
    <t>Mythic</t>
  </si>
  <si>
    <t>Mad Luck</t>
  </si>
  <si>
    <t>Legend</t>
  </si>
  <si>
    <t>Reduce The Brute</t>
  </si>
  <si>
    <t>Stronger Than You</t>
  </si>
  <si>
    <t>Reduce The Villain</t>
  </si>
  <si>
    <t>Strongest There Is</t>
  </si>
  <si>
    <t>Flash</t>
  </si>
  <si>
    <t>Vanish</t>
  </si>
  <si>
    <t>Sure Strike</t>
  </si>
  <si>
    <t>Sense Sorcery</t>
  </si>
  <si>
    <t>Mend Ship</t>
  </si>
  <si>
    <t>Resist Sorcery</t>
  </si>
  <si>
    <t>Subsume Ship</t>
  </si>
  <si>
    <t>Pain Is Temporary</t>
  </si>
  <si>
    <t>No Fear</t>
  </si>
  <si>
    <t>Endless Vigil</t>
  </si>
  <si>
    <t>Reborn</t>
  </si>
  <si>
    <t>Arrow Catch</t>
  </si>
  <si>
    <t>Summon Sidhe</t>
  </si>
  <si>
    <t>Bullet Catch</t>
  </si>
  <si>
    <t>Sidhe Circle</t>
  </si>
  <si>
    <t>Duelist Styles</t>
  </si>
  <si>
    <t>--</t>
  </si>
  <si>
    <t>Hexenwerk</t>
  </si>
  <si>
    <t>Porte</t>
  </si>
  <si>
    <t>Sanderis</t>
  </si>
  <si>
    <t>Sorte</t>
  </si>
  <si>
    <t>Sorceries</t>
  </si>
  <si>
    <t>Styles Known:</t>
  </si>
  <si>
    <t>Path</t>
  </si>
  <si>
    <t>Blessing</t>
  </si>
  <si>
    <t>Curse</t>
  </si>
  <si>
    <t>Pull</t>
  </si>
  <si>
    <t>Read</t>
  </si>
  <si>
    <t>Darkness</t>
  </si>
  <si>
    <t>Fire</t>
  </si>
  <si>
    <t>Cold</t>
  </si>
  <si>
    <t>Storm</t>
  </si>
  <si>
    <t>Sea</t>
  </si>
  <si>
    <t>Knowledge</t>
  </si>
  <si>
    <t>Love</t>
  </si>
  <si>
    <t>Mother’s Touch</t>
  </si>
  <si>
    <t>Command</t>
  </si>
  <si>
    <t>Select an animal from the Animal Forms sidebar. You may summon one of your selected animals and issue any instruction you like to the creature. If there are no creatures within travel distance to you or the summoned creature is unable to fulfill your command, the GM refunds your Hero Point. If the command you issue would require a Risk, the animal rolls 5 dice, but you decide how it spends Raises. It gains 2 Bonus Dice if the command is particularly suited to it—if you command a wolf to track a creature, for example.</t>
  </si>
  <si>
    <t>Illuminate</t>
  </si>
  <si>
    <t>The area around you becomes perfectly illuminated. Not too dark, not too bright. A magical and perfect ambient light fills the space. If you activate this power outdoors, the effect is centered on the user and spreads out dozens of feet. All Undead creatures in the area suffer 5 Wounds immediately, and they roll 2 fewer dice for any Risks they make while Illuminate is in effect.</t>
  </si>
  <si>
    <t>Purify</t>
  </si>
  <si>
    <t>You cleanse a room of toxins, poisons, diseases, and even dirt. The room is perfectly sterile after its use. Purify affects every surface, inside closed and locked drawers, and even affects food and drink. A potentially unfortunate side effect of this is that any alcohol in the room loses its potency.</t>
  </si>
  <si>
    <t>See</t>
  </si>
  <si>
    <t>Select an animal from the Animal Forms sidebar. You perceive the world through all the senses of the nearest animal matching your choice. Although you are using the animal’s senses instead of your own, any Risks you make regarding perception are made using your Traits and Skills, not the animal’s. If the animal’s form would be particularly advantageous for such a Risk (such as a cat seeing something in the darkness of night) you gain 2 Bonus Dice.</t>
  </si>
  <si>
    <t>Sew</t>
  </si>
  <si>
    <t>Touch an item: it is perfectly restored to its original form. Cracked swords are mended, jammed guns are restored, and faded paintings regain their vibrancy. This Gift cannot make an item better than it originally was or fix any defects present at its creation.</t>
  </si>
  <si>
    <t>You can intensify or lessen whatever weather you’re currently experiencing. You can turn light rain into a thunderstorm or a ray of sunlight into a clear sky.</t>
  </si>
  <si>
    <t>Regeneration</t>
  </si>
  <si>
    <t>You recover from injury at an incredible rate. Any missing or crippled limbs are completely restored. Missing hands regrow, cataracted eyes are unclouded and broken kneecaps reform. You heal one Dramatic Wound.</t>
  </si>
  <si>
    <t>Transformation</t>
  </si>
  <si>
    <t>Select a form from the Animal Forms sidebar. You may take the form of that creature for the Scene. Your skills, knowledge, and abilities are all retained in your new form—although they may be limited, such as Weaponry being unusable if you cannot hold weapons. If the animal’s form would be particularly advantageous (such as trying to avoid notice while you are in the form of a mouse), you gain 2 Bonus Dice.</t>
  </si>
  <si>
    <t>Efficacy</t>
  </si>
  <si>
    <t>Limit: You must never change your course of action due to fear.</t>
  </si>
  <si>
    <t>Penance: You must seek out whatever is the most terrifying for you and confront it.</t>
  </si>
  <si>
    <t>Forgiveness</t>
  </si>
  <si>
    <t>Limit: You must always show mercy to your enemies and may never hold a grudge against those that act against you.</t>
  </si>
  <si>
    <t>Penance: You must seek out the one you wronged and do whatever it takes to make amends.</t>
  </si>
  <si>
    <t>Honesty</t>
  </si>
  <si>
    <t>Limit: You must never tell a lie, mistruth, or obscure the truth.</t>
  </si>
  <si>
    <t>Penance: You may only recover it by spending a month without lying.</t>
  </si>
  <si>
    <t>Kindness</t>
  </si>
  <si>
    <t>Limit: You must always offer aid to those in need—friends, strangers—no matter how desperate the situation.</t>
  </si>
  <si>
    <t>Penance: You must aid someone who wronged you.</t>
  </si>
  <si>
    <t>Moderation</t>
  </si>
  <si>
    <t>Limit: You must do all things in moderation and if you ever overindulge yourself, you lose your Gifts.</t>
  </si>
  <si>
    <t>Penance: You must submit to an act of fasting, never indulging in your most favorite activity, for a month.</t>
  </si>
  <si>
    <t>Minor Marks</t>
  </si>
  <si>
    <t>Major Marks</t>
  </si>
  <si>
    <t>Select 1 major unguent recipe</t>
  </si>
  <si>
    <t>Select 1 major weave</t>
  </si>
  <si>
    <t>List 1 major mark</t>
  </si>
  <si>
    <t>Select 1 restriction</t>
  </si>
  <si>
    <t>Select 2 major unguent recipes</t>
  </si>
  <si>
    <t>Select 2 major weaves</t>
  </si>
  <si>
    <t>Select 2 restrictions</t>
  </si>
  <si>
    <t>List 2 major marks</t>
  </si>
  <si>
    <t>Select 3 major unguent recipes</t>
  </si>
  <si>
    <t>Select 3 major weaves</t>
  </si>
  <si>
    <t>Select 3 restrictions</t>
  </si>
  <si>
    <t>List 3 major marks</t>
  </si>
  <si>
    <t>Select 4 major unguent recipes</t>
  </si>
  <si>
    <t>Select 4 major weaves</t>
  </si>
  <si>
    <t>Select 4 restrictions</t>
  </si>
  <si>
    <t>List 4 major marks</t>
  </si>
  <si>
    <t>Select 5 major unguent recipes</t>
  </si>
  <si>
    <t>Select 5 restrictions</t>
  </si>
  <si>
    <t>List 5 major marks</t>
  </si>
  <si>
    <t>Select 6 major unguent recipes</t>
  </si>
  <si>
    <t>Select 6 restrictions</t>
  </si>
  <si>
    <t>List 6 major marks</t>
  </si>
  <si>
    <t>Select 7 restrictions</t>
  </si>
  <si>
    <t>List 7 major marks</t>
  </si>
  <si>
    <t>Select 2 minor unguent recipes</t>
  </si>
  <si>
    <t>Select 2 gifts</t>
  </si>
  <si>
    <t>List 2 minor marks</t>
  </si>
  <si>
    <t>List 2 minor favors</t>
  </si>
  <si>
    <t>Select 4 minor unguent recipes</t>
  </si>
  <si>
    <t>Select 4 gifts</t>
  </si>
  <si>
    <t>List 4 minor marks</t>
  </si>
  <si>
    <t>List 4 minor favors</t>
  </si>
  <si>
    <t>Select 6 minor unguent recipes</t>
  </si>
  <si>
    <t>Select 6 gifts</t>
  </si>
  <si>
    <t>List 6 minor marks</t>
  </si>
  <si>
    <t>List 6 minor favors</t>
  </si>
  <si>
    <t>Select 8 minor unguent recipes</t>
  </si>
  <si>
    <t>Select 8 gifts</t>
  </si>
  <si>
    <t>List 8 minor marks</t>
  </si>
  <si>
    <t>List 8 minor favors</t>
  </si>
  <si>
    <t>Select 10 minor unguent recipes</t>
  </si>
  <si>
    <t>List 10 minor marks</t>
  </si>
  <si>
    <t>List 10 minor favors</t>
  </si>
  <si>
    <t>Select 12 minor unguent recipes</t>
  </si>
  <si>
    <t>List 12 minor marks</t>
  </si>
  <si>
    <t>List 12 minor favors</t>
  </si>
  <si>
    <t>Select all minor unguent recipes</t>
  </si>
  <si>
    <t>Select Read &amp; 2 other minor weaves</t>
  </si>
  <si>
    <t>Select Read &amp; 3 other minor weaves</t>
  </si>
  <si>
    <t>Select Read &amp; 4 other minor weaves</t>
  </si>
  <si>
    <t>Select all 7 major unguent recipes</t>
  </si>
  <si>
    <t>List 14 minor marks</t>
  </si>
  <si>
    <t>Major favors are bargained in-game</t>
  </si>
  <si>
    <t>What have you done?!</t>
  </si>
  <si>
    <t>Bittner Stance (Forward)</t>
  </si>
  <si>
    <t>Metzger Stance (Back)</t>
  </si>
  <si>
    <t>Gerbeck Stance (High)</t>
  </si>
  <si>
    <t>You take all Actions as if you had additional Raises equal to your Wits. These additional Raises are only for when you take your Actions, and cannot be spent. However, you cannot perform the Parry Maneuver—although you can still spend Raises on your Action to prevent Wounds as a non-Duelist would.</t>
  </si>
  <si>
    <t>When you wield a heavy weapon in two hands, you can choose a Stance from below. You select your Stance at the beginning of each Round. If you wish to change your Stance during a Round, you must spend 1 Raise to do so.</t>
  </si>
  <si>
    <t>Maneuvers that prevent Wounds prevent additional Wounds equal to your Resolve, but you cannot perform the Slash Maneuver—although you can still spend Raises on your Action to deal Wounds as a non-Duelist would.</t>
  </si>
  <si>
    <t>Maneuvers that deal Wounds deal 1 additional Wound, but you take all Actions as if you had 1 fewer Raise (minimum 1).</t>
  </si>
  <si>
    <t>Minor Unguents</t>
  </si>
  <si>
    <t>Major Unguents</t>
  </si>
  <si>
    <t>Restrictions</t>
  </si>
  <si>
    <t>Gifts</t>
  </si>
  <si>
    <t>Minor Favors</t>
  </si>
  <si>
    <t>Major Weaves</t>
  </si>
  <si>
    <t>Minor Weaves</t>
  </si>
  <si>
    <t>Glamour traits</t>
  </si>
  <si>
    <t>advantages</t>
  </si>
  <si>
    <t>Get a monster to eat this, and it's helpless for the scene</t>
  </si>
  <si>
    <t>Smear on the eyelids to see invisible things for the scene</t>
  </si>
  <si>
    <t>Rub on your tongue to ask a corpse 2 questions per your resolve</t>
  </si>
  <si>
    <t>Eat this to command a monster squad once or get 1 raise on social risk vs undead villain</t>
  </si>
  <si>
    <t>make a closed barrier against undead</t>
  </si>
  <si>
    <t>On eating, does 1 DW.  If victim dies that day, they rise as undead under your command.  Corrupting</t>
  </si>
  <si>
    <t>Fly around as an invisible spirit until sunrise/sunset</t>
  </si>
  <si>
    <t>Put on weapon. For 1 round, wounds vs undead are doubled</t>
  </si>
  <si>
    <t>Anointed body can not raise as undead</t>
  </si>
  <si>
    <t>Drink to remove all maladies caused by undead.  Counters Funeral Porridge but kills subject.</t>
  </si>
  <si>
    <t>Stake helpless undead to utterly destroy it</t>
  </si>
  <si>
    <t>Eat to gain one monstrous quality for a scene.  Corrupting.</t>
  </si>
  <si>
    <t>Smear on yourself to make undead target you for this round</t>
  </si>
  <si>
    <t>Apply to wound from undead.  Healed at end of scene</t>
  </si>
  <si>
    <t>Make an iceicle blade.  Attack and spend raises for wounds.  If a monster is wounded, it is stunned for round.  Shatters after one hit.</t>
  </si>
  <si>
    <t>Drink to sleep soundly for one night. (Can be woken if needed)</t>
  </si>
  <si>
    <t>Drink to be immune to monster fear for one scene.</t>
  </si>
  <si>
    <t>Pin to clothing to negate first attack or supernatural effect from an undead monster.</t>
  </si>
  <si>
    <t>Throw at undead, spend raises for wounds.  If undead takes a wound, it takes another every time it acts till end of round</t>
  </si>
  <si>
    <t>Throw at undead, spend raises for wounds.  If undead takes a wound, GM can't spend danger points to activate monstrous qualities this round</t>
  </si>
  <si>
    <t>After a risk with Major, re-roll dice equal to your rank.  Choose which to keep.</t>
  </si>
  <si>
    <t>Roll # dice = rank, give to other heroes to add result to all their rolls for scene.</t>
  </si>
  <si>
    <t>Add ranks to your major trait for the scene</t>
  </si>
  <si>
    <t>Reduce a villain's strength by rank for the episode</t>
  </si>
  <si>
    <t>Add raises equal to rank to any one brawn roll</t>
  </si>
  <si>
    <t>At start of action sequence, gain raises equal to rank.</t>
  </si>
  <si>
    <t>On ship, grab wheel to merge with ship.  Add rank as bonus dice to all risks. Share wounds. Ends when you release wheel.</t>
  </si>
  <si>
    <t>Sorcery uses on you is countered.  Use once per game per rank</t>
  </si>
  <si>
    <t>After raises for weapon risk, use to add extra wounds equal to rank for round.</t>
  </si>
  <si>
    <t>Until a sunrise &amp; sunset for each rank, you still take wounds but ignore them.</t>
  </si>
  <si>
    <t>Use when killed.  Next dawn you return to life fully healed, but resolve drops by (5 less ranks)</t>
  </si>
  <si>
    <t>If have free hand, catch anything without penalty.  Use once per episode per rank</t>
  </si>
  <si>
    <t>Make a 10' diameter barrier that keeps out sidhe and their powers for sunsets equal to ranks.</t>
  </si>
  <si>
    <t>If have free hand, catch anything but bullets.  Take one less wound per rank</t>
  </si>
  <si>
    <t>Take actions as if you had extra raises equal to rank - only for determining when, not for spending</t>
  </si>
  <si>
    <t>People trying to find you can't for one hour per rank.</t>
  </si>
  <si>
    <t>Touch ship to repair 5 hits per rank, but no critical hits</t>
  </si>
  <si>
    <t>eliminate any brute squads of strength equal to or less than your rank</t>
  </si>
  <si>
    <t>Add ranks+1 to a brawn risk</t>
  </si>
  <si>
    <t>For rest of scene, detect when someone with sorcery gets in a radius of 10' per rank</t>
  </si>
  <si>
    <t>add your rank to the value of one die.  If that reaches 10 or more, it explodes</t>
  </si>
  <si>
    <t>For rest of scene, when risk with minor trait, replace any one die with a value of ranks +1</t>
  </si>
  <si>
    <t>After risk with minor trait, re-roll number of dice equal to rank, must keep new</t>
  </si>
  <si>
    <t>reduce effects of fear on yourself by ranks for scene</t>
  </si>
  <si>
    <t>heal yourself of 5 wounds per rank, but not dramatic wounds</t>
  </si>
  <si>
    <t>Sidhe arives to help you (for a price).  More ranks = more powerful.  GM may make it unseelie, but you can counter that with HP</t>
  </si>
  <si>
    <t>Limit: You must never change your course of action due to fear.                                                       Penance: You must seek out whatever is the most terrifying for you and confront it.</t>
  </si>
  <si>
    <t>Limit: You always show mercy to your enemies &amp; can't hold a grudge vs those that act against you. Penance: You must seek out the one you wronged and do whatever it takes to make amends.</t>
  </si>
  <si>
    <t>Limit: You must never tell a lie, mistruth, or obscure the truth.                                                                          Penance: You may only recover it by spending a month without lying.</t>
  </si>
  <si>
    <t>Limit: You always offer aid to those in need, even strangers, no matter how bad the situation. Penance: You must aid someone who wronged you.</t>
  </si>
  <si>
    <t>Summon an animal and issue instructions to it.  If command needs risk, it rolls 5 dice (+2 if extra suited) but you decide raises.</t>
  </si>
  <si>
    <t>A magical and perfect ambient light fills the area, or dozens of feet around you if outdoors. Undead in the area suffer 5 Wounds, and roll 2 fewer dice for any Risks they make while active.</t>
  </si>
  <si>
    <t>You cleanse a room of toxins, poisons, diseases, and even dirt. Purify sterilizes every surface, inside closed and locked drawers, and even affects food &amp; drink. Alcohol loses its potency.</t>
  </si>
  <si>
    <t>You recover from injury quickly. Any missing or crippled limbs are completely restored. Missing hands regrow, cataracted eyes are unclouded and broken kneecaps reform. You heal one DW.</t>
  </si>
  <si>
    <t>Select an animal. You perceive the world through all the senses of the nearest animal of that type. Use your own traits and skills for Risks, not the animal’s, but if it is extra suited you gain 2 Dice.</t>
  </si>
  <si>
    <t>Touch an item: it is perfectly restored to its original form. This Gift cannot make an item better than it originally was or fix any defects present at its creation.</t>
  </si>
  <si>
    <t>Select an animal. You may take the form of that creature for the Scene. Your skills, knowledge, and abilities are all retained in your new form, but it is if extra suited, you gain 2 Bonus Dice.</t>
  </si>
  <si>
    <t>Limit: You do all things in moderation and if you ever overindulge yourself, you lose your Gifts. Penance: You must submit to an act of fasting, not indulging in your favorite activity, for a month.</t>
  </si>
  <si>
    <t>All gifts cost one Hero Point to activate</t>
  </si>
  <si>
    <t>Spend 1 HP to craft 1 Major and 2 Minor Unguents</t>
  </si>
  <si>
    <t>Select 1 major glamour at rank 1</t>
  </si>
  <si>
    <t>Divide ranks between up to 2 major glamours</t>
  </si>
  <si>
    <t>Divide ranks between up to 3 major glamours</t>
  </si>
  <si>
    <t>Divide ranks between up to 4 major glamours</t>
  </si>
  <si>
    <t>Divide ranks between up to 5 major glamours</t>
  </si>
  <si>
    <t>Divide ranks between up to 5 major glamours, max 5 in any</t>
  </si>
  <si>
    <t>Select 2 minor glamours at rank 1</t>
  </si>
  <si>
    <t>Major glamours</t>
  </si>
  <si>
    <t>Minor glamours</t>
  </si>
  <si>
    <t>All glamours cost one Hero Point to activate</t>
  </si>
  <si>
    <t>Marking costs one Hero Point</t>
  </si>
  <si>
    <t>Portals cost 1 raise &amp; 1 DW. Only Walk to Major, +1 HP per extra person</t>
  </si>
  <si>
    <t>Spend Raise to see all strands and Arcana for the scene</t>
  </si>
  <si>
    <t>HP+Lash: activate virtue or let target activate hubris for double reward on its next action.  1/target/game</t>
  </si>
  <si>
    <t>HP+Lash: choose a card from the Sorte deck and replace a target's Virtue or Hubris with it for the scene.  Use 1/game</t>
  </si>
  <si>
    <t>Raise (kiss) + any # Lashes: target gets bonus dice on one risk equal to lashes you have when cast.  Expire at end of scene if not used</t>
  </si>
  <si>
    <t>Raise (kiss) + HP + any # Lashes: target divides bonus dice equal to lashes you have when cast on any risks they like.  Expire at end of scene if not used</t>
  </si>
  <si>
    <t>Raise (kiss) + any # Lashes: Curse lasts until triggered or expires at end of scene.  Trigger: Target removes 1 die from risk pool before rolling for each lash you had when casting.</t>
  </si>
  <si>
    <t>Raise (kiss) + any # Lashes: Curse lasts until triggered or expires at end of scene.  Trigger: After rolling for a Risk, target removes 1 raise for each lash you had when casting.</t>
  </si>
  <si>
    <t>Lash: Target stumbles towards you and looses 1 Raise.  If pulled through object, takes 1 wound.</t>
  </si>
  <si>
    <t>Vs Brutes: Spend a HP &amp; any # lashes: Number of brutes equal to your lashes get pulled and take 1 wound.  If at least half squad, squad loses next action.  See below.</t>
  </si>
  <si>
    <t>Vs Heros/Villains: Spend a HP &amp; any # lashes (min 1 each): Up to 2 pulled.  Movable obstructions deal 1 wound, solid ones do 2. On your turn, spend a raise &amp; take extra lash to keep them pinned.</t>
  </si>
  <si>
    <t>To remove 1 lash, take # wounds or Danger Points for each lash you have.</t>
  </si>
  <si>
    <t>GM spends a Danger Point on a Risk: dice that roll &lt; your lashes are voided.</t>
  </si>
  <si>
    <t>Minor Favors cost a Hero Point and (during action) a raise</t>
  </si>
  <si>
    <t>yes</t>
  </si>
  <si>
    <t>no</t>
  </si>
  <si>
    <t>Starting character?</t>
  </si>
  <si>
    <t>raising traits costs 5 steps</t>
  </si>
  <si>
    <t>moving a point from 1 trait to another costs 5 steps</t>
  </si>
  <si>
    <t>Traits run from 2 to 5</t>
  </si>
  <si>
    <t>Total trails cannot exceed 15</t>
  </si>
  <si>
    <t>added</t>
  </si>
  <si>
    <t>removed</t>
  </si>
  <si>
    <t>Raising skills costs steps equal to the new rank.</t>
  </si>
  <si>
    <t>Quirks require 3 steps to change</t>
  </si>
  <si>
    <t>Advantages cost steps equal to their cost</t>
  </si>
  <si>
    <t>Write in new quirk</t>
  </si>
  <si>
    <t>Arcana requires 4 steps to change</t>
  </si>
  <si>
    <t>new virtue</t>
  </si>
  <si>
    <t>new hubris</t>
  </si>
  <si>
    <t>Corruption</t>
  </si>
  <si>
    <t>corruption gained:</t>
  </si>
  <si>
    <t>corruption costs 4 steps to lower</t>
  </si>
  <si>
    <t>corruption lowered:</t>
  </si>
  <si>
    <t>corruption total:</t>
  </si>
  <si>
    <t>CHARACTER INFORMATION</t>
  </si>
  <si>
    <t>TRAITS</t>
  </si>
  <si>
    <t>BACKGROUNDS</t>
  </si>
  <si>
    <t>ARCANA</t>
  </si>
  <si>
    <t>SKILLS</t>
  </si>
  <si>
    <t>ADVANTAGES</t>
  </si>
  <si>
    <t>STORIES</t>
  </si>
  <si>
    <t>DEATH SPIRAL</t>
  </si>
  <si>
    <t>WEAPONRY</t>
  </si>
  <si>
    <t>WARFARE</t>
  </si>
  <si>
    <t>THEFT</t>
  </si>
  <si>
    <t>TEMPT</t>
  </si>
  <si>
    <t>SCHOLARSHIP</t>
  </si>
  <si>
    <t>SAILING</t>
  </si>
  <si>
    <t>RIDE</t>
  </si>
  <si>
    <t>PERFORM</t>
  </si>
  <si>
    <t>AIM</t>
  </si>
  <si>
    <t>ATHLETICS</t>
  </si>
  <si>
    <t>BRAWL</t>
  </si>
  <si>
    <t>CONVINCE</t>
  </si>
  <si>
    <t>EMPATHY</t>
  </si>
  <si>
    <t>HIDE</t>
  </si>
  <si>
    <t>INTIMIDATE</t>
  </si>
  <si>
    <t>NOTICE</t>
  </si>
  <si>
    <t xml:space="preserve">BRAWN  </t>
  </si>
  <si>
    <t xml:space="preserve">FINESSE  </t>
  </si>
  <si>
    <t xml:space="preserve">RESOLVE  </t>
  </si>
  <si>
    <t xml:space="preserve">WITS  </t>
  </si>
  <si>
    <t xml:space="preserve">PANACHE  </t>
  </si>
  <si>
    <t>Type</t>
  </si>
  <si>
    <t>Rank 3: Re-Roll a single die</t>
  </si>
  <si>
    <t>Rank 4: Sets of 15 = 2 Raises</t>
  </si>
  <si>
    <t>Rank 5: 10s explode</t>
  </si>
  <si>
    <t>1.0.3</t>
  </si>
  <si>
    <t>Made "sheets" tab more accomdating to other programs.</t>
  </si>
  <si>
    <t>Type:</t>
  </si>
  <si>
    <t>-&gt;</t>
  </si>
  <si>
    <t>&lt;-</t>
  </si>
  <si>
    <t>Use Aim when you point a pistol at someone and pull the trigger. Use Aim when you throw a knife across a crowded room with pinpoint accuracy, whether your target is a person or an object.</t>
  </si>
  <si>
    <t>Use Athletics to swing across a room on a chandelier, jump from rooftop-to-rooftop, or otherwise perform a dangerous physical stunt.</t>
  </si>
  <si>
    <t>Use Brawl whenever you punch or kick someone in the face. Use Brawl when you grab someone and drag him down an alleyway.</t>
  </si>
  <si>
    <t>Use Convince when you appeal to another character’s better nature. Use Convince when you assure someone you’re being completely honest with her and she should trust you.</t>
  </si>
  <si>
    <t>Use Empathy when you want to tell if someone is being genuine. Use Empathy when you determine someone’s general mental state—they’re afraid, they’re nervous, they’re angry.</t>
  </si>
  <si>
    <t>Use Hide when you sneak through a dark room without the guard on watch seeing you. Use Hide when you keep a weapon or other item hidden, and avoid it being found if you are searched. Use Hide to attack an unsuspecting victim with a weapon or your fists. Use Hide to construct a disguise or camouflage a location.</t>
  </si>
  <si>
    <t>Use Intimidate when you make someone do what you want under threat of some action from you, physical or otherwise.</t>
  </si>
  <si>
    <t>Use Notice when you investigate a crime scene or search a Villain’s study for clues. Use Notice when you want to pick out fine details at a glance.</t>
  </si>
  <si>
    <t>Use Perform when you try to captivate an audience with your showmanship. Use Perform to get across a particular message to your audience or to elicit a specific emotion from them through your performance— to make them laugh at your comedy, to make them weep at your tragedy, to rile them up with a motivational speech, etc.</t>
  </si>
  <si>
    <t>Use Ride when you engage in a high-speed carriage chase. Use Ride when you ride a horse through the forest at a gallop.</t>
  </si>
  <si>
    <t>Use Sailing whenever you navigate your way through a ship’s rigging. Use Sailing when you attempt to steer a ship during a pitched battle at sea, or through a dangerously narrow channel.</t>
  </si>
  <si>
    <t>Use Scholarship when you wax ecstatic about a certain subject matter, either from personal experience or teachings. Use Scholarship when you consult your knowledge to fill in the details on a certain subject. Use Scholarship when you call upon your medical training to tend to an injury.</t>
  </si>
  <si>
    <t>Use Tempt when you bribe someone to do something for you that she really shouldn’t agree to do. Use Tempt when you convince someone to give you a little “alone time.”</t>
  </si>
  <si>
    <t>Use Theft when you swipe something from someone’s pocket without him noticing. Use Theft when you pick a lock, crack a safe, or something similar.</t>
  </si>
  <si>
    <t>Use Warfare whenever you need tactical expertise, such as when you’re breaching a castle’s defense. Use Warfare when you lead an army in battle.</t>
  </si>
  <si>
    <t>Use Weaponry when you attack something with a sword, axe, hammer, or knife in your hand.</t>
  </si>
  <si>
    <r>
      <t xml:space="preserve">Use </t>
    </r>
    <r>
      <rPr>
        <b/>
        <sz val="11"/>
        <color theme="1"/>
        <rFont val="Calibri"/>
        <family val="2"/>
        <scheme val="minor"/>
      </rPr>
      <t>Aim</t>
    </r>
    <r>
      <rPr>
        <sz val="11"/>
        <color theme="1"/>
        <rFont val="Calibri"/>
        <family val="2"/>
        <scheme val="minor"/>
      </rPr>
      <t xml:space="preserve"> when you point a pistol at someone and pull the trigger. Use Aim when you throw a knife across a crowded room with pinpoint accuracy, whether your target is a person or an object.</t>
    </r>
  </si>
  <si>
    <r>
      <t xml:space="preserve">Use </t>
    </r>
    <r>
      <rPr>
        <b/>
        <sz val="11"/>
        <color theme="1"/>
        <rFont val="Calibri"/>
        <family val="2"/>
        <scheme val="minor"/>
      </rPr>
      <t>Athletics</t>
    </r>
    <r>
      <rPr>
        <sz val="11"/>
        <color theme="1"/>
        <rFont val="Calibri"/>
        <family val="2"/>
        <scheme val="minor"/>
      </rPr>
      <t xml:space="preserve"> to swing across a room on a chandelier, jump from rooftop-to-rooftop, or otherwise perform a dangerous physical stunt.</t>
    </r>
  </si>
  <si>
    <r>
      <t xml:space="preserve">Use </t>
    </r>
    <r>
      <rPr>
        <b/>
        <sz val="11"/>
        <color theme="1"/>
        <rFont val="Calibri"/>
        <family val="2"/>
        <scheme val="minor"/>
      </rPr>
      <t>Brawl</t>
    </r>
    <r>
      <rPr>
        <sz val="11"/>
        <color theme="1"/>
        <rFont val="Calibri"/>
        <family val="2"/>
        <scheme val="minor"/>
      </rPr>
      <t xml:space="preserve"> whenever you punch or kick someone in the face. Use Brawl when you grab someone and drag him down an alleyway.</t>
    </r>
  </si>
  <si>
    <r>
      <t xml:space="preserve">Use </t>
    </r>
    <r>
      <rPr>
        <b/>
        <sz val="11"/>
        <color theme="1"/>
        <rFont val="Calibri"/>
        <family val="2"/>
        <scheme val="minor"/>
      </rPr>
      <t>Convince</t>
    </r>
    <r>
      <rPr>
        <sz val="11"/>
        <color theme="1"/>
        <rFont val="Calibri"/>
        <family val="2"/>
        <scheme val="minor"/>
      </rPr>
      <t xml:space="preserve"> when you appeal to another character’s better nature. Use Convince when you assure someone you’re being completely honest with her and she should trust you.</t>
    </r>
  </si>
  <si>
    <r>
      <t xml:space="preserve">Use </t>
    </r>
    <r>
      <rPr>
        <b/>
        <sz val="11"/>
        <color theme="1"/>
        <rFont val="Calibri"/>
        <family val="2"/>
        <scheme val="minor"/>
      </rPr>
      <t>Empathy</t>
    </r>
    <r>
      <rPr>
        <sz val="11"/>
        <color theme="1"/>
        <rFont val="Calibri"/>
        <family val="2"/>
        <scheme val="minor"/>
      </rPr>
      <t xml:space="preserve"> when you want to tell if someone is being genuine. Use Empathy when you determine someone’s general mental state—they’re afraid, they’re nervous, they’re angry.</t>
    </r>
  </si>
  <si>
    <r>
      <t xml:space="preserve">Use </t>
    </r>
    <r>
      <rPr>
        <b/>
        <sz val="11"/>
        <color theme="1"/>
        <rFont val="Calibri"/>
        <family val="2"/>
        <scheme val="minor"/>
      </rPr>
      <t>Hide</t>
    </r>
    <r>
      <rPr>
        <sz val="11"/>
        <color theme="1"/>
        <rFont val="Calibri"/>
        <family val="2"/>
        <scheme val="minor"/>
      </rPr>
      <t xml:space="preserve"> when you sneak through a dark room without the guard on watch seeing you. Use Hide when you keep a weapon or other item hidden, and avoid it being found if you are searched. Use Hide to attack an unsuspecting victim with a weapon or your fists. Use Hide to construct a disguise or camouflage a location.</t>
    </r>
  </si>
  <si>
    <r>
      <t xml:space="preserve">Use </t>
    </r>
    <r>
      <rPr>
        <b/>
        <sz val="11"/>
        <color theme="1"/>
        <rFont val="Calibri"/>
        <family val="2"/>
        <scheme val="minor"/>
      </rPr>
      <t>Intimidate</t>
    </r>
    <r>
      <rPr>
        <sz val="11"/>
        <color theme="1"/>
        <rFont val="Calibri"/>
        <family val="2"/>
        <scheme val="minor"/>
      </rPr>
      <t xml:space="preserve"> when you make someone do what you want under threat of some action from you, physical or otherwise.</t>
    </r>
  </si>
  <si>
    <r>
      <t xml:space="preserve">Use </t>
    </r>
    <r>
      <rPr>
        <b/>
        <sz val="11"/>
        <color theme="1"/>
        <rFont val="Calibri"/>
        <family val="2"/>
        <scheme val="minor"/>
      </rPr>
      <t>Weaponry</t>
    </r>
    <r>
      <rPr>
        <sz val="11"/>
        <color theme="1"/>
        <rFont val="Calibri"/>
        <family val="2"/>
        <scheme val="minor"/>
      </rPr>
      <t xml:space="preserve"> when you attack something with a sword, axe, hammer, or knife in your hand.</t>
    </r>
  </si>
  <si>
    <r>
      <t xml:space="preserve">Use </t>
    </r>
    <r>
      <rPr>
        <b/>
        <sz val="11"/>
        <color theme="1"/>
        <rFont val="Calibri"/>
        <family val="2"/>
        <scheme val="minor"/>
      </rPr>
      <t>Warfare</t>
    </r>
    <r>
      <rPr>
        <sz val="11"/>
        <color theme="1"/>
        <rFont val="Calibri"/>
        <family val="2"/>
        <scheme val="minor"/>
      </rPr>
      <t xml:space="preserve"> whenever you need tactical expertise, such as when you’re breaching a castle’s defense. Use Warfare when you lead an army in battle.</t>
    </r>
  </si>
  <si>
    <r>
      <t xml:space="preserve">Use </t>
    </r>
    <r>
      <rPr>
        <b/>
        <sz val="11"/>
        <color theme="1"/>
        <rFont val="Calibri"/>
        <family val="2"/>
        <scheme val="minor"/>
      </rPr>
      <t>Theft</t>
    </r>
    <r>
      <rPr>
        <sz val="11"/>
        <color theme="1"/>
        <rFont val="Calibri"/>
        <family val="2"/>
        <scheme val="minor"/>
      </rPr>
      <t xml:space="preserve"> when you swipe something from someone’s pocket without him noticing. Use Theft when you pick a lock, crack a safe, or something similar.</t>
    </r>
  </si>
  <si>
    <r>
      <t xml:space="preserve">Use </t>
    </r>
    <r>
      <rPr>
        <b/>
        <sz val="11"/>
        <color theme="1"/>
        <rFont val="Calibri"/>
        <family val="2"/>
        <scheme val="minor"/>
      </rPr>
      <t xml:space="preserve">Tempt </t>
    </r>
    <r>
      <rPr>
        <sz val="11"/>
        <color theme="1"/>
        <rFont val="Calibri"/>
        <family val="2"/>
        <scheme val="minor"/>
      </rPr>
      <t>when you bribe someone to do something for you that she really shouldn’t agree to do. Use Tempt when you convince someone to give you a little “alone time.”</t>
    </r>
  </si>
  <si>
    <r>
      <t xml:space="preserve">Use </t>
    </r>
    <r>
      <rPr>
        <b/>
        <sz val="11"/>
        <color theme="1"/>
        <rFont val="Calibri"/>
        <family val="2"/>
        <scheme val="minor"/>
      </rPr>
      <t>Scholarship</t>
    </r>
    <r>
      <rPr>
        <sz val="11"/>
        <color theme="1"/>
        <rFont val="Calibri"/>
        <family val="2"/>
        <scheme val="minor"/>
      </rPr>
      <t xml:space="preserve"> when you wax ecstatic about a certain subject matter, either from personal experience or teachings. Use Scholarship when you consult your knowledge to fill in the details on a certain subject. Use Scholarship when you call upon your medical training to tend to an injury.</t>
    </r>
  </si>
  <si>
    <r>
      <t xml:space="preserve">Use </t>
    </r>
    <r>
      <rPr>
        <b/>
        <sz val="11"/>
        <color theme="1"/>
        <rFont val="Calibri"/>
        <family val="2"/>
        <scheme val="minor"/>
      </rPr>
      <t>Sailing</t>
    </r>
    <r>
      <rPr>
        <sz val="11"/>
        <color theme="1"/>
        <rFont val="Calibri"/>
        <family val="2"/>
        <scheme val="minor"/>
      </rPr>
      <t xml:space="preserve"> whenever you navigate your way through a ship’s rigging. Use Sailing when you attempt to steer a ship during a pitched battle at sea, or through a dangerously narrow channel.</t>
    </r>
  </si>
  <si>
    <r>
      <t xml:space="preserve">Use </t>
    </r>
    <r>
      <rPr>
        <b/>
        <sz val="11"/>
        <color theme="1"/>
        <rFont val="Calibri"/>
        <family val="2"/>
        <scheme val="minor"/>
      </rPr>
      <t>Ride</t>
    </r>
    <r>
      <rPr>
        <sz val="11"/>
        <color theme="1"/>
        <rFont val="Calibri"/>
        <family val="2"/>
        <scheme val="minor"/>
      </rPr>
      <t xml:space="preserve"> when you engage in a high-speed carriage chase. Use Ride when you ride a horse through the forest at a gallop.</t>
    </r>
  </si>
  <si>
    <r>
      <t xml:space="preserve">Use </t>
    </r>
    <r>
      <rPr>
        <b/>
        <sz val="11"/>
        <color theme="1"/>
        <rFont val="Calibri"/>
        <family val="2"/>
        <scheme val="minor"/>
      </rPr>
      <t>Notice</t>
    </r>
    <r>
      <rPr>
        <sz val="11"/>
        <color theme="1"/>
        <rFont val="Calibri"/>
        <family val="2"/>
        <scheme val="minor"/>
      </rPr>
      <t xml:space="preserve"> when you investigate a crime scene or search a Villain’s study for clues. Use Notice when you want to pick out fine details at a glance.</t>
    </r>
  </si>
  <si>
    <r>
      <t xml:space="preserve">Use </t>
    </r>
    <r>
      <rPr>
        <b/>
        <sz val="11"/>
        <color theme="1"/>
        <rFont val="Calibri"/>
        <family val="2"/>
        <scheme val="minor"/>
      </rPr>
      <t>Perform</t>
    </r>
    <r>
      <rPr>
        <sz val="11"/>
        <color theme="1"/>
        <rFont val="Calibri"/>
        <family val="2"/>
        <scheme val="minor"/>
      </rPr>
      <t xml:space="preserve"> when you try to captivate an audience with your showmanship. Use Perform to get across a particular message to your audience or to elicit a specific emotion from them through your performance— to make them laugh at your comedy, to make them weep at your tragedy, to rile them up with a motivational speech, etc.</t>
    </r>
  </si>
  <si>
    <t xml:space="preserve">Sorcery Level: </t>
  </si>
  <si>
    <t>Ability Descriptions</t>
  </si>
  <si>
    <t>Any skill at 3: reroll 1 die when using that skill</t>
  </si>
  <si>
    <t>Any skill at 4: can get 2 raises with sets of 15</t>
  </si>
  <si>
    <t>Any skill at 5: 10's explode</t>
  </si>
  <si>
    <t>Skill at 3: reroll 1 die</t>
  </si>
  <si>
    <t>Skill at 4: can get 2 raises with sets of 15</t>
  </si>
  <si>
    <t>Skill at 5: 10's explode</t>
  </si>
  <si>
    <t>Choose one type of item—weapons, armor, paintings, etc. When you create such an item, you may increase the time you work on it in order to create an item of greater quality. If you are using typical, mundane materials, this has no additional effect aside from cosmetic—the item is noticeably higher quality than similar items, and may even bear your mark, earn you notoriety for your fine work, draw a higher price if it is for sale, etc. If you use exotic materials—such as creating a sword using metal from a fallen star, for example—you can create a Signature Item for yourself or another Hero. The time required to create a Signature Item, and whether or not a material is “special” enough to qualify, is always a GM’s discretion.</t>
  </si>
  <si>
    <t>You can spend a Hero Point to locate a fixer, an information broker, a black market, or a similar underworld figure.</t>
  </si>
  <si>
    <t>If you are in the wilderness, you can forage or hunt and find enough food for yourself and up to five other people. Under extreme circumstances—lost in the middle of a desert, or abandoned in the Ussuran tundra, for example—you find enough food for yourself and up to two other people.</t>
  </si>
  <si>
    <t>You attended one of Theah’s formal universities and are familiar with many academic fields of study such as mathematics, architecture, and astronomy. When you make a Risk using Scholarship, Empathy, or Notice, all of your dice gain +1 to their value.</t>
  </si>
  <si>
    <t>As long as you have a clear line of sight, you can see perfectly out to a distance of one mile. If you use a spyglass you can even pick out fine details, such as the inscription carved into a wedding band. If you make a Risk that relies heavily on your keen vision, you gain 1 Bonus Die.</t>
  </si>
  <si>
    <t>You have a small group of individuals who are devoted to you, or a single trusted ally who would walk through fire for you (a bodyguard, a horse, etc.). If your allies directly aid you in a Risk, you gain a Bonus Die if you describe specifically how they aid you. If you send them out to accomplish something else and they need to make a Risk (GM discretion), they roll five dice. Your Trusted Companion can take 5 Wounds before he becomes Helpless, and will more than likely require you to rescue him.</t>
  </si>
  <si>
    <t>The Sheet tab imports the information from the builder tab onto something similar to the character sheet provided in the rulebook.  It has a second page to it that copies the descriptions of various things listed on the main sheet, but due to how excel treats wrapped text some rows may need to be resized before printing.</t>
  </si>
  <si>
    <t>The adv shuffle tab (hidden by default) is a series of functions to remove the blanks between advantages before loading them onto the sheets.</t>
  </si>
  <si>
    <t>The Styles tab (hidden by default) has tables for the fighting styles and sorcery descriptions.</t>
  </si>
  <si>
    <t>1.0.4</t>
  </si>
  <si>
    <t>You cannot purchase the “Large” Advantage.  You are smaller than the average Than. Much smaller. If your small size makes a Risk easier—using Hide to squeeze into a tiny space and escape a guard patrol, or using Athletics to slip between the bars of a jail cell—gain 1 Bonus Die.</t>
  </si>
  <si>
    <t>You cannot purchase the “Small” Advantage. Gain 1 Bonus Die on any Risk that is easier due to your size—using Athletics to run at full speed even while carrying another Hero, or looming over someone in order to Intimidate them.</t>
  </si>
  <si>
    <t>Spend a Hero Point to convince another character to grant you an object you want at no cost. They might give you something they already have or go to some lengths—legal or illegal—to procure the item, whatever is the easiest way for them to get their hands on what you want.</t>
  </si>
  <si>
    <t>Added descriptions to the builder tab, added a page of descriptions to the Sheets tab.  Fixed Large adv, schools printout, and various misspellings.</t>
  </si>
  <si>
    <t>The Explorer's Society</t>
  </si>
  <si>
    <t>1.0.5</t>
  </si>
  <si>
    <t>Fixed errors on backgrounds with overlapping advantages.</t>
  </si>
  <si>
    <t>1.0.6</t>
  </si>
  <si>
    <t>Descriptions</t>
  </si>
  <si>
    <t>Fixed Cast Iron Stomach lookup error, fixed minor glamours</t>
  </si>
  <si>
    <t>Aragosta</t>
  </si>
  <si>
    <t>Jaragua</t>
  </si>
  <si>
    <t>La Bucca</t>
  </si>
  <si>
    <t>Numa</t>
  </si>
  <si>
    <t>Rahuri</t>
  </si>
  <si>
    <t>Version 1.1.0</t>
  </si>
  <si>
    <t>1.1.0</t>
  </si>
  <si>
    <t>Atabean Rook</t>
  </si>
  <si>
    <t>You may not be royalty, but the alleys of Fort Freedom are your kingdom; its forgotten urchins are your subjects.</t>
  </si>
  <si>
    <t>Earn a Hero Point when you use your reputation or status to help another character.</t>
  </si>
  <si>
    <t>Salty Dog</t>
  </si>
  <si>
    <t>Eye for Talent</t>
  </si>
  <si>
    <t>Company Escapee</t>
  </si>
  <si>
    <t>You escaped the ATC’s clutches and now strive to make every day the Company exists more costly than yesterday.</t>
  </si>
  <si>
    <t>Earn a Hero Point when you subvert the Company’s plans or sabotage its income stream.</t>
  </si>
  <si>
    <t>Seahorse</t>
  </si>
  <si>
    <t>Thean Outcast</t>
  </si>
  <si>
    <t>Earn a Hero Point when you deliver an important message—written or otherwise.</t>
  </si>
  <si>
    <t>Only the brave or foolhardy would take a job delivering the mail across the Atabean Sea. Guess that means you.</t>
  </si>
  <si>
    <t>Married to the Sea</t>
  </si>
  <si>
    <t>Wheel Man</t>
  </si>
  <si>
    <t>Earn a Hero Point when you side with your new, adopted homeland in favor of Théan tradition, people, or values, and doing so gets you into trouble.</t>
  </si>
  <si>
    <t>Your crimes (real or imagined) caught up to you. Well, if Théah doesn’t want you, you don’t want it either!</t>
  </si>
  <si>
    <t>Freebooter</t>
  </si>
  <si>
    <t>The deck beneath your feet, sun on your face, and wind at your back. With those three things, nothing else matters.</t>
  </si>
  <si>
    <t>Earn a Hero Point when you convince another character to join you on a journey at sea.</t>
  </si>
  <si>
    <t>Atabean Traveler</t>
  </si>
  <si>
    <t>Troubleshooter</t>
  </si>
  <si>
    <t>Earn a Hero Point when you spend all your Raises on shooting a target and suffer Consequences because of it.</t>
  </si>
  <si>
    <t>The distant sight of an enemy captain directing his crew to open fire. Nobody could make that shot…nobody but you.</t>
  </si>
  <si>
    <t>Rum Runner</t>
  </si>
  <si>
    <t>Earn a Hero Point when you sail your ship into forbidden waters.</t>
  </si>
  <si>
    <t>You said you’d make the delivery, and you’ll be damned if something as minor as a blockade is going to stop you.</t>
  </si>
  <si>
    <t>My Word is my Bond</t>
  </si>
  <si>
    <t>Lost Soul</t>
  </si>
  <si>
    <t>Earn a Hero Point when you prevent the Devil Jonah from claiming another soul.</t>
  </si>
  <si>
    <t>Once, you sold a sliver of your soul. And you’ll never let anyone make the same mistake.</t>
  </si>
  <si>
    <t>The Devil's Due</t>
  </si>
  <si>
    <t>Insistent</t>
  </si>
  <si>
    <t>Nganga</t>
  </si>
  <si>
    <t>Earn a Hero Point when you use your spiritual knowledge and skills to aid a community.</t>
  </si>
  <si>
    <t>Your people trust you to interpret the will of the spirits and to aid them when they need it most.</t>
  </si>
  <si>
    <t>Mawon</t>
  </si>
  <si>
    <t>Earn a Hero Point when you defeat an enemy using guerilla tactics.</t>
  </si>
  <si>
    <t>We Share Our Victories</t>
  </si>
  <si>
    <t>The enemies of Jaragua may think you are weak and cowardly, but the opinion of the dead means little.</t>
  </si>
  <si>
    <t>Ajan Provocateur</t>
  </si>
  <si>
    <t>Earn a Hero Point when you gain a new ally for Jaragua.</t>
  </si>
  <si>
    <t>Sweeten the Pot</t>
  </si>
  <si>
    <t>Jaragua needs allies, coin, and trade. You know how to get what your Nation needs.</t>
  </si>
  <si>
    <t>Enspektè</t>
  </si>
  <si>
    <t>Earn a Hero Point when you learn a secret about a Monster.</t>
  </si>
  <si>
    <t>Nerves of Steel</t>
  </si>
  <si>
    <t>The horrors of Jaragua seek to break your people, but you are their protector and you are unbreakable.</t>
  </si>
  <si>
    <t>Siren</t>
  </si>
  <si>
    <t>There is no sixth Chapter. Not until you’re needed.</t>
  </si>
  <si>
    <t>Earn a Hero Point when you resolve a problem using stealth and subterfuge rather than direct confrontation.</t>
  </si>
  <si>
    <t>Chapter Member</t>
  </si>
  <si>
    <t>Earn a Hero Point when you fulfil the duties of your Chapter.</t>
  </si>
  <si>
    <t>La Palabra</t>
  </si>
  <si>
    <t>Cross the Palm</t>
  </si>
  <si>
    <t>La Bucca only operates if the Chapters work together.</t>
  </si>
  <si>
    <t>Sentinel</t>
  </si>
  <si>
    <t>Speed Load</t>
  </si>
  <si>
    <t>In La Bucca, you have two options. Be quick, or be dead. You favor the former.</t>
  </si>
  <si>
    <t>Earn a Hero Point when you beat another character to the draw.</t>
  </si>
  <si>
    <t>Los Niños</t>
  </si>
  <si>
    <t>Earn a Hero Point when you protect a brother or sister.</t>
  </si>
  <si>
    <t>Whisper to Mother</t>
  </si>
  <si>
    <t>La Madre brought you here for a reason. And when you arrived, she whispered it into your ear.</t>
  </si>
  <si>
    <t>Docent</t>
  </si>
  <si>
    <t>Is Théah worthy of the friendship of Numa? You will put them to the test.</t>
  </si>
  <si>
    <t>Earn a Hero Point when you push another character to live up to his potential, even when it means trouble.</t>
  </si>
  <si>
    <t>Haimon</t>
  </si>
  <si>
    <t>Earn a Hero Point when you take on a dangerous task for no other reason than it will bring you glory.</t>
  </si>
  <si>
    <t>Seize Your Glory</t>
  </si>
  <si>
    <t>Your glory lies there, before your eyes. Nothing will stop you from claiming it.</t>
  </si>
  <si>
    <t>Mystai</t>
  </si>
  <si>
    <t>Earn a Hero Point when you thwart the mystai of Hecteba.</t>
  </si>
  <si>
    <t>The human spirit is capable of incredible things. You will demonstrate this to the world.</t>
  </si>
  <si>
    <t>Myrmidon</t>
  </si>
  <si>
    <t>Earn a Hero Point when you impress the crew of a foreign ship with your daring.</t>
  </si>
  <si>
    <t>The Ocean's Favorite</t>
  </si>
  <si>
    <t>Théah has forgotten the name of Numa for too long. It’s time for you to remind them of the Father of the World.</t>
  </si>
  <si>
    <t>Boriqua</t>
  </si>
  <si>
    <t>Earn a Hero Point when you win a diplomatic contest with a threat of violence.</t>
  </si>
  <si>
    <t>By the weight of your words or the strength of your arms, you will protect your people.</t>
  </si>
  <si>
    <t>Bohiti</t>
  </si>
  <si>
    <t>Earn a Hero Point when you solve the problem of a Lost ancestor.</t>
  </si>
  <si>
    <t>Ambassador to Soryana, bridge between your people and their predecessors. This is your sacred responsibility.</t>
  </si>
  <si>
    <t>Seeker of Soryana</t>
  </si>
  <si>
    <t>Wave Hunter</t>
  </si>
  <si>
    <t>Earn a Hero Point when you defeat a Sea Monster.</t>
  </si>
  <si>
    <t>I Cannot Be Broken</t>
  </si>
  <si>
    <t>The only thing you need to bring down fearsome Monsters is your wits and your harpoon.</t>
  </si>
  <si>
    <t>Horizon Chaser</t>
  </si>
  <si>
    <t>Earn a Hero Point when you set foot in a place you’ve never visited.</t>
  </si>
  <si>
    <t>The Atabean is a wonder to behold, but you dream of places even more amazing. There is an entire world to see.</t>
  </si>
  <si>
    <t>When you spend Wealth to hire a Brute Squad, that Brute Squad’s Strength is 1 point higher.</t>
  </si>
  <si>
    <t>Letter of Marque</t>
  </si>
  <si>
    <t xml:space="preserve">You or another Hero must possess the “Married to the Sea” Advantage Choose a Théan Nation. You have a Letter of Marque from that Nation’s government, giving your Ship’s crew permission to operate your vessel. Any privateers or military vessels from that Nation will not harass you so long as you present them your Letter, and you suffer no legal ramifications from “privateer activities” from that Nation. The agents of other Nations are typically unimpressed, although on rare occasion Théan politics may play to your advantage. </t>
  </si>
  <si>
    <t>Agoge Weapon Mastery</t>
  </si>
  <si>
    <t>Requires Lakedaimon Agoge. Choose an additional weapon from the list of Agoge weapons (page XX). You gain the appropriate bonus when you wield it.</t>
  </si>
  <si>
    <t>When you spend Wealth to re-roll a die in a social Risk swayable by money, you can re-roll up to 2 dice instead of 1.</t>
  </si>
  <si>
    <t>Devil Dog</t>
  </si>
  <si>
    <t>You or another Hero must possess the “Married to the Sea” Advantage Spend a Hero Point. Any Crew Squads under your command this round roll 2 Bonus Dice on any Risk.</t>
  </si>
  <si>
    <t>When you apply Pressure to another character, spend a Hero Point. The effect of your Pressure lasts until the end of the Round.</t>
  </si>
  <si>
    <t>Spend a Hero Point. You reload a single firearm you are carrying with only a single Raise, rather than the 5 it would normally take.</t>
  </si>
  <si>
    <t>Tavern Favorite</t>
  </si>
  <si>
    <t>When you make a Perform Risk in a “low-class” place such as a dockside tavern, a street corner, or somewhere similar, you gain 1 Bonus Die.</t>
  </si>
  <si>
    <t>Spend a Hero Point while within the Atabean Sea to know the direction to the closest land, find fresh food/ water, or to ask the GM a single yes or no question about your environment or creature you've encountered.</t>
  </si>
  <si>
    <t>Frog Man</t>
  </si>
  <si>
    <t>When you make an Athletics Risk that involves swimming, you gain 1 Bonus Die.</t>
  </si>
  <si>
    <t>Whenever you spend a Hero Point to give yourself Bonus Dice in a Risk against a creature or character with a Monster Quality, you gain 1 re-roll in addition to the normal effects of your Hero Point.</t>
  </si>
  <si>
    <t>Powder Monkey</t>
  </si>
  <si>
    <t>When you make an Aim Risk to fire a ship’s cannons, you gain 2 Bonus Dice.</t>
  </si>
  <si>
    <t>You must posses the “Married to the Sea” Advantage. As long as you are Captain of your Ship: Before you roll dice at the beginning of a Round, you may spend a Hero Point to reorganize your Crew Squads. When you spend a Hero Point to aid a Hero who is aboard your Ship, they gain 4 bonus dice instead of 3. You gain 1 Bonus Die for any Risk you take aboard your Ship.</t>
  </si>
  <si>
    <t>Gain a Bonus Die when you make a Risk to steer a ship through treacherous waters, avoid enemy fire, or when your expertise at the helm would come in handy.</t>
  </si>
  <si>
    <t>You learned the ways of life and survival aboard the pitching deck of a ship at sea. When you make a Risk using Sailing, Theft, or Intimidate, all of your dice gain +1 to their value.</t>
  </si>
  <si>
    <t>You cut part of yourself off and tossed it into the sea, offering it to the Devil Jonah. In return you were granted a gift, a unique (and often grisly) artifact with strange properties. Choose a piece of your body that you have lost. In its place, you possess a magical artifact with unique abilities. You can spend a Hero Point to activate your object’s special ability, and it continues to function for the remainder of the Scene.</t>
  </si>
  <si>
    <t>You know the secret pathways to Soryana, the Isle of the Dead. When exploring the wilderness or sailing, you can spend a Hero Point to find Soryana and gain an audience with Locuo. You can plead your case before him, and if he finds your cause just he will grant you the companionship of an appropriate ancestor.</t>
  </si>
  <si>
    <t>Spend a Hero Point and spill a small amount of your own blood into your hand. You whisper the name of a brother or sister, or choose to address Mother. You can make a single statement or ask a question, and the other person hears you. Then you can hear her whispered response (responding does not require the expenditure of a Hero Point). Longer conversations are possible, but require an additional Hero Point for each further exchange.</t>
  </si>
  <si>
    <t>When you spend a Hero Point to gain Bonus Dice on a Risk that directly relates to completing a step in your Hero Story, you gain 2 Bonus Dice instead of 1.</t>
  </si>
  <si>
    <t>My Word is My Bond</t>
  </si>
  <si>
    <t>Spend any number of Hero Points and make a promise to another character. For the rest of the scene, when you make a Risk in pursuit of fulfilling your promise you gain one Raise for each Hero Point you spent to activate this Advantage. If your promise is unfulfilled at the end of the scene, you lose all Hero Points and you cannot gain Hero Points for the rest of the game session. If your promise is fulfilled before the end of the scene, you gain a Hero Point. A Hero may only activate this Advantage once per game session.</t>
  </si>
  <si>
    <t>You are familiar with the surprisingly complex code of gestures and phrases that La Bucca uses to conduct business quietly. When you speak with another character who has this Advantage, you can give that character a message that others do not understand or do not notice.</t>
  </si>
  <si>
    <t>When you help another Hero complete a step in his personal Hero Story, you gain a Hero Point. Whenever another Hero helps you complete a step in your personal Hero Story, he gains a Hero Point.</t>
  </si>
  <si>
    <t>Vengeful</t>
  </si>
  <si>
    <t>The Devil Jonah</t>
  </si>
  <si>
    <t>Activate your Virtue when enact poetic justice, make someone pay their due or force someone to follow on a bargain. For the next Risk, when you determine Raises, every die counts as a Raise.</t>
  </si>
  <si>
    <t>Petty</t>
  </si>
  <si>
    <t>You receive a Hero Point when you refuse to aid someone until they beg you or when you otherwise demonstrate your petty, vengeful nature.</t>
  </si>
  <si>
    <t>Humble man</t>
  </si>
  <si>
    <t>The Fisherman</t>
  </si>
  <si>
    <t>Tenacious</t>
  </si>
  <si>
    <t>The Drowned Man</t>
  </si>
  <si>
    <t>Activate your Virtue when you would be killed. Through some twist of fate or circumstance you survive, but are immediately and forcibly removed from the scene.</t>
  </si>
  <si>
    <t>Doomed</t>
  </si>
  <si>
    <t>Activate your Hubris when you take one or more Dramatic Wounds. You gain a Hero Point for each Dramatic Wound you just endured.</t>
  </si>
  <si>
    <t>Timid</t>
  </si>
  <si>
    <t>Activate your Virtue after you roll dice for a Risk. You lose half of your Raises. All other Heroes in the scene with you gain as many Raises as you lost.</t>
  </si>
  <si>
    <t>You receive a Hero Point when you avoid the spotlight, insist that you're nothing more than a simple man, or refuse to take credit for something that would be advantageous for you to claim as your own work.</t>
  </si>
  <si>
    <t>Aid</t>
  </si>
  <si>
    <t>Intrigue</t>
  </si>
  <si>
    <t>Rahuri Spirit Quest</t>
  </si>
  <si>
    <t>La Cosca</t>
  </si>
  <si>
    <t>The Riroco</t>
  </si>
  <si>
    <t>Kap Sevi</t>
  </si>
  <si>
    <t>Mystirios</t>
  </si>
  <si>
    <t>Mohwoo</t>
  </si>
  <si>
    <t>Bugu Takobi</t>
  </si>
  <si>
    <t>Jogo de Dentro</t>
  </si>
  <si>
    <t>Lakedaimon Agoge</t>
  </si>
  <si>
    <t>It is said that no one can die until Baron Ghede digs their grave. While ridden by Ghede, the Sèvitè decides which graves are dug and which are not. While ridden by Baron Ghede, the Sèvitè may spend a Hero Point to protect any character from being Killed. As long as Baron Ghede rides the Sèvitè, the selected character cannot die, even when he is rendered Helpless.</t>
  </si>
  <si>
    <t>Sometimes a person does not die when it is his time. Instead, he lingers among the living bringing misery and sorrow to his closest friends and family. When this happens, the family often prays to Baron Ghede to take their loved one before his proper time. While ridden by Baron Ghede, the Sèvitè may spend a Hero Point to kill a willing Helpless character. This does not cause Corruption.</t>
  </si>
  <si>
    <t>As the patron of the dead, Ghede is also responsible for their earthly remains. While ridden by Baron Ghede, the Sèvitè may spend a Hero Point to protect a corpse from the effects of Sorcery, including Kap Sèvi. For example, bodies touched by the Eternal Guardian cannot be raised as specters by Hexenwerk and the Lwa cannot communicate with them.</t>
  </si>
  <si>
    <t>Beyond securing gravesites, Ghede’s purview also includes keeping the holy sites of the Lwa safe from outside forces. While ridden by Baron Ghede, the Sèvitè may spend a Hero Point to consecrate a small area. Sorcery cannot be used while standing on the Sacred Ground; any Hero Points spent to use a sorcerous power are returned to the sorcerer.</t>
  </si>
  <si>
    <t>When the dead arrive off schedule, sometimes Baron Ghede finds out what killed them and ensures things are set right. While ridden by Baron Ghede, the Sèvitè may touch a corpse and spend a Hero Point to see—through the corpse’s eyes—the last few moments of her life.</t>
  </si>
  <si>
    <t>Many believe the walls of a cemetery are built to keep out the living, but the truth is that they also keep in the dead. While ridden by Baron Ghede, the Sèvitè may spend a Hero Point to secure a wall. As long as the Sèvitè ridden by Baron Ghede stays within the confines of the wall, nothing inhuman may cross the wall, neither entering or leaving.</t>
  </si>
  <si>
    <t>Those closest to Mareaux often find Mareaux’s voice inside their heads. While ridden by Mareaux, the Sèvitè may spend a Hero Point to include someone in her thoughtform. Everyone with access to the thoughtform may communicate freely (though nonverbally), as long as Mareaux rides the Sèvitè. After Mareaux departs, the network ceases to function.</t>
  </si>
  <si>
    <t>This is the power fueling the majority of the Twins myth. While ridden by Mareaux, the Sèvitè may spend a Hero Point to turn his own shadow sentient. The shadow becomes semi-corporeal and obeys the command of the Sèvitè. The shadow is capable of scouting, eavesdropping, and other such activities, but can’t pick up objects or interact with other people. If it takes a dangerous action, it is Strength 5 (rolling 5 dice) and spends Raises accordingly. If it takes a single Wound, it instantly returns to the Sèvitè and refuses to be reanimated until the next sundown.</t>
  </si>
  <si>
    <t>Mareaux will have you believe there is nothing to fear in the darkness. While ridden by Mareaux, the Sèvitè may spend a Hero Point to ignore any and all fear, including supernaturally inflicted Fear caused by Monsters, Sorcery or other magical effects. Note that this does not convey the same resistance to your companions; often Sèvitè ridden by Mareaux must stand alone against the darkness.</t>
  </si>
  <si>
    <t>Mareaux has studied all the nooks and crannies of the world, sussing out all the world’s secrets drenched in shadows. While ridden by Mareaux, the Sèvitè may spend a Hero Point to peer into the shadows and see someplace she cannot currently reach. The Sèvitè can use this power to read a ledger hidden in a desk drawer or watch an illicit act being performed under the cover of night. The Sèvitè must know where to look and the area must be completely shadowed. The Sèvitè can’t see anything in the light while using Unknowable.</t>
  </si>
  <si>
    <t>Things happen in the light that Mareaux will never forget. While ridden by Mareaux, the Sèvitè may spend a Hero Point to commit anything to memory and never, ever, forget it. This gives the Sèvitè perfect recall of his memory, even when a sorcery or traumatic event would remove the memory.</t>
  </si>
  <si>
    <t>Things happen in the night that Mareaux refuses to let you forget. While ridden by Mareaux, the Sèvitè may spend a Hero Point to commit anything to someone else’s memory. She will never, ever, be able to forget it. The scene is burned into her brain until the day she dies (and perhaps even longer), resistant to all attempts to remove it.</t>
  </si>
  <si>
    <t>To Ọya, the human body is another tool to be used; when your tool breaks, you do not throw it out. Instead, you reforge it in the fires and seal the break. While ridden by Ọya, the Sèvitè may spend a Hero Point to instantly heal all the wounds between her third and fourth Dramatic Wound, including the third and fourth Dramatic Wounds.</t>
  </si>
  <si>
    <t>For many, there comes a time when their presence has been overstayed. For those people, Ọya will gladly craft the coffin spike and drive the nail into their bodies. When ridden by Ọya, the Sèvitè may spend a Hero Point while causing another character’s third Dramatic Wound to immediately render that character Helpless. A Sèvitè can only activate this Gros once per session.</t>
  </si>
  <si>
    <t>The flames of the forge take constant tending: a well-fed fire produces the strongest steel. While ridden by Ọya, the Sèvitè may spend a Hero Point to consume anything and gain nourishment from it. Dirt. Metal. Wood. Anything that can fit into the Sèvitè will nourish him.</t>
  </si>
  <si>
    <t>Ọya knows the weaknesses in every chain; she cannot be held. While ridden by Ọya, the Sèvitè may spend a Hero Point to escape from any shackle, prison or restraint.</t>
  </si>
  <si>
    <t>The heat of the forge has covered Ọya’s body in callouses, helping her tolerate the heat of the fires and remain steadfast while at her station. While ridden by Ọya, the Sèvitè may spend a Hero Point to withstand any fire or flame. The Sèvitè does not take any damage from any source of heat.</t>
  </si>
  <si>
    <t>The heat of battle has covered Ọya’s body in scars, helping her to remain straight-backed and uncowed while enduring the pain of injury. While ridden by Ọya, the Sèvitè may spend a Hero Point to temporarily overcome being Helpless. Instead of only being able to take a single action, the Sèvitè can act as normal for a full round while Helpless. In addition, during this normal round, the Sèvitè gains two extra dice for any Risks she attempts. However, the effort of Blackening a Soul is exhausting to Ọya and she can only muster these effects once per Episode.</t>
  </si>
  <si>
    <t>While Papa Ahron never speaks for himself, he speaks for those who cannot. While ridden by Papa Ahron, the Sèvitè may spend a Hero Point to speak as proxy for anyone, living or dead. The Sèvitè must be able to touch either the target’s body or something of extreme personal value belonging to the target. There must be another participant to join the conversation, as the Sèvitè cannot talk to herself. This does not give the Sèvitè any insights into what her target desires, it only allows the Sèvitè to act as a vessel for the target to speak through.</t>
  </si>
  <si>
    <t>Memory is a tricky thing and people tend to forget more than they remember. For Papa Ahron, this can be a great advantage. While ridden by Papa Ahron, the Sèvitè may spend a Hero Point to vanish from memory for a Scene. Anyone interacting with the Sèvitè can see him, speak with him, and hear him, but as soon as the Sèvitè leaves, she forgets everything about the Sèvitè ever being there.</t>
  </si>
  <si>
    <t>The stories say that Papa Ahron, being the oldest and wisest of the Lwa, knows where all his children are at all times. That when he closes his eyes he sees through theirs. While ridden by Papa Ahron, the Sèvitè may spend a Hero Point to form a connection with any other person ridden by Papa Ahron. The Sèvitè knows the general location of the other possessed, her current mood, and can see through her eyes.</t>
  </si>
  <si>
    <t>Among his many powers, Papa Ahron also acts as gatekeeper to the Lwa. He alone decides when a mortal is allowed to speak with the Lwa and will quickly grab away his voice if he speaks the wrong words. While ridden by Papa Ahron, the Sèvitè may spend a Hero Point to ask the Lwa a single question and gain unnatural insight into the world. The Lwa are obligated to answer honestly, as lying to Papa Ahron is a serious offense. The Gamemaster must provide a direct answer to the question asked, but is not required to elaborate.</t>
  </si>
  <si>
    <t>Silence is golden and Papa Ahron knows not to waste it. While ridden by Papa Ahron, the Sèvitè may spend a Hero Point to move without making noise for a Scene. The Sèvitè can still be seen, smelled, or felt, but no audible presence can be detected. The Sèvitè must still be subtle while using San Yopa Sound; the Lwa cannot hide actions egregiously obvious such as firing a gun next to someone’s head or screaming in her face.</t>
  </si>
  <si>
    <t>There are times when a father wants to see but not be seen, and Papa Ahron has mastered that craft. While ridden by Papa Ahron, the Sèvitè may spend a Hero Point to move without being seen for a Scene. The Sèvitè can still be heard, smelled, or felt, but no visual presence can be detected. The Sèvitè must still be subtle while using San Yopa Sight, the Lwa cannot hide actions that would be egregiously obvious such as stabbing someone in the chest or throwing handfuls of flour into the air.</t>
  </si>
  <si>
    <t>There are many myths and stories about Kap Sèvi’s ability to animate the dead. Unfortunately, if there is a Lwa with that power, she has not made herself known to the Sèvitè. The closest thing comes in the power of Sousson to create Zonbi. While ridden by Sousson, the Sèvitè may spend a Hero Point to mask any signs of life in a Helpless person. His heart rate slows, his eyes become cloudy, and his muscles stiffen. He also becomes susceptible to suggestion and can be directed to taking simple actions on the instruction of the Sèvitè.</t>
  </si>
  <si>
    <t>They say everywhere Sousson goes, he is in the company of friends, yet he leaves nothing but enemies in his wake. While ridden by Sousson, the Sèvitè may spend a Hero Point to instantly befriend anyone. This includes Villains. However, once Sousson has left the Sèvitè, this effect fades and the target may resent the Sèvitè, depending on how she was treated.</t>
  </si>
  <si>
    <t>Purity is the biggest reason Sèvitè worship Sousson. His gift for clearing a body of illness, both physical and mental, is coveted by many who seek the Sèvitè for help. While ridden by Sousson, the Sèvitè may spend a Hero Point to wash away any non-supernaturally induced ailments, diseases or illnesses a person may be experiencing. This does not heal Wounds and cannot be used to cure diseases or illness resulting from Monsters or Sorcery.</t>
  </si>
  <si>
    <t>They say no one looks a leper in the eye. While ridden by Sousson, the Sèvitè may spend a Hero Point to make other people avoid him as if he had the plague. The Sèvitè’s appearance grows more horrific and he produces an aura that causes people to avoid eye-contact and steer clear of the Sèvitè’s path. If a Hero wishes to even approach someone wearing the Mask of the Pariah, he must either spend a Hero Point or, if part of a Sequence, spend a Raise; any physical interaction requires an additional Raise on top of whatever the action itself would cost.</t>
  </si>
  <si>
    <t>Sousson believes prevention is often the best medicine. While ridden by Sousson, the Sèvitè may spend a Hero Point to remove any contaminant from any object, material, or substance. This can be used on bedsheets infected with the plague or water carrying harmful bacteria.</t>
  </si>
  <si>
    <t>A life of curing disease often leaves many people grateful, and Sousson is always able to find someone he once helped. While ridden by Sousson, the Sèvitè may spend a Hero Point to know someone nearby that he’s treated previously and who now owes him a favor.</t>
  </si>
  <si>
    <t>Mystírio</t>
  </si>
  <si>
    <t>Dithyrambos, God of Plenty</t>
  </si>
  <si>
    <t>Each time you take an Action, you heal a single Wound. If this mystírio would cause you to heal a Dramatic Wound, your apokálypsi activates immediately and this effect ends.</t>
  </si>
  <si>
    <t>On your Action, you can activate this apokálypsi to immediately heal one Dramatic Wound.</t>
  </si>
  <si>
    <t xml:space="preserve"> </t>
  </si>
  <si>
    <t>Potnia Agrotera, Goddess of the Hunt and War</t>
  </si>
  <si>
    <t>When you spend Raises during a Risk to prevent Wounds to another Hero, you cause 1 Wound to whatever character tried to harm him.</t>
  </si>
  <si>
    <t>Supati, God/Goddess of Writing, Language and Magic</t>
  </si>
  <si>
    <t>Salacio, God of the Underworld and the Sea</t>
  </si>
  <si>
    <t>You are immune to Pressure.</t>
  </si>
  <si>
    <t>Theonoa Dianoia, Goddess of Craft and Wisdom</t>
  </si>
  <si>
    <t>Caledon, God of Medicine, the Home, and Family</t>
  </si>
  <si>
    <t>Any Hero in a scene with you who is under Pressure (including yourself ) may have the additional Raise required to take an Action paid by any other Hero in the scene.</t>
  </si>
  <si>
    <t>Hecteba, Jailed Goddess Of Mysteries, Murder, And Dark Magic</t>
  </si>
  <si>
    <t>Fish</t>
  </si>
  <si>
    <t>Takobi Gudana</t>
  </si>
  <si>
    <t>When you wield a small hand-held weapon in one hand (such as a machete or hatchet) and nothing in the other, you gain a special Maneuver called Takobi Gudana, or “Sword Flow.” Takobi Gudana prevents a number of Wounds equal to your Ranks in Weaponry, and the next Maneuver you perform this Round that deals Wounds deals an additional Wound. You can perform Takobi Gudana once per Round.</t>
  </si>
  <si>
    <t>Riso da Malandragem</t>
  </si>
  <si>
    <t>Agoge Thrust</t>
  </si>
  <si>
    <t>Sword</t>
  </si>
  <si>
    <t>Spear</t>
  </si>
  <si>
    <t>Bow</t>
  </si>
  <si>
    <t>When you wield small, improvised blades (barber’s razors hidden up your sleeves, shards of glass embedded in the soles of your shoes, etc.), you gain a special Maneuver called Riso da Malandragem, or “Scoundrel’s Laugh.” Riso da Malandragem deals one Wound each to two targets (two Villains, or two Brute Squads, or one Villain and one Brute Squad, etc.); the next time those targets deal Wounds this Round, they deal one less Wound for each Rank you have in Weaponry. You can perform Riso da Malandragem once per Round. Additionally, when you make an Athletics, Brawl, Hide, or Perform Risk you gain one Bonus Die so long as you describe how your mastery of Jogo de Dentro aids you in the Risk.</t>
  </si>
  <si>
    <t>Note that some descriptions are paraphrased to fit on the page better.</t>
  </si>
  <si>
    <t>For the sword, you take your first Action in a Round as if you had one additional Raise.</t>
  </si>
  <si>
    <t>For the spear, you may re-roll one die for an Athletics Risk you take if you describe how you use your spear to aid you.</t>
  </si>
  <si>
    <t>For the bow, you use Aim to determine the effects of your Maneuvers rather than Weaponry.</t>
  </si>
  <si>
    <t xml:space="preserve">When you learn the this style, choose a weapon from the spear, sword, or bow. When you wield your chosen weapon, your Lunge Maneuver is replaced by the Agoge Thrust.  Agoge Thrust deals a number of Wounds equal to your Weaponry plus the number of Raises you spend, but you must spend your next Action this Round to recover and regroup, spending one Raise to do so.  </t>
  </si>
  <si>
    <t>The fish mohwoo represents a search or discovery, usually one that is personal or that the seeker is not even aware of. This could be the revelation of a truth from the person’s past or a journey of self-discovery and understanding.</t>
  </si>
  <si>
    <t>The Hero does not need to breathe for the rest of the scene. She cannot be choked or strangled, she cannot suffocate or drown, and airborne poisons do not affect her.</t>
  </si>
  <si>
    <t>Crab</t>
  </si>
  <si>
    <t>Squid</t>
  </si>
  <si>
    <t>Anchor</t>
  </si>
  <si>
    <t>Turtle</t>
  </si>
  <si>
    <t>Shark</t>
  </si>
  <si>
    <t>The crab is a protector and guardian. This mohwoo is a sign that the Hero places great importance on the guardianship of some thing or person, often to the exclusion of all other things. This could be something physical (such as a Hero’s young daughter or new husband) or something more ephemeral (such as a Hero’s sense of personal honor).</t>
  </si>
  <si>
    <t>The squid has an unbreakable grip, and will die before it lets go. This often applies to a Hero with the squid mohwoo, but less literally. Such a Hero often finds herself becoming attached quickly and having difficulty letting go of others, or admitting that she is wrong. She is often described as stubborn by enemies, and steadfast by friends.</t>
  </si>
  <si>
    <t>The anchor is representative of a qing who takes on burdens so that others don’t have to. He is reliable and self-sacrificing. He literally throws himself into the deep so that others will not be lost, regardless of who those others are. This is contrasted with the crab, whose motivation in being a guardian is often personal.</t>
  </si>
  <si>
    <t>Activate this mohwoo to allow another Hero in this scene to gain a Hero Point. A qing may only activate this mohwoo once per Scene.</t>
  </si>
  <si>
    <t>The turtle is cautious and wise, moving only when his course is certain. This mohwoo is indicative of a thoughtful and careful individual who knows that doing something right is more important than doing something quickly.</t>
  </si>
  <si>
    <t>Spend your first Raise in a Round to activate this mohwoo. For the rest of the Round, you take 1 less Wound from all sources.</t>
  </si>
  <si>
    <t>The shark is a restless hunter. An aggressive and decisive Hero is often given the shark mohwoo when she prizes immediate action over a more passive “wait and see” approach to problem solving. The shark can also represent a Hero who is chasing something, as opposed to the fish who wishes to discover something.</t>
  </si>
  <si>
    <t>Gros Gran Met</t>
  </si>
  <si>
    <t>Ti Gran Met</t>
  </si>
  <si>
    <t>Give up Virtue until next sunrise to activate Gros</t>
  </si>
  <si>
    <t>Give up a Quirk until sunrise to activate a Ti</t>
  </si>
  <si>
    <t>Papa Ahron: The Lost Voice</t>
  </si>
  <si>
    <t>Baron Ghede: No Grev</t>
  </si>
  <si>
    <t>Baron Ghede: Eternal Guardian</t>
  </si>
  <si>
    <t>Baron Ghede: Lameci</t>
  </si>
  <si>
    <t>Baron Ghede: Sacred Ground</t>
  </si>
  <si>
    <t>Baron Ghede: Windows into the Soul</t>
  </si>
  <si>
    <t>Baron Ghede: Cemetery Walls</t>
  </si>
  <si>
    <t>Mareaux: Egregore</t>
  </si>
  <si>
    <t>Mareaux: Unafraid</t>
  </si>
  <si>
    <t>Mareaux: Nuit Jumeaux</t>
  </si>
  <si>
    <t>Mareaux: Unknowable</t>
  </si>
  <si>
    <t>Mareaux: Unforgettable</t>
  </si>
  <si>
    <t>Mareaux: Unforgivable</t>
  </si>
  <si>
    <t>Oya: Hammer</t>
  </si>
  <si>
    <t>Oya: The Hunger</t>
  </si>
  <si>
    <t>Oya: Nail</t>
  </si>
  <si>
    <t>Oya: Unchained</t>
  </si>
  <si>
    <t>Oya: Blackened Skin</t>
  </si>
  <si>
    <t>Oya: Blackened Soul</t>
  </si>
  <si>
    <t>Papa Ahron: Lucidité</t>
  </si>
  <si>
    <t>Papa Ahron: Li Bliye</t>
  </si>
  <si>
    <t>Papa Ahron: Crossroads</t>
  </si>
  <si>
    <t>Papa Ahron: San Yopa Sound</t>
  </si>
  <si>
    <t>Papa Ahron: San Yopa Sight</t>
  </si>
  <si>
    <t>Sousson: Zonbi</t>
  </si>
  <si>
    <t>Sousson: Purify</t>
  </si>
  <si>
    <t>Sousson: Unlikely Allies</t>
  </si>
  <si>
    <t>Sousson: Mask of the Pariah</t>
  </si>
  <si>
    <t>Sousson: Clense</t>
  </si>
  <si>
    <t>Sousson: Bon Zanmi</t>
  </si>
  <si>
    <t>Select 2 Ti Gran Met (Must match Gros Lwa)</t>
  </si>
  <si>
    <t>Select 4 Ti Gran Met (Must match Gros Lwa)</t>
  </si>
  <si>
    <t>Select 6 Ti Gran Met (Must match Gros Lwa)</t>
  </si>
  <si>
    <t>Select 8 Ti Gran Met (Must match Gros Lwa)</t>
  </si>
  <si>
    <t>Select 10 Ti Gran Met (Must match Gros Lwa)</t>
  </si>
  <si>
    <t>Select 12 Ti Gran Met (Must match Gros Lwa)</t>
  </si>
  <si>
    <t>Select 14 Ti Gran Met (Must match Gros Lwa)</t>
  </si>
  <si>
    <t>Select 1 Lwa &amp; Gros Gran Met</t>
  </si>
  <si>
    <t>Select 2 Lwa &amp; Gros Gran Met</t>
  </si>
  <si>
    <t>Select 3 Lwa &amp; Gros Gran Met</t>
  </si>
  <si>
    <t>Select 4 Lwa &amp; Gros Gran Met</t>
  </si>
  <si>
    <t>Select 5 Lwa &amp; Gros Gran Met</t>
  </si>
  <si>
    <t>Select 6 Lwa &amp; Gros Gran Met</t>
  </si>
  <si>
    <t>Select 7 Lwa &amp; Gros Gran Met</t>
  </si>
  <si>
    <t>Ships Charter?</t>
  </si>
  <si>
    <t>End a Mystírio early (for free) with Apokálypsi</t>
  </si>
  <si>
    <t>Activate Mystírio with 1 hero point.  Lasts till end of scene.</t>
  </si>
  <si>
    <t>Select 1 Mystírio</t>
  </si>
  <si>
    <t>Match Apokálypsi with Mystírio</t>
  </si>
  <si>
    <t>Select 2 Mystírio</t>
  </si>
  <si>
    <t>Select 3 Mystírio</t>
  </si>
  <si>
    <t>Select 4 Mystírio</t>
  </si>
  <si>
    <t>Select 5 Mystírio</t>
  </si>
  <si>
    <t>Select 6 Mystírio</t>
  </si>
  <si>
    <t>Select 7 Mystírio</t>
  </si>
  <si>
    <t>Hero or Villain?</t>
  </si>
  <si>
    <t>Hero</t>
  </si>
  <si>
    <t>Villain</t>
  </si>
  <si>
    <t>Apokálypsi</t>
  </si>
  <si>
    <t>Potnia Agrotera</t>
  </si>
  <si>
    <t>Caledon</t>
  </si>
  <si>
    <t>Dithyrambos</t>
  </si>
  <si>
    <t>Supati</t>
  </si>
  <si>
    <t>Theonoa Dianoia</t>
  </si>
  <si>
    <t>Forgo national sorcery for Mohwoo?</t>
  </si>
  <si>
    <t>Select 2 minor Mohwoo</t>
  </si>
  <si>
    <t>Select 1 major Mohwoo</t>
  </si>
  <si>
    <t>Select up to 2 major Mohwoo (must have minor first)</t>
  </si>
  <si>
    <t>Select up to 3 major Mohwoo (must have minor first)</t>
  </si>
  <si>
    <t>Select up to 4 major Mohwoo (must have minor first)</t>
  </si>
  <si>
    <t>Select up to 5 major Mohwoo (must have minor first)</t>
  </si>
  <si>
    <t>Select up to 6 major Mohwoo (must have minor first)</t>
  </si>
  <si>
    <t>Select all 6 minor Mohwoo</t>
  </si>
  <si>
    <t>Select 4 minor (3 if you took 2 major)</t>
  </si>
  <si>
    <t>Select 6 minor (5 if you have 2 major, 4 if you have 3)</t>
  </si>
  <si>
    <t>Select 6 minor (5 if you have 4 major)</t>
  </si>
  <si>
    <t>Invoke Tattoo &amp; spend Hero Point</t>
  </si>
  <si>
    <t>Major Mohwoo</t>
  </si>
  <si>
    <t>Minor Mohwoo</t>
  </si>
  <si>
    <t>Added Heroes &amp; Villains and Pirate Nations Sourcesbooks</t>
  </si>
  <si>
    <t>Flawless Execution</t>
  </si>
  <si>
    <t>Must have the ability to perform Duelist Maneuvers. Choose one Maneuver you know. You can spend a Hero Point instead of a Raise to perform this Maneuver. All other rules pertaining to Maneuvers still apply (you can still only perform some Maneuvers once per Round, you cannot perform the same Maneuver twice in a row, etc). A Hero can only use this Advantage once per Round.</t>
  </si>
  <si>
    <t>A Hero must have the Duelist Academy Advantage in order to purchase this Advantage. Choose another Duelist Academy Style to learn.</t>
  </si>
  <si>
    <t>Learned Duelist</t>
  </si>
  <si>
    <t>Student of Combat</t>
  </si>
  <si>
    <t>Savior</t>
  </si>
  <si>
    <t>It is not enough to simply stop a Villain—you must change her. The greatest weapon against wickedness is to take an agent of evil and make her a force for good. When you take a Risk in the direct pursuit of redeeming a Villain and turning her toward a path of Heroism, you can spend a Hero Point in place of spending a Raise for any Action. If an Action would require multiple Raises (because of Improvisation, being Unskilled, being under Pressure, etc.) you only need to spend one Hero Point to accomplish it. Because you are not spending Raises for these Actions, it remains your turn—this means that, in effect, so long as you have Hero Points you can continue to take Actions back-to-back if every Action that you take is directly related to the redemption of a Villain.</t>
  </si>
  <si>
    <t>You learn the Slash and Parry Maneuvers, as well as one non-Style Maneuver of your choice, and can perform these as a Duelist does. The Duelist Academy Advantage is considered a 3 point Advantage for you.</t>
  </si>
  <si>
    <t>Resurrect</t>
  </si>
  <si>
    <t>Dignity</t>
  </si>
  <si>
    <t>Spend a Hero Point and lend aid to a character who has died in the last minute (such as giving him a drink of water, staunching his wounds, or literally breathing the life back into him). The character returns to life, but he remains Helpless.</t>
  </si>
  <si>
    <t>Spend a Hero Point and lend aid to a character who has died in the last minute. The character returns to life, but he remains Helpless.</t>
  </si>
  <si>
    <t>Limit: You must always act with calm and logic, and never allow emotions to cause you to act rashly.</t>
  </si>
  <si>
    <t>Limit: You must always act with calm and logic, and never allow emotions to cause you to act rashly.                                                       Penance: You must undo the decision that you made, and the consequences of your rash actions.</t>
  </si>
  <si>
    <t>Taiya</t>
  </si>
  <si>
    <t>Patwa Haragwen</t>
  </si>
  <si>
    <t>Numan</t>
  </si>
  <si>
    <t>While ridden by Baron Ghede, the Sèvitè may spend a Hero Point to kill a willing Helpless character. This does not cause Corruption.</t>
  </si>
  <si>
    <t>While ridden by Ọya, the Sèvitè may spend a Hero Point to instantly heal all the wounds between her third and fourth Dramatic Wound, including the third and fourth Dramatic Wounds.</t>
  </si>
  <si>
    <t>While ridden by Baron Ghede, the Sèvitè may touch a corpse and spend a Hero Point to see—through the corpse’s eyes—the last few moments of her life.</t>
  </si>
  <si>
    <t>While ridden by Ọya, the Sèvitè may spend a Hero Point to withstand any fire or flame. The Sèvitè does not take any damage from any source of heat.</t>
  </si>
  <si>
    <t>While ridden by Ọya, the Sèvitè may spend a Hero Point to consume anything and gain nourishment from it. Dirt. Metal. Wood. Anything that can fit into the Sèvitè will nourish him.</t>
  </si>
  <si>
    <t>While ridden by Ọya, the Sèvitè may spend a Hero Point to escape from any shackle, prison or restraint.</t>
  </si>
  <si>
    <t>While ridden by Sousson, the Sèvitè may spend a Hero Point to know someone nearby that he’s treated previously and who now owes him a favor.</t>
  </si>
  <si>
    <t>While ridden by Baron Ghede, the Sèvitè may spend a Hero Point to protect a corpse from the effects of Sorcery, including Kap Sèvi.</t>
  </si>
  <si>
    <t>While ridden by Baron Ghede, the Sèvitè may spend a Hero Point to protect any character from being Killed. As long as Baron Ghede rides the Sèvitè, the selected character cannot die.</t>
  </si>
  <si>
    <t>While ridden by Mareaux, the Sèvitè may spend a Hero Point to include someone in her thoughtform. Everyone with access to the thoughtform may nonverbally communicate freely.</t>
  </si>
  <si>
    <t>While ridden by Mareaux, the Sèvitè may spend a Hero Point to turn his own shadow sentient. It becomes semi-corporeal and obeys the command of the Sèvitè but can’t pick up objects.</t>
  </si>
  <si>
    <t>When ridden by Ọya, once per session the Sèvitè may spend a Hero Point while causing another character’s third Dramatic Wound to immediately render that character Helpless.</t>
  </si>
  <si>
    <t>While ridden by Papa Ahron, the Sèvitè may spend a Hero Point to vanish from memory for a Scene. Anyone can interact with him, but afterwards forgets the Sèvitè ever being there.</t>
  </si>
  <si>
    <t>While ridden by Papa Ahron, the Sèvitè may spend a HP to speak for anyone, living or dead. They must be able to touch the target’s body or something of personal value belonging to the target.</t>
  </si>
  <si>
    <t>While ridden by Sousson, the Sèvitè may spend a HP to instantly befriend anyone. This includes Villains. However, once Sousson has left the Sèvitè, this effect fades and the target acts normal.</t>
  </si>
  <si>
    <t>While ridden by Sousson, the Sèvitè may spend a Hero Point to mask any signs of life in a Helpless person. He also becomes susceptible to suggestion and can be directed to taking simple actions.</t>
  </si>
  <si>
    <t>While ridden by Baron Ghede, the Sèvitè may spend a HP to secure a wall. As long as you stay within the confines of the wall, nothing inhuman may cross the wall, neither entering or leaving.</t>
  </si>
  <si>
    <t>While ridden by Baron Ghede, the Sèvitè may spend a Hero Point to consecrate a small area. Sorcery cannot be used while standing on the Sacred Ground.</t>
  </si>
  <si>
    <t>While ridden by Mareaux, the Sèvitè may spend a Hero Point to ignore any and all fear, including supernaturally inflicted Fear caused by Monsters, Sorcery or other magical effects.</t>
  </si>
  <si>
    <t>While ridden by Mareaux, the Sèvitè may spend a HP to commit anything to memory and never, forget it. This gives you perfect recall of the memory, even when something would remove it.</t>
  </si>
  <si>
    <t>While ridden by Mareaux, you may spend a HP to commit anything to someone else’s memory. She can't forget it. The scene is burned into her brain until the day she dies, resistant to removal.</t>
  </si>
  <si>
    <t>While ridden by Mareaux, you may spend a HP to peer into the shadows and see someplace else but can't see anything in the light.  You must know where to look and it must be fully shadowed</t>
  </si>
  <si>
    <t>While ridden by Ọya, once per episode the Sèvitè may spend a HP to overcome being Helpless. The Sèvitè can act as normal for a full round while Helpless and gains 2 extra dice for any Risks.</t>
  </si>
  <si>
    <t>While ridden by Papa Ahron, the Sèvitè may spend a HP to ask the Lwa a single question and gain unnatural insight into the world. The Gamemaster must provide a direct answer to the question.</t>
  </si>
  <si>
    <t>While ridden by Papa Ahron, you may spend a HP to connect with any other person ridden by Papa Ahron. You know their general location, current mood, and can see through their eyes.</t>
  </si>
  <si>
    <t>While ridden by Papa Ahron, the Sèvitè may spend a Hero Point to move without being seen for a Scene. Other senses work. The Sèvitè must still be subtle while using San Yopa Sight.</t>
  </si>
  <si>
    <t>While ridden by Papa Ahron, the Sèvitè may spend a Hero Point to move without making noise for a Scene. Other senses work. The Sèvitè must still be subtle while using San Yopa Sound.</t>
  </si>
  <si>
    <t>While ridden by Sousson, the Sèvitè may spend a HP to remove any contaminant from any object. This can be used on bedsheets infected with the plague or water with harmful bacteria.</t>
  </si>
  <si>
    <t>While ridden by Sousson, you may spend a HP to wash away non-supernaturally induced ailments on a person. This can't heal Wounds nor be used to cure things resulting from Monsters or Sorcery.</t>
  </si>
  <si>
    <t>While ridden by Sousson, you may spend a Hero Point to make other people avoid you. You look horrific and produce an aura that causes people to avoid eye-contact and steer clear of your path.</t>
  </si>
  <si>
    <t>When you make an Aim, Brawl, or Weaponry Risk, you can increase the total face value of your dice based on your Strength.</t>
  </si>
  <si>
    <t>Whenever you make a Wits Risk, any dice that roll a 1 may be re-rolled, but you must use the new result. This effect takes place before any other re-rolls you earn.</t>
  </si>
  <si>
    <t>After you activate this mysterio, once per round you may spend Raises during an Action or Dramatic Sequence to modify the timing of an Opportunity or Consequenceby 1 per raise.</t>
  </si>
  <si>
    <t>Once per episode activate this apokálypsi to allow all other Heroes in the scene to heal all Wounds on the current tier of their Death Spiral and one Dramatic Wound. You take one DW.</t>
  </si>
  <si>
    <t>Once per episode when you announce your intention to commit Murder, you may activate this apokálypsi . If you do so, you only need to spend a single Raise in order to succeed in your murder.</t>
  </si>
  <si>
    <t>On your Action during an Action Sequence when you use Aim, Brawl, or Weaponry as your Approach, you may activate this apokálypsi as a free action instead of spending a Raise.</t>
  </si>
  <si>
    <t>You may activate this apokálypsi when you make a Resolve Risk. You may re-roll any dice that roll a value lower than your Resolve but you must use the new result &amp; the dice can't be altered more.</t>
  </si>
  <si>
    <t>On your Action during a Risk, you may activate this apokálypsi. Any Heroes (including yourself ) who are under Pressure may take an immediate Action (they must still spend Raises to do so)</t>
  </si>
  <si>
    <t>Once per Episode during a Dramatic Sequence when you use Empathy, Scholarship, or Warfare, you may activate this apokálypsi . You gain Raises equal to your Ranks in the Skill that you chose.</t>
  </si>
  <si>
    <t>Once per session when you activate this mohwoo, creatures can only avoid your notice if they have a supernatural ability to do so, such as Sorcery or an artifact. If they do, both cancel.</t>
  </si>
  <si>
    <t>Once per Episode activate this mohwoo when you spend a Raise to apply Pressure. In order to act against your Pressure, another character must spend 2 additional Raises instead of 1.</t>
  </si>
  <si>
    <t>Once per episode when you activate this mohwoo, you can prevent another character’s Murder by only spending only a single Raise to protect the character, rather than all of your Raises.</t>
  </si>
  <si>
    <t>Activate this mohwoo and select another individual. Till next sunrise/sunset tou are bound to the person you choose, and the two of you always know the direction and distance to the other.</t>
  </si>
  <si>
    <t>Activate this mohwoo in place of spending a Raise during an Action or Dramatic Sequence when your task involves swimming, or when being in water would be advantageous to the action.</t>
  </si>
  <si>
    <t>Once per scene, after you activate this mohwoo, you may negate the Wounds inflicted on you from any single attack. You must activate this mohwoo on your turn (spending a Raise to do so).</t>
  </si>
  <si>
    <t>Activate this mohwoo when you spend Raises to take Wounds in place of another character.  Reduce them by 1/2 (round down, to a min. of 1) first; they may be cancelled by mundane ways.</t>
  </si>
  <si>
    <t>Once per scene activate this mohwoo when you deal Wounds during a Brawl Risk. These Wounds cannot be negated except by supernatural means (such as Sorcery, artifacts, or something similar).</t>
  </si>
  <si>
    <t>Once per session activate this mohwoo and specify a single target as your prey. GM will tell the direction &amp; distance to them. Until end of scene, physical Risks to pursue them get 1 Bonus Die.</t>
  </si>
  <si>
    <t>Released 2-10-2017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</si>
</sst>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font>
      <sz val="11"/>
      <color theme="1"/>
      <name val="Calibri"/>
      <family val="2"/>
      <scheme val="minor"/>
    </font>
    <font>
      <b/>
      <sz val="11"/>
      <color theme="1"/>
      <name val="Calibri"/>
      <family val="2"/>
      <scheme val="minor"/>
    </font>
    <font>
      <sz val="6"/>
      <color theme="1"/>
      <name val="Calibri"/>
      <family val="2"/>
      <scheme val="minor"/>
    </font>
    <font>
      <sz val="2.5"/>
      <color theme="1"/>
      <name val="Small Fonts"/>
      <family val="2"/>
    </font>
    <font>
      <sz val="2.5"/>
      <color theme="0"/>
      <name val="Small Fonts"/>
      <family val="2"/>
    </font>
    <font>
      <b/>
      <sz val="14"/>
      <color theme="1"/>
      <name val="Calibri"/>
      <family val="2"/>
      <scheme val="minor"/>
    </font>
    <font>
      <sz val="9"/>
      <color rgb="FF000000"/>
      <name val="CallunaSans-Regular"/>
    </font>
    <font>
      <sz val="11"/>
      <color theme="9" tint="-0.249977111117893"/>
      <name val="Calibri"/>
      <family val="2"/>
      <scheme val="minor"/>
    </font>
    <font>
      <sz val="8"/>
      <color theme="1"/>
      <name val="Calibri"/>
      <family val="2"/>
      <scheme val="minor"/>
    </font>
    <font>
      <u/>
      <sz val="11"/>
      <color theme="10"/>
      <name val="Calibri"/>
      <family val="2"/>
      <scheme val="minor"/>
    </font>
    <font>
      <sz val="10"/>
      <color theme="1"/>
      <name val="Calibri"/>
      <family val="2"/>
      <scheme val="minor"/>
    </font>
    <font>
      <sz val="9"/>
      <color theme="1"/>
      <name val="Calibri"/>
      <family val="2"/>
      <scheme val="minor"/>
    </font>
    <font>
      <sz val="11"/>
      <name val="Calibri"/>
      <family val="2"/>
      <scheme val="minor"/>
    </font>
    <font>
      <sz val="11"/>
      <color theme="7" tint="0.59999389629810485"/>
      <name val="Calibri"/>
      <family val="2"/>
      <scheme val="minor"/>
    </font>
    <font>
      <b/>
      <sz val="11"/>
      <color theme="7" tint="0.59999389629810485"/>
      <name val="Calibri"/>
      <family val="2"/>
      <scheme val="minor"/>
    </font>
    <font>
      <b/>
      <sz val="11"/>
      <color theme="0"/>
      <name val="Calibri"/>
      <family val="2"/>
      <scheme val="minor"/>
    </font>
    <font>
      <sz val="7"/>
      <color theme="1"/>
      <name val="Calibri"/>
      <family val="2"/>
      <scheme val="minor"/>
    </font>
    <font>
      <b/>
      <sz val="10"/>
      <color theme="1"/>
      <name val="Calibri"/>
      <family val="2"/>
      <scheme val="minor"/>
    </font>
  </fonts>
  <fills count="20">
    <fill>
      <patternFill patternType="none"/>
    </fill>
    <fill>
      <patternFill patternType="gray125"/>
    </fill>
    <fill>
      <patternFill patternType="solid">
        <fgColor theme="8" tint="0.59999389629810485"/>
        <bgColor indexed="64"/>
      </patternFill>
    </fill>
    <fill>
      <patternFill patternType="solid">
        <fgColor rgb="FF92D050"/>
        <bgColor indexed="64"/>
      </patternFill>
    </fill>
    <fill>
      <patternFill patternType="solid">
        <fgColor rgb="FFFFC000"/>
        <bgColor indexed="64"/>
      </patternFill>
    </fill>
    <fill>
      <patternFill patternType="solid">
        <fgColor rgb="FFC00000"/>
        <bgColor indexed="64"/>
      </patternFill>
    </fill>
    <fill>
      <patternFill patternType="solid">
        <fgColor theme="8" tint="0.79998168889431442"/>
        <bgColor indexed="64"/>
      </patternFill>
    </fill>
    <fill>
      <gradientFill type="path" left="0.5" right="0.5" top="0.5" bottom="0.5">
        <stop position="0">
          <color theme="1"/>
        </stop>
        <stop position="1">
          <color theme="0"/>
        </stop>
      </gradientFill>
    </fill>
    <fill>
      <patternFill patternType="solid">
        <fgColor theme="6" tint="0.59999389629810485"/>
        <bgColor indexed="64"/>
      </patternFill>
    </fill>
    <fill>
      <patternFill patternType="solid">
        <fgColor theme="9" tint="0.59999389629810485"/>
        <bgColor indexed="64"/>
      </patternFill>
    </fill>
    <fill>
      <patternFill patternType="solid">
        <fgColor theme="9"/>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4F1E9"/>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rgb="FF7030A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58">
    <xf numFmtId="0" fontId="0" fillId="0" borderId="0" xfId="0"/>
    <xf numFmtId="0" fontId="1" fillId="0" borderId="0" xfId="0" applyFont="1"/>
    <xf numFmtId="0" fontId="1" fillId="2" borderId="0" xfId="0" applyFont="1" applyFill="1"/>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 xfId="0" applyBorder="1"/>
    <xf numFmtId="0" fontId="1" fillId="0" borderId="4" xfId="0" applyFont="1" applyBorder="1"/>
    <xf numFmtId="0" fontId="0" fillId="0" borderId="0" xfId="0" applyAlignment="1">
      <alignment shrinkToFit="1"/>
    </xf>
    <xf numFmtId="0" fontId="0" fillId="0" borderId="0" xfId="0" applyAlignment="1">
      <alignment shrinkToFit="1"/>
    </xf>
    <xf numFmtId="0" fontId="3" fillId="0" borderId="0" xfId="0" applyFont="1" applyAlignment="1">
      <alignment shrinkToFit="1"/>
    </xf>
    <xf numFmtId="0" fontId="3" fillId="7" borderId="0" xfId="0" applyFont="1" applyFill="1" applyAlignment="1">
      <alignment shrinkToFit="1"/>
    </xf>
    <xf numFmtId="0" fontId="4" fillId="0" borderId="0" xfId="0" applyFont="1" applyAlignment="1">
      <alignment shrinkToFit="1"/>
    </xf>
    <xf numFmtId="0" fontId="0" fillId="0" borderId="0" xfId="0" applyFill="1" applyBorder="1"/>
    <xf numFmtId="0" fontId="0" fillId="0" borderId="10" xfId="0" applyFill="1" applyBorder="1"/>
    <xf numFmtId="0" fontId="0" fillId="0" borderId="0" xfId="0"/>
    <xf numFmtId="0" fontId="0" fillId="0" borderId="0" xfId="0" applyBorder="1"/>
    <xf numFmtId="0" fontId="0" fillId="5" borderId="0" xfId="0" applyFill="1" applyBorder="1"/>
    <xf numFmtId="0" fontId="0" fillId="0" borderId="0" xfId="0" applyAlignment="1">
      <alignment horizontal="left"/>
    </xf>
    <xf numFmtId="0" fontId="0" fillId="0" borderId="16" xfId="0" applyBorder="1"/>
    <xf numFmtId="0" fontId="0" fillId="0" borderId="8" xfId="0" applyBorder="1" applyAlignment="1">
      <alignment horizontal="left"/>
    </xf>
    <xf numFmtId="0" fontId="0" fillId="0" borderId="11" xfId="0" applyBorder="1" applyAlignment="1">
      <alignment horizontal="left"/>
    </xf>
    <xf numFmtId="0" fontId="0" fillId="0" borderId="0" xfId="0" applyFill="1" applyBorder="1" applyAlignment="1">
      <alignment horizontal="left"/>
    </xf>
    <xf numFmtId="0" fontId="0" fillId="0" borderId="10" xfId="0" applyFill="1" applyBorder="1" applyAlignment="1">
      <alignment horizontal="left"/>
    </xf>
    <xf numFmtId="0" fontId="0" fillId="2" borderId="0" xfId="0" applyFill="1"/>
    <xf numFmtId="0" fontId="0" fillId="6" borderId="12" xfId="0" applyFill="1" applyBorder="1" applyProtection="1">
      <protection locked="0"/>
    </xf>
    <xf numFmtId="0" fontId="0" fillId="6" borderId="13" xfId="0" applyFill="1" applyBorder="1" applyProtection="1">
      <protection locked="0"/>
    </xf>
    <xf numFmtId="0" fontId="0" fillId="6" borderId="14" xfId="0" applyFill="1" applyBorder="1" applyProtection="1">
      <protection locked="0"/>
    </xf>
    <xf numFmtId="0" fontId="0" fillId="0" borderId="0" xfId="0" applyAlignment="1">
      <alignment horizontal="right"/>
    </xf>
    <xf numFmtId="0" fontId="0" fillId="0" borderId="0" xfId="0" applyFill="1" applyBorder="1"/>
    <xf numFmtId="0" fontId="0" fillId="0" borderId="4" xfId="0" applyBorder="1"/>
    <xf numFmtId="0" fontId="0" fillId="0" borderId="6" xfId="0" applyBorder="1"/>
    <xf numFmtId="0" fontId="8" fillId="0" borderId="0" xfId="0" applyFont="1"/>
    <xf numFmtId="0" fontId="8" fillId="0" borderId="0" xfId="0" applyFont="1" applyAlignment="1">
      <alignment horizontal="left" vertical="top" wrapText="1"/>
    </xf>
    <xf numFmtId="0" fontId="0" fillId="8" borderId="12" xfId="0" applyFill="1" applyBorder="1"/>
    <xf numFmtId="0" fontId="0" fillId="8" borderId="13" xfId="0" applyFill="1" applyBorder="1"/>
    <xf numFmtId="0" fontId="0" fillId="9" borderId="13" xfId="0" applyFill="1" applyBorder="1"/>
    <xf numFmtId="0" fontId="0" fillId="9" borderId="14" xfId="0" applyFill="1" applyBorder="1"/>
    <xf numFmtId="164" fontId="0" fillId="2" borderId="0" xfId="0" applyNumberFormat="1" applyFill="1" applyAlignment="1">
      <alignment horizontal="left"/>
    </xf>
    <xf numFmtId="14" fontId="0" fillId="2" borderId="0" xfId="0" applyNumberFormat="1" applyFill="1" applyAlignment="1">
      <alignment horizontal="left"/>
    </xf>
    <xf numFmtId="0" fontId="9" fillId="2" borderId="0" xfId="1" applyFill="1"/>
    <xf numFmtId="0" fontId="0" fillId="0" borderId="0" xfId="0" quotePrefix="1" applyFill="1" applyBorder="1"/>
    <xf numFmtId="0" fontId="1" fillId="0" borderId="0" xfId="0" applyFont="1" applyFill="1" applyBorder="1"/>
    <xf numFmtId="0" fontId="0" fillId="8" borderId="0" xfId="0" applyFill="1" applyBorder="1"/>
    <xf numFmtId="0" fontId="0" fillId="9" borderId="0" xfId="0" applyFill="1" applyBorder="1"/>
    <xf numFmtId="0" fontId="0" fillId="0" borderId="0" xfId="0" applyAlignment="1">
      <alignment horizontal="center"/>
    </xf>
    <xf numFmtId="0" fontId="0" fillId="0" borderId="1" xfId="0" applyFill="1" applyBorder="1" applyProtection="1">
      <protection locked="0"/>
    </xf>
    <xf numFmtId="0" fontId="0" fillId="0" borderId="0" xfId="0" applyFill="1" applyBorder="1"/>
    <xf numFmtId="0" fontId="0" fillId="0" borderId="9" xfId="0" applyBorder="1"/>
    <xf numFmtId="0" fontId="0" fillId="0" borderId="11" xfId="0" applyBorder="1"/>
    <xf numFmtId="0" fontId="0" fillId="0" borderId="6" xfId="0" applyBorder="1"/>
    <xf numFmtId="0" fontId="0" fillId="0" borderId="0" xfId="0" applyFill="1" applyBorder="1"/>
    <xf numFmtId="0" fontId="0" fillId="0" borderId="0" xfId="0"/>
    <xf numFmtId="0" fontId="10" fillId="0" borderId="0" xfId="0" applyFont="1" applyBorder="1" applyAlignment="1">
      <alignment wrapText="1"/>
    </xf>
    <xf numFmtId="0" fontId="0" fillId="0" borderId="0" xfId="0" applyBorder="1" applyAlignment="1">
      <alignment wrapText="1"/>
    </xf>
    <xf numFmtId="0" fontId="0" fillId="0" borderId="18" xfId="0" applyBorder="1" applyAlignment="1">
      <alignment horizontal="center"/>
    </xf>
    <xf numFmtId="0" fontId="0" fillId="0" borderId="15" xfId="0" applyBorder="1"/>
    <xf numFmtId="0" fontId="0" fillId="2" borderId="0" xfId="0" applyFill="1" applyProtection="1"/>
    <xf numFmtId="0" fontId="0" fillId="0" borderId="0" xfId="0" applyAlignment="1" applyProtection="1">
      <alignment horizontal="right"/>
    </xf>
    <xf numFmtId="0" fontId="0" fillId="0" borderId="0" xfId="0" applyProtection="1"/>
    <xf numFmtId="0" fontId="0" fillId="0" borderId="0" xfId="0" applyAlignment="1" applyProtection="1">
      <alignment horizontal="left"/>
    </xf>
    <xf numFmtId="0" fontId="1" fillId="2" borderId="0" xfId="0" applyFont="1" applyFill="1" applyProtection="1"/>
    <xf numFmtId="0" fontId="5" fillId="2" borderId="0" xfId="0" applyFont="1" applyFill="1" applyProtection="1"/>
    <xf numFmtId="0" fontId="7" fillId="2" borderId="0" xfId="0" applyFont="1" applyFill="1" applyProtection="1"/>
    <xf numFmtId="0" fontId="7" fillId="2" borderId="0" xfId="0" applyFont="1" applyFill="1" applyAlignment="1" applyProtection="1">
      <alignment horizontal="left"/>
    </xf>
    <xf numFmtId="0" fontId="1" fillId="0" borderId="4" xfId="0" applyFont="1" applyBorder="1" applyProtection="1"/>
    <xf numFmtId="0" fontId="1" fillId="0" borderId="5" xfId="0" applyFont="1" applyBorder="1" applyProtection="1"/>
    <xf numFmtId="0" fontId="0" fillId="0" borderId="5" xfId="0" applyBorder="1" applyProtection="1"/>
    <xf numFmtId="0" fontId="0" fillId="0" borderId="6" xfId="0" applyBorder="1" applyProtection="1"/>
    <xf numFmtId="0" fontId="0" fillId="0" borderId="12" xfId="0" applyBorder="1" applyProtection="1"/>
    <xf numFmtId="0" fontId="0" fillId="0" borderId="0" xfId="0" quotePrefix="1" applyAlignment="1" applyProtection="1">
      <alignment horizontal="left"/>
    </xf>
    <xf numFmtId="0" fontId="0" fillId="0" borderId="7" xfId="0" applyBorder="1" applyProtection="1"/>
    <xf numFmtId="0" fontId="0" fillId="0" borderId="0" xfId="0" applyBorder="1" applyProtection="1"/>
    <xf numFmtId="0" fontId="0" fillId="0" borderId="8" xfId="0" applyBorder="1" applyProtection="1"/>
    <xf numFmtId="0" fontId="0" fillId="0" borderId="0" xfId="0" quotePrefix="1" applyProtection="1"/>
    <xf numFmtId="0" fontId="0" fillId="0" borderId="13" xfId="0" applyFill="1" applyBorder="1" applyProtection="1"/>
    <xf numFmtId="0" fontId="0" fillId="0" borderId="0" xfId="0" quotePrefix="1" applyBorder="1" applyProtection="1"/>
    <xf numFmtId="0" fontId="0" fillId="0" borderId="13" xfId="0" applyBorder="1" applyProtection="1"/>
    <xf numFmtId="0" fontId="0" fillId="0" borderId="13" xfId="0" quotePrefix="1" applyFill="1" applyBorder="1" applyProtection="1"/>
    <xf numFmtId="0" fontId="0" fillId="5" borderId="0" xfId="0" applyFill="1" applyBorder="1" applyProtection="1"/>
    <xf numFmtId="0" fontId="6" fillId="0" borderId="13" xfId="0" applyFont="1" applyBorder="1" applyProtection="1"/>
    <xf numFmtId="0" fontId="0" fillId="4" borderId="0" xfId="0" applyFill="1" applyBorder="1" applyProtection="1"/>
    <xf numFmtId="0" fontId="0" fillId="0" borderId="9" xfId="0" applyBorder="1" applyProtection="1"/>
    <xf numFmtId="0" fontId="0" fillId="0" borderId="10" xfId="0" applyBorder="1" applyProtection="1"/>
    <xf numFmtId="0" fontId="0" fillId="0" borderId="11" xfId="0" applyBorder="1" applyProtection="1"/>
    <xf numFmtId="0" fontId="0" fillId="0" borderId="14" xfId="0" applyFill="1" applyBorder="1" applyProtection="1"/>
    <xf numFmtId="0" fontId="0" fillId="3" borderId="0" xfId="0" applyFill="1" applyBorder="1" applyProtection="1"/>
    <xf numFmtId="0" fontId="0" fillId="2" borderId="0" xfId="0" applyFill="1" applyAlignment="1" applyProtection="1">
      <alignment wrapText="1"/>
    </xf>
    <xf numFmtId="0" fontId="0" fillId="2" borderId="0" xfId="0" applyFill="1" applyBorder="1" applyProtection="1"/>
    <xf numFmtId="0" fontId="1" fillId="0" borderId="12" xfId="0" applyFont="1" applyBorder="1" applyProtection="1"/>
    <xf numFmtId="0" fontId="0" fillId="0" borderId="14" xfId="0" applyBorder="1" applyProtection="1"/>
    <xf numFmtId="0" fontId="0" fillId="2" borderId="0" xfId="0" applyFill="1" applyProtection="1"/>
    <xf numFmtId="0" fontId="1" fillId="0" borderId="0" xfId="0" applyFont="1" applyProtection="1"/>
    <xf numFmtId="0" fontId="0" fillId="0" borderId="4" xfId="0" applyBorder="1" applyProtection="1"/>
    <xf numFmtId="0" fontId="1" fillId="0" borderId="7" xfId="0" applyFont="1" applyBorder="1" applyProtection="1"/>
    <xf numFmtId="0" fontId="1" fillId="0" borderId="0" xfId="0" applyFont="1" applyBorder="1" applyProtection="1"/>
    <xf numFmtId="0" fontId="0" fillId="0" borderId="0" xfId="0" applyFill="1" applyBorder="1" applyProtection="1"/>
    <xf numFmtId="0" fontId="0" fillId="2" borderId="0" xfId="0" applyFill="1" applyAlignment="1" applyProtection="1">
      <alignment horizontal="right"/>
    </xf>
    <xf numFmtId="0" fontId="0" fillId="2" borderId="0" xfId="0" applyFill="1" applyAlignment="1" applyProtection="1">
      <alignment horizontal="left"/>
    </xf>
    <xf numFmtId="0" fontId="0" fillId="0" borderId="1" xfId="0" applyBorder="1" applyProtection="1"/>
    <xf numFmtId="0" fontId="0" fillId="2" borderId="17" xfId="0" applyFill="1" applyBorder="1" applyProtection="1"/>
    <xf numFmtId="0" fontId="5" fillId="2" borderId="18" xfId="0" applyFont="1" applyFill="1" applyBorder="1" applyProtection="1"/>
    <xf numFmtId="0" fontId="0" fillId="2" borderId="18" xfId="0" applyFill="1" applyBorder="1" applyProtection="1"/>
    <xf numFmtId="0" fontId="0" fillId="2" borderId="19" xfId="0" applyFill="1" applyBorder="1" applyProtection="1"/>
    <xf numFmtId="0" fontId="1" fillId="2" borderId="0" xfId="0" applyFont="1" applyFill="1" applyBorder="1" applyProtection="1"/>
    <xf numFmtId="0" fontId="0" fillId="2" borderId="0" xfId="0" applyFill="1" applyBorder="1" applyAlignment="1" applyProtection="1">
      <alignment horizontal="right"/>
    </xf>
    <xf numFmtId="0" fontId="0" fillId="2" borderId="20" xfId="0" applyFill="1" applyBorder="1" applyProtection="1"/>
    <xf numFmtId="0" fontId="0" fillId="2" borderId="0" xfId="0" applyFill="1" applyBorder="1" applyAlignment="1" applyProtection="1">
      <alignment horizontal="center"/>
    </xf>
    <xf numFmtId="0" fontId="1" fillId="0" borderId="6" xfId="0" applyFont="1" applyBorder="1" applyProtection="1"/>
    <xf numFmtId="0" fontId="0" fillId="0" borderId="5" xfId="0" applyFill="1" applyBorder="1" applyAlignment="1" applyProtection="1">
      <alignment horizontal="center"/>
    </xf>
    <xf numFmtId="0" fontId="0" fillId="0" borderId="5" xfId="0" applyFill="1" applyBorder="1" applyProtection="1"/>
    <xf numFmtId="0" fontId="0" fillId="2" borderId="5" xfId="0" applyFill="1" applyBorder="1" applyProtection="1"/>
    <xf numFmtId="0" fontId="0" fillId="2" borderId="6" xfId="0" applyFill="1" applyBorder="1" applyProtection="1"/>
    <xf numFmtId="0" fontId="0" fillId="2" borderId="20" xfId="0" applyFill="1" applyBorder="1" applyAlignment="1" applyProtection="1">
      <alignment horizontal="center"/>
    </xf>
    <xf numFmtId="0" fontId="0" fillId="0" borderId="8" xfId="0" quotePrefix="1" applyBorder="1" applyProtection="1"/>
    <xf numFmtId="0" fontId="0" fillId="4" borderId="7" xfId="0" quotePrefix="1" applyFill="1" applyBorder="1" applyProtection="1"/>
    <xf numFmtId="0" fontId="0" fillId="0" borderId="10" xfId="0" quotePrefix="1" applyBorder="1" applyProtection="1"/>
    <xf numFmtId="0" fontId="0" fillId="0" borderId="11" xfId="0" quotePrefix="1" applyBorder="1" applyProtection="1"/>
    <xf numFmtId="0" fontId="0" fillId="0" borderId="0" xfId="0" quotePrefix="1" applyFill="1" applyBorder="1" applyProtection="1"/>
    <xf numFmtId="0" fontId="0" fillId="0" borderId="8" xfId="0" applyFill="1" applyBorder="1" applyProtection="1"/>
    <xf numFmtId="0" fontId="0" fillId="2" borderId="21" xfId="0" applyFill="1" applyBorder="1" applyProtection="1"/>
    <xf numFmtId="0" fontId="0" fillId="2" borderId="22" xfId="0" applyFill="1" applyBorder="1" applyProtection="1"/>
    <xf numFmtId="0" fontId="0" fillId="2" borderId="23" xfId="0" applyFill="1" applyBorder="1" applyProtection="1"/>
    <xf numFmtId="0" fontId="0" fillId="2" borderId="0" xfId="0" applyFill="1" applyBorder="1" applyAlignment="1" applyProtection="1">
      <alignment horizontal="center"/>
      <protection locked="0"/>
    </xf>
    <xf numFmtId="0" fontId="0" fillId="2" borderId="20" xfId="0" applyFill="1" applyBorder="1" applyAlignment="1" applyProtection="1">
      <alignment horizontal="center"/>
      <protection locked="0"/>
    </xf>
    <xf numFmtId="0" fontId="0" fillId="10" borderId="0" xfId="0" applyFill="1" applyBorder="1"/>
    <xf numFmtId="0" fontId="0" fillId="12" borderId="0" xfId="0" applyFill="1" applyProtection="1"/>
    <xf numFmtId="0" fontId="0" fillId="12" borderId="0" xfId="0" applyFill="1" applyBorder="1" applyProtection="1"/>
    <xf numFmtId="0" fontId="0" fillId="12" borderId="0" xfId="0" applyFill="1" applyBorder="1" applyAlignment="1" applyProtection="1">
      <alignment shrinkToFit="1"/>
    </xf>
    <xf numFmtId="0" fontId="0" fillId="12" borderId="0" xfId="0" applyFill="1" applyBorder="1" applyAlignment="1" applyProtection="1">
      <alignment horizontal="center"/>
      <protection locked="0"/>
    </xf>
    <xf numFmtId="0" fontId="0" fillId="12" borderId="0" xfId="0" applyFill="1" applyBorder="1" applyAlignment="1" applyProtection="1">
      <alignment horizontal="center"/>
    </xf>
    <xf numFmtId="0" fontId="0" fillId="2" borderId="0" xfId="0" applyFill="1" applyAlignment="1" applyProtection="1">
      <alignment horizontal="center"/>
    </xf>
    <xf numFmtId="0" fontId="0" fillId="6" borderId="12" xfId="0" applyFill="1" applyBorder="1" applyAlignment="1" applyProtection="1">
      <alignment horizontal="center"/>
      <protection locked="0"/>
    </xf>
    <xf numFmtId="0" fontId="0" fillId="6" borderId="13" xfId="0" applyFill="1" applyBorder="1" applyAlignment="1" applyProtection="1">
      <alignment horizontal="center"/>
      <protection locked="0"/>
    </xf>
    <xf numFmtId="0" fontId="0" fillId="6" borderId="14" xfId="0" applyFill="1" applyBorder="1" applyAlignment="1" applyProtection="1">
      <alignment horizontal="center"/>
      <protection locked="0"/>
    </xf>
    <xf numFmtId="0" fontId="12" fillId="11" borderId="0" xfId="0" applyFont="1" applyFill="1" applyProtection="1"/>
    <xf numFmtId="0" fontId="13" fillId="11" borderId="0" xfId="0" applyFont="1" applyFill="1" applyProtection="1"/>
    <xf numFmtId="0" fontId="13" fillId="11" borderId="0" xfId="0" applyFont="1" applyFill="1" applyAlignment="1" applyProtection="1">
      <alignment wrapText="1"/>
    </xf>
    <xf numFmtId="0" fontId="13" fillId="11" borderId="0" xfId="0" applyFont="1" applyFill="1" applyAlignment="1" applyProtection="1">
      <alignment horizontal="center"/>
    </xf>
    <xf numFmtId="0" fontId="14" fillId="11" borderId="0" xfId="0" applyFont="1" applyFill="1" applyAlignment="1" applyProtection="1">
      <alignment horizontal="center"/>
    </xf>
    <xf numFmtId="0" fontId="13" fillId="11" borderId="0" xfId="0" applyFont="1" applyFill="1" applyAlignment="1" applyProtection="1">
      <alignment horizontal="right"/>
    </xf>
    <xf numFmtId="0" fontId="14" fillId="11" borderId="0" xfId="0" applyFont="1" applyFill="1" applyProtection="1"/>
    <xf numFmtId="0" fontId="13" fillId="11" borderId="0" xfId="0" applyFont="1" applyFill="1" applyBorder="1" applyProtection="1"/>
    <xf numFmtId="0" fontId="0" fillId="11" borderId="0" xfId="0" applyFill="1" applyBorder="1"/>
    <xf numFmtId="0" fontId="0" fillId="0" borderId="0" xfId="0" applyAlignment="1">
      <alignment shrinkToFit="1"/>
    </xf>
    <xf numFmtId="0" fontId="13" fillId="11" borderId="0" xfId="0" applyFont="1" applyFill="1" applyBorder="1" applyAlignment="1" applyProtection="1">
      <alignment horizontal="center"/>
      <protection locked="0"/>
    </xf>
    <xf numFmtId="0" fontId="0" fillId="2" borderId="0" xfId="0" applyFill="1" applyProtection="1"/>
    <xf numFmtId="0" fontId="0" fillId="0" borderId="0" xfId="0" applyAlignment="1">
      <alignment shrinkToFit="1"/>
    </xf>
    <xf numFmtId="0" fontId="3" fillId="0" borderId="0" xfId="0" applyFont="1" applyAlignment="1">
      <alignment vertical="center" shrinkToFit="1"/>
    </xf>
    <xf numFmtId="0" fontId="0" fillId="13" borderId="0" xfId="0" applyFill="1" applyAlignment="1">
      <alignment shrinkToFit="1"/>
    </xf>
    <xf numFmtId="0" fontId="15" fillId="12" borderId="0" xfId="0" applyFont="1" applyFill="1" applyAlignment="1">
      <alignment horizontal="center" shrinkToFit="1"/>
    </xf>
    <xf numFmtId="0" fontId="4" fillId="0" borderId="0" xfId="0" applyFont="1" applyAlignment="1">
      <alignment horizontal="center" vertical="center" shrinkToFit="1"/>
    </xf>
    <xf numFmtId="0" fontId="11" fillId="0" borderId="0" xfId="0" applyFont="1" applyAlignment="1">
      <alignment horizontal="right" vertical="center"/>
    </xf>
    <xf numFmtId="0" fontId="0" fillId="0" borderId="0" xfId="0" applyAlignment="1"/>
    <xf numFmtId="0" fontId="4" fillId="0" borderId="0" xfId="0" applyFont="1" applyAlignment="1"/>
    <xf numFmtId="0" fontId="15" fillId="0" borderId="0" xfId="0" applyFont="1" applyFill="1" applyAlignment="1">
      <alignment horizontal="center" shrinkToFit="1"/>
    </xf>
    <xf numFmtId="0" fontId="7" fillId="2" borderId="0" xfId="0" applyFont="1" applyFill="1" applyAlignment="1" applyProtection="1">
      <alignment horizontal="right"/>
    </xf>
    <xf numFmtId="0" fontId="0" fillId="2" borderId="0" xfId="0" applyFill="1" applyProtection="1"/>
    <xf numFmtId="0" fontId="13" fillId="11" borderId="0" xfId="0" applyFont="1" applyFill="1" applyProtection="1"/>
    <xf numFmtId="0" fontId="0" fillId="0" borderId="0" xfId="0"/>
    <xf numFmtId="0" fontId="0" fillId="0" borderId="4" xfId="0" applyBorder="1"/>
    <xf numFmtId="0" fontId="0" fillId="0" borderId="6" xfId="0" applyBorder="1"/>
    <xf numFmtId="0" fontId="0" fillId="0" borderId="9" xfId="0" applyBorder="1"/>
    <xf numFmtId="0" fontId="0" fillId="0" borderId="11" xfId="0" applyBorder="1"/>
    <xf numFmtId="0" fontId="0" fillId="0" borderId="0" xfId="0" applyAlignment="1">
      <alignment shrinkToFit="1"/>
    </xf>
    <xf numFmtId="0" fontId="0" fillId="0" borderId="0" xfId="0"/>
    <xf numFmtId="0" fontId="0" fillId="0" borderId="0" xfId="0" quotePrefix="1" applyAlignment="1" applyProtection="1">
      <alignment horizontal="right"/>
    </xf>
    <xf numFmtId="0" fontId="0" fillId="8" borderId="0" xfId="0" applyFill="1" applyProtection="1"/>
    <xf numFmtId="0" fontId="0" fillId="14" borderId="0" xfId="0" applyFill="1" applyProtection="1"/>
    <xf numFmtId="0" fontId="0" fillId="0" borderId="6" xfId="0" applyBorder="1" applyAlignment="1">
      <alignment horizontal="left" shrinkToFit="1"/>
    </xf>
    <xf numFmtId="0" fontId="0" fillId="0" borderId="8" xfId="0" applyBorder="1" applyAlignment="1">
      <alignment horizontal="left" shrinkToFit="1"/>
    </xf>
    <xf numFmtId="0" fontId="1" fillId="14" borderId="0" xfId="0" applyFont="1" applyFill="1" applyProtection="1"/>
    <xf numFmtId="0" fontId="1" fillId="8" borderId="0" xfId="0" applyFont="1" applyFill="1" applyProtection="1"/>
    <xf numFmtId="0" fontId="0" fillId="9" borderId="10" xfId="0" applyFill="1" applyBorder="1"/>
    <xf numFmtId="0" fontId="0" fillId="0" borderId="0" xfId="0" quotePrefix="1" applyBorder="1"/>
    <xf numFmtId="0" fontId="10" fillId="13" borderId="0" xfId="0" applyFont="1" applyFill="1" applyAlignment="1">
      <alignment shrinkToFit="1"/>
    </xf>
    <xf numFmtId="0" fontId="10" fillId="0" borderId="0" xfId="0" applyFont="1" applyAlignment="1">
      <alignment shrinkToFit="1"/>
    </xf>
    <xf numFmtId="0" fontId="0" fillId="0" borderId="0" xfId="0" quotePrefix="1"/>
    <xf numFmtId="0" fontId="17" fillId="16" borderId="0" xfId="0" applyFont="1" applyFill="1" applyAlignment="1">
      <alignment shrinkToFit="1"/>
    </xf>
    <xf numFmtId="0" fontId="8" fillId="0" borderId="0" xfId="0" applyFont="1" applyAlignment="1">
      <alignment shrinkToFit="1"/>
    </xf>
    <xf numFmtId="0" fontId="8" fillId="0" borderId="0" xfId="0" applyFont="1" applyAlignment="1">
      <alignment vertical="top" shrinkToFit="1"/>
    </xf>
    <xf numFmtId="0" fontId="0" fillId="0" borderId="0" xfId="0"/>
    <xf numFmtId="0" fontId="1" fillId="14" borderId="0" xfId="0" applyFont="1" applyFill="1" applyAlignment="1" applyProtection="1">
      <alignment horizontal="center"/>
    </xf>
    <xf numFmtId="0" fontId="0" fillId="2" borderId="0" xfId="0" applyFill="1"/>
    <xf numFmtId="0" fontId="1" fillId="0" borderId="4" xfId="0" applyFont="1" applyBorder="1" applyAlignment="1" applyProtection="1">
      <alignment horizontal="center"/>
    </xf>
    <xf numFmtId="0" fontId="0" fillId="2" borderId="0" xfId="0" applyFill="1" applyBorder="1" applyAlignment="1" applyProtection="1">
      <alignment horizontal="left"/>
    </xf>
    <xf numFmtId="0" fontId="0" fillId="2" borderId="0" xfId="0" applyFill="1" applyProtection="1"/>
    <xf numFmtId="0" fontId="0" fillId="2" borderId="0" xfId="0" applyFill="1" applyBorder="1" applyProtection="1"/>
    <xf numFmtId="0" fontId="0" fillId="0" borderId="0" xfId="0" applyAlignment="1">
      <alignment horizontal="center"/>
    </xf>
    <xf numFmtId="0" fontId="0" fillId="0" borderId="0" xfId="0"/>
    <xf numFmtId="0" fontId="0" fillId="0" borderId="7" xfId="0" applyFill="1" applyBorder="1"/>
    <xf numFmtId="0" fontId="0" fillId="0" borderId="0" xfId="0" applyFill="1" applyBorder="1"/>
    <xf numFmtId="0" fontId="0" fillId="0" borderId="9" xfId="0" applyFill="1" applyBorder="1"/>
    <xf numFmtId="0" fontId="0" fillId="0" borderId="10" xfId="0" applyFill="1" applyBorder="1"/>
    <xf numFmtId="0" fontId="0" fillId="0" borderId="5" xfId="0" applyFill="1" applyBorder="1"/>
    <xf numFmtId="0" fontId="0" fillId="0" borderId="4" xfId="0" applyBorder="1"/>
    <xf numFmtId="0" fontId="0" fillId="0" borderId="6" xfId="0" applyBorder="1"/>
    <xf numFmtId="0" fontId="0" fillId="0" borderId="9" xfId="0" applyBorder="1"/>
    <xf numFmtId="0" fontId="0" fillId="0" borderId="11" xfId="0" applyBorder="1"/>
    <xf numFmtId="0" fontId="0" fillId="17" borderId="7" xfId="0" applyFill="1" applyBorder="1" applyProtection="1"/>
    <xf numFmtId="0" fontId="0" fillId="17" borderId="13" xfId="0" applyFill="1" applyBorder="1" applyProtection="1"/>
    <xf numFmtId="0" fontId="0" fillId="17" borderId="4" xfId="0" applyFill="1" applyBorder="1" applyProtection="1"/>
    <xf numFmtId="0" fontId="0" fillId="17" borderId="5" xfId="0" applyFill="1" applyBorder="1" applyProtection="1"/>
    <xf numFmtId="0" fontId="0" fillId="17" borderId="6" xfId="0" applyFill="1" applyBorder="1" applyProtection="1"/>
    <xf numFmtId="0" fontId="0" fillId="17" borderId="0" xfId="0" applyFill="1" applyBorder="1" applyProtection="1"/>
    <xf numFmtId="0" fontId="0" fillId="17" borderId="8" xfId="0" applyFill="1" applyBorder="1" applyProtection="1"/>
    <xf numFmtId="0" fontId="0" fillId="17" borderId="9" xfId="0" applyFill="1" applyBorder="1" applyProtection="1"/>
    <xf numFmtId="0" fontId="0" fillId="0" borderId="0" xfId="0"/>
    <xf numFmtId="0" fontId="0" fillId="18" borderId="8" xfId="0" applyFill="1" applyBorder="1" applyProtection="1"/>
    <xf numFmtId="0" fontId="0" fillId="17" borderId="0" xfId="0" applyFill="1" applyProtection="1"/>
    <xf numFmtId="0" fontId="12" fillId="0" borderId="1" xfId="0" applyFont="1" applyFill="1" applyBorder="1" applyAlignment="1" applyProtection="1">
      <alignment horizontal="center"/>
      <protection locked="0"/>
    </xf>
    <xf numFmtId="0" fontId="0" fillId="17" borderId="0" xfId="0" applyFill="1"/>
    <xf numFmtId="0" fontId="0" fillId="9" borderId="0" xfId="0" applyFill="1"/>
    <xf numFmtId="0" fontId="0" fillId="9" borderId="13" xfId="0" quotePrefix="1" applyFill="1" applyBorder="1" applyProtection="1"/>
    <xf numFmtId="0" fontId="1" fillId="2" borderId="0" xfId="0" applyFont="1" applyFill="1" applyAlignment="1" applyProtection="1">
      <alignment horizontal="right"/>
    </xf>
    <xf numFmtId="0" fontId="0" fillId="0" borderId="1" xfId="0" applyFill="1" applyBorder="1" applyProtection="1"/>
    <xf numFmtId="0" fontId="0" fillId="0" borderId="8" xfId="0" applyFill="1" applyBorder="1"/>
    <xf numFmtId="0" fontId="0" fillId="2" borderId="18" xfId="0" applyFill="1" applyBorder="1" applyAlignment="1" applyProtection="1">
      <alignment horizontal="right"/>
    </xf>
    <xf numFmtId="0" fontId="12" fillId="0" borderId="28" xfId="0" applyFont="1" applyFill="1" applyBorder="1" applyAlignment="1" applyProtection="1">
      <alignment horizontal="center"/>
      <protection locked="0"/>
    </xf>
    <xf numFmtId="0" fontId="0" fillId="0" borderId="6" xfId="0" applyFill="1" applyBorder="1"/>
    <xf numFmtId="0" fontId="0" fillId="0" borderId="0" xfId="0" applyBorder="1"/>
    <xf numFmtId="0" fontId="0" fillId="0" borderId="0" xfId="0" applyFill="1" applyBorder="1"/>
    <xf numFmtId="0" fontId="0" fillId="0" borderId="11" xfId="0" applyBorder="1"/>
    <xf numFmtId="0" fontId="0" fillId="19" borderId="7" xfId="0" applyFill="1" applyBorder="1" applyProtection="1"/>
    <xf numFmtId="0" fontId="0" fillId="19" borderId="0" xfId="0" applyFill="1"/>
    <xf numFmtId="0" fontId="0" fillId="19" borderId="0" xfId="0" applyFill="1" applyBorder="1" applyProtection="1"/>
    <xf numFmtId="0" fontId="0" fillId="2" borderId="0" xfId="0" applyFill="1" applyAlignment="1">
      <alignment wrapText="1"/>
    </xf>
    <xf numFmtId="0" fontId="0" fillId="2" borderId="0" xfId="0" applyFill="1"/>
    <xf numFmtId="0" fontId="1" fillId="2" borderId="0" xfId="0" applyFont="1" applyFill="1"/>
    <xf numFmtId="0" fontId="13" fillId="11" borderId="0" xfId="0" applyFont="1" applyFill="1" applyBorder="1" applyAlignment="1" applyProtection="1">
      <alignment horizontal="left"/>
      <protection locked="0"/>
    </xf>
    <xf numFmtId="0" fontId="13" fillId="11" borderId="0" xfId="0" applyFont="1" applyFill="1" applyAlignment="1" applyProtection="1">
      <alignment horizontal="left"/>
    </xf>
    <xf numFmtId="0" fontId="13" fillId="11" borderId="0" xfId="0" applyFont="1" applyFill="1" applyProtection="1"/>
    <xf numFmtId="0" fontId="13" fillId="11" borderId="0" xfId="0" applyFont="1" applyFill="1" applyAlignment="1" applyProtection="1">
      <alignment wrapText="1"/>
    </xf>
    <xf numFmtId="0" fontId="12" fillId="0" borderId="2" xfId="0" applyFont="1" applyFill="1" applyBorder="1" applyAlignment="1" applyProtection="1">
      <alignment horizontal="center"/>
      <protection locked="0"/>
    </xf>
    <xf numFmtId="0" fontId="12" fillId="0" borderId="3" xfId="0" applyFont="1" applyFill="1" applyBorder="1" applyAlignment="1" applyProtection="1">
      <alignment horizontal="center"/>
      <protection locked="0"/>
    </xf>
    <xf numFmtId="0" fontId="0" fillId="0" borderId="2" xfId="0" applyFill="1" applyBorder="1" applyProtection="1">
      <protection locked="0"/>
    </xf>
    <xf numFmtId="0" fontId="0" fillId="0" borderId="3" xfId="0" applyFill="1" applyBorder="1" applyProtection="1">
      <protection locked="0"/>
    </xf>
    <xf numFmtId="0" fontId="0" fillId="0" borderId="15" xfId="0" applyFill="1" applyBorder="1" applyProtection="1">
      <protection locked="0"/>
    </xf>
    <xf numFmtId="0" fontId="0" fillId="2" borderId="0" xfId="0" applyFill="1" applyProtection="1"/>
    <xf numFmtId="0" fontId="0" fillId="2" borderId="0" xfId="0" applyFill="1" applyBorder="1" applyProtection="1"/>
    <xf numFmtId="0" fontId="0" fillId="0" borderId="9" xfId="0" applyFill="1" applyBorder="1" applyProtection="1">
      <protection locked="0"/>
    </xf>
    <xf numFmtId="0" fontId="0" fillId="0" borderId="11" xfId="0" applyFill="1" applyBorder="1" applyProtection="1">
      <protection locked="0"/>
    </xf>
    <xf numFmtId="0" fontId="0" fillId="0" borderId="1" xfId="0" applyFill="1" applyBorder="1" applyProtection="1">
      <protection locked="0"/>
    </xf>
    <xf numFmtId="0" fontId="0" fillId="2" borderId="0" xfId="0" applyFill="1" applyAlignment="1" applyProtection="1">
      <alignment wrapText="1"/>
    </xf>
    <xf numFmtId="0" fontId="0" fillId="2" borderId="0" xfId="0" applyFill="1" applyBorder="1" applyProtection="1">
      <protection locked="0"/>
    </xf>
    <xf numFmtId="0" fontId="0" fillId="2" borderId="0" xfId="0" applyFill="1" applyBorder="1" applyAlignment="1" applyProtection="1">
      <alignment shrinkToFit="1"/>
    </xf>
    <xf numFmtId="0" fontId="0" fillId="2" borderId="0" xfId="0" applyFill="1" applyBorder="1" applyAlignment="1" applyProtection="1">
      <alignment horizontal="left"/>
    </xf>
    <xf numFmtId="0" fontId="0" fillId="15" borderId="0" xfId="0" applyFill="1" applyAlignment="1" applyProtection="1">
      <alignment vertical="top" wrapText="1" shrinkToFit="1"/>
    </xf>
    <xf numFmtId="0" fontId="0" fillId="2" borderId="0" xfId="0" applyFill="1" applyAlignment="1" applyProtection="1">
      <alignment horizontal="left" vertical="top" wrapText="1"/>
    </xf>
    <xf numFmtId="0" fontId="0" fillId="8" borderId="0" xfId="0" applyFill="1" applyAlignment="1" applyProtection="1">
      <alignment vertical="top" wrapText="1"/>
    </xf>
    <xf numFmtId="0" fontId="0" fillId="15" borderId="0" xfId="0" applyFill="1" applyAlignment="1" applyProtection="1">
      <alignment vertical="top" shrinkToFit="1"/>
    </xf>
    <xf numFmtId="0" fontId="0" fillId="2" borderId="20" xfId="0" applyFill="1" applyBorder="1" applyAlignment="1" applyProtection="1">
      <alignment shrinkToFit="1"/>
    </xf>
    <xf numFmtId="0" fontId="13" fillId="11" borderId="0" xfId="0" applyFont="1" applyFill="1" applyBorder="1" applyProtection="1">
      <protection locked="0"/>
    </xf>
    <xf numFmtId="0" fontId="0" fillId="14" borderId="0" xfId="0" applyFill="1" applyProtection="1"/>
    <xf numFmtId="0" fontId="1" fillId="14" borderId="0" xfId="0" applyFont="1" applyFill="1" applyProtection="1"/>
    <xf numFmtId="0" fontId="0" fillId="2" borderId="0" xfId="0" applyFill="1" applyAlignment="1" applyProtection="1">
      <alignment horizontal="right"/>
    </xf>
    <xf numFmtId="0" fontId="0" fillId="2" borderId="18" xfId="0" applyFill="1" applyBorder="1" applyAlignment="1" applyProtection="1">
      <alignment horizontal="right"/>
    </xf>
    <xf numFmtId="0" fontId="0" fillId="2" borderId="27" xfId="0" applyFill="1" applyBorder="1" applyAlignment="1" applyProtection="1">
      <alignment horizontal="right"/>
    </xf>
    <xf numFmtId="0" fontId="0" fillId="14" borderId="0" xfId="0" applyFill="1" applyAlignment="1" applyProtection="1">
      <alignment vertical="top" wrapText="1"/>
    </xf>
    <xf numFmtId="0" fontId="1" fillId="14" borderId="0" xfId="0" applyFont="1" applyFill="1" applyAlignment="1" applyProtection="1">
      <alignment horizontal="left"/>
    </xf>
    <xf numFmtId="0" fontId="13" fillId="11" borderId="0" xfId="0" applyFont="1" applyFill="1" applyAlignment="1" applyProtection="1">
      <alignment horizontal="right"/>
    </xf>
    <xf numFmtId="0" fontId="0" fillId="0" borderId="2" xfId="0" applyFill="1" applyBorder="1" applyAlignment="1" applyProtection="1">
      <alignment horizontal="left"/>
      <protection locked="0"/>
    </xf>
    <xf numFmtId="0" fontId="0" fillId="0" borderId="15" xfId="0" applyFill="1" applyBorder="1" applyAlignment="1" applyProtection="1">
      <alignment horizontal="left"/>
      <protection locked="0"/>
    </xf>
    <xf numFmtId="0" fontId="0" fillId="0" borderId="3" xfId="0" applyFill="1" applyBorder="1" applyAlignment="1" applyProtection="1">
      <alignment horizontal="left"/>
      <protection locked="0"/>
    </xf>
    <xf numFmtId="0" fontId="8" fillId="0" borderId="0" xfId="0" applyFont="1" applyAlignment="1">
      <alignment horizontal="left" vertical="top" wrapText="1"/>
    </xf>
    <xf numFmtId="0" fontId="0" fillId="0" borderId="0" xfId="0" applyAlignment="1">
      <alignment horizontal="left"/>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8" fillId="2" borderId="0" xfId="0" applyFont="1" applyFill="1" applyAlignment="1">
      <alignment horizontal="left"/>
    </xf>
    <xf numFmtId="0" fontId="0" fillId="0" borderId="2" xfId="0" applyBorder="1" applyAlignment="1">
      <alignment horizontal="center"/>
    </xf>
    <xf numFmtId="0" fontId="0" fillId="0" borderId="15" xfId="0" applyBorder="1" applyAlignment="1">
      <alignment horizontal="center"/>
    </xf>
    <xf numFmtId="0" fontId="0" fillId="0" borderId="3" xfId="0" applyBorder="1" applyAlignment="1">
      <alignment horizontal="center"/>
    </xf>
    <xf numFmtId="22" fontId="0" fillId="0" borderId="0" xfId="0" applyNumberFormat="1"/>
    <xf numFmtId="0" fontId="1" fillId="0" borderId="0" xfId="0" applyFont="1" applyAlignment="1">
      <alignment horizontal="center"/>
    </xf>
    <xf numFmtId="0" fontId="0" fillId="0" borderId="7" xfId="0" applyFill="1" applyBorder="1"/>
    <xf numFmtId="0" fontId="0" fillId="0" borderId="0" xfId="0" applyFill="1" applyBorder="1"/>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0" borderId="2" xfId="0" applyFont="1" applyBorder="1" applyAlignment="1">
      <alignment horizontal="center"/>
    </xf>
    <xf numFmtId="0" fontId="1" fillId="0" borderId="15" xfId="0" applyFont="1" applyBorder="1" applyAlignment="1">
      <alignment horizontal="center"/>
    </xf>
    <xf numFmtId="0" fontId="1" fillId="0" borderId="3" xfId="0" applyFont="1" applyBorder="1" applyAlignment="1">
      <alignment horizontal="center"/>
    </xf>
    <xf numFmtId="0" fontId="0" fillId="0" borderId="0" xfId="0" applyBorder="1" applyAlignment="1">
      <alignment horizontal="left"/>
    </xf>
    <xf numFmtId="0" fontId="0" fillId="0" borderId="7" xfId="0" applyBorder="1" applyAlignment="1">
      <alignment horizontal="left"/>
    </xf>
    <xf numFmtId="0" fontId="0" fillId="0" borderId="4" xfId="0" applyBorder="1"/>
    <xf numFmtId="0" fontId="0" fillId="0" borderId="6" xfId="0" applyBorder="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applyBorder="1" applyAlignment="1">
      <alignment horizontal="right"/>
    </xf>
    <xf numFmtId="0" fontId="0" fillId="0" borderId="8" xfId="0" applyBorder="1" applyAlignment="1">
      <alignment horizontal="right"/>
    </xf>
    <xf numFmtId="0" fontId="8" fillId="0" borderId="7" xfId="0" applyFont="1" applyBorder="1" applyAlignment="1">
      <alignment horizontal="left" vertical="top" wrapText="1"/>
    </xf>
    <xf numFmtId="0" fontId="8" fillId="0" borderId="0" xfId="0" applyFont="1" applyBorder="1" applyAlignment="1">
      <alignment horizontal="left" vertical="top" wrapText="1"/>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11" fillId="0" borderId="7" xfId="0" applyFont="1" applyBorder="1" applyAlignment="1">
      <alignment horizontal="left" vertical="top" wrapText="1"/>
    </xf>
    <xf numFmtId="0" fontId="11" fillId="0" borderId="0" xfId="0" applyFont="1" applyBorder="1" applyAlignment="1">
      <alignment horizontal="left" vertical="top" wrapText="1"/>
    </xf>
    <xf numFmtId="0" fontId="11" fillId="0" borderId="8" xfId="0" applyFont="1" applyBorder="1" applyAlignment="1">
      <alignment horizontal="left" vertical="top" wrapText="1"/>
    </xf>
    <xf numFmtId="0" fontId="0" fillId="0" borderId="9" xfId="0" applyBorder="1"/>
    <xf numFmtId="0" fontId="0" fillId="0" borderId="11" xfId="0" applyBorder="1"/>
    <xf numFmtId="0" fontId="0" fillId="0" borderId="10" xfId="0" applyFill="1" applyBorder="1"/>
    <xf numFmtId="0" fontId="0" fillId="0" borderId="4" xfId="0" applyFill="1" applyBorder="1"/>
    <xf numFmtId="0" fontId="0" fillId="0" borderId="5" xfId="0" applyFill="1" applyBorder="1"/>
    <xf numFmtId="0" fontId="0" fillId="0" borderId="9" xfId="0" applyFill="1" applyBorder="1"/>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10" fillId="0" borderId="0" xfId="0" applyFont="1" applyBorder="1" applyAlignment="1">
      <alignment wrapText="1"/>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2" borderId="0" xfId="0" applyFill="1" applyBorder="1"/>
    <xf numFmtId="0" fontId="0" fillId="0" borderId="7" xfId="0" applyBorder="1" applyAlignment="1">
      <alignment wrapText="1"/>
    </xf>
    <xf numFmtId="0" fontId="0" fillId="0" borderId="0" xfId="0" applyBorder="1" applyAlignment="1">
      <alignment wrapText="1"/>
    </xf>
    <xf numFmtId="0" fontId="0" fillId="0" borderId="15" xfId="0" applyBorder="1" applyAlignment="1">
      <alignment wrapText="1"/>
    </xf>
    <xf numFmtId="0" fontId="0" fillId="0" borderId="3" xfId="0" applyBorder="1" applyAlignment="1">
      <alignment wrapText="1"/>
    </xf>
    <xf numFmtId="0" fontId="0" fillId="2" borderId="4" xfId="0" applyFill="1" applyBorder="1"/>
    <xf numFmtId="0" fontId="0" fillId="2" borderId="5" xfId="0" applyFill="1" applyBorder="1"/>
    <xf numFmtId="0" fontId="5" fillId="0" borderId="0" xfId="0" applyFont="1"/>
    <xf numFmtId="0" fontId="0" fillId="0" borderId="0" xfId="0" applyBorder="1"/>
    <xf numFmtId="0" fontId="0" fillId="0" borderId="0" xfId="0" applyAlignment="1">
      <alignment horizontal="center"/>
    </xf>
    <xf numFmtId="0" fontId="0" fillId="2" borderId="7" xfId="0" applyFill="1" applyBorder="1"/>
    <xf numFmtId="0" fontId="0" fillId="0" borderId="15" xfId="0" applyBorder="1" applyAlignment="1">
      <alignment horizontal="right"/>
    </xf>
    <xf numFmtId="0" fontId="0" fillId="0" borderId="15" xfId="0" applyBorder="1"/>
    <xf numFmtId="0" fontId="0" fillId="0" borderId="0" xfId="0"/>
    <xf numFmtId="22" fontId="0" fillId="0" borderId="0" xfId="0" applyNumberFormat="1" applyAlignment="1">
      <alignment horizontal="right"/>
    </xf>
    <xf numFmtId="0" fontId="0" fillId="0" borderId="0" xfId="0" applyAlignment="1">
      <alignment horizontal="center" shrinkToFit="1"/>
    </xf>
    <xf numFmtId="0" fontId="0" fillId="0" borderId="0" xfId="0" applyAlignment="1">
      <alignment shrinkToFit="1"/>
    </xf>
    <xf numFmtId="0" fontId="11" fillId="0" borderId="0" xfId="0" applyFont="1" applyAlignment="1">
      <alignment horizontal="right" vertical="center"/>
    </xf>
    <xf numFmtId="0" fontId="0" fillId="0" borderId="8" xfId="0" applyBorder="1" applyAlignment="1">
      <alignment horizontal="right" vertical="center" shrinkToFit="1"/>
    </xf>
    <xf numFmtId="0" fontId="0" fillId="0" borderId="7" xfId="0" applyBorder="1" applyAlignment="1">
      <alignment vertical="center" shrinkToFit="1"/>
    </xf>
    <xf numFmtId="0" fontId="0" fillId="0" borderId="0" xfId="0" applyBorder="1" applyAlignment="1">
      <alignment horizontal="right" vertical="center" shrinkToFit="1"/>
    </xf>
    <xf numFmtId="0" fontId="2" fillId="0" borderId="0" xfId="0" applyFont="1" applyAlignment="1">
      <alignment vertical="center" wrapText="1" shrinkToFit="1"/>
    </xf>
    <xf numFmtId="0" fontId="11" fillId="0" borderId="0" xfId="0" applyFont="1" applyAlignment="1">
      <alignment horizontal="right" vertical="center" shrinkToFit="1"/>
    </xf>
    <xf numFmtId="0" fontId="15" fillId="12" borderId="0" xfId="0" applyFont="1" applyFill="1" applyAlignment="1">
      <alignment horizontal="center" shrinkToFit="1"/>
    </xf>
    <xf numFmtId="0" fontId="0" fillId="0" borderId="0" xfId="0" applyAlignment="1">
      <alignment horizontal="right" vertical="center" shrinkToFit="1"/>
    </xf>
    <xf numFmtId="0" fontId="16" fillId="0" borderId="0" xfId="0" applyFont="1" applyAlignment="1">
      <alignment horizontal="left" vertical="top" wrapText="1" shrinkToFit="1"/>
    </xf>
    <xf numFmtId="0" fontId="0" fillId="0" borderId="0" xfId="0" applyAlignment="1">
      <alignment horizontal="left" shrinkToFit="1"/>
    </xf>
    <xf numFmtId="0" fontId="0" fillId="0" borderId="7" xfId="0" applyBorder="1" applyAlignment="1">
      <alignment horizontal="left" vertical="center" shrinkToFit="1"/>
    </xf>
    <xf numFmtId="0" fontId="8" fillId="0" borderId="0" xfId="0" applyFont="1" applyAlignment="1">
      <alignment vertical="top" wrapText="1"/>
    </xf>
    <xf numFmtId="0" fontId="8" fillId="0" borderId="0" xfId="0" applyFont="1" applyAlignment="1">
      <alignment shrinkToFit="1"/>
    </xf>
    <xf numFmtId="0" fontId="1" fillId="17" borderId="7" xfId="0" applyFont="1" applyFill="1" applyBorder="1" applyProtection="1"/>
    <xf numFmtId="0" fontId="0" fillId="12" borderId="8" xfId="0" applyFill="1" applyBorder="1" applyProtection="1"/>
  </cellXfs>
  <cellStyles count="2">
    <cellStyle name="Hyperlink" xfId="1" builtinId="8"/>
    <cellStyle name="Normal" xfId="0" builtinId="0"/>
  </cellStyles>
  <dxfs count="243">
    <dxf>
      <font>
        <color auto="1"/>
      </font>
    </dxf>
    <dxf>
      <fill>
        <patternFill patternType="none">
          <bgColor auto="1"/>
        </patternFill>
      </fill>
      <border>
        <left style="thin">
          <color auto="1"/>
        </left>
        <right style="thin">
          <color auto="1"/>
        </right>
        <top style="thin">
          <color auto="1"/>
        </top>
        <bottom style="thin">
          <color auto="1"/>
        </bottom>
        <vertical/>
        <horizontal/>
      </border>
    </dxf>
    <dxf>
      <fill>
        <patternFill patternType="none">
          <bgColor auto="1"/>
        </patternFill>
      </fill>
      <border>
        <left style="thin">
          <color auto="1"/>
        </left>
        <right style="thin">
          <color auto="1"/>
        </right>
        <top style="thin">
          <color auto="1"/>
        </top>
        <bottom style="thin">
          <color auto="1"/>
        </bottom>
        <vertical/>
        <horizontal/>
      </border>
    </dxf>
    <dxf>
      <fill>
        <patternFill patternType="none">
          <bgColor auto="1"/>
        </patternFill>
      </fill>
      <border>
        <left style="thin">
          <color auto="1"/>
        </left>
        <right style="thin">
          <color auto="1"/>
        </right>
        <top style="thin">
          <color auto="1"/>
        </top>
        <bottom style="thin">
          <color auto="1"/>
        </bottom>
        <vertical/>
        <horizontal/>
      </border>
    </dxf>
    <dxf>
      <fill>
        <patternFill patternType="solid">
          <bgColor theme="0"/>
        </patternFill>
      </fill>
      <border>
        <left style="thin">
          <color auto="1"/>
        </left>
        <right style="thin">
          <color auto="1"/>
        </right>
        <top style="thin">
          <color auto="1"/>
        </top>
        <bottom style="thin">
          <color auto="1"/>
        </bottom>
        <vertical/>
        <horizontal/>
      </border>
    </dxf>
    <dxf>
      <fill>
        <patternFill patternType="none">
          <bgColor auto="1"/>
        </patternFill>
      </fill>
      <border>
        <left style="thin">
          <color auto="1"/>
        </left>
        <right style="thin">
          <color auto="1"/>
        </right>
        <top style="thin">
          <color auto="1"/>
        </top>
        <bottom style="thin">
          <color auto="1"/>
        </bottom>
        <vertical/>
        <horizontal/>
      </border>
    </dxf>
    <dxf>
      <fill>
        <patternFill patternType="none">
          <bgColor auto="1"/>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patternType="solid">
          <bgColor theme="0"/>
        </patternFill>
      </fill>
      <border>
        <left style="thin">
          <color auto="1"/>
        </left>
        <right style="thin">
          <color auto="1"/>
        </right>
        <top style="thin">
          <color auto="1"/>
        </top>
        <bottom style="thin">
          <color auto="1"/>
        </bottom>
        <vertical/>
        <horizontal/>
      </border>
    </dxf>
    <dxf>
      <font>
        <color auto="1"/>
      </font>
    </dxf>
    <dxf>
      <fill>
        <patternFill patternType="none">
          <bgColor auto="1"/>
        </patternFill>
      </fill>
      <border>
        <left style="thin">
          <color auto="1"/>
        </left>
        <right style="thin">
          <color auto="1"/>
        </right>
        <top style="thin">
          <color auto="1"/>
        </top>
        <bottom style="thin">
          <color auto="1"/>
        </bottom>
        <vertical/>
        <horizontal/>
      </border>
    </dxf>
    <dxf>
      <fill>
        <patternFill>
          <bgColor theme="7" tint="0.79998168889431442"/>
        </patternFill>
      </fill>
      <border>
        <left style="thin">
          <color auto="1"/>
        </left>
        <right style="thin">
          <color auto="1"/>
        </right>
        <top style="thin">
          <color auto="1"/>
        </top>
        <bottom style="thin">
          <color auto="1"/>
        </bottom>
        <vertical/>
        <horizontal/>
      </border>
    </dxf>
    <dxf>
      <font>
        <color auto="1"/>
      </font>
    </dxf>
    <dxf>
      <font>
        <b/>
        <i val="0"/>
        <color theme="8" tint="0.39994506668294322"/>
      </font>
      <fill>
        <patternFill>
          <bgColor rgb="FFFF0000"/>
        </patternFill>
      </fill>
    </dxf>
    <dxf>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auto="1"/>
      </font>
    </dxf>
    <dxf>
      <fill>
        <patternFill patternType="none">
          <bgColor auto="1"/>
        </patternFill>
      </fill>
      <border>
        <left style="thin">
          <color auto="1"/>
        </left>
        <right style="thin">
          <color auto="1"/>
        </right>
        <top style="thin">
          <color auto="1"/>
        </top>
        <bottom style="thin">
          <color auto="1"/>
        </bottom>
        <vertical/>
        <horizontal/>
      </border>
    </dxf>
    <dxf>
      <fill>
        <patternFill patternType="none">
          <bgColor auto="1"/>
        </patternFill>
      </fill>
      <border>
        <left style="thin">
          <color auto="1"/>
        </left>
        <right style="thin">
          <color auto="1"/>
        </right>
        <top style="thin">
          <color auto="1"/>
        </top>
        <bottom style="thin">
          <color auto="1"/>
        </bottom>
        <vertical/>
        <horizontal/>
      </border>
    </dxf>
    <dxf>
      <fill>
        <patternFill patternType="none">
          <bgColor auto="1"/>
        </patternFill>
      </fill>
      <border>
        <left style="thin">
          <color auto="1"/>
        </left>
        <right style="thin">
          <color auto="1"/>
        </right>
        <top style="thin">
          <color auto="1"/>
        </top>
        <bottom style="thin">
          <color auto="1"/>
        </bottom>
        <vertical/>
        <horizontal/>
      </border>
    </dxf>
    <dxf>
      <fill>
        <patternFill patternType="solid">
          <bgColor theme="0"/>
        </patternFill>
      </fill>
      <border>
        <left style="thin">
          <color auto="1"/>
        </left>
        <right style="thin">
          <color auto="1"/>
        </right>
        <top style="thin">
          <color auto="1"/>
        </top>
        <bottom style="thin">
          <color auto="1"/>
        </bottom>
        <vertical/>
        <horizontal/>
      </border>
    </dxf>
    <dxf>
      <fill>
        <patternFill patternType="none">
          <bgColor auto="1"/>
        </patternFill>
      </fill>
      <border>
        <left style="thin">
          <color auto="1"/>
        </left>
        <right style="thin">
          <color auto="1"/>
        </right>
        <top style="thin">
          <color auto="1"/>
        </top>
        <bottom style="thin">
          <color auto="1"/>
        </bottom>
        <vertical/>
        <horizontal/>
      </border>
    </dxf>
    <dxf>
      <fill>
        <patternFill patternType="none">
          <bgColor auto="1"/>
        </patternFill>
      </fill>
      <border>
        <left style="thin">
          <color auto="1"/>
        </left>
        <right style="thin">
          <color auto="1"/>
        </right>
        <top style="thin">
          <color auto="1"/>
        </top>
        <bottom style="thin">
          <color auto="1"/>
        </bottom>
        <vertical/>
        <horizontal/>
      </border>
    </dxf>
    <dxf>
      <fill>
        <patternFill>
          <bgColor theme="0"/>
        </patternFill>
      </fill>
      <border>
        <left style="thin">
          <color auto="1"/>
        </left>
        <right style="thin">
          <color auto="1"/>
        </right>
        <top style="thin">
          <color auto="1"/>
        </top>
        <bottom style="thin">
          <color auto="1"/>
        </bottom>
        <vertical/>
        <horizontal/>
      </border>
    </dxf>
    <dxf>
      <fill>
        <patternFill patternType="solid">
          <bgColor theme="0"/>
        </patternFill>
      </fill>
      <border>
        <left style="thin">
          <color auto="1"/>
        </left>
        <right style="thin">
          <color auto="1"/>
        </right>
        <top style="thin">
          <color auto="1"/>
        </top>
        <bottom style="thin">
          <color auto="1"/>
        </bottom>
        <vertical/>
        <horizontal/>
      </border>
    </dxf>
    <dxf>
      <font>
        <color auto="1"/>
      </font>
    </dxf>
    <dxf>
      <fill>
        <patternFill patternType="none">
          <bgColor auto="1"/>
        </patternFill>
      </fill>
      <border>
        <left style="thin">
          <color auto="1"/>
        </left>
        <right style="thin">
          <color auto="1"/>
        </right>
        <top style="thin">
          <color auto="1"/>
        </top>
        <bottom style="thin">
          <color auto="1"/>
        </bottom>
        <vertical/>
        <horizontal/>
      </border>
    </dxf>
    <dxf>
      <fill>
        <patternFill>
          <bgColor theme="7" tint="0.79998168889431442"/>
        </patternFill>
      </fill>
      <border>
        <left style="thin">
          <color auto="1"/>
        </left>
        <right style="thin">
          <color auto="1"/>
        </right>
        <top style="thin">
          <color auto="1"/>
        </top>
        <bottom style="thin">
          <color auto="1"/>
        </bottom>
        <vertical/>
        <horizontal/>
      </border>
    </dxf>
    <dxf>
      <font>
        <color auto="1"/>
      </font>
    </dxf>
    <dxf>
      <font>
        <b/>
        <i val="0"/>
        <color theme="8" tint="0.39994506668294322"/>
      </font>
      <fill>
        <patternFill>
          <bgColor rgb="FFFF0000"/>
        </patternFill>
      </fill>
    </dxf>
    <dxf>
      <fill>
        <patternFill>
          <bgColor rgb="FFFF0000"/>
        </patternFill>
      </fill>
    </dxf>
    <dxf>
      <font>
        <b/>
        <i val="0"/>
      </font>
      <fill>
        <patternFill>
          <bgColor theme="5" tint="0.59996337778862885"/>
        </patternFill>
      </fill>
    </dxf>
    <dxf>
      <font>
        <b/>
        <i val="0"/>
      </font>
      <fill>
        <patternFill>
          <bgColor theme="5" tint="0.59996337778862885"/>
        </patternFill>
      </fill>
    </dxf>
    <dxf>
      <font>
        <color theme="0"/>
      </font>
    </dxf>
    <dxf>
      <font>
        <color theme="0"/>
      </font>
    </dxf>
    <dxf>
      <font>
        <color theme="0"/>
      </font>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tint="4.9989318521683403E-2"/>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tint="4.9989318521683403E-2"/>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tint="4.9989318521683403E-2"/>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tint="4.9989318521683403E-2"/>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tint="4.9989318521683403E-2"/>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tint="4.9989318521683403E-2"/>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tint="4.9989318521683403E-2"/>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tint="4.9989318521683403E-2"/>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tint="4.9989318521683403E-2"/>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tint="4.9989318521683403E-2"/>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tint="4.9989318521683403E-2"/>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tint="4.9989318521683403E-2"/>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tint="4.9989318521683403E-2"/>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tint="4.9989318521683403E-2"/>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tint="4.9989318521683403E-2"/>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gradientFill type="path" left="0.5" right="0.5" top="0.5" bottom="0.5">
          <stop position="0">
            <color theme="1"/>
          </stop>
          <stop position="1">
            <color theme="0"/>
          </stop>
        </gradientFill>
      </fill>
    </dxf>
    <dxf>
      <fill>
        <gradientFill type="path" left="0.5" right="0.5" top="0.5" bottom="0.5">
          <stop position="0">
            <color theme="1"/>
          </stop>
          <stop position="1">
            <color theme="0"/>
          </stop>
        </gradientFill>
      </fill>
    </dxf>
    <dxf>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ill>
        <gradientFill type="path" left="0.5" right="0.5" top="0.5" bottom="0.5">
          <stop position="0">
            <color theme="1"/>
          </stop>
          <stop position="1">
            <color theme="0"/>
          </stop>
        </gradientFill>
      </fill>
    </dxf>
    <dxf>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ill>
        <gradientFill type="path" left="0.5" right="0.5" top="0.5" bottom="0.5">
          <stop position="0">
            <color theme="1"/>
          </stop>
          <stop position="1">
            <color theme="0"/>
          </stop>
        </gradientFill>
      </fill>
    </dxf>
    <dxf>
      <fill>
        <gradientFill type="path" left="0.5" right="0.5" top="0.5" bottom="0.5">
          <stop position="0">
            <color theme="1"/>
          </stop>
          <stop position="1">
            <color theme="0"/>
          </stop>
        </gradientFill>
      </fill>
    </dxf>
    <dxf>
      <fill>
        <gradientFill type="path" left="0.5" right="0.5" top="0.5" bottom="0.5">
          <stop position="0">
            <color theme="1"/>
          </stop>
          <stop position="1">
            <color theme="0"/>
          </stop>
        </gradientFill>
      </fill>
    </dxf>
    <dxf>
      <fill>
        <gradientFill type="path" left="0.5" right="0.5" top="0.5" bottom="0.5">
          <stop position="0">
            <color theme="1"/>
          </stop>
          <stop position="1">
            <color theme="0"/>
          </stop>
        </gradientFill>
      </fill>
    </dxf>
    <dxf>
      <font>
        <color theme="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34998626667073579"/>
      </font>
      <fill>
        <gradientFill type="path" left="0.5" right="0.5" top="0.5" bottom="0.5">
          <stop position="0">
            <color theme="1"/>
          </stop>
          <stop position="1">
            <color theme="0"/>
          </stop>
        </gradientFill>
      </fill>
    </dxf>
    <dxf>
      <font>
        <color theme="0" tint="-0.34998626667073579"/>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ill>
        <gradientFill type="path" left="0.5" right="0.5" top="0.5" bottom="0.5">
          <stop position="0">
            <color theme="1"/>
          </stop>
          <stop position="1">
            <color theme="0"/>
          </stop>
        </gradientFill>
      </fill>
    </dxf>
    <dxf>
      <fill>
        <gradientFill type="path" left="0.5" right="0.5" top="0.5" bottom="0.5">
          <stop position="0">
            <color theme="1"/>
          </stop>
          <stop position="1">
            <color theme="0"/>
          </stop>
        </gradientFill>
      </fill>
    </dxf>
    <dxf>
      <fill>
        <gradientFill type="path" left="0.5" right="0.5" top="0.5" bottom="0.5">
          <stop position="0">
            <color theme="1"/>
          </stop>
          <stop position="1">
            <color theme="0"/>
          </stop>
        </gradientFill>
      </fill>
    </dxf>
    <dxf>
      <fill>
        <gradientFill type="path" left="0.5" right="0.5" top="0.5" bottom="0.5">
          <stop position="0">
            <color theme="1"/>
          </stop>
          <stop position="1">
            <color theme="0"/>
          </stop>
        </gradientFill>
      </fill>
    </dxf>
    <dxf>
      <fill>
        <gradientFill type="path" left="0.5" right="0.5" top="0.5" bottom="0.5">
          <stop position="0">
            <color theme="1"/>
          </stop>
          <stop position="1">
            <color theme="0"/>
          </stop>
        </gradientFill>
      </fill>
    </dxf>
    <dxf>
      <fill>
        <gradientFill type="path" left="0.5" right="0.5" top="0.5" bottom="0.5">
          <stop position="0">
            <color theme="1"/>
          </stop>
          <stop position="1">
            <color theme="0"/>
          </stop>
        </gradientFill>
      </fill>
    </dxf>
    <dxf>
      <font>
        <color theme="1" tint="4.9989318521683403E-2"/>
      </font>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1" tint="0.14996795556505021"/>
      </font>
      <fill>
        <gradientFill type="path" left="0.5" right="0.5" top="0.5" bottom="0.5">
          <stop position="0">
            <color theme="1"/>
          </stop>
          <stop position="1">
            <color theme="0"/>
          </stop>
        </gradientFill>
      </fill>
    </dxf>
    <dxf>
      <font>
        <color theme="1" tint="0.14996795556505021"/>
      </font>
      <fill>
        <gradientFill type="path" left="0.5" right="0.5" top="0.5" bottom="0.5">
          <stop position="0">
            <color theme="1"/>
          </stop>
          <stop position="1">
            <color theme="0"/>
          </stop>
        </gradientFill>
      </fill>
    </dxf>
    <dxf>
      <font>
        <color theme="1" tint="0.14996795556505021"/>
      </font>
      <fill>
        <gradientFill type="path" left="0.5" right="0.5" top="0.5" bottom="0.5">
          <stop position="0">
            <color theme="1"/>
          </stop>
          <stop position="1">
            <color theme="0"/>
          </stop>
        </gradientFill>
      </fill>
    </dxf>
    <dxf>
      <font>
        <color theme="1" tint="0.14996795556505021"/>
      </font>
      <fill>
        <gradientFill type="path" left="0.5" right="0.5" top="0.5" bottom="0.5">
          <stop position="0">
            <color theme="1"/>
          </stop>
          <stop position="1">
            <color theme="0"/>
          </stop>
        </gradientFill>
      </fill>
    </dxf>
    <dxf>
      <font>
        <color theme="1" tint="0.14996795556505021"/>
      </font>
      <fill>
        <gradientFill type="path" left="0.5" right="0.5" top="0.5" bottom="0.5">
          <stop position="0">
            <color theme="1"/>
          </stop>
          <stop position="1">
            <color theme="0"/>
          </stop>
        </gradientFill>
      </fill>
    </dxf>
    <dxf>
      <font>
        <color theme="1" tint="0.14996795556505021"/>
      </font>
      <fill>
        <gradientFill type="path" left="0.5" right="0.5" top="0.5" bottom="0.5">
          <stop position="0">
            <color theme="1"/>
          </stop>
          <stop position="1">
            <color theme="0"/>
          </stop>
        </gradientFill>
      </fill>
    </dxf>
    <dxf>
      <font>
        <color theme="1" tint="0.14996795556505021"/>
      </font>
      <fill>
        <gradientFill type="path" left="0.5" right="0.5" top="0.5" bottom="0.5">
          <stop position="0">
            <color theme="1"/>
          </stop>
          <stop position="1">
            <color theme="0"/>
          </stop>
        </gradientFill>
      </fill>
    </dxf>
    <dxf>
      <font>
        <color theme="1" tint="0.14996795556505021"/>
      </font>
      <fill>
        <gradientFill type="path" left="0.5" right="0.5" top="0.5" bottom="0.5">
          <stop position="0">
            <color theme="1"/>
          </stop>
          <stop position="1">
            <color theme="0"/>
          </stop>
        </gradientFill>
      </fill>
    </dxf>
    <dxf>
      <font>
        <color theme="1" tint="0.14996795556505021"/>
      </font>
      <fill>
        <gradientFill type="path" left="0.5" right="0.5" top="0.5" bottom="0.5">
          <stop position="0">
            <color theme="1"/>
          </stop>
          <stop position="1">
            <color theme="0"/>
          </stop>
        </gradientFill>
      </fill>
    </dxf>
    <dxf>
      <font>
        <color theme="1" tint="0.14996795556505021"/>
      </font>
      <fill>
        <gradientFill type="path" left="0.5" right="0.5" top="0.5" bottom="0.5">
          <stop position="0">
            <color theme="1"/>
          </stop>
          <stop position="1">
            <color theme="0"/>
          </stop>
        </gradientFill>
      </fill>
    </dxf>
    <dxf>
      <font>
        <color theme="1" tint="0.14996795556505021"/>
      </font>
      <fill>
        <gradientFill type="path" left="0.5" right="0.5" top="0.5" bottom="0.5">
          <stop position="0">
            <color theme="1"/>
          </stop>
          <stop position="1">
            <color theme="0"/>
          </stop>
        </gradientFill>
      </fill>
    </dxf>
    <dxf>
      <fill>
        <gradientFill type="path" left="0.5" right="0.5" top="0.5" bottom="0.5">
          <stop position="0">
            <color theme="1"/>
          </stop>
          <stop position="1">
            <color theme="0"/>
          </stop>
        </gradientFill>
      </fill>
    </dxf>
    <dxf>
      <font>
        <color theme="1" tint="0.14996795556505021"/>
      </font>
      <fill>
        <gradientFill type="path" left="0.5" right="0.5" top="0.5" bottom="0.5">
          <stop position="0">
            <color theme="1"/>
          </stop>
          <stop position="1">
            <color theme="0"/>
          </stop>
        </gradientFill>
      </fill>
    </dxf>
    <dxf>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1" tint="0.14996795556505021"/>
      </font>
      <fill>
        <gradientFill type="path" left="0.5" right="0.5" top="0.5" bottom="0.5">
          <stop position="0">
            <color theme="1"/>
          </stop>
          <stop position="1">
            <color theme="0"/>
          </stop>
        </gradientFill>
      </fill>
    </dxf>
    <dxf>
      <font>
        <color theme="1" tint="0.14996795556505021"/>
      </font>
      <fill>
        <gradientFill type="path" left="0.5" right="0.5" top="0.5" bottom="0.5">
          <stop position="0">
            <color theme="1"/>
          </stop>
          <stop position="1">
            <color theme="0"/>
          </stop>
        </gradientFill>
      </fill>
    </dxf>
    <dxf>
      <fill>
        <gradientFill type="path" left="0.5" right="0.5" top="0.5" bottom="0.5">
          <stop position="0">
            <color theme="1"/>
          </stop>
          <stop position="1">
            <color theme="0"/>
          </stop>
        </gradientFill>
      </fill>
    </dxf>
    <dxf>
      <fill>
        <gradientFill type="path" left="0.5" right="0.5" top="0.5" bottom="0.5">
          <stop position="0">
            <color theme="1"/>
          </stop>
          <stop position="1">
            <color theme="0"/>
          </stop>
        </gradientFill>
      </fill>
    </dxf>
    <dxf>
      <fill>
        <gradientFill type="path" left="0.5" right="0.5" top="0.5" bottom="0.5">
          <stop position="0">
            <color theme="1"/>
          </stop>
          <stop position="1">
            <color theme="0"/>
          </stop>
        </gradientFill>
      </fill>
    </dxf>
    <dxf>
      <fill>
        <gradientFill type="path" left="0.5" right="0.5" top="0.5" bottom="0.5">
          <stop position="0">
            <color theme="1"/>
          </stop>
          <stop position="1">
            <color theme="0"/>
          </stop>
        </gradientFill>
      </fill>
    </dxf>
    <dxf>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ill>
        <gradientFill type="path" left="0.5" right="0.5" top="0.5" bottom="0.5">
          <stop position="0">
            <color theme="1"/>
          </stop>
          <stop position="1">
            <color theme="0"/>
          </stop>
        </gradientFill>
      </fill>
    </dxf>
    <dxf>
      <font>
        <color theme="0" tint="-0.24994659260841701"/>
      </font>
      <fill>
        <gradientFill type="path" left="0.5" right="0.5" top="0.5" bottom="0.5">
          <stop position="0">
            <color theme="1"/>
          </stop>
          <stop position="1">
            <color theme="0"/>
          </stop>
        </gradientFill>
      </fill>
    </dxf>
    <dxf>
      <font>
        <color theme="1" tint="0.14996795556505021"/>
      </font>
      <fill>
        <gradientFill type="path" left="0.5" right="0.5" top="0.5" bottom="0.5">
          <stop position="0">
            <color theme="1"/>
          </stop>
          <stop position="1">
            <color theme="0"/>
          </stop>
        </gradient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F4F1E9"/>
      <color rgb="FFEAE4D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41672</xdr:colOff>
      <xdr:row>43</xdr:row>
      <xdr:rowOff>5953</xdr:rowOff>
    </xdr:from>
    <xdr:to>
      <xdr:col>21</xdr:col>
      <xdr:colOff>115944</xdr:colOff>
      <xdr:row>53</xdr:row>
      <xdr:rowOff>71437</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08672" y="3952875"/>
          <a:ext cx="2562678" cy="19704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histledownsname@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tabSelected="1" workbookViewId="0">
      <selection sqref="A1:C1"/>
    </sheetView>
  </sheetViews>
  <sheetFormatPr defaultRowHeight="15"/>
  <cols>
    <col min="1" max="1" width="9.140625" style="33"/>
    <col min="2" max="2" width="10.42578125" style="33" customWidth="1"/>
    <col min="3" max="3" width="52.85546875" style="33" customWidth="1"/>
    <col min="4" max="16384" width="9.140625" style="33"/>
  </cols>
  <sheetData>
    <row r="1" spans="1:3">
      <c r="A1" s="237" t="s">
        <v>570</v>
      </c>
      <c r="B1" s="237"/>
      <c r="C1" s="237"/>
    </row>
    <row r="2" spans="1:3">
      <c r="A2" s="49" t="s">
        <v>581</v>
      </c>
      <c r="B2" s="2"/>
      <c r="C2" s="2"/>
    </row>
    <row r="3" spans="1:3">
      <c r="A3" s="236" t="s">
        <v>1039</v>
      </c>
      <c r="B3" s="236"/>
      <c r="C3" s="236"/>
    </row>
    <row r="4" spans="1:3">
      <c r="A4" s="236" t="s">
        <v>1408</v>
      </c>
      <c r="B4" s="236"/>
      <c r="C4" s="236"/>
    </row>
    <row r="5" spans="1:3">
      <c r="A5" s="236"/>
      <c r="B5" s="236"/>
      <c r="C5" s="236"/>
    </row>
    <row r="6" spans="1:3" ht="46.5" customHeight="1">
      <c r="A6" s="235" t="s">
        <v>571</v>
      </c>
      <c r="B6" s="235"/>
      <c r="C6" s="235"/>
    </row>
    <row r="7" spans="1:3">
      <c r="A7" s="236"/>
      <c r="B7" s="236"/>
      <c r="C7" s="236"/>
    </row>
    <row r="8" spans="1:3" ht="61.5" customHeight="1">
      <c r="A8" s="235" t="s">
        <v>573</v>
      </c>
      <c r="B8" s="235"/>
      <c r="C8" s="235"/>
    </row>
    <row r="9" spans="1:3" ht="48.75" customHeight="1">
      <c r="A9" s="235" t="s">
        <v>572</v>
      </c>
      <c r="B9" s="235"/>
      <c r="C9" s="235"/>
    </row>
    <row r="10" spans="1:3">
      <c r="A10" s="236"/>
      <c r="B10" s="236"/>
      <c r="C10" s="236"/>
    </row>
    <row r="11" spans="1:3" s="192" customFormat="1">
      <c r="A11" s="192" t="s">
        <v>1240</v>
      </c>
    </row>
    <row r="12" spans="1:3" s="192" customFormat="1"/>
    <row r="13" spans="1:3" ht="79.5" customHeight="1">
      <c r="A13" s="235" t="s">
        <v>574</v>
      </c>
      <c r="B13" s="235"/>
      <c r="C13" s="235"/>
    </row>
    <row r="14" spans="1:3">
      <c r="A14" s="236"/>
      <c r="B14" s="236"/>
      <c r="C14" s="236"/>
    </row>
    <row r="15" spans="1:3" ht="77.25" customHeight="1">
      <c r="A15" s="235" t="s">
        <v>1020</v>
      </c>
      <c r="B15" s="235"/>
      <c r="C15" s="235"/>
    </row>
    <row r="16" spans="1:3">
      <c r="A16" s="236"/>
      <c r="B16" s="236"/>
      <c r="C16" s="236"/>
    </row>
    <row r="17" spans="1:3" ht="29.25" customHeight="1">
      <c r="A17" s="235" t="s">
        <v>1021</v>
      </c>
      <c r="B17" s="235"/>
      <c r="C17" s="235"/>
    </row>
    <row r="18" spans="1:3">
      <c r="A18" s="235" t="s">
        <v>1022</v>
      </c>
      <c r="B18" s="235"/>
      <c r="C18" s="235"/>
    </row>
    <row r="19" spans="1:3">
      <c r="A19" s="235"/>
      <c r="B19" s="235"/>
      <c r="C19" s="235"/>
    </row>
    <row r="22" spans="1:3">
      <c r="A22" s="33" t="s">
        <v>575</v>
      </c>
    </row>
    <row r="23" spans="1:3">
      <c r="A23" s="47">
        <v>1</v>
      </c>
      <c r="B23" s="48">
        <v>42536</v>
      </c>
      <c r="C23" s="33" t="s">
        <v>577</v>
      </c>
    </row>
    <row r="24" spans="1:3">
      <c r="A24" s="47" t="s">
        <v>579</v>
      </c>
      <c r="B24" s="48">
        <v>42537</v>
      </c>
      <c r="C24" s="33" t="s">
        <v>576</v>
      </c>
    </row>
    <row r="25" spans="1:3">
      <c r="A25" s="47" t="s">
        <v>580</v>
      </c>
      <c r="B25" s="48">
        <v>42541</v>
      </c>
      <c r="C25" s="33" t="s">
        <v>578</v>
      </c>
    </row>
    <row r="26" spans="1:3">
      <c r="A26" s="47" t="s">
        <v>969</v>
      </c>
      <c r="B26" s="48">
        <v>42542</v>
      </c>
      <c r="C26" s="33" t="s">
        <v>970</v>
      </c>
    </row>
    <row r="27" spans="1:3">
      <c r="A27" s="47" t="s">
        <v>1023</v>
      </c>
      <c r="B27" s="48">
        <v>42558</v>
      </c>
      <c r="C27" s="33" t="s">
        <v>1027</v>
      </c>
    </row>
    <row r="28" spans="1:3">
      <c r="A28" s="47" t="s">
        <v>1029</v>
      </c>
      <c r="B28" s="48">
        <v>42594</v>
      </c>
      <c r="C28" s="33" t="s">
        <v>1030</v>
      </c>
    </row>
    <row r="29" spans="1:3">
      <c r="A29" s="47" t="s">
        <v>1031</v>
      </c>
      <c r="B29" s="48">
        <v>42639</v>
      </c>
      <c r="C29" s="33" t="s">
        <v>1033</v>
      </c>
    </row>
    <row r="30" spans="1:3">
      <c r="A30" s="47" t="s">
        <v>1040</v>
      </c>
      <c r="B30" s="48">
        <v>42776</v>
      </c>
      <c r="C30" s="33" t="s">
        <v>1342</v>
      </c>
    </row>
    <row r="31" spans="1:3">
      <c r="A31" s="47"/>
      <c r="B31" s="48"/>
    </row>
    <row r="32" spans="1:3">
      <c r="A32" s="47"/>
      <c r="B32" s="48"/>
    </row>
    <row r="33" spans="1:2">
      <c r="A33" s="47"/>
      <c r="B33" s="48"/>
    </row>
    <row r="34" spans="1:2">
      <c r="A34" s="47"/>
      <c r="B34" s="48"/>
    </row>
    <row r="35" spans="1:2">
      <c r="A35" s="47"/>
      <c r="B35" s="48"/>
    </row>
    <row r="36" spans="1:2">
      <c r="A36" s="47"/>
      <c r="B36" s="48"/>
    </row>
    <row r="37" spans="1:2">
      <c r="A37" s="47"/>
      <c r="B37" s="48"/>
    </row>
    <row r="38" spans="1:2">
      <c r="A38" s="47"/>
      <c r="B38" s="48"/>
    </row>
    <row r="39" spans="1:2">
      <c r="A39" s="47"/>
      <c r="B39" s="48"/>
    </row>
    <row r="40" spans="1:2">
      <c r="A40" s="47"/>
      <c r="B40" s="48"/>
    </row>
    <row r="41" spans="1:2">
      <c r="A41" s="47"/>
      <c r="B41" s="48"/>
    </row>
    <row r="42" spans="1:2">
      <c r="A42" s="47"/>
      <c r="B42" s="48"/>
    </row>
    <row r="43" spans="1:2">
      <c r="A43" s="47"/>
      <c r="B43" s="48"/>
    </row>
    <row r="44" spans="1:2">
      <c r="B44" s="48"/>
    </row>
    <row r="45" spans="1:2">
      <c r="B45" s="48"/>
    </row>
    <row r="46" spans="1:2">
      <c r="B46" s="48"/>
    </row>
    <row r="47" spans="1:2">
      <c r="B47" s="48"/>
    </row>
    <row r="48" spans="1:2">
      <c r="B48" s="48"/>
    </row>
    <row r="49" spans="2:2">
      <c r="B49" s="48"/>
    </row>
    <row r="50" spans="2:2">
      <c r="B50" s="48"/>
    </row>
  </sheetData>
  <mergeCells count="15">
    <mergeCell ref="A18:C19"/>
    <mergeCell ref="A7:C7"/>
    <mergeCell ref="A1:C1"/>
    <mergeCell ref="A3:C3"/>
    <mergeCell ref="A4:C4"/>
    <mergeCell ref="A5:C5"/>
    <mergeCell ref="A6:C6"/>
    <mergeCell ref="A16:C16"/>
    <mergeCell ref="A17:C17"/>
    <mergeCell ref="A8:C8"/>
    <mergeCell ref="A9:C9"/>
    <mergeCell ref="A10:C10"/>
    <mergeCell ref="A15:C15"/>
    <mergeCell ref="A14:C14"/>
    <mergeCell ref="A13:C13"/>
  </mergeCells>
  <hyperlinks>
    <hyperlink ref="A2"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69"/>
  <sheetViews>
    <sheetView workbookViewId="0"/>
  </sheetViews>
  <sheetFormatPr defaultRowHeight="15"/>
  <cols>
    <col min="1" max="1" width="2" style="66" customWidth="1"/>
    <col min="2" max="2" width="14" style="66" bestFit="1" customWidth="1"/>
    <col min="3" max="5" width="9.140625" style="66"/>
    <col min="6" max="6" width="11.140625" style="66" customWidth="1"/>
    <col min="7" max="7" width="9.140625" style="66"/>
    <col min="8" max="8" width="11.85546875" style="66" customWidth="1"/>
    <col min="9" max="11" width="9.140625" style="66"/>
    <col min="12" max="12" width="0.85546875" style="135" customWidth="1"/>
    <col min="13" max="13" width="2.7109375" style="145" customWidth="1"/>
    <col min="14" max="16" width="9.140625" style="145"/>
    <col min="17" max="17" width="13.42578125" style="145" customWidth="1"/>
    <col min="18" max="18" width="2.140625" style="67" customWidth="1"/>
    <col min="19" max="43" width="9.5703125" style="68" hidden="1" customWidth="1"/>
    <col min="44" max="44" width="2.28515625" style="69" customWidth="1"/>
    <col min="45" max="45" width="47.28515625" style="177" customWidth="1"/>
    <col min="46" max="46" width="9.140625" style="177"/>
    <col min="47" max="47" width="45" style="68" customWidth="1"/>
    <col min="48" max="16384" width="9.140625" style="68"/>
  </cols>
  <sheetData>
    <row r="1" spans="2:48">
      <c r="R1" s="175" t="s">
        <v>972</v>
      </c>
      <c r="AR1" s="79" t="s">
        <v>973</v>
      </c>
      <c r="AT1" s="191" t="s">
        <v>1032</v>
      </c>
      <c r="AU1" s="177"/>
      <c r="AV1" s="177"/>
    </row>
    <row r="2" spans="2:48">
      <c r="B2" s="70" t="s">
        <v>145</v>
      </c>
      <c r="C2" s="244"/>
      <c r="D2" s="246"/>
      <c r="E2" s="246"/>
      <c r="F2" s="246"/>
      <c r="G2" s="246"/>
      <c r="H2" s="245"/>
      <c r="J2" s="247" t="s">
        <v>1318</v>
      </c>
      <c r="K2" s="247"/>
      <c r="M2" s="144" t="s">
        <v>917</v>
      </c>
      <c r="T2" s="68" t="s">
        <v>915</v>
      </c>
      <c r="U2" s="68" t="s">
        <v>1319</v>
      </c>
      <c r="AU2" s="177"/>
      <c r="AV2" s="177"/>
    </row>
    <row r="3" spans="2:48">
      <c r="B3" s="70"/>
      <c r="C3" s="70"/>
      <c r="D3" s="70"/>
      <c r="E3" s="70"/>
      <c r="F3" s="70"/>
      <c r="G3" s="70"/>
      <c r="H3" s="70"/>
      <c r="J3" s="224" t="s">
        <v>1319</v>
      </c>
      <c r="M3" s="242" t="s">
        <v>915</v>
      </c>
      <c r="N3" s="243"/>
      <c r="T3" s="68" t="s">
        <v>916</v>
      </c>
      <c r="U3" s="68" t="s">
        <v>1320</v>
      </c>
      <c r="AU3" s="177"/>
      <c r="AV3" s="177"/>
    </row>
    <row r="4" spans="2:48">
      <c r="B4" s="70" t="s">
        <v>147</v>
      </c>
      <c r="C4" s="244"/>
      <c r="D4" s="246"/>
      <c r="E4" s="246"/>
      <c r="F4" s="246"/>
      <c r="G4" s="246"/>
      <c r="H4" s="245"/>
      <c r="J4" s="100"/>
      <c r="AU4" s="177"/>
      <c r="AV4" s="177"/>
    </row>
    <row r="5" spans="2:48">
      <c r="AU5" s="177"/>
      <c r="AV5" s="177"/>
    </row>
    <row r="6" spans="2:48">
      <c r="B6" s="70" t="s">
        <v>146</v>
      </c>
      <c r="C6" s="244"/>
      <c r="D6" s="246"/>
      <c r="E6" s="246"/>
      <c r="F6" s="246"/>
      <c r="G6" s="246"/>
      <c r="H6" s="245"/>
      <c r="M6" s="240" t="s">
        <v>918</v>
      </c>
      <c r="N6" s="240"/>
      <c r="O6" s="240"/>
      <c r="P6" s="240"/>
      <c r="AU6" s="177"/>
      <c r="AV6" s="177"/>
    </row>
    <row r="7" spans="2:48">
      <c r="M7" s="241" t="s">
        <v>919</v>
      </c>
      <c r="N7" s="241"/>
      <c r="O7" s="241"/>
      <c r="P7" s="241"/>
      <c r="Q7" s="146"/>
      <c r="AU7" s="177"/>
      <c r="AV7" s="177"/>
    </row>
    <row r="8" spans="2:48" ht="18.75">
      <c r="B8" s="71" t="s">
        <v>107</v>
      </c>
      <c r="F8" s="72" t="s">
        <v>129</v>
      </c>
      <c r="G8" s="73">
        <f>2-SUM(D10:D14)</f>
        <v>2</v>
      </c>
      <c r="M8" s="241"/>
      <c r="N8" s="241"/>
      <c r="O8" s="241"/>
      <c r="P8" s="241"/>
      <c r="Q8" s="146"/>
      <c r="S8" s="74" t="s">
        <v>0</v>
      </c>
      <c r="T8" s="75"/>
      <c r="U8" s="76"/>
      <c r="V8" s="76"/>
      <c r="W8" s="76"/>
      <c r="X8" s="76"/>
      <c r="Y8" s="77"/>
      <c r="AA8" s="74" t="s">
        <v>100</v>
      </c>
      <c r="AB8" s="76"/>
      <c r="AC8" s="77"/>
      <c r="AD8" s="78"/>
      <c r="AF8" s="74" t="s">
        <v>97</v>
      </c>
      <c r="AG8" s="75"/>
      <c r="AH8" s="75"/>
      <c r="AI8" s="76"/>
      <c r="AJ8" s="76"/>
      <c r="AK8" s="76"/>
      <c r="AL8" s="76"/>
      <c r="AM8" s="76"/>
      <c r="AN8" s="76"/>
      <c r="AO8" s="76"/>
      <c r="AP8" s="77"/>
      <c r="AQ8" s="78"/>
      <c r="AR8" s="79" t="s">
        <v>101</v>
      </c>
      <c r="AU8" s="177"/>
      <c r="AV8" s="177"/>
    </row>
    <row r="9" spans="2:48">
      <c r="C9" s="66" t="s">
        <v>108</v>
      </c>
      <c r="D9" s="66" t="s">
        <v>109</v>
      </c>
      <c r="E9" s="66" t="s">
        <v>113</v>
      </c>
      <c r="F9" s="66" t="s">
        <v>110</v>
      </c>
      <c r="N9" s="145" t="s">
        <v>922</v>
      </c>
      <c r="O9" s="145" t="s">
        <v>923</v>
      </c>
      <c r="P9" s="145" t="s">
        <v>110</v>
      </c>
      <c r="S9" s="80" t="s">
        <v>13</v>
      </c>
      <c r="T9" s="81" t="s">
        <v>125</v>
      </c>
      <c r="U9" s="81" t="s">
        <v>126</v>
      </c>
      <c r="V9" s="81" t="s">
        <v>14</v>
      </c>
      <c r="W9" s="81" t="s">
        <v>15</v>
      </c>
      <c r="X9" s="81" t="s">
        <v>91</v>
      </c>
      <c r="Y9" s="82"/>
      <c r="Z9" s="83" t="s">
        <v>101</v>
      </c>
      <c r="AA9" s="208" t="s">
        <v>1034</v>
      </c>
      <c r="AB9" s="81" t="s">
        <v>106</v>
      </c>
      <c r="AC9" s="82" t="s">
        <v>103</v>
      </c>
      <c r="AD9" s="87" t="s">
        <v>708</v>
      </c>
      <c r="AF9" s="208" t="s">
        <v>1080</v>
      </c>
      <c r="AG9" s="81" t="s">
        <v>1035</v>
      </c>
      <c r="AH9" s="81" t="s">
        <v>1081</v>
      </c>
      <c r="AI9" s="81" t="s">
        <v>157</v>
      </c>
      <c r="AJ9" s="81" t="s">
        <v>1082</v>
      </c>
      <c r="AK9" s="85" t="s">
        <v>101</v>
      </c>
      <c r="AL9" s="81" t="s">
        <v>95</v>
      </c>
      <c r="AM9" s="81" t="s">
        <v>213</v>
      </c>
      <c r="AN9" s="81" t="s">
        <v>214</v>
      </c>
      <c r="AO9" s="81" t="s">
        <v>221</v>
      </c>
      <c r="AP9" s="82" t="s">
        <v>222</v>
      </c>
      <c r="AQ9" s="86" t="s">
        <v>1083</v>
      </c>
      <c r="AR9" s="79" t="s">
        <v>101</v>
      </c>
      <c r="AU9" s="177"/>
      <c r="AV9" s="177"/>
    </row>
    <row r="10" spans="2:48">
      <c r="B10" s="66" t="s">
        <v>102</v>
      </c>
      <c r="C10" s="140">
        <v>2</v>
      </c>
      <c r="D10" s="141"/>
      <c r="E10" s="140">
        <f>IF($E$17=B10,1,0)</f>
        <v>0</v>
      </c>
      <c r="F10" s="140">
        <f>SUM(C10:E10)</f>
        <v>2</v>
      </c>
      <c r="N10" s="154"/>
      <c r="O10" s="154"/>
      <c r="P10" s="147">
        <f>F10+N10-O10</f>
        <v>2</v>
      </c>
      <c r="S10" s="80" t="s">
        <v>1</v>
      </c>
      <c r="T10" s="81">
        <f>U10</f>
        <v>1</v>
      </c>
      <c r="U10" s="81">
        <v>1</v>
      </c>
      <c r="V10" s="81"/>
      <c r="W10" s="81"/>
      <c r="X10" s="81"/>
      <c r="Y10" s="82" t="s">
        <v>522</v>
      </c>
      <c r="Z10" s="83" t="s">
        <v>101</v>
      </c>
      <c r="AA10" s="80" t="s">
        <v>207</v>
      </c>
      <c r="AB10" s="81" t="s">
        <v>106</v>
      </c>
      <c r="AC10" s="82" t="s">
        <v>104</v>
      </c>
      <c r="AD10" s="84" t="s">
        <v>263</v>
      </c>
      <c r="AF10" s="80" t="s">
        <v>255</v>
      </c>
      <c r="AG10" s="81" t="s">
        <v>208</v>
      </c>
      <c r="AH10" s="81" t="s">
        <v>343</v>
      </c>
      <c r="AI10" s="81" t="s">
        <v>150</v>
      </c>
      <c r="AJ10" s="81" t="s">
        <v>2</v>
      </c>
      <c r="AK10" s="85" t="s">
        <v>101</v>
      </c>
      <c r="AL10" s="81" t="s">
        <v>213</v>
      </c>
      <c r="AM10" s="81" t="s">
        <v>216</v>
      </c>
      <c r="AN10" s="81" t="s">
        <v>220</v>
      </c>
      <c r="AO10" s="81" t="s">
        <v>221</v>
      </c>
      <c r="AP10" s="82" t="s">
        <v>222</v>
      </c>
      <c r="AQ10" s="86" t="s">
        <v>472</v>
      </c>
      <c r="AR10" s="79" t="s">
        <v>101</v>
      </c>
      <c r="AU10" s="177"/>
      <c r="AV10" s="177"/>
    </row>
    <row r="11" spans="2:48">
      <c r="B11" s="66" t="s">
        <v>103</v>
      </c>
      <c r="C11" s="140">
        <v>2</v>
      </c>
      <c r="D11" s="142"/>
      <c r="E11" s="140">
        <f>IF($E$17=B11,1,0)</f>
        <v>0</v>
      </c>
      <c r="F11" s="140">
        <f t="shared" ref="F11:F14" si="0">SUM(C11:E11)</f>
        <v>2</v>
      </c>
      <c r="N11" s="154"/>
      <c r="O11" s="154"/>
      <c r="P11" s="147">
        <f>F11+N11-O11</f>
        <v>2</v>
      </c>
      <c r="S11" s="80" t="s">
        <v>149</v>
      </c>
      <c r="T11" s="81">
        <f>U11</f>
        <v>4</v>
      </c>
      <c r="U11" s="81">
        <v>4</v>
      </c>
      <c r="V11" s="81"/>
      <c r="W11" s="81"/>
      <c r="X11" s="81">
        <v>1</v>
      </c>
      <c r="Y11" s="82" t="s">
        <v>422</v>
      </c>
      <c r="Z11" s="83" t="s">
        <v>101</v>
      </c>
      <c r="AA11" s="80" t="s">
        <v>208</v>
      </c>
      <c r="AB11" s="81" t="s">
        <v>103</v>
      </c>
      <c r="AC11" s="82" t="s">
        <v>105</v>
      </c>
      <c r="AD11" s="87" t="s">
        <v>708</v>
      </c>
      <c r="AF11" s="80" t="s">
        <v>256</v>
      </c>
      <c r="AG11" s="81" t="s">
        <v>208</v>
      </c>
      <c r="AH11" s="81" t="s">
        <v>344</v>
      </c>
      <c r="AI11" s="81" t="s">
        <v>204</v>
      </c>
      <c r="AJ11" s="81" t="s">
        <v>6</v>
      </c>
      <c r="AK11" s="85" t="s">
        <v>101</v>
      </c>
      <c r="AL11" s="81" t="s">
        <v>94</v>
      </c>
      <c r="AM11" s="81" t="s">
        <v>96</v>
      </c>
      <c r="AN11" s="81" t="s">
        <v>213</v>
      </c>
      <c r="AO11" s="81" t="s">
        <v>216</v>
      </c>
      <c r="AP11" s="82" t="s">
        <v>220</v>
      </c>
      <c r="AQ11" s="86" t="s">
        <v>473</v>
      </c>
      <c r="AR11" s="79" t="s">
        <v>101</v>
      </c>
      <c r="AU11" s="177"/>
      <c r="AV11" s="177"/>
    </row>
    <row r="12" spans="2:48">
      <c r="B12" s="66" t="s">
        <v>104</v>
      </c>
      <c r="C12" s="140">
        <v>2</v>
      </c>
      <c r="D12" s="142"/>
      <c r="E12" s="140">
        <f>IF($E$17=B12,1,0)</f>
        <v>0</v>
      </c>
      <c r="F12" s="140">
        <f t="shared" si="0"/>
        <v>2</v>
      </c>
      <c r="N12" s="154"/>
      <c r="O12" s="154"/>
      <c r="P12" s="147">
        <f>F12+N12-O12</f>
        <v>2</v>
      </c>
      <c r="S12" s="208" t="s">
        <v>1135</v>
      </c>
      <c r="T12" s="81">
        <f>U12</f>
        <v>2</v>
      </c>
      <c r="U12" s="81">
        <v>2</v>
      </c>
      <c r="V12" s="81"/>
      <c r="W12" s="81"/>
      <c r="X12" s="81"/>
      <c r="Y12" s="217" t="s">
        <v>1136</v>
      </c>
      <c r="Z12" s="83" t="s">
        <v>101</v>
      </c>
      <c r="AA12" s="80" t="s">
        <v>136</v>
      </c>
      <c r="AB12" s="105" t="s">
        <v>102</v>
      </c>
      <c r="AC12" s="82" t="s">
        <v>104</v>
      </c>
      <c r="AD12" s="84" t="s">
        <v>709</v>
      </c>
      <c r="AF12" s="80" t="s">
        <v>98</v>
      </c>
      <c r="AG12" s="81" t="s">
        <v>290</v>
      </c>
      <c r="AH12" s="81" t="s">
        <v>304</v>
      </c>
      <c r="AI12" s="81" t="s">
        <v>191</v>
      </c>
      <c r="AJ12" s="81" t="s">
        <v>162</v>
      </c>
      <c r="AK12" s="85" t="s">
        <v>101</v>
      </c>
      <c r="AL12" s="81" t="s">
        <v>94</v>
      </c>
      <c r="AM12" s="81" t="s">
        <v>96</v>
      </c>
      <c r="AN12" s="81" t="s">
        <v>216</v>
      </c>
      <c r="AO12" s="81" t="s">
        <v>220</v>
      </c>
      <c r="AP12" s="82" t="s">
        <v>222</v>
      </c>
      <c r="AQ12" s="86" t="s">
        <v>445</v>
      </c>
      <c r="AR12" s="79" t="s">
        <v>101</v>
      </c>
      <c r="AU12" s="177"/>
      <c r="AV12" s="177"/>
    </row>
    <row r="13" spans="2:48">
      <c r="B13" s="66" t="s">
        <v>105</v>
      </c>
      <c r="C13" s="140">
        <v>2</v>
      </c>
      <c r="D13" s="142"/>
      <c r="E13" s="140">
        <f>IF($E$17=B13,1,0)</f>
        <v>0</v>
      </c>
      <c r="F13" s="140">
        <f t="shared" si="0"/>
        <v>2</v>
      </c>
      <c r="N13" s="154"/>
      <c r="O13" s="154"/>
      <c r="P13" s="147">
        <f>F13+N13-O13</f>
        <v>2</v>
      </c>
      <c r="S13" s="80" t="s">
        <v>150</v>
      </c>
      <c r="T13" s="88" t="str">
        <f>IF($B$17=V13,U13,"NO")</f>
        <v>NO</v>
      </c>
      <c r="U13" s="81">
        <v>4</v>
      </c>
      <c r="V13" s="81" t="s">
        <v>208</v>
      </c>
      <c r="W13" s="81" t="s">
        <v>17</v>
      </c>
      <c r="X13" s="81"/>
      <c r="Y13" s="82" t="s">
        <v>524</v>
      </c>
      <c r="Z13" s="83" t="s">
        <v>101</v>
      </c>
      <c r="AA13" s="80" t="s">
        <v>209</v>
      </c>
      <c r="AB13" s="105" t="s">
        <v>102</v>
      </c>
      <c r="AC13" s="82" t="s">
        <v>103</v>
      </c>
      <c r="AD13" s="84" t="s">
        <v>263</v>
      </c>
      <c r="AF13" s="80" t="s">
        <v>99</v>
      </c>
      <c r="AG13" s="81" t="s">
        <v>290</v>
      </c>
      <c r="AH13" s="81" t="s">
        <v>305</v>
      </c>
      <c r="AI13" s="81" t="s">
        <v>188</v>
      </c>
      <c r="AJ13" s="81" t="s">
        <v>159</v>
      </c>
      <c r="AK13" s="85" t="s">
        <v>101</v>
      </c>
      <c r="AL13" s="81" t="s">
        <v>93</v>
      </c>
      <c r="AM13" s="81" t="s">
        <v>96</v>
      </c>
      <c r="AN13" s="81" t="s">
        <v>213</v>
      </c>
      <c r="AO13" s="81" t="s">
        <v>218</v>
      </c>
      <c r="AP13" s="82" t="s">
        <v>220</v>
      </c>
      <c r="AQ13" s="86" t="s">
        <v>446</v>
      </c>
      <c r="AR13" s="79" t="s">
        <v>101</v>
      </c>
      <c r="AU13" s="177"/>
      <c r="AV13" s="177"/>
    </row>
    <row r="14" spans="2:48">
      <c r="B14" s="66" t="s">
        <v>106</v>
      </c>
      <c r="C14" s="140">
        <v>2</v>
      </c>
      <c r="D14" s="143"/>
      <c r="E14" s="140">
        <f>IF($E$17=B14,1,0)</f>
        <v>0</v>
      </c>
      <c r="F14" s="140">
        <f t="shared" si="0"/>
        <v>2</v>
      </c>
      <c r="N14" s="154"/>
      <c r="O14" s="154"/>
      <c r="P14" s="147">
        <f>F14+N14-O14</f>
        <v>2</v>
      </c>
      <c r="S14" s="80" t="s">
        <v>151</v>
      </c>
      <c r="T14" s="81">
        <f>U14</f>
        <v>3</v>
      </c>
      <c r="U14" s="81">
        <v>3</v>
      </c>
      <c r="V14" s="81"/>
      <c r="W14" s="81"/>
      <c r="X14" s="81"/>
      <c r="Y14" s="82" t="s">
        <v>410</v>
      </c>
      <c r="Z14" s="83" t="s">
        <v>101</v>
      </c>
      <c r="AA14" s="80" t="s">
        <v>210</v>
      </c>
      <c r="AB14" s="81" t="s">
        <v>106</v>
      </c>
      <c r="AC14" s="82" t="s">
        <v>105</v>
      </c>
      <c r="AD14" s="84" t="s">
        <v>263</v>
      </c>
      <c r="AF14" s="80" t="s">
        <v>225</v>
      </c>
      <c r="AG14" s="81" t="s">
        <v>290</v>
      </c>
      <c r="AH14" s="81" t="s">
        <v>306</v>
      </c>
      <c r="AI14" s="81" t="s">
        <v>149</v>
      </c>
      <c r="AJ14" s="81" t="s">
        <v>3</v>
      </c>
      <c r="AK14" s="85" t="s">
        <v>101</v>
      </c>
      <c r="AL14" s="81" t="s">
        <v>93</v>
      </c>
      <c r="AM14" s="81" t="s">
        <v>94</v>
      </c>
      <c r="AN14" s="81" t="s">
        <v>215</v>
      </c>
      <c r="AO14" s="81" t="s">
        <v>218</v>
      </c>
      <c r="AP14" s="82" t="s">
        <v>223</v>
      </c>
      <c r="AQ14" s="86" t="s">
        <v>447</v>
      </c>
      <c r="AR14" s="79" t="s">
        <v>101</v>
      </c>
      <c r="AU14" s="177"/>
      <c r="AV14" s="177"/>
    </row>
    <row r="15" spans="2:48">
      <c r="M15" s="145" t="s">
        <v>920</v>
      </c>
      <c r="P15" s="148">
        <f>SUM(P10:P14)</f>
        <v>10</v>
      </c>
      <c r="S15" s="208" t="s">
        <v>1060</v>
      </c>
      <c r="T15" s="95">
        <f>IF($B$17=V15,W15,U15)</f>
        <v>3</v>
      </c>
      <c r="U15" s="105">
        <v>3</v>
      </c>
      <c r="V15" s="213" t="s">
        <v>1038</v>
      </c>
      <c r="W15" s="81">
        <v>2</v>
      </c>
      <c r="X15" s="81"/>
      <c r="Y15" s="82" t="s">
        <v>1144</v>
      </c>
      <c r="Z15" s="83" t="s">
        <v>101</v>
      </c>
      <c r="AA15" s="208" t="s">
        <v>1035</v>
      </c>
      <c r="AB15" s="105" t="s">
        <v>102</v>
      </c>
      <c r="AC15" s="82" t="s">
        <v>103</v>
      </c>
      <c r="AD15" s="209" t="s">
        <v>1181</v>
      </c>
      <c r="AF15" s="208" t="s">
        <v>1041</v>
      </c>
      <c r="AG15" s="81" t="s">
        <v>290</v>
      </c>
      <c r="AH15" s="105" t="s">
        <v>1043</v>
      </c>
      <c r="AI15" s="105" t="s">
        <v>1044</v>
      </c>
      <c r="AJ15" s="105" t="s">
        <v>1045</v>
      </c>
      <c r="AK15" s="85" t="s">
        <v>101</v>
      </c>
      <c r="AL15" s="105" t="s">
        <v>215</v>
      </c>
      <c r="AM15" s="105" t="s">
        <v>219</v>
      </c>
      <c r="AN15" s="105" t="s">
        <v>222</v>
      </c>
      <c r="AO15" s="105" t="s">
        <v>223</v>
      </c>
      <c r="AP15" s="82" t="s">
        <v>224</v>
      </c>
      <c r="AQ15" s="86" t="s">
        <v>1042</v>
      </c>
      <c r="AR15" s="79" t="s">
        <v>101</v>
      </c>
      <c r="AU15" s="177"/>
      <c r="AV15" s="177"/>
    </row>
    <row r="16" spans="2:48">
      <c r="B16" s="70" t="s">
        <v>111</v>
      </c>
      <c r="E16" s="66" t="s">
        <v>112</v>
      </c>
      <c r="M16" s="145" t="s">
        <v>921</v>
      </c>
      <c r="S16" s="80" t="s">
        <v>152</v>
      </c>
      <c r="T16" s="81">
        <f>U16</f>
        <v>3</v>
      </c>
      <c r="U16" s="81">
        <v>3</v>
      </c>
      <c r="V16" s="81"/>
      <c r="W16" s="81"/>
      <c r="X16" s="81"/>
      <c r="Y16" s="82" t="s">
        <v>527</v>
      </c>
      <c r="Z16" s="83" t="s">
        <v>101</v>
      </c>
      <c r="AA16" s="208" t="s">
        <v>1036</v>
      </c>
      <c r="AB16" s="105" t="s">
        <v>106</v>
      </c>
      <c r="AC16" s="82" t="s">
        <v>105</v>
      </c>
      <c r="AD16" s="87" t="s">
        <v>708</v>
      </c>
      <c r="AF16" s="80" t="s">
        <v>226</v>
      </c>
      <c r="AG16" s="81" t="s">
        <v>290</v>
      </c>
      <c r="AH16" s="81" t="s">
        <v>307</v>
      </c>
      <c r="AI16" s="81" t="s">
        <v>182</v>
      </c>
      <c r="AJ16" s="81" t="s">
        <v>164</v>
      </c>
      <c r="AK16" s="85" t="s">
        <v>101</v>
      </c>
      <c r="AL16" s="81" t="s">
        <v>96</v>
      </c>
      <c r="AM16" s="81" t="s">
        <v>213</v>
      </c>
      <c r="AN16" s="81" t="s">
        <v>217</v>
      </c>
      <c r="AO16" s="81" t="s">
        <v>218</v>
      </c>
      <c r="AP16" s="82" t="s">
        <v>221</v>
      </c>
      <c r="AQ16" s="89" t="s">
        <v>433</v>
      </c>
      <c r="AR16" s="79" t="s">
        <v>101</v>
      </c>
      <c r="AU16" s="177"/>
      <c r="AV16" s="177"/>
    </row>
    <row r="17" spans="2:48">
      <c r="B17" s="244"/>
      <c r="C17" s="245"/>
      <c r="E17" s="244"/>
      <c r="F17" s="245"/>
      <c r="S17" s="80" t="s">
        <v>11</v>
      </c>
      <c r="T17" s="90">
        <f>IF($AC$43=1,W17,U17)</f>
        <v>2</v>
      </c>
      <c r="U17" s="81">
        <v>2</v>
      </c>
      <c r="V17" s="81" t="s">
        <v>16</v>
      </c>
      <c r="W17" s="81">
        <v>1</v>
      </c>
      <c r="X17" s="81"/>
      <c r="Y17" s="82" t="s">
        <v>392</v>
      </c>
      <c r="Z17" s="83" t="s">
        <v>101</v>
      </c>
      <c r="AA17" s="80" t="s">
        <v>138</v>
      </c>
      <c r="AB17" s="81" t="s">
        <v>103</v>
      </c>
      <c r="AC17" s="82" t="s">
        <v>106</v>
      </c>
      <c r="AD17" s="84" t="s">
        <v>710</v>
      </c>
      <c r="AF17" s="80" t="s">
        <v>227</v>
      </c>
      <c r="AG17" s="81" t="s">
        <v>290</v>
      </c>
      <c r="AH17" s="81" t="s">
        <v>308</v>
      </c>
      <c r="AI17" s="81" t="s">
        <v>165</v>
      </c>
      <c r="AJ17" s="81" t="s">
        <v>185</v>
      </c>
      <c r="AK17" s="85" t="s">
        <v>101</v>
      </c>
      <c r="AL17" s="81" t="s">
        <v>94</v>
      </c>
      <c r="AM17" s="81" t="s">
        <v>213</v>
      </c>
      <c r="AN17" s="81" t="s">
        <v>214</v>
      </c>
      <c r="AO17" s="81" t="s">
        <v>215</v>
      </c>
      <c r="AP17" s="82" t="s">
        <v>224</v>
      </c>
      <c r="AQ17" s="86" t="s">
        <v>448</v>
      </c>
      <c r="AR17" s="79" t="s">
        <v>101</v>
      </c>
      <c r="AU17" s="177"/>
      <c r="AV17" s="177"/>
    </row>
    <row r="18" spans="2:48">
      <c r="S18" s="80" t="s">
        <v>153</v>
      </c>
      <c r="T18" s="81">
        <f>U18</f>
        <v>3</v>
      </c>
      <c r="U18" s="81">
        <v>3</v>
      </c>
      <c r="V18" s="81"/>
      <c r="W18" s="81"/>
      <c r="X18" s="81"/>
      <c r="Y18" s="82" t="s">
        <v>411</v>
      </c>
      <c r="Z18" s="83" t="s">
        <v>101</v>
      </c>
      <c r="AA18" s="208" t="s">
        <v>1037</v>
      </c>
      <c r="AB18" s="105" t="s">
        <v>104</v>
      </c>
      <c r="AC18" s="128" t="s">
        <v>105</v>
      </c>
      <c r="AD18" s="222" t="s">
        <v>1182</v>
      </c>
      <c r="AF18" s="80" t="s">
        <v>264</v>
      </c>
      <c r="AG18" s="81" t="s">
        <v>263</v>
      </c>
      <c r="AH18" s="81" t="s">
        <v>336</v>
      </c>
      <c r="AI18" s="81" t="s">
        <v>11</v>
      </c>
      <c r="AJ18" s="81" t="s">
        <v>206</v>
      </c>
      <c r="AK18" s="81" t="s">
        <v>1</v>
      </c>
      <c r="AL18" s="81" t="s">
        <v>93</v>
      </c>
      <c r="AM18" s="81" t="s">
        <v>96</v>
      </c>
      <c r="AN18" s="81" t="s">
        <v>213</v>
      </c>
      <c r="AO18" s="81" t="s">
        <v>217</v>
      </c>
      <c r="AP18" s="82" t="s">
        <v>218</v>
      </c>
      <c r="AQ18" s="86" t="s">
        <v>465</v>
      </c>
      <c r="AR18" s="79" t="s">
        <v>101</v>
      </c>
      <c r="AU18" s="177"/>
      <c r="AV18" s="177"/>
    </row>
    <row r="19" spans="2:48" ht="18.75">
      <c r="B19" s="71" t="s">
        <v>97</v>
      </c>
      <c r="S19" s="80" t="s">
        <v>154</v>
      </c>
      <c r="T19" s="81">
        <f>U19</f>
        <v>3</v>
      </c>
      <c r="U19" s="81">
        <v>3</v>
      </c>
      <c r="V19" s="81"/>
      <c r="W19" s="81"/>
      <c r="X19" s="81"/>
      <c r="Y19" s="82" t="s">
        <v>412</v>
      </c>
      <c r="Z19" s="83" t="s">
        <v>101</v>
      </c>
      <c r="AA19" s="208" t="s">
        <v>1038</v>
      </c>
      <c r="AB19" s="105" t="s">
        <v>102</v>
      </c>
      <c r="AC19" s="128" t="s">
        <v>104</v>
      </c>
      <c r="AD19" s="87" t="s">
        <v>708</v>
      </c>
      <c r="AF19" s="80" t="s">
        <v>282</v>
      </c>
      <c r="AG19" s="81" t="s">
        <v>141</v>
      </c>
      <c r="AH19" s="81" t="s">
        <v>361</v>
      </c>
      <c r="AI19" s="81" t="s">
        <v>170</v>
      </c>
      <c r="AJ19" s="81" t="s">
        <v>1</v>
      </c>
      <c r="AK19" s="85" t="s">
        <v>101</v>
      </c>
      <c r="AL19" s="81" t="s">
        <v>95</v>
      </c>
      <c r="AM19" s="81" t="s">
        <v>215</v>
      </c>
      <c r="AN19" s="81" t="s">
        <v>219</v>
      </c>
      <c r="AO19" s="81" t="s">
        <v>223</v>
      </c>
      <c r="AP19" s="82" t="s">
        <v>224</v>
      </c>
      <c r="AQ19" s="89" t="s">
        <v>442</v>
      </c>
      <c r="AR19" s="79" t="s">
        <v>101</v>
      </c>
      <c r="AU19" s="177"/>
      <c r="AV19" s="177"/>
    </row>
    <row r="20" spans="2:48">
      <c r="S20" s="80" t="s">
        <v>155</v>
      </c>
      <c r="T20" s="81">
        <f>U20</f>
        <v>3</v>
      </c>
      <c r="U20" s="81">
        <v>3</v>
      </c>
      <c r="V20" s="81"/>
      <c r="W20" s="81"/>
      <c r="X20" s="81"/>
      <c r="Y20" s="82" t="s">
        <v>530</v>
      </c>
      <c r="Z20" s="83" t="s">
        <v>101</v>
      </c>
      <c r="AA20" s="80" t="s">
        <v>211</v>
      </c>
      <c r="AB20" s="105" t="s">
        <v>102</v>
      </c>
      <c r="AC20" s="82" t="s">
        <v>106</v>
      </c>
      <c r="AD20" s="84" t="s">
        <v>711</v>
      </c>
      <c r="AF20" s="208" t="s">
        <v>1121</v>
      </c>
      <c r="AG20" s="105" t="s">
        <v>1038</v>
      </c>
      <c r="AH20" s="105" t="s">
        <v>1122</v>
      </c>
      <c r="AI20" s="105" t="s">
        <v>1124</v>
      </c>
      <c r="AJ20" s="105" t="s">
        <v>3</v>
      </c>
      <c r="AK20" s="85" t="s">
        <v>101</v>
      </c>
      <c r="AL20" s="105" t="s">
        <v>96</v>
      </c>
      <c r="AM20" s="105" t="s">
        <v>213</v>
      </c>
      <c r="AN20" s="105" t="s">
        <v>217</v>
      </c>
      <c r="AO20" s="105" t="s">
        <v>220</v>
      </c>
      <c r="AP20" s="82" t="s">
        <v>219</v>
      </c>
      <c r="AQ20" s="89" t="s">
        <v>1123</v>
      </c>
      <c r="AR20" s="79" t="s">
        <v>101</v>
      </c>
      <c r="AS20" s="268" t="str">
        <f>IF(B22&lt;&gt;"",B22,"")</f>
        <v/>
      </c>
      <c r="AT20" s="268"/>
      <c r="AU20" s="268"/>
      <c r="AV20" s="268"/>
    </row>
    <row r="21" spans="2:48">
      <c r="B21" s="66" t="s">
        <v>114</v>
      </c>
      <c r="F21" s="66" t="s">
        <v>119</v>
      </c>
      <c r="M21" s="239" t="s">
        <v>925</v>
      </c>
      <c r="N21" s="239"/>
      <c r="O21" s="239"/>
      <c r="P21" s="239"/>
      <c r="Q21" s="239"/>
      <c r="S21" s="80" t="s">
        <v>291</v>
      </c>
      <c r="T21" s="95">
        <f>IF($B$17=V21,W21,U21)</f>
        <v>3</v>
      </c>
      <c r="U21" s="81">
        <v>3</v>
      </c>
      <c r="V21" s="81" t="s">
        <v>138</v>
      </c>
      <c r="W21" s="81">
        <v>2</v>
      </c>
      <c r="X21" s="81"/>
      <c r="Y21" s="82" t="s">
        <v>413</v>
      </c>
      <c r="Z21" s="83" t="s">
        <v>101</v>
      </c>
      <c r="AA21" s="80" t="s">
        <v>212</v>
      </c>
      <c r="AB21" s="81" t="s">
        <v>104</v>
      </c>
      <c r="AC21" s="82" t="s">
        <v>105</v>
      </c>
      <c r="AD21" s="84" t="s">
        <v>727</v>
      </c>
      <c r="AF21" s="208" t="s">
        <v>1118</v>
      </c>
      <c r="AG21" s="105" t="s">
        <v>1038</v>
      </c>
      <c r="AH21" s="105" t="s">
        <v>1119</v>
      </c>
      <c r="AI21" s="105" t="s">
        <v>176</v>
      </c>
      <c r="AJ21" s="105" t="s">
        <v>3</v>
      </c>
      <c r="AK21" s="85" t="s">
        <v>101</v>
      </c>
      <c r="AL21" s="105" t="s">
        <v>93</v>
      </c>
      <c r="AM21" s="105" t="s">
        <v>96</v>
      </c>
      <c r="AN21" s="105" t="s">
        <v>215</v>
      </c>
      <c r="AO21" s="105" t="s">
        <v>221</v>
      </c>
      <c r="AP21" s="82" t="s">
        <v>224</v>
      </c>
      <c r="AQ21" s="89" t="s">
        <v>1120</v>
      </c>
      <c r="AR21" s="79" t="s">
        <v>101</v>
      </c>
      <c r="AS21" s="267" t="str">
        <f>IF(B22&lt;&gt;"",print!B30,"")</f>
        <v/>
      </c>
      <c r="AT21" s="267"/>
      <c r="AU21" s="267"/>
      <c r="AV21" s="267"/>
    </row>
    <row r="22" spans="2:48">
      <c r="B22" s="244"/>
      <c r="C22" s="246"/>
      <c r="D22" s="245"/>
      <c r="F22" s="244"/>
      <c r="G22" s="246"/>
      <c r="H22" s="245"/>
      <c r="M22" s="239">
        <f>B22</f>
        <v>0</v>
      </c>
      <c r="N22" s="239"/>
      <c r="O22" s="239"/>
      <c r="P22" s="239"/>
      <c r="S22" s="80" t="s">
        <v>2</v>
      </c>
      <c r="T22" s="81">
        <f>U22</f>
        <v>1</v>
      </c>
      <c r="U22" s="81">
        <v>1</v>
      </c>
      <c r="V22" s="81"/>
      <c r="W22" s="81"/>
      <c r="X22" s="81"/>
      <c r="Y22" s="82" t="s">
        <v>532</v>
      </c>
      <c r="Z22" s="83" t="s">
        <v>101</v>
      </c>
      <c r="AA22" s="80" t="s">
        <v>141</v>
      </c>
      <c r="AB22" s="105" t="s">
        <v>102</v>
      </c>
      <c r="AC22" s="82" t="s">
        <v>105</v>
      </c>
      <c r="AD22" s="87" t="s">
        <v>708</v>
      </c>
      <c r="AF22" s="80" t="s">
        <v>286</v>
      </c>
      <c r="AG22" s="81" t="s">
        <v>142</v>
      </c>
      <c r="AH22" s="81" t="s">
        <v>365</v>
      </c>
      <c r="AI22" s="81" t="s">
        <v>184</v>
      </c>
      <c r="AJ22" s="81" t="s">
        <v>170</v>
      </c>
      <c r="AK22" s="85" t="s">
        <v>101</v>
      </c>
      <c r="AL22" s="81" t="s">
        <v>94</v>
      </c>
      <c r="AM22" s="81" t="s">
        <v>213</v>
      </c>
      <c r="AN22" s="81" t="s">
        <v>215</v>
      </c>
      <c r="AO22" s="81" t="s">
        <v>216</v>
      </c>
      <c r="AP22" s="82" t="s">
        <v>224</v>
      </c>
      <c r="AQ22" s="86" t="s">
        <v>492</v>
      </c>
      <c r="AR22" s="79" t="s">
        <v>101</v>
      </c>
      <c r="AS22" s="267"/>
      <c r="AT22" s="267"/>
      <c r="AU22" s="267"/>
      <c r="AV22" s="267"/>
    </row>
    <row r="23" spans="2:48">
      <c r="B23" s="70" t="s">
        <v>118</v>
      </c>
      <c r="F23" s="70" t="s">
        <v>118</v>
      </c>
      <c r="N23" s="145" t="s">
        <v>927</v>
      </c>
      <c r="S23" s="80" t="s">
        <v>156</v>
      </c>
      <c r="T23" s="81">
        <f>U23</f>
        <v>2</v>
      </c>
      <c r="U23" s="81">
        <v>2</v>
      </c>
      <c r="V23" s="81"/>
      <c r="W23" s="81"/>
      <c r="X23" s="81"/>
      <c r="Y23" s="82" t="s">
        <v>393</v>
      </c>
      <c r="Z23" s="83" t="s">
        <v>101</v>
      </c>
      <c r="AA23" s="91" t="s">
        <v>142</v>
      </c>
      <c r="AB23" s="92" t="s">
        <v>103</v>
      </c>
      <c r="AC23" s="93" t="s">
        <v>104</v>
      </c>
      <c r="AD23" s="94" t="s">
        <v>712</v>
      </c>
      <c r="AF23" s="80" t="s">
        <v>228</v>
      </c>
      <c r="AG23" s="81" t="s">
        <v>290</v>
      </c>
      <c r="AH23" s="81" t="s">
        <v>309</v>
      </c>
      <c r="AI23" s="81" t="s">
        <v>154</v>
      </c>
      <c r="AJ23" s="81" t="s">
        <v>171</v>
      </c>
      <c r="AK23" s="85" t="s">
        <v>101</v>
      </c>
      <c r="AL23" s="81" t="s">
        <v>215</v>
      </c>
      <c r="AM23" s="81" t="s">
        <v>216</v>
      </c>
      <c r="AN23" s="81" t="s">
        <v>218</v>
      </c>
      <c r="AO23" s="81" t="s">
        <v>223</v>
      </c>
      <c r="AP23" s="82" t="s">
        <v>224</v>
      </c>
      <c r="AQ23" s="86" t="s">
        <v>449</v>
      </c>
      <c r="AR23" s="79" t="s">
        <v>101</v>
      </c>
      <c r="AS23" s="267"/>
      <c r="AT23" s="267"/>
      <c r="AU23" s="267"/>
      <c r="AV23" s="267"/>
    </row>
    <row r="24" spans="2:48">
      <c r="B24" s="252" t="e">
        <f>VLOOKUP($B$22,$AF$9:$AP$99,3)</f>
        <v>#N/A</v>
      </c>
      <c r="C24" s="252"/>
      <c r="D24" s="252"/>
      <c r="F24" s="252" t="e">
        <f>VLOOKUP($F$22,$AF$9:$AP$99,3)</f>
        <v>#N/A</v>
      </c>
      <c r="G24" s="252"/>
      <c r="H24" s="252"/>
      <c r="N24" s="238"/>
      <c r="O24" s="238"/>
      <c r="P24" s="238"/>
      <c r="S24" s="80" t="s">
        <v>157</v>
      </c>
      <c r="T24" s="81">
        <f>U24</f>
        <v>2</v>
      </c>
      <c r="U24" s="81">
        <v>2</v>
      </c>
      <c r="V24" s="81"/>
      <c r="W24" s="81"/>
      <c r="X24" s="81"/>
      <c r="Y24" s="82" t="s">
        <v>394</v>
      </c>
      <c r="Z24" s="83" t="s">
        <v>101</v>
      </c>
      <c r="AF24" s="208" t="s">
        <v>1091</v>
      </c>
      <c r="AG24" s="105" t="s">
        <v>1036</v>
      </c>
      <c r="AH24" s="105" t="s">
        <v>1092</v>
      </c>
      <c r="AI24" s="105" t="s">
        <v>1093</v>
      </c>
      <c r="AJ24" s="105" t="s">
        <v>1094</v>
      </c>
      <c r="AK24" s="85" t="s">
        <v>101</v>
      </c>
      <c r="AL24" s="105" t="s">
        <v>96</v>
      </c>
      <c r="AM24" s="105" t="s">
        <v>217</v>
      </c>
      <c r="AN24" s="105" t="s">
        <v>221</v>
      </c>
      <c r="AO24" s="105" t="s">
        <v>222</v>
      </c>
      <c r="AP24" s="82" t="s">
        <v>224</v>
      </c>
      <c r="AQ24" s="86" t="s">
        <v>1095</v>
      </c>
      <c r="AR24" s="79" t="s">
        <v>101</v>
      </c>
      <c r="AS24" s="267"/>
      <c r="AT24" s="267"/>
      <c r="AU24" s="267"/>
      <c r="AV24" s="267"/>
    </row>
    <row r="25" spans="2:48">
      <c r="B25" s="252"/>
      <c r="C25" s="252"/>
      <c r="D25" s="252"/>
      <c r="F25" s="252"/>
      <c r="G25" s="252"/>
      <c r="H25" s="252"/>
      <c r="S25" s="208" t="s">
        <v>1094</v>
      </c>
      <c r="T25" s="81">
        <f>U25</f>
        <v>2</v>
      </c>
      <c r="U25" s="105">
        <v>2</v>
      </c>
      <c r="V25" s="81"/>
      <c r="W25" s="81"/>
      <c r="X25" s="81"/>
      <c r="Y25" s="82" t="s">
        <v>1137</v>
      </c>
      <c r="Z25" s="83" t="s">
        <v>101</v>
      </c>
      <c r="AF25" s="208" t="s">
        <v>1046</v>
      </c>
      <c r="AG25" s="81" t="s">
        <v>290</v>
      </c>
      <c r="AH25" s="105" t="s">
        <v>1048</v>
      </c>
      <c r="AI25" s="105" t="s">
        <v>160</v>
      </c>
      <c r="AJ25" s="81" t="s">
        <v>205</v>
      </c>
      <c r="AK25" s="85" t="s">
        <v>101</v>
      </c>
      <c r="AL25" s="105" t="s">
        <v>94</v>
      </c>
      <c r="AM25" s="105" t="s">
        <v>95</v>
      </c>
      <c r="AN25" s="105" t="s">
        <v>214</v>
      </c>
      <c r="AO25" s="105" t="s">
        <v>216</v>
      </c>
      <c r="AP25" s="82" t="s">
        <v>222</v>
      </c>
      <c r="AQ25" s="86" t="s">
        <v>1047</v>
      </c>
      <c r="AR25" s="79" t="s">
        <v>101</v>
      </c>
      <c r="AU25" s="177"/>
      <c r="AV25" s="177"/>
    </row>
    <row r="26" spans="2:48">
      <c r="B26" s="252"/>
      <c r="C26" s="252"/>
      <c r="D26" s="252"/>
      <c r="F26" s="252"/>
      <c r="G26" s="252"/>
      <c r="H26" s="252"/>
      <c r="M26" s="239">
        <f>F22</f>
        <v>0</v>
      </c>
      <c r="N26" s="239"/>
      <c r="O26" s="239"/>
      <c r="P26" s="239"/>
      <c r="S26" s="80" t="s">
        <v>158</v>
      </c>
      <c r="T26" s="81">
        <f t="shared" ref="T26:T34" si="1">U26</f>
        <v>3</v>
      </c>
      <c r="U26" s="81">
        <v>3</v>
      </c>
      <c r="V26" s="81"/>
      <c r="W26" s="81"/>
      <c r="X26" s="81"/>
      <c r="Y26" s="82" t="s">
        <v>414</v>
      </c>
      <c r="Z26" s="83" t="s">
        <v>101</v>
      </c>
      <c r="AF26" s="80" t="s">
        <v>287</v>
      </c>
      <c r="AG26" s="81" t="s">
        <v>142</v>
      </c>
      <c r="AH26" s="81" t="s">
        <v>366</v>
      </c>
      <c r="AI26" s="81" t="s">
        <v>301</v>
      </c>
      <c r="AJ26" s="81" t="s">
        <v>198</v>
      </c>
      <c r="AK26" s="85" t="s">
        <v>101</v>
      </c>
      <c r="AL26" s="81" t="s">
        <v>96</v>
      </c>
      <c r="AM26" s="81" t="s">
        <v>213</v>
      </c>
      <c r="AN26" s="81" t="s">
        <v>216</v>
      </c>
      <c r="AO26" s="81" t="s">
        <v>218</v>
      </c>
      <c r="AP26" s="82" t="s">
        <v>221</v>
      </c>
      <c r="AQ26" s="89" t="s">
        <v>443</v>
      </c>
      <c r="AR26" s="79" t="s">
        <v>101</v>
      </c>
      <c r="AS26" s="268" t="str">
        <f>IF(F22&lt;&gt;"",F22,"")</f>
        <v/>
      </c>
      <c r="AT26" s="268"/>
      <c r="AU26" s="268"/>
      <c r="AV26" s="268"/>
    </row>
    <row r="27" spans="2:48">
      <c r="B27" s="252"/>
      <c r="C27" s="252"/>
      <c r="D27" s="252"/>
      <c r="F27" s="252"/>
      <c r="G27" s="252"/>
      <c r="H27" s="252"/>
      <c r="N27" s="145" t="s">
        <v>927</v>
      </c>
      <c r="S27" s="208" t="s">
        <v>1138</v>
      </c>
      <c r="T27" s="81">
        <f t="shared" si="1"/>
        <v>2</v>
      </c>
      <c r="U27" s="105">
        <v>2</v>
      </c>
      <c r="V27" s="81"/>
      <c r="W27" s="81"/>
      <c r="X27" s="81"/>
      <c r="Y27" s="82" t="s">
        <v>1139</v>
      </c>
      <c r="Z27" s="83" t="s">
        <v>101</v>
      </c>
      <c r="AF27" s="80" t="s">
        <v>278</v>
      </c>
      <c r="AG27" s="81" t="s">
        <v>212</v>
      </c>
      <c r="AH27" s="81" t="s">
        <v>357</v>
      </c>
      <c r="AI27" s="81" t="s">
        <v>199</v>
      </c>
      <c r="AJ27" s="81" t="s">
        <v>187</v>
      </c>
      <c r="AK27" s="85" t="s">
        <v>101</v>
      </c>
      <c r="AL27" s="81" t="s">
        <v>95</v>
      </c>
      <c r="AM27" s="81" t="s">
        <v>215</v>
      </c>
      <c r="AN27" s="81" t="s">
        <v>216</v>
      </c>
      <c r="AO27" s="81" t="s">
        <v>218</v>
      </c>
      <c r="AP27" s="82" t="s">
        <v>224</v>
      </c>
      <c r="AQ27" s="86" t="s">
        <v>486</v>
      </c>
      <c r="AR27" s="79" t="s">
        <v>101</v>
      </c>
      <c r="AS27" s="267" t="str">
        <f>IF(F22&lt;&gt;"",print!B36,"")</f>
        <v/>
      </c>
      <c r="AT27" s="267"/>
      <c r="AU27" s="267"/>
      <c r="AV27" s="267"/>
    </row>
    <row r="28" spans="2:48">
      <c r="B28" s="96"/>
      <c r="C28" s="96"/>
      <c r="D28" s="96"/>
      <c r="N28" s="238"/>
      <c r="O28" s="238"/>
      <c r="P28" s="238"/>
      <c r="S28" s="80" t="s">
        <v>3</v>
      </c>
      <c r="T28" s="81">
        <f t="shared" si="1"/>
        <v>1</v>
      </c>
      <c r="U28" s="81">
        <v>1</v>
      </c>
      <c r="V28" s="81"/>
      <c r="W28" s="81"/>
      <c r="X28" s="81"/>
      <c r="Y28" s="82" t="s">
        <v>536</v>
      </c>
      <c r="Z28" s="83" t="s">
        <v>101</v>
      </c>
      <c r="AF28" s="80" t="s">
        <v>546</v>
      </c>
      <c r="AG28" s="81" t="s">
        <v>290</v>
      </c>
      <c r="AH28" s="81" t="s">
        <v>310</v>
      </c>
      <c r="AI28" s="81" t="s">
        <v>151</v>
      </c>
      <c r="AJ28" s="81" t="s">
        <v>167</v>
      </c>
      <c r="AK28" s="85" t="s">
        <v>101</v>
      </c>
      <c r="AL28" s="81" t="s">
        <v>213</v>
      </c>
      <c r="AM28" s="81" t="s">
        <v>217</v>
      </c>
      <c r="AN28" s="81" t="s">
        <v>218</v>
      </c>
      <c r="AO28" s="81" t="s">
        <v>221</v>
      </c>
      <c r="AP28" s="82" t="s">
        <v>224</v>
      </c>
      <c r="AQ28" s="86" t="s">
        <v>450</v>
      </c>
      <c r="AR28" s="79" t="s">
        <v>101</v>
      </c>
      <c r="AS28" s="267"/>
      <c r="AT28" s="267"/>
      <c r="AU28" s="267"/>
      <c r="AV28" s="267"/>
    </row>
    <row r="29" spans="2:48">
      <c r="B29" s="70" t="s">
        <v>124</v>
      </c>
      <c r="E29" s="70" t="s">
        <v>124</v>
      </c>
      <c r="H29" s="70" t="s">
        <v>128</v>
      </c>
      <c r="S29" s="80" t="s">
        <v>159</v>
      </c>
      <c r="T29" s="81">
        <f t="shared" si="1"/>
        <v>2</v>
      </c>
      <c r="U29" s="81">
        <v>2</v>
      </c>
      <c r="V29" s="81"/>
      <c r="W29" s="81"/>
      <c r="X29" s="81"/>
      <c r="Y29" s="82" t="s">
        <v>538</v>
      </c>
      <c r="Z29" s="83" t="s">
        <v>101</v>
      </c>
      <c r="AF29" s="80" t="s">
        <v>229</v>
      </c>
      <c r="AG29" s="81" t="s">
        <v>290</v>
      </c>
      <c r="AH29" s="81" t="s">
        <v>311</v>
      </c>
      <c r="AI29" s="81" t="s">
        <v>178</v>
      </c>
      <c r="AJ29" s="81" t="s">
        <v>169</v>
      </c>
      <c r="AK29" s="85" t="s">
        <v>101</v>
      </c>
      <c r="AL29" s="81" t="s">
        <v>94</v>
      </c>
      <c r="AM29" s="81" t="s">
        <v>96</v>
      </c>
      <c r="AN29" s="81" t="s">
        <v>216</v>
      </c>
      <c r="AO29" s="81" t="s">
        <v>217</v>
      </c>
      <c r="AP29" s="82" t="s">
        <v>220</v>
      </c>
      <c r="AQ29" s="89" t="s">
        <v>434</v>
      </c>
      <c r="AR29" s="79" t="s">
        <v>101</v>
      </c>
      <c r="AS29" s="267"/>
      <c r="AT29" s="267"/>
      <c r="AU29" s="267"/>
      <c r="AV29" s="267"/>
    </row>
    <row r="30" spans="2:48">
      <c r="B30" s="66" t="e">
        <f>VLOOKUP($B$22,$AF$9:$AP$99,4)</f>
        <v>#N/A</v>
      </c>
      <c r="E30" s="66" t="e">
        <f>VLOOKUP($F$22,$AF$9:$AP$99,4)</f>
        <v>#N/A</v>
      </c>
      <c r="H30" s="66" t="e">
        <f>AC39+AC40+AC41</f>
        <v>#N/A</v>
      </c>
      <c r="S30" s="80" t="s">
        <v>160</v>
      </c>
      <c r="T30" s="234">
        <f>IF(COUNTIF(B60:C75,V30),W30,U30)</f>
        <v>5</v>
      </c>
      <c r="U30" s="81">
        <v>5</v>
      </c>
      <c r="V30" s="234" t="s">
        <v>1347</v>
      </c>
      <c r="W30" s="81">
        <v>3</v>
      </c>
      <c r="X30" s="81"/>
      <c r="Y30" s="82" t="s">
        <v>427</v>
      </c>
      <c r="Z30" s="83" t="s">
        <v>101</v>
      </c>
      <c r="AF30" s="80" t="s">
        <v>230</v>
      </c>
      <c r="AG30" s="81" t="s">
        <v>290</v>
      </c>
      <c r="AH30" s="81" t="s">
        <v>312</v>
      </c>
      <c r="AI30" s="81" t="s">
        <v>291</v>
      </c>
      <c r="AJ30" s="81" t="s">
        <v>198</v>
      </c>
      <c r="AK30" s="85" t="s">
        <v>101</v>
      </c>
      <c r="AL30" s="81" t="s">
        <v>94</v>
      </c>
      <c r="AM30" s="81" t="s">
        <v>213</v>
      </c>
      <c r="AN30" s="81" t="s">
        <v>214</v>
      </c>
      <c r="AO30" s="81" t="s">
        <v>215</v>
      </c>
      <c r="AP30" s="82" t="s">
        <v>222</v>
      </c>
      <c r="AQ30" s="86" t="s">
        <v>451</v>
      </c>
      <c r="AR30" s="79" t="s">
        <v>101</v>
      </c>
      <c r="AS30" s="267"/>
      <c r="AT30" s="267"/>
      <c r="AU30" s="267"/>
      <c r="AV30" s="267"/>
    </row>
    <row r="31" spans="2:48">
      <c r="B31" s="66" t="e">
        <f>VLOOKUP($B$22,$AF$9:$AP$99,5)</f>
        <v>#N/A</v>
      </c>
      <c r="E31" s="66" t="e">
        <f>VLOOKUP($F$22,$AF$9:$AP$99,5)</f>
        <v>#N/A</v>
      </c>
      <c r="S31" s="80" t="s">
        <v>161</v>
      </c>
      <c r="T31" s="95">
        <f>IF($B$17=V31,W31,U31)</f>
        <v>3</v>
      </c>
      <c r="U31" s="81">
        <v>3</v>
      </c>
      <c r="V31" s="213" t="s">
        <v>1036</v>
      </c>
      <c r="W31" s="81">
        <v>2</v>
      </c>
      <c r="X31" s="81"/>
      <c r="Y31" s="82" t="s">
        <v>415</v>
      </c>
      <c r="Z31" s="83" t="s">
        <v>101</v>
      </c>
      <c r="AF31" s="80" t="s">
        <v>257</v>
      </c>
      <c r="AG31" s="81" t="s">
        <v>208</v>
      </c>
      <c r="AH31" s="81" t="s">
        <v>345</v>
      </c>
      <c r="AI31" s="81" t="s">
        <v>165</v>
      </c>
      <c r="AJ31" s="81" t="s">
        <v>159</v>
      </c>
      <c r="AK31" s="85" t="s">
        <v>101</v>
      </c>
      <c r="AL31" s="81" t="s">
        <v>94</v>
      </c>
      <c r="AM31" s="81" t="s">
        <v>213</v>
      </c>
      <c r="AN31" s="81" t="s">
        <v>215</v>
      </c>
      <c r="AO31" s="81" t="s">
        <v>220</v>
      </c>
      <c r="AP31" s="82" t="s">
        <v>224</v>
      </c>
      <c r="AQ31" s="86" t="s">
        <v>474</v>
      </c>
      <c r="AR31" s="79" t="s">
        <v>101</v>
      </c>
      <c r="AU31" s="177"/>
      <c r="AV31" s="177"/>
    </row>
    <row r="32" spans="2:48">
      <c r="B32" s="66" t="e">
        <f>VLOOKUP($B$22,$AF$9:$AP$99,6)</f>
        <v>#N/A</v>
      </c>
      <c r="E32" s="66" t="e">
        <f>VLOOKUP($F$22,$AF$9:$AP$99,6)</f>
        <v>#N/A</v>
      </c>
      <c r="S32" s="80" t="s">
        <v>162</v>
      </c>
      <c r="T32" s="81">
        <f t="shared" si="1"/>
        <v>2</v>
      </c>
      <c r="U32" s="81">
        <v>2</v>
      </c>
      <c r="V32" s="81"/>
      <c r="W32" s="81"/>
      <c r="X32" s="81"/>
      <c r="Y32" s="82" t="s">
        <v>1018</v>
      </c>
      <c r="Z32" s="83" t="s">
        <v>101</v>
      </c>
      <c r="AF32" s="208" t="s">
        <v>1104</v>
      </c>
      <c r="AG32" s="105" t="s">
        <v>1037</v>
      </c>
      <c r="AH32" s="105" t="s">
        <v>1106</v>
      </c>
      <c r="AI32" s="105" t="s">
        <v>160</v>
      </c>
      <c r="AJ32" s="105" t="s">
        <v>200</v>
      </c>
      <c r="AK32" s="85" t="s">
        <v>101</v>
      </c>
      <c r="AL32" s="105" t="s">
        <v>94</v>
      </c>
      <c r="AM32" s="105" t="s">
        <v>213</v>
      </c>
      <c r="AN32" s="105" t="s">
        <v>220</v>
      </c>
      <c r="AO32" s="105" t="s">
        <v>223</v>
      </c>
      <c r="AP32" s="82" t="s">
        <v>224</v>
      </c>
      <c r="AQ32" s="86" t="s">
        <v>1105</v>
      </c>
      <c r="AR32" s="79" t="s">
        <v>101</v>
      </c>
      <c r="AU32" s="177"/>
      <c r="AV32" s="177"/>
    </row>
    <row r="33" spans="2:48">
      <c r="S33" s="80" t="s">
        <v>163</v>
      </c>
      <c r="T33" s="95">
        <f>IF($B$17=V33,W33,U33)</f>
        <v>2</v>
      </c>
      <c r="U33" s="81">
        <v>2</v>
      </c>
      <c r="V33" s="81" t="s">
        <v>212</v>
      </c>
      <c r="W33" s="81">
        <v>1</v>
      </c>
      <c r="X33" s="81"/>
      <c r="Y33" s="82" t="s">
        <v>395</v>
      </c>
      <c r="Z33" s="83" t="s">
        <v>101</v>
      </c>
      <c r="AF33" s="80" t="s">
        <v>231</v>
      </c>
      <c r="AG33" s="81" t="s">
        <v>290</v>
      </c>
      <c r="AH33" s="81" t="s">
        <v>313</v>
      </c>
      <c r="AI33" s="81" t="s">
        <v>179</v>
      </c>
      <c r="AJ33" s="81" t="s">
        <v>10</v>
      </c>
      <c r="AK33" s="85" t="s">
        <v>101</v>
      </c>
      <c r="AL33" s="81" t="s">
        <v>96</v>
      </c>
      <c r="AM33" s="81" t="s">
        <v>213</v>
      </c>
      <c r="AN33" s="81" t="s">
        <v>216</v>
      </c>
      <c r="AO33" s="81" t="s">
        <v>218</v>
      </c>
      <c r="AP33" s="82" t="s">
        <v>220</v>
      </c>
      <c r="AQ33" s="89" t="s">
        <v>435</v>
      </c>
      <c r="AR33" s="79" t="s">
        <v>101</v>
      </c>
      <c r="AS33" s="256" t="s">
        <v>990</v>
      </c>
      <c r="AT33" s="256"/>
      <c r="AU33" s="256"/>
      <c r="AV33" s="256"/>
    </row>
    <row r="34" spans="2:48">
      <c r="B34" s="70" t="s">
        <v>120</v>
      </c>
      <c r="E34" s="70" t="s">
        <v>120</v>
      </c>
      <c r="S34" s="208" t="s">
        <v>1045</v>
      </c>
      <c r="T34" s="81">
        <f t="shared" si="1"/>
        <v>1</v>
      </c>
      <c r="U34" s="105">
        <v>1</v>
      </c>
      <c r="V34" s="81"/>
      <c r="W34" s="81"/>
      <c r="X34" s="81"/>
      <c r="Y34" s="82" t="s">
        <v>1132</v>
      </c>
      <c r="Z34" s="83" t="s">
        <v>101</v>
      </c>
      <c r="AF34" s="80" t="s">
        <v>232</v>
      </c>
      <c r="AG34" s="81" t="s">
        <v>290</v>
      </c>
      <c r="AH34" s="81" t="s">
        <v>314</v>
      </c>
      <c r="AI34" s="81" t="s">
        <v>160</v>
      </c>
      <c r="AJ34" s="85" t="s">
        <v>101</v>
      </c>
      <c r="AK34" s="85" t="s">
        <v>101</v>
      </c>
      <c r="AL34" s="81" t="s">
        <v>94</v>
      </c>
      <c r="AM34" s="81" t="s">
        <v>213</v>
      </c>
      <c r="AN34" s="81" t="s">
        <v>215</v>
      </c>
      <c r="AO34" s="81" t="s">
        <v>217</v>
      </c>
      <c r="AP34" s="82" t="s">
        <v>224</v>
      </c>
      <c r="AQ34" s="89" t="s">
        <v>436</v>
      </c>
      <c r="AR34" s="79" t="s">
        <v>101</v>
      </c>
      <c r="AS34" s="256"/>
      <c r="AT34" s="256"/>
      <c r="AU34" s="256"/>
      <c r="AV34" s="256"/>
    </row>
    <row r="35" spans="2:48" ht="15" customHeight="1">
      <c r="B35" s="66" t="e">
        <f>VLOOKUP($B$22,$AF$9:$AP$99,7)</f>
        <v>#N/A</v>
      </c>
      <c r="E35" s="66" t="e">
        <f>VLOOKUP($F$22,$AF$9:$AP$99,7)</f>
        <v>#N/A</v>
      </c>
      <c r="S35" s="80" t="s">
        <v>164</v>
      </c>
      <c r="T35" s="81">
        <f t="shared" ref="T35:T44" si="2">U35</f>
        <v>2</v>
      </c>
      <c r="U35" s="81">
        <v>2</v>
      </c>
      <c r="V35" s="81"/>
      <c r="W35" s="81"/>
      <c r="X35" s="81"/>
      <c r="Y35" s="82" t="s">
        <v>542</v>
      </c>
      <c r="Z35" s="83" t="s">
        <v>101</v>
      </c>
      <c r="AF35" s="80" t="s">
        <v>233</v>
      </c>
      <c r="AG35" s="81" t="s">
        <v>290</v>
      </c>
      <c r="AH35" s="81" t="s">
        <v>315</v>
      </c>
      <c r="AI35" s="81" t="s">
        <v>178</v>
      </c>
      <c r="AJ35" s="81" t="s">
        <v>3</v>
      </c>
      <c r="AK35" s="81" t="s">
        <v>10</v>
      </c>
      <c r="AL35" s="81" t="s">
        <v>93</v>
      </c>
      <c r="AM35" s="81" t="s">
        <v>96</v>
      </c>
      <c r="AN35" s="81" t="s">
        <v>218</v>
      </c>
      <c r="AO35" s="81" t="s">
        <v>220</v>
      </c>
      <c r="AP35" s="82" t="s">
        <v>223</v>
      </c>
      <c r="AQ35" s="86" t="s">
        <v>548</v>
      </c>
      <c r="AR35" s="79" t="s">
        <v>101</v>
      </c>
      <c r="AS35" s="256" t="s">
        <v>991</v>
      </c>
      <c r="AT35" s="256"/>
      <c r="AU35" s="256"/>
      <c r="AV35" s="256"/>
    </row>
    <row r="36" spans="2:48">
      <c r="B36" s="66" t="e">
        <f>VLOOKUP($B$22,$AF$9:$AP$99,8)</f>
        <v>#N/A</v>
      </c>
      <c r="E36" s="66" t="e">
        <f>VLOOKUP($F$22,$AF$9:$AP$99,8)</f>
        <v>#N/A</v>
      </c>
      <c r="S36" s="80" t="s">
        <v>165</v>
      </c>
      <c r="T36" s="81">
        <f t="shared" si="2"/>
        <v>3</v>
      </c>
      <c r="U36" s="81">
        <v>3</v>
      </c>
      <c r="V36" s="81"/>
      <c r="W36" s="81"/>
      <c r="X36" s="81"/>
      <c r="Y36" s="82" t="s">
        <v>416</v>
      </c>
      <c r="Z36" s="83" t="s">
        <v>101</v>
      </c>
      <c r="AF36" s="208" t="s">
        <v>1084</v>
      </c>
      <c r="AG36" s="105" t="s">
        <v>1035</v>
      </c>
      <c r="AH36" s="105" t="s">
        <v>1085</v>
      </c>
      <c r="AI36" s="105" t="s">
        <v>160</v>
      </c>
      <c r="AJ36" s="105" t="s">
        <v>1086</v>
      </c>
      <c r="AK36" s="85" t="s">
        <v>101</v>
      </c>
      <c r="AL36" s="105" t="s">
        <v>94</v>
      </c>
      <c r="AM36" s="105" t="s">
        <v>213</v>
      </c>
      <c r="AN36" s="105" t="s">
        <v>216</v>
      </c>
      <c r="AO36" s="105" t="s">
        <v>220</v>
      </c>
      <c r="AP36" s="82" t="s">
        <v>224</v>
      </c>
      <c r="AQ36" s="89" t="s">
        <v>1087</v>
      </c>
      <c r="AR36" s="79" t="s">
        <v>101</v>
      </c>
      <c r="AS36" s="256"/>
      <c r="AT36" s="256"/>
      <c r="AU36" s="256"/>
      <c r="AV36" s="256"/>
    </row>
    <row r="37" spans="2:48" ht="15" customHeight="1">
      <c r="B37" s="66" t="e">
        <f>VLOOKUP($B$22,$AF$9:$AP$99,9)</f>
        <v>#N/A</v>
      </c>
      <c r="E37" s="66" t="e">
        <f>VLOOKUP($F$22,$AF$9:$AP$99,9)</f>
        <v>#N/A</v>
      </c>
      <c r="S37" s="232" t="s">
        <v>1343</v>
      </c>
      <c r="T37" s="81">
        <f t="shared" si="2"/>
        <v>2</v>
      </c>
      <c r="U37" s="105">
        <v>2</v>
      </c>
      <c r="V37" s="81"/>
      <c r="W37" s="81"/>
      <c r="X37" s="81"/>
      <c r="Y37" s="82" t="s">
        <v>1344</v>
      </c>
      <c r="Z37" s="83" t="s">
        <v>101</v>
      </c>
      <c r="AF37" s="80" t="s">
        <v>288</v>
      </c>
      <c r="AG37" s="81" t="s">
        <v>142</v>
      </c>
      <c r="AH37" s="81" t="s">
        <v>549</v>
      </c>
      <c r="AI37" s="81" t="s">
        <v>176</v>
      </c>
      <c r="AJ37" s="81" t="s">
        <v>6</v>
      </c>
      <c r="AK37" s="85" t="s">
        <v>101</v>
      </c>
      <c r="AL37" s="81" t="s">
        <v>96</v>
      </c>
      <c r="AM37" s="81" t="s">
        <v>213</v>
      </c>
      <c r="AN37" s="81" t="s">
        <v>215</v>
      </c>
      <c r="AO37" s="81" t="s">
        <v>219</v>
      </c>
      <c r="AP37" s="82" t="s">
        <v>221</v>
      </c>
      <c r="AQ37" s="89" t="s">
        <v>444</v>
      </c>
      <c r="AR37" s="79" t="s">
        <v>101</v>
      </c>
      <c r="AS37" s="256" t="s">
        <v>992</v>
      </c>
      <c r="AT37" s="256"/>
      <c r="AU37" s="256"/>
      <c r="AV37" s="256"/>
    </row>
    <row r="38" spans="2:48">
      <c r="B38" s="66" t="e">
        <f>VLOOKUP($B$22,$AF$9:$AP$99,10)</f>
        <v>#N/A</v>
      </c>
      <c r="E38" s="66" t="e">
        <f>VLOOKUP($F$22,$AF$9:$AP$99,10)</f>
        <v>#N/A</v>
      </c>
      <c r="S38" s="80" t="s">
        <v>4</v>
      </c>
      <c r="T38" s="81">
        <f t="shared" si="2"/>
        <v>1</v>
      </c>
      <c r="U38" s="81">
        <v>1</v>
      </c>
      <c r="V38" s="81"/>
      <c r="W38" s="81"/>
      <c r="X38" s="81">
        <v>1</v>
      </c>
      <c r="Y38" s="82" t="s">
        <v>543</v>
      </c>
      <c r="Z38" s="83" t="s">
        <v>101</v>
      </c>
      <c r="AB38" s="68" t="s">
        <v>127</v>
      </c>
      <c r="AF38" s="80" t="s">
        <v>234</v>
      </c>
      <c r="AG38" s="81" t="s">
        <v>290</v>
      </c>
      <c r="AH38" s="81" t="s">
        <v>316</v>
      </c>
      <c r="AI38" s="81" t="s">
        <v>186</v>
      </c>
      <c r="AJ38" s="81" t="s">
        <v>190</v>
      </c>
      <c r="AK38" s="85" t="s">
        <v>101</v>
      </c>
      <c r="AL38" s="81" t="s">
        <v>94</v>
      </c>
      <c r="AM38" s="81" t="s">
        <v>96</v>
      </c>
      <c r="AN38" s="81" t="s">
        <v>213</v>
      </c>
      <c r="AO38" s="81" t="s">
        <v>218</v>
      </c>
      <c r="AP38" s="82" t="s">
        <v>219</v>
      </c>
      <c r="AQ38" s="89" t="s">
        <v>550</v>
      </c>
      <c r="AR38" s="79" t="s">
        <v>101</v>
      </c>
      <c r="AS38" s="256"/>
      <c r="AT38" s="256"/>
      <c r="AU38" s="256"/>
      <c r="AV38" s="256"/>
    </row>
    <row r="39" spans="2:48">
      <c r="B39" s="66" t="e">
        <f>VLOOKUP($B$22,$AF$9:$AP$99,11)</f>
        <v>#N/A</v>
      </c>
      <c r="E39" s="66" t="e">
        <f>VLOOKUP($F$22,$AF$9:$AP$99,11)</f>
        <v>#N/A</v>
      </c>
      <c r="S39" s="80" t="s">
        <v>166</v>
      </c>
      <c r="T39" s="81">
        <f t="shared" si="2"/>
        <v>3</v>
      </c>
      <c r="U39" s="81">
        <v>3</v>
      </c>
      <c r="V39" s="81"/>
      <c r="W39" s="81"/>
      <c r="X39" s="81"/>
      <c r="Y39" s="82" t="s">
        <v>417</v>
      </c>
      <c r="Z39" s="83" t="s">
        <v>101</v>
      </c>
      <c r="AB39" s="68" t="e">
        <f>IF(OR(B30=E30,B31=E30,B32=E30),E30,0)</f>
        <v>#N/A</v>
      </c>
      <c r="AC39" s="68" t="e">
        <f>IF(AB39&lt;&gt;0,VLOOKUP(AB39,$S$10:$T$112,2),0)</f>
        <v>#N/A</v>
      </c>
      <c r="AF39" s="80" t="s">
        <v>235</v>
      </c>
      <c r="AG39" s="81" t="s">
        <v>290</v>
      </c>
      <c r="AH39" s="81" t="s">
        <v>317</v>
      </c>
      <c r="AI39" s="81" t="s">
        <v>175</v>
      </c>
      <c r="AJ39" s="81" t="s">
        <v>9</v>
      </c>
      <c r="AK39" s="85" t="s">
        <v>101</v>
      </c>
      <c r="AL39" s="81" t="s">
        <v>94</v>
      </c>
      <c r="AM39" s="81" t="s">
        <v>96</v>
      </c>
      <c r="AN39" s="81" t="s">
        <v>213</v>
      </c>
      <c r="AO39" s="81" t="s">
        <v>217</v>
      </c>
      <c r="AP39" s="82" t="s">
        <v>218</v>
      </c>
      <c r="AQ39" s="86" t="s">
        <v>452</v>
      </c>
      <c r="AR39" s="79" t="s">
        <v>101</v>
      </c>
      <c r="AS39" s="256" t="s">
        <v>993</v>
      </c>
      <c r="AT39" s="256"/>
      <c r="AU39" s="256"/>
      <c r="AV39" s="256"/>
    </row>
    <row r="40" spans="2:48">
      <c r="M40" s="239" t="s">
        <v>924</v>
      </c>
      <c r="N40" s="239"/>
      <c r="O40" s="239"/>
      <c r="P40" s="239"/>
      <c r="Q40" s="239"/>
      <c r="S40" s="80" t="s">
        <v>167</v>
      </c>
      <c r="T40" s="81">
        <f t="shared" si="2"/>
        <v>2</v>
      </c>
      <c r="U40" s="81">
        <v>2</v>
      </c>
      <c r="V40" s="81"/>
      <c r="W40" s="81"/>
      <c r="X40" s="81"/>
      <c r="Y40" s="82" t="s">
        <v>396</v>
      </c>
      <c r="Z40" s="83" t="s">
        <v>101</v>
      </c>
      <c r="AB40" s="68" t="e">
        <f>IF(E31="",0,IF(OR(B31=E31,B32=E31,B30=E31),E31,0))</f>
        <v>#N/A</v>
      </c>
      <c r="AC40" s="68" t="e">
        <f>IF(AB40&lt;&gt;0,VLOOKUP(AB40,$S$10:$T$112,2),0)</f>
        <v>#N/A</v>
      </c>
      <c r="AF40" s="208" t="s">
        <v>1057</v>
      </c>
      <c r="AG40" s="105" t="s">
        <v>1034</v>
      </c>
      <c r="AH40" s="105" t="s">
        <v>1059</v>
      </c>
      <c r="AI40" s="105" t="s">
        <v>1053</v>
      </c>
      <c r="AJ40" s="105" t="s">
        <v>1060</v>
      </c>
      <c r="AK40" s="127" t="s">
        <v>1045</v>
      </c>
      <c r="AL40" s="105" t="s">
        <v>93</v>
      </c>
      <c r="AM40" s="105" t="s">
        <v>96</v>
      </c>
      <c r="AN40" s="105" t="s">
        <v>215</v>
      </c>
      <c r="AO40" s="105" t="s">
        <v>216</v>
      </c>
      <c r="AP40" s="82" t="s">
        <v>219</v>
      </c>
      <c r="AQ40" s="86" t="s">
        <v>1058</v>
      </c>
      <c r="AR40" s="79" t="s">
        <v>101</v>
      </c>
      <c r="AS40" s="256"/>
      <c r="AT40" s="256"/>
      <c r="AU40" s="256"/>
      <c r="AV40" s="256"/>
    </row>
    <row r="41" spans="2:48" ht="18.75">
      <c r="B41" s="71" t="s">
        <v>92</v>
      </c>
      <c r="C41" s="66" t="s">
        <v>121</v>
      </c>
      <c r="D41" s="66" t="s">
        <v>122</v>
      </c>
      <c r="E41" s="66" t="s">
        <v>123</v>
      </c>
      <c r="F41" s="72" t="s">
        <v>129</v>
      </c>
      <c r="G41" s="73">
        <f>10-SUM(D42:D57)</f>
        <v>10</v>
      </c>
      <c r="N41" s="145" t="s">
        <v>122</v>
      </c>
      <c r="O41" s="145" t="s">
        <v>110</v>
      </c>
      <c r="S41" s="208" t="s">
        <v>1145</v>
      </c>
      <c r="T41" s="81">
        <f t="shared" si="2"/>
        <v>3</v>
      </c>
      <c r="U41" s="105">
        <v>3</v>
      </c>
      <c r="V41" s="81"/>
      <c r="W41" s="81"/>
      <c r="X41" s="81"/>
      <c r="Y41" s="82" t="s">
        <v>1146</v>
      </c>
      <c r="Z41" s="83" t="s">
        <v>101</v>
      </c>
      <c r="AB41" s="68" t="e">
        <f>IF(E32="",0,IF(OR(B32=E32,B30=E32,B31=E32),E32,0))</f>
        <v>#N/A</v>
      </c>
      <c r="AC41" s="68" t="e">
        <f>IF(AB41&lt;&gt;0,VLOOKUP(AB41,$S$10:$T$112,2),0)</f>
        <v>#N/A</v>
      </c>
      <c r="AF41" s="80" t="s">
        <v>283</v>
      </c>
      <c r="AG41" s="81" t="s">
        <v>141</v>
      </c>
      <c r="AH41" s="81" t="s">
        <v>362</v>
      </c>
      <c r="AI41" s="81" t="s">
        <v>178</v>
      </c>
      <c r="AJ41" s="81" t="s">
        <v>188</v>
      </c>
      <c r="AK41" s="85" t="s">
        <v>101</v>
      </c>
      <c r="AL41" s="81" t="s">
        <v>96</v>
      </c>
      <c r="AM41" s="81" t="s">
        <v>213</v>
      </c>
      <c r="AN41" s="81" t="s">
        <v>218</v>
      </c>
      <c r="AO41" s="81" t="s">
        <v>220</v>
      </c>
      <c r="AP41" s="82" t="s">
        <v>221</v>
      </c>
      <c r="AQ41" s="86" t="s">
        <v>490</v>
      </c>
      <c r="AR41" s="79" t="s">
        <v>101</v>
      </c>
      <c r="AS41" s="256" t="s">
        <v>994</v>
      </c>
      <c r="AT41" s="256"/>
      <c r="AU41" s="256"/>
      <c r="AV41" s="256"/>
    </row>
    <row r="42" spans="2:48">
      <c r="B42" s="97" t="s">
        <v>93</v>
      </c>
      <c r="C42" s="66">
        <f t="shared" ref="C42:C57" si="3">COUNTIF($E$35:$E$39,B42)+COUNTIF($B$35:$B$39,B42)</f>
        <v>0</v>
      </c>
      <c r="D42" s="34"/>
      <c r="E42" s="66">
        <f>D42+C42</f>
        <v>0</v>
      </c>
      <c r="N42" s="154"/>
      <c r="O42" s="147">
        <f>N42+E42</f>
        <v>0</v>
      </c>
      <c r="S42" s="80" t="s">
        <v>168</v>
      </c>
      <c r="T42" s="81">
        <f t="shared" si="2"/>
        <v>2</v>
      </c>
      <c r="U42" s="81">
        <v>2</v>
      </c>
      <c r="V42" s="81"/>
      <c r="W42" s="81"/>
      <c r="X42" s="81"/>
      <c r="Y42" s="82" t="s">
        <v>397</v>
      </c>
      <c r="Z42" s="83" t="s">
        <v>101</v>
      </c>
      <c r="AF42" s="208" t="s">
        <v>1107</v>
      </c>
      <c r="AG42" s="105" t="s">
        <v>1037</v>
      </c>
      <c r="AH42" s="105" t="s">
        <v>1108</v>
      </c>
      <c r="AI42" s="105" t="s">
        <v>1109</v>
      </c>
      <c r="AJ42" s="105" t="s">
        <v>171</v>
      </c>
      <c r="AK42" s="127" t="s">
        <v>9</v>
      </c>
      <c r="AL42" s="105" t="s">
        <v>94</v>
      </c>
      <c r="AM42" s="105" t="s">
        <v>219</v>
      </c>
      <c r="AN42" s="105" t="s">
        <v>221</v>
      </c>
      <c r="AO42" s="105" t="s">
        <v>223</v>
      </c>
      <c r="AP42" s="82" t="s">
        <v>224</v>
      </c>
      <c r="AQ42" s="86" t="s">
        <v>1110</v>
      </c>
      <c r="AR42" s="79" t="s">
        <v>101</v>
      </c>
      <c r="AS42" s="256"/>
      <c r="AT42" s="256"/>
      <c r="AU42" s="256"/>
      <c r="AV42" s="256"/>
    </row>
    <row r="43" spans="2:48" ht="15" customHeight="1">
      <c r="B43" s="66" t="s">
        <v>94</v>
      </c>
      <c r="C43" s="66">
        <f t="shared" si="3"/>
        <v>0</v>
      </c>
      <c r="D43" s="35"/>
      <c r="E43" s="66">
        <f t="shared" ref="E43:E57" si="4">D43+C43</f>
        <v>0</v>
      </c>
      <c r="N43" s="154"/>
      <c r="O43" s="147">
        <f t="shared" ref="O43:O57" si="5">N43+E43</f>
        <v>0</v>
      </c>
      <c r="S43" s="80" t="s">
        <v>169</v>
      </c>
      <c r="T43" s="81">
        <f t="shared" si="2"/>
        <v>2</v>
      </c>
      <c r="U43" s="81">
        <v>2</v>
      </c>
      <c r="V43" s="81"/>
      <c r="W43" s="81"/>
      <c r="X43" s="81"/>
      <c r="Y43" s="68" t="s">
        <v>544</v>
      </c>
      <c r="Z43" s="83" t="s">
        <v>101</v>
      </c>
      <c r="AB43" s="68" t="s">
        <v>117</v>
      </c>
      <c r="AC43" s="68">
        <f>IF(OR($B$17=AA14,$B$17=AA10,$B$17=AA13),1,0)</f>
        <v>0</v>
      </c>
      <c r="AF43" s="80" t="s">
        <v>259</v>
      </c>
      <c r="AG43" s="81" t="s">
        <v>136</v>
      </c>
      <c r="AH43" s="81" t="s">
        <v>347</v>
      </c>
      <c r="AI43" s="81" t="s">
        <v>194</v>
      </c>
      <c r="AJ43" s="81" t="s">
        <v>194</v>
      </c>
      <c r="AK43" s="81" t="s">
        <v>2</v>
      </c>
      <c r="AL43" s="81" t="s">
        <v>94</v>
      </c>
      <c r="AM43" s="81" t="s">
        <v>215</v>
      </c>
      <c r="AN43" s="81" t="s">
        <v>216</v>
      </c>
      <c r="AO43" s="81" t="s">
        <v>221</v>
      </c>
      <c r="AP43" s="82" t="s">
        <v>224</v>
      </c>
      <c r="AQ43" s="89" t="s">
        <v>441</v>
      </c>
      <c r="AR43" s="79" t="s">
        <v>101</v>
      </c>
      <c r="AS43" s="256" t="s">
        <v>995</v>
      </c>
      <c r="AT43" s="256"/>
      <c r="AU43" s="256"/>
      <c r="AV43" s="256"/>
    </row>
    <row r="44" spans="2:48">
      <c r="B44" s="66" t="s">
        <v>95</v>
      </c>
      <c r="C44" s="66">
        <f t="shared" si="3"/>
        <v>0</v>
      </c>
      <c r="D44" s="35"/>
      <c r="E44" s="66">
        <f t="shared" si="4"/>
        <v>0</v>
      </c>
      <c r="G44" s="66" t="s">
        <v>1008</v>
      </c>
      <c r="N44" s="154"/>
      <c r="O44" s="147">
        <f t="shared" si="5"/>
        <v>0</v>
      </c>
      <c r="S44" s="80" t="s">
        <v>170</v>
      </c>
      <c r="T44" s="81">
        <f t="shared" si="2"/>
        <v>4</v>
      </c>
      <c r="U44" s="81">
        <v>4</v>
      </c>
      <c r="V44" s="81"/>
      <c r="W44" s="81"/>
      <c r="X44" s="81"/>
      <c r="Y44" s="82" t="s">
        <v>545</v>
      </c>
      <c r="Z44" s="83" t="s">
        <v>101</v>
      </c>
      <c r="AB44" s="68" t="s">
        <v>115</v>
      </c>
      <c r="AC44" s="68" t="e">
        <f>VLOOKUP($B$17,$AA$9:$AC$23,2)</f>
        <v>#N/A</v>
      </c>
      <c r="AF44" s="208" t="s">
        <v>1129</v>
      </c>
      <c r="AG44" s="105" t="s">
        <v>1038</v>
      </c>
      <c r="AH44" s="105" t="s">
        <v>1130</v>
      </c>
      <c r="AI44" s="105" t="s">
        <v>1060</v>
      </c>
      <c r="AJ44" s="105" t="s">
        <v>1054</v>
      </c>
      <c r="AK44" s="85" t="s">
        <v>101</v>
      </c>
      <c r="AL44" s="105" t="s">
        <v>94</v>
      </c>
      <c r="AM44" s="105" t="s">
        <v>218</v>
      </c>
      <c r="AN44" s="105" t="s">
        <v>219</v>
      </c>
      <c r="AO44" s="105" t="s">
        <v>221</v>
      </c>
      <c r="AP44" s="82" t="s">
        <v>222</v>
      </c>
      <c r="AQ44" s="89" t="s">
        <v>1131</v>
      </c>
      <c r="AR44" s="79" t="s">
        <v>101</v>
      </c>
      <c r="AS44" s="256"/>
      <c r="AT44" s="256"/>
      <c r="AU44" s="256"/>
      <c r="AV44" s="256"/>
    </row>
    <row r="45" spans="2:48">
      <c r="B45" s="66" t="s">
        <v>96</v>
      </c>
      <c r="C45" s="66">
        <f t="shared" si="3"/>
        <v>0</v>
      </c>
      <c r="D45" s="35"/>
      <c r="E45" s="66">
        <f t="shared" si="4"/>
        <v>0</v>
      </c>
      <c r="G45" s="66" t="s">
        <v>1009</v>
      </c>
      <c r="N45" s="154"/>
      <c r="O45" s="147">
        <f t="shared" si="5"/>
        <v>0</v>
      </c>
      <c r="S45" s="208" t="s">
        <v>1127</v>
      </c>
      <c r="T45" s="95">
        <f>IF($B$17=V45,W45,U45)</f>
        <v>5</v>
      </c>
      <c r="U45" s="105">
        <v>5</v>
      </c>
      <c r="V45" s="213" t="s">
        <v>1038</v>
      </c>
      <c r="W45" s="81">
        <v>3</v>
      </c>
      <c r="X45" s="81"/>
      <c r="Y45" s="82" t="s">
        <v>1156</v>
      </c>
      <c r="Z45" s="83" t="s">
        <v>101</v>
      </c>
      <c r="AB45" s="68" t="s">
        <v>115</v>
      </c>
      <c r="AC45" s="68" t="e">
        <f>VLOOKUP($B$17,$AA$9:$AC$23,3)</f>
        <v>#N/A</v>
      </c>
      <c r="AF45" s="80" t="s">
        <v>236</v>
      </c>
      <c r="AG45" s="81" t="s">
        <v>290</v>
      </c>
      <c r="AH45" s="81" t="s">
        <v>318</v>
      </c>
      <c r="AI45" s="81" t="s">
        <v>193</v>
      </c>
      <c r="AJ45" s="81" t="s">
        <v>168</v>
      </c>
      <c r="AK45" s="85" t="s">
        <v>101</v>
      </c>
      <c r="AL45" s="81" t="s">
        <v>93</v>
      </c>
      <c r="AM45" s="81" t="s">
        <v>214</v>
      </c>
      <c r="AN45" s="81" t="s">
        <v>215</v>
      </c>
      <c r="AO45" s="81" t="s">
        <v>216</v>
      </c>
      <c r="AP45" s="82" t="s">
        <v>218</v>
      </c>
      <c r="AQ45" s="86" t="s">
        <v>453</v>
      </c>
      <c r="AR45" s="79" t="s">
        <v>101</v>
      </c>
      <c r="AS45" s="256"/>
      <c r="AT45" s="256"/>
      <c r="AU45" s="256"/>
      <c r="AV45" s="256"/>
    </row>
    <row r="46" spans="2:48" ht="15" customHeight="1">
      <c r="B46" s="66" t="s">
        <v>213</v>
      </c>
      <c r="C46" s="66">
        <f t="shared" si="3"/>
        <v>0</v>
      </c>
      <c r="D46" s="35"/>
      <c r="E46" s="66">
        <f t="shared" si="4"/>
        <v>0</v>
      </c>
      <c r="G46" s="66" t="s">
        <v>1010</v>
      </c>
      <c r="N46" s="154"/>
      <c r="O46" s="147">
        <f t="shared" si="5"/>
        <v>0</v>
      </c>
      <c r="S46" s="80" t="s">
        <v>302</v>
      </c>
      <c r="T46" s="95">
        <f>IF($B$17=V46,W46,U46)</f>
        <v>5</v>
      </c>
      <c r="U46" s="81">
        <v>5</v>
      </c>
      <c r="V46" s="81" t="s">
        <v>136</v>
      </c>
      <c r="W46" s="81">
        <v>3</v>
      </c>
      <c r="X46" s="81"/>
      <c r="Y46" s="82" t="s">
        <v>547</v>
      </c>
      <c r="Z46" s="83" t="s">
        <v>101</v>
      </c>
      <c r="AF46" s="80" t="s">
        <v>237</v>
      </c>
      <c r="AG46" s="81" t="s">
        <v>290</v>
      </c>
      <c r="AH46" s="81" t="s">
        <v>319</v>
      </c>
      <c r="AI46" s="81" t="s">
        <v>161</v>
      </c>
      <c r="AJ46" s="81" t="s">
        <v>156</v>
      </c>
      <c r="AK46" s="85" t="s">
        <v>101</v>
      </c>
      <c r="AL46" s="81" t="s">
        <v>93</v>
      </c>
      <c r="AM46" s="81" t="s">
        <v>94</v>
      </c>
      <c r="AN46" s="81" t="s">
        <v>213</v>
      </c>
      <c r="AO46" s="81" t="s">
        <v>217</v>
      </c>
      <c r="AP46" s="82" t="s">
        <v>221</v>
      </c>
      <c r="AQ46" s="89" t="s">
        <v>552</v>
      </c>
      <c r="AR46" s="79" t="s">
        <v>101</v>
      </c>
      <c r="AS46" s="256" t="s">
        <v>996</v>
      </c>
      <c r="AT46" s="256"/>
      <c r="AU46" s="256"/>
      <c r="AV46" s="256"/>
    </row>
    <row r="47" spans="2:48" ht="15" customHeight="1">
      <c r="B47" s="66" t="s">
        <v>214</v>
      </c>
      <c r="C47" s="66">
        <f t="shared" si="3"/>
        <v>0</v>
      </c>
      <c r="D47" s="35"/>
      <c r="E47" s="66">
        <f t="shared" si="4"/>
        <v>0</v>
      </c>
      <c r="N47" s="154"/>
      <c r="O47" s="147">
        <f t="shared" si="5"/>
        <v>0</v>
      </c>
      <c r="S47" s="80" t="s">
        <v>303</v>
      </c>
      <c r="T47" s="95">
        <f>IF($B$17=V47,W47,U47)</f>
        <v>5</v>
      </c>
      <c r="U47" s="81">
        <v>5</v>
      </c>
      <c r="V47" s="81" t="s">
        <v>141</v>
      </c>
      <c r="W47" s="81">
        <v>3</v>
      </c>
      <c r="X47" s="81"/>
      <c r="Y47" s="82" t="s">
        <v>428</v>
      </c>
      <c r="Z47" s="83" t="s">
        <v>101</v>
      </c>
      <c r="AB47" s="98" t="s">
        <v>92</v>
      </c>
      <c r="AF47" s="80" t="s">
        <v>265</v>
      </c>
      <c r="AG47" s="81" t="s">
        <v>263</v>
      </c>
      <c r="AH47" s="81" t="s">
        <v>337</v>
      </c>
      <c r="AI47" s="81" t="s">
        <v>194</v>
      </c>
      <c r="AJ47" s="81" t="s">
        <v>194</v>
      </c>
      <c r="AK47" s="81" t="s">
        <v>3</v>
      </c>
      <c r="AL47" s="81" t="s">
        <v>95</v>
      </c>
      <c r="AM47" s="81" t="s">
        <v>215</v>
      </c>
      <c r="AN47" s="81" t="s">
        <v>218</v>
      </c>
      <c r="AO47" s="81" t="s">
        <v>223</v>
      </c>
      <c r="AP47" s="82" t="s">
        <v>224</v>
      </c>
      <c r="AQ47" s="86" t="s">
        <v>466</v>
      </c>
      <c r="AR47" s="79" t="s">
        <v>101</v>
      </c>
      <c r="AS47" s="256" t="s">
        <v>1004</v>
      </c>
      <c r="AT47" s="256"/>
      <c r="AU47" s="256"/>
      <c r="AV47" s="256"/>
    </row>
    <row r="48" spans="2:48">
      <c r="B48" s="66" t="s">
        <v>215</v>
      </c>
      <c r="C48" s="66">
        <f t="shared" si="3"/>
        <v>0</v>
      </c>
      <c r="D48" s="35"/>
      <c r="E48" s="66">
        <f t="shared" si="4"/>
        <v>0</v>
      </c>
      <c r="N48" s="154"/>
      <c r="O48" s="147">
        <f t="shared" si="5"/>
        <v>0</v>
      </c>
      <c r="S48" s="80" t="s">
        <v>171</v>
      </c>
      <c r="T48" s="95">
        <f>IF($B$17=V48,W48,U48)</f>
        <v>2</v>
      </c>
      <c r="U48" s="81">
        <v>2</v>
      </c>
      <c r="V48" s="213" t="s">
        <v>1037</v>
      </c>
      <c r="W48" s="81">
        <v>1</v>
      </c>
      <c r="X48" s="81"/>
      <c r="Y48" s="82" t="s">
        <v>398</v>
      </c>
      <c r="Z48" s="83" t="s">
        <v>101</v>
      </c>
      <c r="AB48" s="86" t="s">
        <v>93</v>
      </c>
      <c r="AC48" s="68" t="s">
        <v>974</v>
      </c>
      <c r="AF48" s="80" t="s">
        <v>260</v>
      </c>
      <c r="AG48" s="81" t="s">
        <v>136</v>
      </c>
      <c r="AH48" s="81" t="s">
        <v>348</v>
      </c>
      <c r="AI48" s="81" t="s">
        <v>197</v>
      </c>
      <c r="AJ48" s="81" t="s">
        <v>149</v>
      </c>
      <c r="AK48" s="85" t="s">
        <v>101</v>
      </c>
      <c r="AL48" s="81" t="s">
        <v>93</v>
      </c>
      <c r="AM48" s="81" t="s">
        <v>94</v>
      </c>
      <c r="AN48" s="81" t="s">
        <v>218</v>
      </c>
      <c r="AO48" s="81" t="s">
        <v>223</v>
      </c>
      <c r="AP48" s="82" t="s">
        <v>224</v>
      </c>
      <c r="AQ48" s="86" t="s">
        <v>553</v>
      </c>
      <c r="AR48" s="79" t="s">
        <v>101</v>
      </c>
      <c r="AS48" s="256"/>
      <c r="AT48" s="256"/>
      <c r="AU48" s="256"/>
      <c r="AV48" s="256"/>
    </row>
    <row r="49" spans="2:48">
      <c r="B49" s="66" t="s">
        <v>216</v>
      </c>
      <c r="C49" s="66">
        <f t="shared" si="3"/>
        <v>0</v>
      </c>
      <c r="D49" s="35"/>
      <c r="E49" s="66">
        <f t="shared" si="4"/>
        <v>0</v>
      </c>
      <c r="N49" s="154"/>
      <c r="O49" s="147">
        <f t="shared" si="5"/>
        <v>0</v>
      </c>
      <c r="S49" s="208" t="s">
        <v>1072</v>
      </c>
      <c r="T49" s="81">
        <f t="shared" ref="T49" si="6">U49</f>
        <v>2</v>
      </c>
      <c r="U49" s="105">
        <v>2</v>
      </c>
      <c r="V49" s="81"/>
      <c r="W49" s="81"/>
      <c r="X49" s="81"/>
      <c r="Y49" s="82" t="s">
        <v>1140</v>
      </c>
      <c r="Z49" s="83" t="s">
        <v>101</v>
      </c>
      <c r="AB49" s="86" t="s">
        <v>94</v>
      </c>
      <c r="AC49" s="68" t="s">
        <v>975</v>
      </c>
      <c r="AF49" s="80" t="s">
        <v>270</v>
      </c>
      <c r="AG49" s="81" t="s">
        <v>138</v>
      </c>
      <c r="AH49" s="81" t="s">
        <v>351</v>
      </c>
      <c r="AI49" s="81" t="s">
        <v>157</v>
      </c>
      <c r="AJ49" s="81" t="s">
        <v>167</v>
      </c>
      <c r="AK49" s="81" t="s">
        <v>6</v>
      </c>
      <c r="AL49" s="81" t="s">
        <v>96</v>
      </c>
      <c r="AM49" s="81" t="s">
        <v>217</v>
      </c>
      <c r="AN49" s="81" t="s">
        <v>218</v>
      </c>
      <c r="AO49" s="81" t="s">
        <v>221</v>
      </c>
      <c r="AP49" s="82" t="s">
        <v>224</v>
      </c>
      <c r="AQ49" s="86" t="s">
        <v>478</v>
      </c>
      <c r="AR49" s="79" t="s">
        <v>101</v>
      </c>
      <c r="AS49" s="256" t="s">
        <v>1005</v>
      </c>
      <c r="AT49" s="256"/>
      <c r="AU49" s="256"/>
      <c r="AV49" s="256"/>
    </row>
    <row r="50" spans="2:48" ht="15" customHeight="1">
      <c r="B50" s="66" t="s">
        <v>217</v>
      </c>
      <c r="C50" s="66">
        <f t="shared" si="3"/>
        <v>0</v>
      </c>
      <c r="D50" s="35"/>
      <c r="E50" s="66">
        <f t="shared" si="4"/>
        <v>0</v>
      </c>
      <c r="N50" s="154"/>
      <c r="O50" s="147">
        <f t="shared" si="5"/>
        <v>0</v>
      </c>
      <c r="S50" s="80" t="s">
        <v>172</v>
      </c>
      <c r="T50" s="81">
        <f>U50</f>
        <v>2</v>
      </c>
      <c r="U50" s="81">
        <v>2</v>
      </c>
      <c r="V50" s="81"/>
      <c r="W50" s="81"/>
      <c r="X50" s="81"/>
      <c r="Y50" s="82" t="s">
        <v>1026</v>
      </c>
      <c r="Z50" s="83" t="s">
        <v>101</v>
      </c>
      <c r="AB50" s="86" t="s">
        <v>95</v>
      </c>
      <c r="AC50" s="68" t="s">
        <v>976</v>
      </c>
      <c r="AF50" s="208" t="s">
        <v>1100</v>
      </c>
      <c r="AG50" s="105" t="s">
        <v>1036</v>
      </c>
      <c r="AH50" s="105" t="s">
        <v>1101</v>
      </c>
      <c r="AI50" s="105" t="s">
        <v>1102</v>
      </c>
      <c r="AJ50" s="105" t="s">
        <v>2</v>
      </c>
      <c r="AK50" s="85" t="s">
        <v>101</v>
      </c>
      <c r="AL50" s="105" t="s">
        <v>93</v>
      </c>
      <c r="AM50" s="105" t="s">
        <v>214</v>
      </c>
      <c r="AN50" s="105" t="s">
        <v>216</v>
      </c>
      <c r="AO50" s="105" t="s">
        <v>217</v>
      </c>
      <c r="AP50" s="82" t="s">
        <v>222</v>
      </c>
      <c r="AQ50" s="86" t="s">
        <v>1103</v>
      </c>
      <c r="AR50" s="79" t="s">
        <v>101</v>
      </c>
      <c r="AS50" s="256"/>
      <c r="AT50" s="256"/>
      <c r="AU50" s="256"/>
      <c r="AV50" s="256"/>
    </row>
    <row r="51" spans="2:48" ht="15" customHeight="1">
      <c r="B51" s="66" t="s">
        <v>218</v>
      </c>
      <c r="C51" s="66">
        <f t="shared" si="3"/>
        <v>0</v>
      </c>
      <c r="D51" s="35"/>
      <c r="E51" s="66">
        <f t="shared" si="4"/>
        <v>0</v>
      </c>
      <c r="N51" s="154"/>
      <c r="O51" s="147">
        <f t="shared" si="5"/>
        <v>0</v>
      </c>
      <c r="S51" s="80" t="s">
        <v>173</v>
      </c>
      <c r="T51" s="95">
        <f>IF($B$17=V51,W51,U51)</f>
        <v>5</v>
      </c>
      <c r="U51" s="81">
        <v>5</v>
      </c>
      <c r="V51" s="81" t="s">
        <v>138</v>
      </c>
      <c r="W51" s="81">
        <v>3</v>
      </c>
      <c r="X51" s="81"/>
      <c r="Y51" s="82" t="s">
        <v>429</v>
      </c>
      <c r="Z51" s="83" t="s">
        <v>101</v>
      </c>
      <c r="AB51" s="86" t="s">
        <v>96</v>
      </c>
      <c r="AC51" s="68" t="s">
        <v>977</v>
      </c>
      <c r="AF51" s="208" t="s">
        <v>1068</v>
      </c>
      <c r="AG51" s="105" t="s">
        <v>1034</v>
      </c>
      <c r="AH51" s="81" t="s">
        <v>1069</v>
      </c>
      <c r="AI51" s="105" t="s">
        <v>1053</v>
      </c>
      <c r="AJ51" s="105" t="s">
        <v>1071</v>
      </c>
      <c r="AK51" s="105" t="s">
        <v>1072</v>
      </c>
      <c r="AL51" s="105" t="s">
        <v>215</v>
      </c>
      <c r="AM51" s="105" t="s">
        <v>216</v>
      </c>
      <c r="AN51" s="105" t="s">
        <v>219</v>
      </c>
      <c r="AO51" s="105" t="s">
        <v>222</v>
      </c>
      <c r="AP51" s="82" t="s">
        <v>224</v>
      </c>
      <c r="AQ51" s="86" t="s">
        <v>1070</v>
      </c>
      <c r="AR51" s="79" t="s">
        <v>101</v>
      </c>
      <c r="AS51" s="256"/>
      <c r="AT51" s="256"/>
      <c r="AU51" s="256"/>
      <c r="AV51" s="256"/>
    </row>
    <row r="52" spans="2:48" ht="15" customHeight="1">
      <c r="B52" s="66" t="s">
        <v>219</v>
      </c>
      <c r="C52" s="66">
        <f t="shared" si="3"/>
        <v>0</v>
      </c>
      <c r="D52" s="35"/>
      <c r="E52" s="66">
        <f t="shared" si="4"/>
        <v>0</v>
      </c>
      <c r="N52" s="154"/>
      <c r="O52" s="147">
        <f t="shared" si="5"/>
        <v>0</v>
      </c>
      <c r="S52" s="208" t="s">
        <v>1093</v>
      </c>
      <c r="T52" s="95">
        <f>IF($B$17=V52,W52,U52)</f>
        <v>5</v>
      </c>
      <c r="U52" s="105">
        <v>5</v>
      </c>
      <c r="V52" s="213" t="s">
        <v>1036</v>
      </c>
      <c r="W52" s="105">
        <v>3</v>
      </c>
      <c r="X52" s="81"/>
      <c r="Y52" s="82" t="s">
        <v>1159</v>
      </c>
      <c r="Z52" s="83" t="s">
        <v>101</v>
      </c>
      <c r="AB52" s="86" t="s">
        <v>213</v>
      </c>
      <c r="AC52" s="68" t="s">
        <v>978</v>
      </c>
      <c r="AF52" s="208" t="s">
        <v>1076</v>
      </c>
      <c r="AG52" s="105" t="s">
        <v>1035</v>
      </c>
      <c r="AH52" s="105" t="s">
        <v>1077</v>
      </c>
      <c r="AI52" s="105" t="s">
        <v>1078</v>
      </c>
      <c r="AJ52" s="105" t="s">
        <v>187</v>
      </c>
      <c r="AK52" s="85" t="s">
        <v>101</v>
      </c>
      <c r="AL52" s="105" t="s">
        <v>94</v>
      </c>
      <c r="AM52" s="105" t="s">
        <v>95</v>
      </c>
      <c r="AN52" s="105" t="s">
        <v>96</v>
      </c>
      <c r="AO52" s="105" t="s">
        <v>214</v>
      </c>
      <c r="AP52" s="82" t="s">
        <v>223</v>
      </c>
      <c r="AQ52" s="86" t="s">
        <v>1079</v>
      </c>
      <c r="AR52" s="79" t="s">
        <v>101</v>
      </c>
      <c r="AS52" s="256" t="s">
        <v>1003</v>
      </c>
      <c r="AT52" s="256"/>
      <c r="AU52" s="256"/>
      <c r="AV52" s="256"/>
    </row>
    <row r="53" spans="2:48">
      <c r="B53" s="66" t="s">
        <v>220</v>
      </c>
      <c r="C53" s="66">
        <f t="shared" si="3"/>
        <v>0</v>
      </c>
      <c r="D53" s="35"/>
      <c r="E53" s="66">
        <f t="shared" si="4"/>
        <v>0</v>
      </c>
      <c r="N53" s="154"/>
      <c r="O53" s="147">
        <f t="shared" si="5"/>
        <v>0</v>
      </c>
      <c r="S53" s="80" t="s">
        <v>5</v>
      </c>
      <c r="T53" s="81">
        <f>U53</f>
        <v>1</v>
      </c>
      <c r="U53" s="81">
        <v>1</v>
      </c>
      <c r="V53" s="81"/>
      <c r="W53" s="81"/>
      <c r="X53" s="81">
        <v>1</v>
      </c>
      <c r="Y53" s="82" t="s">
        <v>1025</v>
      </c>
      <c r="Z53" s="83" t="s">
        <v>101</v>
      </c>
      <c r="AB53" s="86" t="s">
        <v>214</v>
      </c>
      <c r="AC53" s="68" t="s">
        <v>979</v>
      </c>
      <c r="AF53" s="80" t="s">
        <v>238</v>
      </c>
      <c r="AG53" s="81" t="s">
        <v>290</v>
      </c>
      <c r="AH53" s="81" t="s">
        <v>320</v>
      </c>
      <c r="AI53" s="81" t="s">
        <v>170</v>
      </c>
      <c r="AJ53" s="81" t="s">
        <v>2</v>
      </c>
      <c r="AK53" s="85" t="s">
        <v>101</v>
      </c>
      <c r="AL53" s="81" t="s">
        <v>94</v>
      </c>
      <c r="AM53" s="81" t="s">
        <v>95</v>
      </c>
      <c r="AN53" s="81" t="s">
        <v>215</v>
      </c>
      <c r="AO53" s="81" t="s">
        <v>216</v>
      </c>
      <c r="AP53" s="82" t="s">
        <v>224</v>
      </c>
      <c r="AQ53" s="86" t="s">
        <v>437</v>
      </c>
      <c r="AR53" s="79" t="s">
        <v>101</v>
      </c>
      <c r="AS53" s="256" t="s">
        <v>1002</v>
      </c>
      <c r="AT53" s="256"/>
      <c r="AU53" s="256"/>
      <c r="AV53" s="256"/>
    </row>
    <row r="54" spans="2:48">
      <c r="B54" s="66" t="s">
        <v>221</v>
      </c>
      <c r="C54" s="66">
        <f t="shared" si="3"/>
        <v>0</v>
      </c>
      <c r="D54" s="35"/>
      <c r="E54" s="66">
        <f t="shared" si="4"/>
        <v>0</v>
      </c>
      <c r="N54" s="154"/>
      <c r="O54" s="147">
        <f t="shared" si="5"/>
        <v>0</v>
      </c>
      <c r="S54" s="80" t="s">
        <v>174</v>
      </c>
      <c r="T54" s="95">
        <f>IF($B$17=V54,W54,U54)</f>
        <v>2</v>
      </c>
      <c r="U54" s="81">
        <v>2</v>
      </c>
      <c r="V54" s="81" t="s">
        <v>211</v>
      </c>
      <c r="W54" s="81">
        <v>1</v>
      </c>
      <c r="X54" s="81"/>
      <c r="Y54" s="82" t="s">
        <v>399</v>
      </c>
      <c r="Z54" s="83" t="s">
        <v>101</v>
      </c>
      <c r="AB54" s="86" t="s">
        <v>215</v>
      </c>
      <c r="AC54" s="68" t="s">
        <v>980</v>
      </c>
      <c r="AF54" s="80" t="s">
        <v>239</v>
      </c>
      <c r="AG54" s="81" t="s">
        <v>290</v>
      </c>
      <c r="AH54" s="81" t="s">
        <v>321</v>
      </c>
      <c r="AI54" s="81" t="s">
        <v>176</v>
      </c>
      <c r="AJ54" s="81" t="s">
        <v>10</v>
      </c>
      <c r="AK54" s="85" t="s">
        <v>101</v>
      </c>
      <c r="AL54" s="81" t="s">
        <v>96</v>
      </c>
      <c r="AM54" s="81" t="s">
        <v>213</v>
      </c>
      <c r="AN54" s="81" t="s">
        <v>215</v>
      </c>
      <c r="AO54" s="81" t="s">
        <v>218</v>
      </c>
      <c r="AP54" s="82" t="s">
        <v>221</v>
      </c>
      <c r="AQ54" s="86" t="s">
        <v>454</v>
      </c>
      <c r="AR54" s="79" t="s">
        <v>101</v>
      </c>
      <c r="AS54" s="256"/>
      <c r="AT54" s="256"/>
      <c r="AU54" s="256"/>
      <c r="AV54" s="256"/>
    </row>
    <row r="55" spans="2:48">
      <c r="B55" s="66" t="s">
        <v>222</v>
      </c>
      <c r="C55" s="66">
        <f t="shared" si="3"/>
        <v>0</v>
      </c>
      <c r="D55" s="35"/>
      <c r="E55" s="66">
        <f t="shared" si="4"/>
        <v>0</v>
      </c>
      <c r="N55" s="154"/>
      <c r="O55" s="147">
        <f t="shared" si="5"/>
        <v>0</v>
      </c>
      <c r="S55" s="232" t="s">
        <v>1346</v>
      </c>
      <c r="T55" s="81">
        <f>U55</f>
        <v>3</v>
      </c>
      <c r="U55" s="105">
        <v>3</v>
      </c>
      <c r="V55" s="81"/>
      <c r="W55" s="81"/>
      <c r="X55" s="81"/>
      <c r="Y55" s="82" t="s">
        <v>1345</v>
      </c>
      <c r="Z55" s="83" t="s">
        <v>101</v>
      </c>
      <c r="AB55" s="86" t="s">
        <v>216</v>
      </c>
      <c r="AC55" s="68" t="s">
        <v>981</v>
      </c>
      <c r="AF55" s="80" t="s">
        <v>258</v>
      </c>
      <c r="AG55" s="81" t="s">
        <v>208</v>
      </c>
      <c r="AH55" s="81" t="s">
        <v>346</v>
      </c>
      <c r="AI55" s="81" t="s">
        <v>181</v>
      </c>
      <c r="AJ55" s="81" t="s">
        <v>195</v>
      </c>
      <c r="AK55" s="85" t="s">
        <v>101</v>
      </c>
      <c r="AL55" s="81" t="s">
        <v>96</v>
      </c>
      <c r="AM55" s="81" t="s">
        <v>213</v>
      </c>
      <c r="AN55" s="81" t="s">
        <v>217</v>
      </c>
      <c r="AO55" s="81" t="s">
        <v>218</v>
      </c>
      <c r="AP55" s="82" t="s">
        <v>220</v>
      </c>
      <c r="AQ55" s="86" t="s">
        <v>475</v>
      </c>
      <c r="AR55" s="79" t="s">
        <v>101</v>
      </c>
      <c r="AS55" s="256" t="s">
        <v>1001</v>
      </c>
      <c r="AT55" s="256"/>
      <c r="AU55" s="256"/>
      <c r="AV55" s="256"/>
    </row>
    <row r="56" spans="2:48">
      <c r="B56" s="66" t="s">
        <v>223</v>
      </c>
      <c r="C56" s="66">
        <f t="shared" si="3"/>
        <v>0</v>
      </c>
      <c r="D56" s="35"/>
      <c r="E56" s="66">
        <f t="shared" si="4"/>
        <v>0</v>
      </c>
      <c r="N56" s="154"/>
      <c r="O56" s="147">
        <f t="shared" si="5"/>
        <v>0</v>
      </c>
      <c r="S56" s="80" t="s">
        <v>175</v>
      </c>
      <c r="T56" s="81">
        <f>U56</f>
        <v>4</v>
      </c>
      <c r="U56" s="81">
        <v>4</v>
      </c>
      <c r="V56" s="81"/>
      <c r="W56" s="81"/>
      <c r="X56" s="81"/>
      <c r="Y56" s="82" t="s">
        <v>423</v>
      </c>
      <c r="Z56" s="83" t="s">
        <v>101</v>
      </c>
      <c r="AB56" s="86" t="s">
        <v>217</v>
      </c>
      <c r="AC56" s="68" t="s">
        <v>982</v>
      </c>
      <c r="AF56" s="80" t="s">
        <v>271</v>
      </c>
      <c r="AG56" s="81" t="s">
        <v>138</v>
      </c>
      <c r="AH56" s="81" t="s">
        <v>352</v>
      </c>
      <c r="AI56" s="81" t="s">
        <v>291</v>
      </c>
      <c r="AJ56" s="81" t="s">
        <v>186</v>
      </c>
      <c r="AK56" s="85" t="s">
        <v>101</v>
      </c>
      <c r="AL56" s="81" t="s">
        <v>93</v>
      </c>
      <c r="AM56" s="81" t="s">
        <v>215</v>
      </c>
      <c r="AN56" s="81" t="s">
        <v>216</v>
      </c>
      <c r="AO56" s="81" t="s">
        <v>218</v>
      </c>
      <c r="AP56" s="82" t="s">
        <v>224</v>
      </c>
      <c r="AQ56" s="86" t="s">
        <v>479</v>
      </c>
      <c r="AR56" s="79" t="s">
        <v>101</v>
      </c>
      <c r="AS56" s="256"/>
      <c r="AT56" s="256"/>
      <c r="AU56" s="256"/>
      <c r="AV56" s="256"/>
    </row>
    <row r="57" spans="2:48">
      <c r="B57" s="66" t="s">
        <v>224</v>
      </c>
      <c r="C57" s="66">
        <f t="shared" si="3"/>
        <v>0</v>
      </c>
      <c r="D57" s="36"/>
      <c r="E57" s="66">
        <f t="shared" si="4"/>
        <v>0</v>
      </c>
      <c r="N57" s="154"/>
      <c r="O57" s="147">
        <f t="shared" si="5"/>
        <v>0</v>
      </c>
      <c r="S57" s="208" t="s">
        <v>1133</v>
      </c>
      <c r="T57" s="81">
        <f>U57</f>
        <v>1</v>
      </c>
      <c r="U57" s="105">
        <v>1</v>
      </c>
      <c r="V57" s="81"/>
      <c r="W57" s="81"/>
      <c r="X57" s="81"/>
      <c r="Y57" s="82" t="s">
        <v>1134</v>
      </c>
      <c r="Z57" s="83" t="s">
        <v>101</v>
      </c>
      <c r="AB57" s="86" t="s">
        <v>218</v>
      </c>
      <c r="AC57" s="68" t="s">
        <v>983</v>
      </c>
      <c r="AF57" s="208" t="s">
        <v>1114</v>
      </c>
      <c r="AG57" s="105" t="s">
        <v>1037</v>
      </c>
      <c r="AH57" s="105" t="s">
        <v>1115</v>
      </c>
      <c r="AI57" s="105" t="s">
        <v>1053</v>
      </c>
      <c r="AJ57" s="105" t="s">
        <v>1116</v>
      </c>
      <c r="AK57" s="85" t="s">
        <v>101</v>
      </c>
      <c r="AL57" s="105" t="s">
        <v>94</v>
      </c>
      <c r="AM57" s="105" t="s">
        <v>215</v>
      </c>
      <c r="AN57" s="105" t="s">
        <v>219</v>
      </c>
      <c r="AO57" s="105" t="s">
        <v>223</v>
      </c>
      <c r="AP57" s="82" t="s">
        <v>224</v>
      </c>
      <c r="AQ57" s="86" t="s">
        <v>1117</v>
      </c>
      <c r="AR57" s="79" t="s">
        <v>101</v>
      </c>
      <c r="AS57" s="256"/>
      <c r="AT57" s="256"/>
      <c r="AU57" s="256"/>
      <c r="AV57" s="256"/>
    </row>
    <row r="58" spans="2:48">
      <c r="S58" s="80" t="s">
        <v>6</v>
      </c>
      <c r="T58" s="81">
        <f>U58</f>
        <v>1</v>
      </c>
      <c r="U58" s="81">
        <v>1</v>
      </c>
      <c r="V58" s="81"/>
      <c r="W58" s="81"/>
      <c r="X58" s="81"/>
      <c r="Y58" s="82" t="s">
        <v>390</v>
      </c>
      <c r="Z58" s="83" t="s">
        <v>101</v>
      </c>
      <c r="AB58" s="86" t="s">
        <v>219</v>
      </c>
      <c r="AC58" s="68" t="s">
        <v>984</v>
      </c>
      <c r="AF58" s="208" t="s">
        <v>1111</v>
      </c>
      <c r="AG58" s="105" t="s">
        <v>1037</v>
      </c>
      <c r="AH58" s="105" t="s">
        <v>1112</v>
      </c>
      <c r="AI58" s="105" t="s">
        <v>194</v>
      </c>
      <c r="AJ58" s="105" t="s">
        <v>194</v>
      </c>
      <c r="AK58" s="127" t="s">
        <v>10</v>
      </c>
      <c r="AL58" s="105" t="s">
        <v>94</v>
      </c>
      <c r="AM58" s="105" t="s">
        <v>96</v>
      </c>
      <c r="AN58" s="105" t="s">
        <v>215</v>
      </c>
      <c r="AO58" s="105" t="s">
        <v>223</v>
      </c>
      <c r="AP58" s="82" t="s">
        <v>224</v>
      </c>
      <c r="AQ58" s="86" t="s">
        <v>1113</v>
      </c>
      <c r="AR58" s="79" t="s">
        <v>101</v>
      </c>
      <c r="AS58" s="256" t="s">
        <v>1000</v>
      </c>
      <c r="AT58" s="256"/>
      <c r="AU58" s="256"/>
      <c r="AV58" s="256"/>
    </row>
    <row r="59" spans="2:48" ht="18.75">
      <c r="B59" s="71" t="s">
        <v>0</v>
      </c>
      <c r="D59" s="66" t="s">
        <v>12</v>
      </c>
      <c r="F59" s="72" t="s">
        <v>129</v>
      </c>
      <c r="G59" s="73" t="e">
        <f>5+H30-SUM(D67:D74)</f>
        <v>#N/A</v>
      </c>
      <c r="S59" s="80" t="s">
        <v>176</v>
      </c>
      <c r="T59" s="81">
        <f>U59</f>
        <v>4</v>
      </c>
      <c r="U59" s="81">
        <v>4</v>
      </c>
      <c r="V59" s="81"/>
      <c r="W59" s="81"/>
      <c r="X59" s="81">
        <v>1</v>
      </c>
      <c r="Y59" s="82" t="s">
        <v>551</v>
      </c>
      <c r="Z59" s="83" t="s">
        <v>101</v>
      </c>
      <c r="AB59" s="86" t="s">
        <v>220</v>
      </c>
      <c r="AC59" s="68" t="s">
        <v>985</v>
      </c>
      <c r="AF59" s="208" t="s">
        <v>1073</v>
      </c>
      <c r="AG59" s="105" t="s">
        <v>1035</v>
      </c>
      <c r="AH59" s="105" t="s">
        <v>1074</v>
      </c>
      <c r="AI59" s="105" t="s">
        <v>194</v>
      </c>
      <c r="AJ59" s="105" t="s">
        <v>194</v>
      </c>
      <c r="AK59" s="127" t="s">
        <v>2</v>
      </c>
      <c r="AL59" s="105" t="s">
        <v>96</v>
      </c>
      <c r="AM59" s="105" t="s">
        <v>213</v>
      </c>
      <c r="AN59" s="105" t="s">
        <v>217</v>
      </c>
      <c r="AO59" s="105" t="s">
        <v>220</v>
      </c>
      <c r="AP59" s="82" t="s">
        <v>224</v>
      </c>
      <c r="AQ59" s="86" t="s">
        <v>1075</v>
      </c>
      <c r="AR59" s="79" t="s">
        <v>101</v>
      </c>
      <c r="AS59" s="256"/>
      <c r="AT59" s="256"/>
      <c r="AU59" s="256"/>
      <c r="AV59" s="256"/>
    </row>
    <row r="60" spans="2:48">
      <c r="B60" s="247" t="e">
        <f>B30</f>
        <v>#N/A</v>
      </c>
      <c r="C60" s="247"/>
      <c r="D60" s="66" t="e">
        <f t="shared" ref="D60:D65" si="7">IF(B60&lt;&gt;"",VLOOKUP(B60,$S$10:$T$112,2),0)</f>
        <v>#N/A</v>
      </c>
      <c r="E60" s="155"/>
      <c r="F60" s="247"/>
      <c r="G60" s="247"/>
      <c r="H60" s="247"/>
      <c r="I60" s="247"/>
      <c r="J60" s="247"/>
      <c r="K60" s="247"/>
      <c r="S60" s="80" t="s">
        <v>177</v>
      </c>
      <c r="T60" s="95">
        <f>IF($B$17=V60,W60,U60)</f>
        <v>2</v>
      </c>
      <c r="U60" s="81">
        <v>2</v>
      </c>
      <c r="V60" s="213" t="s">
        <v>1034</v>
      </c>
      <c r="W60" s="81">
        <v>1</v>
      </c>
      <c r="X60" s="81"/>
      <c r="Y60" s="82" t="s">
        <v>400</v>
      </c>
      <c r="Z60" s="83" t="s">
        <v>101</v>
      </c>
      <c r="AB60" s="86" t="s">
        <v>221</v>
      </c>
      <c r="AC60" s="68" t="s">
        <v>986</v>
      </c>
      <c r="AF60" s="80" t="s">
        <v>240</v>
      </c>
      <c r="AG60" s="81" t="s">
        <v>290</v>
      </c>
      <c r="AH60" s="81" t="s">
        <v>322</v>
      </c>
      <c r="AI60" s="81" t="s">
        <v>183</v>
      </c>
      <c r="AJ60" s="81" t="s">
        <v>11</v>
      </c>
      <c r="AK60" s="81" t="s">
        <v>7</v>
      </c>
      <c r="AL60" s="81" t="s">
        <v>215</v>
      </c>
      <c r="AM60" s="81" t="s">
        <v>216</v>
      </c>
      <c r="AN60" s="81" t="s">
        <v>219</v>
      </c>
      <c r="AO60" s="81" t="s">
        <v>223</v>
      </c>
      <c r="AP60" s="82" t="s">
        <v>224</v>
      </c>
      <c r="AQ60" s="86" t="s">
        <v>455</v>
      </c>
      <c r="AR60" s="79" t="s">
        <v>101</v>
      </c>
      <c r="AS60" s="256" t="s">
        <v>999</v>
      </c>
      <c r="AT60" s="256"/>
      <c r="AU60" s="256"/>
      <c r="AV60" s="256"/>
    </row>
    <row r="61" spans="2:48">
      <c r="B61" s="247" t="e">
        <f>B31</f>
        <v>#N/A</v>
      </c>
      <c r="C61" s="247"/>
      <c r="D61" s="66" t="e">
        <f t="shared" si="7"/>
        <v>#N/A</v>
      </c>
      <c r="E61" s="155"/>
      <c r="F61" s="247"/>
      <c r="G61" s="247"/>
      <c r="H61" s="247"/>
      <c r="I61" s="247"/>
      <c r="J61" s="247"/>
      <c r="K61" s="247"/>
      <c r="S61" s="80" t="s">
        <v>178</v>
      </c>
      <c r="T61" s="95">
        <f>IF($B$17=V61,W61,U61)</f>
        <v>3</v>
      </c>
      <c r="U61" s="81">
        <v>3</v>
      </c>
      <c r="V61" s="81" t="s">
        <v>141</v>
      </c>
      <c r="W61" s="81">
        <v>2</v>
      </c>
      <c r="X61" s="81"/>
      <c r="Y61" s="82" t="s">
        <v>1014</v>
      </c>
      <c r="Z61" s="83" t="s">
        <v>101</v>
      </c>
      <c r="AB61" s="86" t="s">
        <v>222</v>
      </c>
      <c r="AC61" s="68" t="s">
        <v>987</v>
      </c>
      <c r="AF61" s="80" t="s">
        <v>241</v>
      </c>
      <c r="AG61" s="81" t="s">
        <v>290</v>
      </c>
      <c r="AH61" s="81" t="s">
        <v>323</v>
      </c>
      <c r="AI61" s="81" t="s">
        <v>155</v>
      </c>
      <c r="AJ61" s="81" t="s">
        <v>187</v>
      </c>
      <c r="AK61" s="85" t="s">
        <v>101</v>
      </c>
      <c r="AL61" s="81" t="s">
        <v>94</v>
      </c>
      <c r="AM61" s="81" t="s">
        <v>95</v>
      </c>
      <c r="AN61" s="81" t="s">
        <v>213</v>
      </c>
      <c r="AO61" s="81" t="s">
        <v>214</v>
      </c>
      <c r="AP61" s="82" t="s">
        <v>215</v>
      </c>
      <c r="AQ61" s="86" t="s">
        <v>456</v>
      </c>
      <c r="AR61" s="79" t="s">
        <v>101</v>
      </c>
      <c r="AS61" s="256"/>
      <c r="AT61" s="256"/>
      <c r="AU61" s="256"/>
      <c r="AV61" s="256"/>
    </row>
    <row r="62" spans="2:48">
      <c r="B62" s="247" t="e">
        <f>IF(OR(B30=E30,B31=E30),"",E30)</f>
        <v>#N/A</v>
      </c>
      <c r="C62" s="247"/>
      <c r="D62" s="66" t="e">
        <f t="shared" si="7"/>
        <v>#N/A</v>
      </c>
      <c r="E62" s="155"/>
      <c r="F62" s="247"/>
      <c r="G62" s="247"/>
      <c r="H62" s="247"/>
      <c r="I62" s="247"/>
      <c r="J62" s="247"/>
      <c r="K62" s="247"/>
      <c r="S62" s="80" t="s">
        <v>179</v>
      </c>
      <c r="T62" s="81">
        <f>U62</f>
        <v>4</v>
      </c>
      <c r="U62" s="81">
        <v>4</v>
      </c>
      <c r="V62" s="81"/>
      <c r="W62" s="81"/>
      <c r="X62" s="81"/>
      <c r="Y62" s="82" t="s">
        <v>424</v>
      </c>
      <c r="Z62" s="83" t="s">
        <v>101</v>
      </c>
      <c r="AB62" s="86" t="s">
        <v>223</v>
      </c>
      <c r="AC62" s="68" t="s">
        <v>988</v>
      </c>
      <c r="AF62" s="80" t="s">
        <v>242</v>
      </c>
      <c r="AG62" s="81" t="s">
        <v>290</v>
      </c>
      <c r="AH62" s="81" t="s">
        <v>324</v>
      </c>
      <c r="AI62" s="81" t="s">
        <v>206</v>
      </c>
      <c r="AJ62" s="81" t="s">
        <v>172</v>
      </c>
      <c r="AK62" s="85" t="s">
        <v>101</v>
      </c>
      <c r="AL62" s="81" t="s">
        <v>94</v>
      </c>
      <c r="AM62" s="81" t="s">
        <v>213</v>
      </c>
      <c r="AN62" s="81" t="s">
        <v>217</v>
      </c>
      <c r="AO62" s="81" t="s">
        <v>221</v>
      </c>
      <c r="AP62" s="82" t="s">
        <v>222</v>
      </c>
      <c r="AQ62" s="89" t="s">
        <v>438</v>
      </c>
      <c r="AR62" s="79" t="s">
        <v>101</v>
      </c>
      <c r="AS62" s="256" t="s">
        <v>998</v>
      </c>
      <c r="AT62" s="256"/>
      <c r="AU62" s="256"/>
      <c r="AV62" s="256"/>
    </row>
    <row r="63" spans="2:48">
      <c r="B63" s="247" t="e">
        <f>IF(OR(B31=E31,B30=E31),"",E31)</f>
        <v>#N/A</v>
      </c>
      <c r="C63" s="247"/>
      <c r="D63" s="66" t="e">
        <f t="shared" si="7"/>
        <v>#N/A</v>
      </c>
      <c r="E63" s="155"/>
      <c r="F63" s="247"/>
      <c r="G63" s="247"/>
      <c r="H63" s="247"/>
      <c r="I63" s="247"/>
      <c r="J63" s="247"/>
      <c r="K63" s="247"/>
      <c r="S63" s="208" t="s">
        <v>1157</v>
      </c>
      <c r="T63" s="95">
        <f>IF($B$17=V63,W63,U63)</f>
        <v>5</v>
      </c>
      <c r="U63" s="105">
        <v>5</v>
      </c>
      <c r="V63" s="213" t="s">
        <v>1034</v>
      </c>
      <c r="W63" s="81">
        <v>3</v>
      </c>
      <c r="X63" s="81"/>
      <c r="Y63" s="82" t="s">
        <v>1158</v>
      </c>
      <c r="Z63" s="83" t="s">
        <v>101</v>
      </c>
      <c r="AB63" s="99" t="s">
        <v>224</v>
      </c>
      <c r="AC63" s="68" t="s">
        <v>989</v>
      </c>
      <c r="AF63" s="80" t="s">
        <v>243</v>
      </c>
      <c r="AG63" s="81" t="s">
        <v>290</v>
      </c>
      <c r="AH63" s="81" t="s">
        <v>325</v>
      </c>
      <c r="AI63" s="81" t="s">
        <v>158</v>
      </c>
      <c r="AJ63" s="81" t="s">
        <v>171</v>
      </c>
      <c r="AK63" s="85" t="s">
        <v>101</v>
      </c>
      <c r="AL63" s="81" t="s">
        <v>93</v>
      </c>
      <c r="AM63" s="81" t="s">
        <v>215</v>
      </c>
      <c r="AN63" s="81" t="s">
        <v>216</v>
      </c>
      <c r="AO63" s="81" t="s">
        <v>219</v>
      </c>
      <c r="AP63" s="82" t="s">
        <v>222</v>
      </c>
      <c r="AQ63" s="86" t="s">
        <v>457</v>
      </c>
      <c r="AR63" s="79" t="s">
        <v>101</v>
      </c>
      <c r="AS63" s="256"/>
      <c r="AT63" s="256"/>
      <c r="AU63" s="256"/>
      <c r="AV63" s="256"/>
    </row>
    <row r="64" spans="2:48">
      <c r="B64" s="247" t="e">
        <f>IF(B32="","",IF(OR(E30=B32,E31=B32),"",B32))</f>
        <v>#N/A</v>
      </c>
      <c r="C64" s="247"/>
      <c r="D64" s="66" t="e">
        <f t="shared" si="7"/>
        <v>#N/A</v>
      </c>
      <c r="E64" s="155"/>
      <c r="F64" s="247"/>
      <c r="G64" s="247"/>
      <c r="H64" s="247"/>
      <c r="I64" s="247"/>
      <c r="J64" s="247"/>
      <c r="K64" s="247"/>
      <c r="S64" s="208" t="s">
        <v>1086</v>
      </c>
      <c r="T64" s="95">
        <f>IF($B$17=V64,W64,U64)</f>
        <v>3</v>
      </c>
      <c r="U64" s="105">
        <v>3</v>
      </c>
      <c r="V64" s="213" t="s">
        <v>1035</v>
      </c>
      <c r="W64" s="81">
        <v>2</v>
      </c>
      <c r="X64" s="81"/>
      <c r="Y64" s="82" t="s">
        <v>1147</v>
      </c>
      <c r="Z64" s="83" t="s">
        <v>101</v>
      </c>
      <c r="AF64" s="80" t="s">
        <v>274</v>
      </c>
      <c r="AG64" s="81" t="s">
        <v>211</v>
      </c>
      <c r="AH64" s="81" t="s">
        <v>354</v>
      </c>
      <c r="AI64" s="81" t="s">
        <v>174</v>
      </c>
      <c r="AJ64" s="81" t="s">
        <v>176</v>
      </c>
      <c r="AK64" s="85" t="s">
        <v>101</v>
      </c>
      <c r="AL64" s="81" t="s">
        <v>96</v>
      </c>
      <c r="AM64" s="81" t="s">
        <v>213</v>
      </c>
      <c r="AN64" s="81" t="s">
        <v>215</v>
      </c>
      <c r="AO64" s="81" t="s">
        <v>217</v>
      </c>
      <c r="AP64" s="82" t="s">
        <v>221</v>
      </c>
      <c r="AQ64" s="86" t="s">
        <v>482</v>
      </c>
      <c r="AR64" s="79" t="s">
        <v>101</v>
      </c>
      <c r="AS64" s="259" t="s">
        <v>997</v>
      </c>
      <c r="AT64" s="259"/>
      <c r="AU64" s="259"/>
      <c r="AV64" s="259"/>
    </row>
    <row r="65" spans="1:48">
      <c r="B65" s="248" t="e">
        <f>IF(E32="","",IF(OR(B30=E32,B31=E32,B32=E32),"",E32))</f>
        <v>#N/A</v>
      </c>
      <c r="C65" s="248"/>
      <c r="D65" s="66" t="e">
        <f t="shared" si="7"/>
        <v>#N/A</v>
      </c>
      <c r="E65" s="155"/>
      <c r="F65" s="247"/>
      <c r="G65" s="247"/>
      <c r="H65" s="247"/>
      <c r="I65" s="247"/>
      <c r="J65" s="247"/>
      <c r="K65" s="247"/>
      <c r="S65" s="80" t="s">
        <v>180</v>
      </c>
      <c r="T65" s="81">
        <f>U65</f>
        <v>3</v>
      </c>
      <c r="U65" s="81">
        <v>3</v>
      </c>
      <c r="V65" s="81"/>
      <c r="W65" s="81"/>
      <c r="X65" s="81"/>
      <c r="Y65" s="82" t="s">
        <v>418</v>
      </c>
      <c r="Z65" s="83" t="s">
        <v>101</v>
      </c>
      <c r="AB65" s="98" t="s">
        <v>79</v>
      </c>
      <c r="AF65" s="80" t="s">
        <v>244</v>
      </c>
      <c r="AG65" s="81" t="s">
        <v>290</v>
      </c>
      <c r="AH65" s="81" t="s">
        <v>326</v>
      </c>
      <c r="AI65" s="81" t="s">
        <v>181</v>
      </c>
      <c r="AJ65" s="81" t="s">
        <v>172</v>
      </c>
      <c r="AK65" s="85" t="s">
        <v>101</v>
      </c>
      <c r="AL65" s="81" t="s">
        <v>213</v>
      </c>
      <c r="AM65" s="81" t="s">
        <v>217</v>
      </c>
      <c r="AN65" s="81" t="s">
        <v>218</v>
      </c>
      <c r="AO65" s="81" t="s">
        <v>220</v>
      </c>
      <c r="AP65" s="82" t="s">
        <v>221</v>
      </c>
      <c r="AQ65" s="89" t="s">
        <v>439</v>
      </c>
      <c r="AR65" s="79" t="s">
        <v>101</v>
      </c>
      <c r="AU65" s="177"/>
      <c r="AV65" s="177"/>
    </row>
    <row r="66" spans="1:48">
      <c r="E66" s="155"/>
      <c r="F66" s="247"/>
      <c r="G66" s="247"/>
      <c r="H66" s="247"/>
      <c r="I66" s="247"/>
      <c r="J66" s="247"/>
      <c r="K66" s="247"/>
      <c r="M66" s="239" t="s">
        <v>926</v>
      </c>
      <c r="N66" s="239"/>
      <c r="O66" s="239"/>
      <c r="P66" s="239"/>
      <c r="Q66" s="239"/>
      <c r="S66" s="80" t="s">
        <v>181</v>
      </c>
      <c r="T66" s="95">
        <f>IF($B$17=V66,W66,U66)</f>
        <v>3</v>
      </c>
      <c r="U66" s="81">
        <v>3</v>
      </c>
      <c r="V66" s="81" t="s">
        <v>208</v>
      </c>
      <c r="W66" s="81">
        <v>2</v>
      </c>
      <c r="X66" s="81"/>
      <c r="Y66" s="82" t="s">
        <v>419</v>
      </c>
      <c r="Z66" s="83" t="s">
        <v>101</v>
      </c>
      <c r="AB66" s="209" t="s">
        <v>1176</v>
      </c>
      <c r="AF66" s="80" t="s">
        <v>266</v>
      </c>
      <c r="AG66" s="81" t="s">
        <v>263</v>
      </c>
      <c r="AH66" s="81" t="s">
        <v>338</v>
      </c>
      <c r="AI66" s="81" t="s">
        <v>300</v>
      </c>
      <c r="AJ66" s="81" t="s">
        <v>183</v>
      </c>
      <c r="AK66" s="85" t="s">
        <v>101</v>
      </c>
      <c r="AL66" s="81" t="s">
        <v>216</v>
      </c>
      <c r="AM66" s="81" t="s">
        <v>219</v>
      </c>
      <c r="AN66" s="81" t="s">
        <v>221</v>
      </c>
      <c r="AO66" s="81" t="s">
        <v>222</v>
      </c>
      <c r="AP66" s="82" t="s">
        <v>224</v>
      </c>
      <c r="AQ66" s="86" t="s">
        <v>467</v>
      </c>
      <c r="AR66" s="79" t="s">
        <v>101</v>
      </c>
      <c r="AS66" s="181" t="str">
        <f>print!B53</f>
        <v/>
      </c>
      <c r="AT66" s="176"/>
      <c r="AU66" s="181" t="str">
        <f>print!B76</f>
        <v/>
      </c>
      <c r="AV66" s="176"/>
    </row>
    <row r="67" spans="1:48">
      <c r="B67" s="251"/>
      <c r="C67" s="251"/>
      <c r="D67" s="66">
        <f t="shared" ref="D67:D75" si="8">IF(B67&lt;&gt;"",VLOOKUP(B67,$S$10:$T$112,2),0)</f>
        <v>0</v>
      </c>
      <c r="E67" s="155"/>
      <c r="F67" s="247"/>
      <c r="G67" s="247"/>
      <c r="H67" s="247"/>
      <c r="I67" s="247"/>
      <c r="J67" s="247"/>
      <c r="K67" s="247"/>
      <c r="N67" s="261"/>
      <c r="O67" s="261"/>
      <c r="P67" s="145">
        <f t="shared" ref="P67:P75" si="9">IF(N67&lt;&gt;"",VLOOKUP(N67,$S$10:$T$112,2),0)</f>
        <v>0</v>
      </c>
      <c r="S67" s="80" t="s">
        <v>182</v>
      </c>
      <c r="T67" s="81">
        <f>U67</f>
        <v>3</v>
      </c>
      <c r="U67" s="81">
        <v>3</v>
      </c>
      <c r="V67" s="81"/>
      <c r="W67" s="81"/>
      <c r="X67" s="81"/>
      <c r="Y67" s="82" t="s">
        <v>554</v>
      </c>
      <c r="Z67" s="83" t="s">
        <v>101</v>
      </c>
      <c r="AB67" s="86" t="s">
        <v>80</v>
      </c>
      <c r="AF67" s="80" t="s">
        <v>245</v>
      </c>
      <c r="AG67" s="81" t="s">
        <v>290</v>
      </c>
      <c r="AH67" s="81" t="s">
        <v>327</v>
      </c>
      <c r="AI67" s="81" t="s">
        <v>201</v>
      </c>
      <c r="AJ67" s="81" t="s">
        <v>200</v>
      </c>
      <c r="AK67" s="85" t="s">
        <v>101</v>
      </c>
      <c r="AL67" s="81" t="s">
        <v>96</v>
      </c>
      <c r="AM67" s="81" t="s">
        <v>213</v>
      </c>
      <c r="AN67" s="81" t="s">
        <v>217</v>
      </c>
      <c r="AO67" s="81" t="s">
        <v>220</v>
      </c>
      <c r="AP67" s="82" t="s">
        <v>221</v>
      </c>
      <c r="AQ67" s="89" t="s">
        <v>440</v>
      </c>
      <c r="AR67" s="79" t="s">
        <v>101</v>
      </c>
      <c r="AS67" s="258" t="str">
        <f>print!B54</f>
        <v/>
      </c>
      <c r="AT67" s="258"/>
      <c r="AU67" s="258" t="str">
        <f>print!B77</f>
        <v/>
      </c>
      <c r="AV67" s="258"/>
    </row>
    <row r="68" spans="1:48">
      <c r="B68" s="251"/>
      <c r="C68" s="251"/>
      <c r="D68" s="66">
        <f t="shared" si="8"/>
        <v>0</v>
      </c>
      <c r="E68" s="155"/>
      <c r="F68" s="247"/>
      <c r="G68" s="247"/>
      <c r="H68" s="247"/>
      <c r="I68" s="247"/>
      <c r="J68" s="247"/>
      <c r="K68" s="247"/>
      <c r="N68" s="261"/>
      <c r="O68" s="261"/>
      <c r="P68" s="145">
        <f t="shared" si="9"/>
        <v>0</v>
      </c>
      <c r="S68" s="80" t="s">
        <v>183</v>
      </c>
      <c r="T68" s="81">
        <f>U68</f>
        <v>2</v>
      </c>
      <c r="U68" s="81">
        <v>2</v>
      </c>
      <c r="V68" s="81"/>
      <c r="W68" s="81"/>
      <c r="X68" s="81"/>
      <c r="Y68" s="82" t="s">
        <v>401</v>
      </c>
      <c r="Z68" s="83" t="s">
        <v>101</v>
      </c>
      <c r="AB68" s="86" t="s">
        <v>81</v>
      </c>
      <c r="AF68" s="80" t="s">
        <v>279</v>
      </c>
      <c r="AG68" s="81" t="s">
        <v>212</v>
      </c>
      <c r="AH68" s="81" t="s">
        <v>358</v>
      </c>
      <c r="AI68" s="81" t="s">
        <v>163</v>
      </c>
      <c r="AJ68" s="81" t="s">
        <v>169</v>
      </c>
      <c r="AK68" s="81" t="s">
        <v>157</v>
      </c>
      <c r="AL68" s="81" t="s">
        <v>94</v>
      </c>
      <c r="AM68" s="81" t="s">
        <v>96</v>
      </c>
      <c r="AN68" s="81" t="s">
        <v>213</v>
      </c>
      <c r="AO68" s="81" t="s">
        <v>218</v>
      </c>
      <c r="AP68" s="82" t="s">
        <v>221</v>
      </c>
      <c r="AQ68" s="86" t="s">
        <v>487</v>
      </c>
      <c r="AR68" s="79" t="s">
        <v>101</v>
      </c>
      <c r="AS68" s="258"/>
      <c r="AT68" s="258"/>
      <c r="AU68" s="258"/>
      <c r="AV68" s="258"/>
    </row>
    <row r="69" spans="1:48">
      <c r="B69" s="251"/>
      <c r="C69" s="251"/>
      <c r="D69" s="66">
        <f t="shared" si="8"/>
        <v>0</v>
      </c>
      <c r="E69" s="155"/>
      <c r="F69" s="247"/>
      <c r="G69" s="247"/>
      <c r="H69" s="247"/>
      <c r="I69" s="247"/>
      <c r="J69" s="247"/>
      <c r="K69" s="247"/>
      <c r="N69" s="261"/>
      <c r="O69" s="261"/>
      <c r="P69" s="145">
        <f t="shared" si="9"/>
        <v>0</v>
      </c>
      <c r="S69" s="80" t="s">
        <v>184</v>
      </c>
      <c r="T69" s="95">
        <f>IF($B$17=V69,W69,U69)</f>
        <v>2</v>
      </c>
      <c r="U69" s="81">
        <v>2</v>
      </c>
      <c r="V69" s="81" t="s">
        <v>142</v>
      </c>
      <c r="W69" s="81">
        <v>1</v>
      </c>
      <c r="X69" s="81"/>
      <c r="Y69" s="82" t="s">
        <v>555</v>
      </c>
      <c r="Z69" s="83" t="s">
        <v>101</v>
      </c>
      <c r="AB69" s="86" t="s">
        <v>82</v>
      </c>
      <c r="AF69" s="80" t="s">
        <v>246</v>
      </c>
      <c r="AG69" s="81" t="s">
        <v>290</v>
      </c>
      <c r="AH69" s="81" t="s">
        <v>328</v>
      </c>
      <c r="AI69" s="81" t="s">
        <v>153</v>
      </c>
      <c r="AJ69" s="81" t="s">
        <v>197</v>
      </c>
      <c r="AK69" s="85" t="s">
        <v>101</v>
      </c>
      <c r="AL69" s="81" t="s">
        <v>94</v>
      </c>
      <c r="AM69" s="81" t="s">
        <v>95</v>
      </c>
      <c r="AN69" s="81" t="s">
        <v>96</v>
      </c>
      <c r="AO69" s="81" t="s">
        <v>213</v>
      </c>
      <c r="AP69" s="82" t="s">
        <v>217</v>
      </c>
      <c r="AQ69" s="86" t="s">
        <v>458</v>
      </c>
      <c r="AR69" s="79" t="s">
        <v>101</v>
      </c>
      <c r="AS69" s="258"/>
      <c r="AT69" s="258"/>
      <c r="AU69" s="258"/>
      <c r="AV69" s="258"/>
    </row>
    <row r="70" spans="1:48">
      <c r="B70" s="251"/>
      <c r="C70" s="251"/>
      <c r="D70" s="66">
        <f t="shared" si="8"/>
        <v>0</v>
      </c>
      <c r="E70" s="155"/>
      <c r="F70" s="247"/>
      <c r="G70" s="247"/>
      <c r="H70" s="247"/>
      <c r="I70" s="247"/>
      <c r="J70" s="247"/>
      <c r="K70" s="247"/>
      <c r="N70" s="261"/>
      <c r="O70" s="261"/>
      <c r="P70" s="145">
        <f t="shared" si="9"/>
        <v>0</v>
      </c>
      <c r="S70" s="208" t="s">
        <v>1148</v>
      </c>
      <c r="T70" s="81">
        <f t="shared" ref="T70:T80" si="10">U70</f>
        <v>3</v>
      </c>
      <c r="U70" s="105">
        <v>3</v>
      </c>
      <c r="V70" s="81"/>
      <c r="W70" s="81"/>
      <c r="X70" s="81"/>
      <c r="Y70" s="82" t="s">
        <v>1149</v>
      </c>
      <c r="Z70" s="83" t="s">
        <v>101</v>
      </c>
      <c r="AB70" s="209" t="s">
        <v>1177</v>
      </c>
      <c r="AF70" s="80" t="s">
        <v>254</v>
      </c>
      <c r="AG70" s="81" t="s">
        <v>207</v>
      </c>
      <c r="AH70" s="81" t="s">
        <v>340</v>
      </c>
      <c r="AI70" s="81" t="s">
        <v>161</v>
      </c>
      <c r="AJ70" s="81" t="s">
        <v>133</v>
      </c>
      <c r="AK70" s="85" t="s">
        <v>101</v>
      </c>
      <c r="AL70" s="81" t="s">
        <v>96</v>
      </c>
      <c r="AM70" s="81" t="s">
        <v>213</v>
      </c>
      <c r="AN70" s="81" t="s">
        <v>215</v>
      </c>
      <c r="AO70" s="81" t="s">
        <v>218</v>
      </c>
      <c r="AP70" s="82" t="s">
        <v>220</v>
      </c>
      <c r="AQ70" s="86" t="s">
        <v>469</v>
      </c>
      <c r="AR70" s="79" t="s">
        <v>101</v>
      </c>
      <c r="AS70" s="258"/>
      <c r="AT70" s="258"/>
      <c r="AU70" s="258"/>
      <c r="AV70" s="258"/>
    </row>
    <row r="71" spans="1:48" ht="15" customHeight="1">
      <c r="B71" s="251"/>
      <c r="C71" s="251"/>
      <c r="D71" s="66">
        <f t="shared" si="8"/>
        <v>0</v>
      </c>
      <c r="E71" s="155"/>
      <c r="F71" s="247"/>
      <c r="G71" s="247"/>
      <c r="H71" s="247"/>
      <c r="I71" s="247"/>
      <c r="J71" s="247"/>
      <c r="K71" s="247"/>
      <c r="N71" s="261"/>
      <c r="O71" s="261"/>
      <c r="P71" s="145">
        <f t="shared" si="9"/>
        <v>0</v>
      </c>
      <c r="S71" s="80" t="s">
        <v>185</v>
      </c>
      <c r="T71" s="81">
        <f t="shared" si="10"/>
        <v>2</v>
      </c>
      <c r="U71" s="81">
        <v>2</v>
      </c>
      <c r="V71" s="81"/>
      <c r="W71" s="81"/>
      <c r="X71" s="81"/>
      <c r="Y71" s="82" t="s">
        <v>402</v>
      </c>
      <c r="Z71" s="83" t="s">
        <v>101</v>
      </c>
      <c r="AB71" s="86" t="s">
        <v>83</v>
      </c>
      <c r="AF71" s="80" t="s">
        <v>247</v>
      </c>
      <c r="AG71" s="81" t="s">
        <v>290</v>
      </c>
      <c r="AH71" s="68" t="s">
        <v>329</v>
      </c>
      <c r="AI71" s="81" t="s">
        <v>169</v>
      </c>
      <c r="AJ71" s="81" t="s">
        <v>168</v>
      </c>
      <c r="AK71" s="81" t="s">
        <v>7</v>
      </c>
      <c r="AL71" s="81" t="s">
        <v>93</v>
      </c>
      <c r="AM71" s="81" t="s">
        <v>95</v>
      </c>
      <c r="AN71" s="81" t="s">
        <v>214</v>
      </c>
      <c r="AO71" s="81" t="s">
        <v>219</v>
      </c>
      <c r="AP71" s="82" t="s">
        <v>223</v>
      </c>
      <c r="AQ71" s="86" t="s">
        <v>459</v>
      </c>
      <c r="AR71" s="79" t="s">
        <v>101</v>
      </c>
      <c r="AS71" s="258"/>
      <c r="AT71" s="258"/>
      <c r="AU71" s="258"/>
      <c r="AV71" s="258"/>
    </row>
    <row r="72" spans="1:48">
      <c r="B72" s="251"/>
      <c r="C72" s="251"/>
      <c r="D72" s="66">
        <f t="shared" si="8"/>
        <v>0</v>
      </c>
      <c r="E72" s="155"/>
      <c r="F72" s="247"/>
      <c r="G72" s="247"/>
      <c r="H72" s="247"/>
      <c r="I72" s="247"/>
      <c r="J72" s="247"/>
      <c r="K72" s="247"/>
      <c r="N72" s="261"/>
      <c r="O72" s="261"/>
      <c r="P72" s="145">
        <f t="shared" si="9"/>
        <v>0</v>
      </c>
      <c r="S72" s="80" t="s">
        <v>186</v>
      </c>
      <c r="T72" s="81">
        <f t="shared" si="10"/>
        <v>3</v>
      </c>
      <c r="U72" s="81">
        <v>3</v>
      </c>
      <c r="V72" s="81"/>
      <c r="W72" s="81"/>
      <c r="X72" s="81"/>
      <c r="Y72" s="82" t="s">
        <v>556</v>
      </c>
      <c r="Z72" s="83" t="s">
        <v>101</v>
      </c>
      <c r="AB72" s="86" t="s">
        <v>84</v>
      </c>
      <c r="AF72" s="80" t="s">
        <v>272</v>
      </c>
      <c r="AG72" s="81" t="s">
        <v>138</v>
      </c>
      <c r="AH72" s="81" t="s">
        <v>561</v>
      </c>
      <c r="AI72" s="81" t="s">
        <v>173</v>
      </c>
      <c r="AJ72" s="81" t="s">
        <v>192</v>
      </c>
      <c r="AK72" s="85" t="s">
        <v>101</v>
      </c>
      <c r="AL72" s="81" t="s">
        <v>214</v>
      </c>
      <c r="AM72" s="81" t="s">
        <v>216</v>
      </c>
      <c r="AN72" s="81" t="s">
        <v>218</v>
      </c>
      <c r="AO72" s="81" t="s">
        <v>222</v>
      </c>
      <c r="AP72" s="82" t="s">
        <v>224</v>
      </c>
      <c r="AQ72" s="86" t="s">
        <v>480</v>
      </c>
      <c r="AR72" s="79" t="s">
        <v>101</v>
      </c>
      <c r="AS72" s="258"/>
      <c r="AT72" s="258"/>
      <c r="AU72" s="258"/>
      <c r="AV72" s="258"/>
    </row>
    <row r="73" spans="1:48">
      <c r="B73" s="251"/>
      <c r="C73" s="251"/>
      <c r="D73" s="66">
        <f t="shared" si="8"/>
        <v>0</v>
      </c>
      <c r="E73" s="155"/>
      <c r="F73" s="247"/>
      <c r="G73" s="247"/>
      <c r="H73" s="247"/>
      <c r="I73" s="247"/>
      <c r="J73" s="247"/>
      <c r="K73" s="247"/>
      <c r="N73" s="261"/>
      <c r="O73" s="261"/>
      <c r="P73" s="145">
        <f t="shared" si="9"/>
        <v>0</v>
      </c>
      <c r="S73" s="80" t="s">
        <v>187</v>
      </c>
      <c r="T73" s="81">
        <f t="shared" si="10"/>
        <v>2</v>
      </c>
      <c r="U73" s="81">
        <v>2</v>
      </c>
      <c r="V73" s="81"/>
      <c r="W73" s="81"/>
      <c r="X73" s="81"/>
      <c r="Y73" s="82" t="s">
        <v>403</v>
      </c>
      <c r="Z73" s="83" t="s">
        <v>101</v>
      </c>
      <c r="AB73" s="209" t="s">
        <v>1178</v>
      </c>
      <c r="AF73" s="208" t="s">
        <v>1064</v>
      </c>
      <c r="AG73" s="105" t="s">
        <v>1034</v>
      </c>
      <c r="AH73" s="81" t="s">
        <v>1065</v>
      </c>
      <c r="AI73" s="105" t="s">
        <v>1053</v>
      </c>
      <c r="AJ73" s="105" t="s">
        <v>1067</v>
      </c>
      <c r="AK73" s="127" t="s">
        <v>7</v>
      </c>
      <c r="AL73" s="105" t="s">
        <v>93</v>
      </c>
      <c r="AM73" s="105" t="s">
        <v>216</v>
      </c>
      <c r="AN73" s="105" t="s">
        <v>219</v>
      </c>
      <c r="AO73" s="105" t="s">
        <v>221</v>
      </c>
      <c r="AP73" s="82" t="s">
        <v>222</v>
      </c>
      <c r="AQ73" s="86" t="s">
        <v>1066</v>
      </c>
      <c r="AR73" s="79" t="s">
        <v>101</v>
      </c>
      <c r="AS73" s="181" t="str">
        <f>print!B56</f>
        <v/>
      </c>
      <c r="AT73" s="176"/>
      <c r="AU73" s="181" t="str">
        <f>print!B79</f>
        <v/>
      </c>
      <c r="AV73" s="176"/>
    </row>
    <row r="74" spans="1:48">
      <c r="B74" s="251"/>
      <c r="C74" s="251"/>
      <c r="D74" s="66">
        <f t="shared" si="8"/>
        <v>0</v>
      </c>
      <c r="E74" s="155"/>
      <c r="F74" s="247"/>
      <c r="G74" s="247"/>
      <c r="H74" s="247"/>
      <c r="I74" s="247"/>
      <c r="J74" s="247"/>
      <c r="K74" s="247"/>
      <c r="N74" s="261"/>
      <c r="O74" s="261"/>
      <c r="P74" s="145">
        <f t="shared" si="9"/>
        <v>0</v>
      </c>
      <c r="S74" s="80" t="s">
        <v>133</v>
      </c>
      <c r="T74" s="81">
        <f t="shared" si="10"/>
        <v>2</v>
      </c>
      <c r="U74" s="81">
        <v>2</v>
      </c>
      <c r="V74" s="81"/>
      <c r="W74" s="81"/>
      <c r="X74" s="81"/>
      <c r="Y74" s="82" t="s">
        <v>404</v>
      </c>
      <c r="Z74" s="83" t="s">
        <v>101</v>
      </c>
      <c r="AB74" s="86" t="s">
        <v>85</v>
      </c>
      <c r="AF74" s="80" t="s">
        <v>248</v>
      </c>
      <c r="AG74" s="81" t="s">
        <v>290</v>
      </c>
      <c r="AH74" s="81" t="s">
        <v>330</v>
      </c>
      <c r="AI74" s="81" t="s">
        <v>152</v>
      </c>
      <c r="AJ74" s="81" t="s">
        <v>162</v>
      </c>
      <c r="AK74" s="85" t="s">
        <v>101</v>
      </c>
      <c r="AL74" s="81" t="s">
        <v>95</v>
      </c>
      <c r="AM74" s="81" t="s">
        <v>216</v>
      </c>
      <c r="AN74" s="81" t="s">
        <v>219</v>
      </c>
      <c r="AO74" s="81" t="s">
        <v>221</v>
      </c>
      <c r="AP74" s="82" t="s">
        <v>224</v>
      </c>
      <c r="AQ74" s="86" t="s">
        <v>460</v>
      </c>
      <c r="AR74" s="79" t="s">
        <v>101</v>
      </c>
      <c r="AS74" s="258" t="str">
        <f>print!B57</f>
        <v/>
      </c>
      <c r="AT74" s="258"/>
      <c r="AU74" s="258" t="str">
        <f>print!B80</f>
        <v/>
      </c>
      <c r="AV74" s="258"/>
    </row>
    <row r="75" spans="1:48">
      <c r="A75" s="166"/>
      <c r="B75" s="166"/>
      <c r="C75" s="166"/>
      <c r="D75" s="166">
        <f t="shared" si="8"/>
        <v>0</v>
      </c>
      <c r="E75" s="166"/>
      <c r="F75" s="166"/>
      <c r="G75" s="166"/>
      <c r="H75" s="166"/>
      <c r="I75" s="166"/>
      <c r="J75" s="166"/>
      <c r="K75" s="166"/>
      <c r="M75" s="167"/>
      <c r="N75" s="167"/>
      <c r="O75" s="167"/>
      <c r="P75" s="167">
        <f t="shared" si="9"/>
        <v>0</v>
      </c>
      <c r="Q75" s="167"/>
      <c r="S75" s="80" t="s">
        <v>188</v>
      </c>
      <c r="T75" s="81">
        <f t="shared" si="10"/>
        <v>3</v>
      </c>
      <c r="U75" s="81">
        <v>3</v>
      </c>
      <c r="V75" s="81"/>
      <c r="W75" s="81"/>
      <c r="X75" s="81"/>
      <c r="Y75" s="82" t="s">
        <v>420</v>
      </c>
      <c r="Z75" s="83" t="s">
        <v>101</v>
      </c>
      <c r="AB75" s="86" t="s">
        <v>86</v>
      </c>
      <c r="AF75" s="80" t="s">
        <v>269</v>
      </c>
      <c r="AG75" s="81" t="s">
        <v>210</v>
      </c>
      <c r="AH75" s="81" t="s">
        <v>341</v>
      </c>
      <c r="AI75" s="81" t="s">
        <v>200</v>
      </c>
      <c r="AJ75" s="81" t="s">
        <v>159</v>
      </c>
      <c r="AK75" s="81" t="s">
        <v>1</v>
      </c>
      <c r="AL75" s="81" t="s">
        <v>94</v>
      </c>
      <c r="AM75" s="81" t="s">
        <v>96</v>
      </c>
      <c r="AN75" s="81" t="s">
        <v>213</v>
      </c>
      <c r="AO75" s="81" t="s">
        <v>217</v>
      </c>
      <c r="AP75" s="82" t="s">
        <v>224</v>
      </c>
      <c r="AQ75" s="86" t="s">
        <v>470</v>
      </c>
      <c r="AR75" s="79" t="s">
        <v>101</v>
      </c>
      <c r="AS75" s="258"/>
      <c r="AT75" s="258"/>
      <c r="AU75" s="258"/>
      <c r="AV75" s="258"/>
    </row>
    <row r="76" spans="1:48">
      <c r="B76" s="70" t="s">
        <v>132</v>
      </c>
      <c r="O76" s="145" t="str">
        <f>IF(O102&lt;&gt;"",VLOOKUP(O102,V119:W141,2),"")</f>
        <v/>
      </c>
      <c r="S76" s="80" t="s">
        <v>189</v>
      </c>
      <c r="T76" s="81">
        <f t="shared" si="10"/>
        <v>4</v>
      </c>
      <c r="U76" s="81">
        <v>4</v>
      </c>
      <c r="V76" s="81"/>
      <c r="W76" s="81"/>
      <c r="X76" s="81"/>
      <c r="Y76" s="82" t="s">
        <v>425</v>
      </c>
      <c r="Z76" s="83" t="s">
        <v>101</v>
      </c>
      <c r="AB76" s="99" t="s">
        <v>87</v>
      </c>
      <c r="AF76" s="80" t="s">
        <v>249</v>
      </c>
      <c r="AG76" s="81" t="s">
        <v>290</v>
      </c>
      <c r="AH76" s="81" t="s">
        <v>331</v>
      </c>
      <c r="AI76" s="81" t="s">
        <v>204</v>
      </c>
      <c r="AJ76" s="81" t="s">
        <v>6</v>
      </c>
      <c r="AK76" s="85" t="s">
        <v>101</v>
      </c>
      <c r="AL76" s="81" t="s">
        <v>96</v>
      </c>
      <c r="AM76" s="81" t="s">
        <v>213</v>
      </c>
      <c r="AN76" s="81" t="s">
        <v>216</v>
      </c>
      <c r="AO76" s="81" t="s">
        <v>217</v>
      </c>
      <c r="AP76" s="82" t="s">
        <v>220</v>
      </c>
      <c r="AQ76" s="86" t="s">
        <v>461</v>
      </c>
      <c r="AR76" s="79"/>
      <c r="AS76" s="258"/>
      <c r="AT76" s="258"/>
      <c r="AU76" s="258"/>
      <c r="AV76" s="258"/>
    </row>
    <row r="77" spans="1:48">
      <c r="B77" s="66" t="s">
        <v>382</v>
      </c>
      <c r="G77" s="155" t="s">
        <v>965</v>
      </c>
      <c r="H77" s="155"/>
      <c r="S77" s="208" t="s">
        <v>1044</v>
      </c>
      <c r="T77" s="81">
        <f t="shared" si="10"/>
        <v>4</v>
      </c>
      <c r="U77" s="105">
        <v>4</v>
      </c>
      <c r="V77" s="81"/>
      <c r="W77" s="81"/>
      <c r="X77" s="81">
        <v>1</v>
      </c>
      <c r="Y77" s="82" t="s">
        <v>1152</v>
      </c>
      <c r="Z77" s="83" t="s">
        <v>101</v>
      </c>
      <c r="AF77" s="208" t="s">
        <v>1049</v>
      </c>
      <c r="AG77" s="81" t="s">
        <v>290</v>
      </c>
      <c r="AH77" s="105" t="s">
        <v>1051</v>
      </c>
      <c r="AI77" s="81" t="s">
        <v>1053</v>
      </c>
      <c r="AJ77" s="105" t="s">
        <v>1054</v>
      </c>
      <c r="AK77" s="85" t="s">
        <v>101</v>
      </c>
      <c r="AL77" s="105" t="s">
        <v>94</v>
      </c>
      <c r="AM77" s="105" t="s">
        <v>216</v>
      </c>
      <c r="AN77" s="105" t="s">
        <v>217</v>
      </c>
      <c r="AO77" s="105" t="s">
        <v>218</v>
      </c>
      <c r="AP77" s="82" t="s">
        <v>219</v>
      </c>
      <c r="AQ77" s="86" t="s">
        <v>1052</v>
      </c>
      <c r="AR77" s="79"/>
      <c r="AS77" s="258"/>
      <c r="AT77" s="258"/>
      <c r="AU77" s="258"/>
      <c r="AV77" s="258"/>
    </row>
    <row r="78" spans="1:48">
      <c r="B78" s="244"/>
      <c r="C78" s="246"/>
      <c r="D78" s="246"/>
      <c r="E78" s="245"/>
      <c r="G78" s="244"/>
      <c r="H78" s="245"/>
      <c r="S78" s="232" t="s">
        <v>1348</v>
      </c>
      <c r="T78" s="81">
        <f t="shared" si="10"/>
        <v>4</v>
      </c>
      <c r="U78" s="105">
        <v>4</v>
      </c>
      <c r="V78" s="81"/>
      <c r="W78" s="81"/>
      <c r="X78" s="81"/>
      <c r="Y78" s="357" t="s">
        <v>1349</v>
      </c>
      <c r="Z78" s="83" t="s">
        <v>101</v>
      </c>
      <c r="AB78" s="101" t="s">
        <v>116</v>
      </c>
      <c r="AF78" s="80" t="s">
        <v>268</v>
      </c>
      <c r="AG78" s="81" t="s">
        <v>209</v>
      </c>
      <c r="AH78" s="81" t="s">
        <v>342</v>
      </c>
      <c r="AI78" s="81" t="s">
        <v>189</v>
      </c>
      <c r="AJ78" s="81" t="s">
        <v>6</v>
      </c>
      <c r="AK78" s="85" t="s">
        <v>101</v>
      </c>
      <c r="AL78" s="81" t="s">
        <v>96</v>
      </c>
      <c r="AM78" s="81" t="s">
        <v>216</v>
      </c>
      <c r="AN78" s="81" t="s">
        <v>217</v>
      </c>
      <c r="AO78" s="81" t="s">
        <v>218</v>
      </c>
      <c r="AP78" s="82" t="s">
        <v>224</v>
      </c>
      <c r="AQ78" s="86" t="s">
        <v>471</v>
      </c>
      <c r="AR78" s="79"/>
      <c r="AS78" s="258"/>
      <c r="AT78" s="258"/>
      <c r="AU78" s="258"/>
      <c r="AV78" s="258"/>
    </row>
    <row r="79" spans="1:48">
      <c r="S79" s="80" t="s">
        <v>7</v>
      </c>
      <c r="T79" s="81">
        <f t="shared" si="10"/>
        <v>1</v>
      </c>
      <c r="U79" s="81">
        <v>1</v>
      </c>
      <c r="V79" s="81"/>
      <c r="W79" s="81"/>
      <c r="X79" s="81"/>
      <c r="Y79" s="82" t="s">
        <v>557</v>
      </c>
      <c r="Z79" s="83" t="s">
        <v>101</v>
      </c>
      <c r="AB79" s="78" t="s">
        <v>98</v>
      </c>
      <c r="AF79" s="208" t="s">
        <v>1096</v>
      </c>
      <c r="AG79" s="105" t="s">
        <v>1036</v>
      </c>
      <c r="AH79" s="105" t="s">
        <v>1099</v>
      </c>
      <c r="AI79" s="105" t="s">
        <v>1097</v>
      </c>
      <c r="AJ79" s="105" t="s">
        <v>186</v>
      </c>
      <c r="AK79" s="85" t="s">
        <v>101</v>
      </c>
      <c r="AL79" s="105" t="s">
        <v>93</v>
      </c>
      <c r="AM79" s="105" t="s">
        <v>94</v>
      </c>
      <c r="AN79" s="105" t="s">
        <v>215</v>
      </c>
      <c r="AO79" s="105" t="s">
        <v>216</v>
      </c>
      <c r="AP79" s="82" t="s">
        <v>224</v>
      </c>
      <c r="AQ79" s="86" t="s">
        <v>1098</v>
      </c>
      <c r="AR79" s="79"/>
      <c r="AS79" s="258"/>
      <c r="AT79" s="258"/>
      <c r="AU79" s="258"/>
      <c r="AV79" s="258"/>
    </row>
    <row r="80" spans="1:48">
      <c r="A80" s="155"/>
      <c r="B80" s="66" t="s">
        <v>383</v>
      </c>
      <c r="C80" s="155"/>
      <c r="D80" s="155"/>
      <c r="E80" s="155"/>
      <c r="F80" s="155"/>
      <c r="G80" s="155"/>
      <c r="H80" s="155"/>
      <c r="I80" s="155"/>
      <c r="J80" s="155"/>
      <c r="K80" s="155"/>
      <c r="S80" s="80" t="s">
        <v>190</v>
      </c>
      <c r="T80" s="81">
        <f t="shared" si="10"/>
        <v>2</v>
      </c>
      <c r="U80" s="81">
        <v>2</v>
      </c>
      <c r="V80" s="81"/>
      <c r="W80" s="81"/>
      <c r="X80" s="81"/>
      <c r="Y80" s="82" t="s">
        <v>558</v>
      </c>
      <c r="Z80" s="83" t="s">
        <v>101</v>
      </c>
      <c r="AB80" s="86" t="s">
        <v>99</v>
      </c>
      <c r="AF80" s="80" t="s">
        <v>250</v>
      </c>
      <c r="AG80" s="81" t="s">
        <v>290</v>
      </c>
      <c r="AH80" s="81" t="s">
        <v>332</v>
      </c>
      <c r="AI80" s="81" t="s">
        <v>166</v>
      </c>
      <c r="AJ80" s="81" t="s">
        <v>200</v>
      </c>
      <c r="AK80" s="85" t="s">
        <v>101</v>
      </c>
      <c r="AL80" s="81" t="s">
        <v>214</v>
      </c>
      <c r="AM80" s="81" t="s">
        <v>216</v>
      </c>
      <c r="AN80" s="81" t="s">
        <v>218</v>
      </c>
      <c r="AO80" s="81" t="s">
        <v>221</v>
      </c>
      <c r="AP80" s="82" t="s">
        <v>222</v>
      </c>
      <c r="AQ80" s="86" t="s">
        <v>462</v>
      </c>
      <c r="AR80" s="79"/>
      <c r="AS80" s="181" t="str">
        <f>print!B59</f>
        <v/>
      </c>
      <c r="AT80" s="176"/>
      <c r="AU80" s="181" t="str">
        <f>print!B82</f>
        <v/>
      </c>
      <c r="AV80" s="176"/>
    </row>
    <row r="81" spans="1:48">
      <c r="A81" s="155"/>
      <c r="B81" s="270"/>
      <c r="C81" s="271"/>
      <c r="D81" s="271"/>
      <c r="E81" s="271"/>
      <c r="F81" s="271"/>
      <c r="G81" s="271"/>
      <c r="H81" s="272"/>
      <c r="I81" s="155"/>
      <c r="J81" s="155"/>
      <c r="K81" s="155"/>
      <c r="S81" s="208" t="s">
        <v>1124</v>
      </c>
      <c r="T81" s="88" t="str">
        <f>IF($B$17=V81,U81,"NO")</f>
        <v>NO</v>
      </c>
      <c r="U81" s="81">
        <v>4</v>
      </c>
      <c r="V81" s="213" t="s">
        <v>1038</v>
      </c>
      <c r="W81" s="81" t="s">
        <v>17</v>
      </c>
      <c r="X81" s="81"/>
      <c r="Y81" s="82" t="s">
        <v>1154</v>
      </c>
      <c r="Z81" s="83" t="s">
        <v>101</v>
      </c>
      <c r="AB81" s="86" t="s">
        <v>225</v>
      </c>
      <c r="AF81" s="80" t="s">
        <v>251</v>
      </c>
      <c r="AG81" s="81" t="s">
        <v>290</v>
      </c>
      <c r="AH81" s="81" t="s">
        <v>333</v>
      </c>
      <c r="AI81" s="81" t="s">
        <v>177</v>
      </c>
      <c r="AJ81" s="81" t="s">
        <v>174</v>
      </c>
      <c r="AK81" s="81" t="s">
        <v>7</v>
      </c>
      <c r="AL81" s="81" t="s">
        <v>93</v>
      </c>
      <c r="AM81" s="81" t="s">
        <v>96</v>
      </c>
      <c r="AN81" s="81" t="s">
        <v>216</v>
      </c>
      <c r="AO81" s="81" t="s">
        <v>219</v>
      </c>
      <c r="AP81" s="82" t="s">
        <v>223</v>
      </c>
      <c r="AQ81" s="86" t="s">
        <v>463</v>
      </c>
      <c r="AR81" s="79"/>
      <c r="AS81" s="258" t="str">
        <f>print!B60</f>
        <v/>
      </c>
      <c r="AT81" s="258"/>
      <c r="AU81" s="258" t="str">
        <f>print!B83</f>
        <v/>
      </c>
      <c r="AV81" s="258"/>
    </row>
    <row r="82" spans="1:48">
      <c r="B82" s="66" t="s">
        <v>384</v>
      </c>
      <c r="N82" s="150" t="s">
        <v>931</v>
      </c>
      <c r="S82" s="80" t="s">
        <v>292</v>
      </c>
      <c r="T82" s="88" t="str">
        <f>IF($B$17=V82,U82,"NO")</f>
        <v>NO</v>
      </c>
      <c r="U82" s="81">
        <v>4</v>
      </c>
      <c r="V82" s="81" t="s">
        <v>141</v>
      </c>
      <c r="W82" s="81" t="s">
        <v>17</v>
      </c>
      <c r="X82" s="81"/>
      <c r="Y82" s="82" t="s">
        <v>569</v>
      </c>
      <c r="Z82" s="83" t="s">
        <v>101</v>
      </c>
      <c r="AB82" s="86" t="s">
        <v>226</v>
      </c>
      <c r="AF82" s="208" t="s">
        <v>1088</v>
      </c>
      <c r="AG82" s="105" t="s">
        <v>1036</v>
      </c>
      <c r="AH82" s="105" t="s">
        <v>1090</v>
      </c>
      <c r="AI82" s="105" t="s">
        <v>161</v>
      </c>
      <c r="AJ82" s="105" t="s">
        <v>182</v>
      </c>
      <c r="AK82" s="85" t="s">
        <v>101</v>
      </c>
      <c r="AL82" s="105" t="s">
        <v>93</v>
      </c>
      <c r="AM82" s="105" t="s">
        <v>214</v>
      </c>
      <c r="AN82" s="105" t="s">
        <v>215</v>
      </c>
      <c r="AO82" s="105" t="s">
        <v>222</v>
      </c>
      <c r="AP82" s="82" t="s">
        <v>224</v>
      </c>
      <c r="AQ82" s="86" t="s">
        <v>1089</v>
      </c>
      <c r="AS82" s="258"/>
      <c r="AT82" s="258"/>
      <c r="AU82" s="258"/>
      <c r="AV82" s="258"/>
    </row>
    <row r="83" spans="1:48">
      <c r="B83" s="244"/>
      <c r="C83" s="246"/>
      <c r="D83" s="246"/>
      <c r="E83" s="246"/>
      <c r="F83" s="246"/>
      <c r="G83" s="246"/>
      <c r="H83" s="245"/>
      <c r="N83" s="269" t="s">
        <v>932</v>
      </c>
      <c r="O83" s="269"/>
      <c r="P83" s="154"/>
      <c r="S83" s="208" t="s">
        <v>1109</v>
      </c>
      <c r="T83" s="81">
        <f t="shared" ref="T83" si="11">U83</f>
        <v>5</v>
      </c>
      <c r="U83" s="105">
        <v>5</v>
      </c>
      <c r="V83" s="213" t="s">
        <v>1037</v>
      </c>
      <c r="W83" s="81">
        <v>3</v>
      </c>
      <c r="X83" s="81"/>
      <c r="Y83" s="217" t="e">
        <f>CONCATENATE("Choose a second Virtue for your Hero. Your Hero can still only activate one Virtue per game session.  
Selected Virtue = ",I107,": ",VLOOKUP(I107,builder!$S$119:$U$141,3))</f>
        <v>#N/A</v>
      </c>
      <c r="Z83" s="83" t="s">
        <v>101</v>
      </c>
      <c r="AB83" s="86" t="s">
        <v>227</v>
      </c>
      <c r="AF83" s="80" t="s">
        <v>284</v>
      </c>
      <c r="AG83" s="81" t="s">
        <v>141</v>
      </c>
      <c r="AH83" s="81" t="s">
        <v>363</v>
      </c>
      <c r="AI83" s="81" t="s">
        <v>303</v>
      </c>
      <c r="AJ83" s="81" t="s">
        <v>197</v>
      </c>
      <c r="AK83" s="85" t="s">
        <v>101</v>
      </c>
      <c r="AL83" s="81" t="s">
        <v>95</v>
      </c>
      <c r="AM83" s="81" t="s">
        <v>215</v>
      </c>
      <c r="AN83" s="81" t="s">
        <v>216</v>
      </c>
      <c r="AO83" s="81" t="s">
        <v>219</v>
      </c>
      <c r="AP83" s="82" t="s">
        <v>224</v>
      </c>
      <c r="AQ83" s="86" t="s">
        <v>491</v>
      </c>
      <c r="AS83" s="258"/>
      <c r="AT83" s="258"/>
      <c r="AU83" s="258"/>
      <c r="AV83" s="258"/>
    </row>
    <row r="84" spans="1:48">
      <c r="B84" s="66" t="s">
        <v>385</v>
      </c>
      <c r="N84" s="145" t="s">
        <v>933</v>
      </c>
      <c r="S84" s="80" t="s">
        <v>191</v>
      </c>
      <c r="T84" s="81">
        <f>U84</f>
        <v>3</v>
      </c>
      <c r="U84" s="81">
        <v>3</v>
      </c>
      <c r="V84" s="81"/>
      <c r="W84" s="81"/>
      <c r="X84" s="81"/>
      <c r="Y84" s="82" t="s">
        <v>432</v>
      </c>
      <c r="Z84" s="83" t="s">
        <v>101</v>
      </c>
      <c r="AB84" s="209" t="s">
        <v>1041</v>
      </c>
      <c r="AF84" s="80" t="s">
        <v>285</v>
      </c>
      <c r="AG84" s="81" t="s">
        <v>141</v>
      </c>
      <c r="AH84" s="81" t="s">
        <v>364</v>
      </c>
      <c r="AI84" s="81" t="s">
        <v>292</v>
      </c>
      <c r="AJ84" s="81" t="s">
        <v>7</v>
      </c>
      <c r="AK84" s="85" t="s">
        <v>101</v>
      </c>
      <c r="AL84" s="81" t="s">
        <v>95</v>
      </c>
      <c r="AM84" s="81" t="s">
        <v>215</v>
      </c>
      <c r="AN84" s="81" t="s">
        <v>217</v>
      </c>
      <c r="AO84" s="81" t="s">
        <v>219</v>
      </c>
      <c r="AP84" s="82" t="s">
        <v>224</v>
      </c>
      <c r="AQ84" s="86" t="s">
        <v>563</v>
      </c>
      <c r="AS84" s="258"/>
      <c r="AT84" s="258"/>
      <c r="AU84" s="258"/>
      <c r="AV84" s="258"/>
    </row>
    <row r="85" spans="1:48">
      <c r="B85" s="244"/>
      <c r="C85" s="246"/>
      <c r="D85" s="246"/>
      <c r="E85" s="246"/>
      <c r="F85" s="246"/>
      <c r="G85" s="246"/>
      <c r="H85" s="245"/>
      <c r="N85" s="269" t="s">
        <v>934</v>
      </c>
      <c r="O85" s="269"/>
      <c r="P85" s="154"/>
      <c r="S85" s="80" t="s">
        <v>192</v>
      </c>
      <c r="T85" s="81">
        <f>U85</f>
        <v>2</v>
      </c>
      <c r="U85" s="81">
        <v>2</v>
      </c>
      <c r="V85" s="81"/>
      <c r="W85" s="81"/>
      <c r="X85" s="81"/>
      <c r="Y85" s="82" t="s">
        <v>405</v>
      </c>
      <c r="Z85" s="83" t="s">
        <v>101</v>
      </c>
      <c r="AB85" s="86" t="s">
        <v>228</v>
      </c>
      <c r="AF85" s="80" t="s">
        <v>252</v>
      </c>
      <c r="AG85" s="81" t="s">
        <v>290</v>
      </c>
      <c r="AH85" s="81" t="s">
        <v>334</v>
      </c>
      <c r="AI85" s="81" t="s">
        <v>189</v>
      </c>
      <c r="AJ85" s="81" t="s">
        <v>1</v>
      </c>
      <c r="AK85" s="85" t="s">
        <v>101</v>
      </c>
      <c r="AL85" s="81" t="s">
        <v>93</v>
      </c>
      <c r="AM85" s="81" t="s">
        <v>215</v>
      </c>
      <c r="AN85" s="81" t="s">
        <v>216</v>
      </c>
      <c r="AO85" s="81" t="s">
        <v>223</v>
      </c>
      <c r="AP85" s="82" t="s">
        <v>224</v>
      </c>
      <c r="AQ85" s="86" t="s">
        <v>464</v>
      </c>
      <c r="AS85" s="258"/>
      <c r="AT85" s="258"/>
      <c r="AU85" s="258"/>
      <c r="AV85" s="258"/>
    </row>
    <row r="86" spans="1:48">
      <c r="N86" s="269" t="s">
        <v>935</v>
      </c>
      <c r="O86" s="269"/>
      <c r="P86" s="147">
        <f>P83-P85</f>
        <v>0</v>
      </c>
      <c r="S86" s="80" t="s">
        <v>8</v>
      </c>
      <c r="T86" s="81">
        <f>U86</f>
        <v>1</v>
      </c>
      <c r="U86" s="81">
        <v>1</v>
      </c>
      <c r="V86" s="81"/>
      <c r="W86" s="81"/>
      <c r="X86" s="81">
        <v>1</v>
      </c>
      <c r="Y86" s="82" t="s">
        <v>1024</v>
      </c>
      <c r="Z86" s="83" t="s">
        <v>101</v>
      </c>
      <c r="AB86" s="209" t="s">
        <v>1046</v>
      </c>
      <c r="AF86" s="80" t="s">
        <v>273</v>
      </c>
      <c r="AG86" s="81" t="s">
        <v>138</v>
      </c>
      <c r="AH86" s="81" t="s">
        <v>353</v>
      </c>
      <c r="AI86" s="81" t="s">
        <v>194</v>
      </c>
      <c r="AJ86" s="81" t="s">
        <v>194</v>
      </c>
      <c r="AK86" s="81" t="s">
        <v>10</v>
      </c>
      <c r="AL86" s="81" t="s">
        <v>213</v>
      </c>
      <c r="AM86" s="81" t="s">
        <v>214</v>
      </c>
      <c r="AN86" s="81" t="s">
        <v>218</v>
      </c>
      <c r="AO86" s="81" t="s">
        <v>220</v>
      </c>
      <c r="AP86" s="82" t="s">
        <v>221</v>
      </c>
      <c r="AQ86" s="86" t="s">
        <v>481</v>
      </c>
      <c r="AS86" s="258"/>
      <c r="AT86" s="258"/>
      <c r="AU86" s="258"/>
      <c r="AV86" s="258"/>
    </row>
    <row r="87" spans="1:48">
      <c r="S87" s="80" t="s">
        <v>193</v>
      </c>
      <c r="T87" s="81">
        <f>U87</f>
        <v>3</v>
      </c>
      <c r="U87" s="81">
        <v>3</v>
      </c>
      <c r="V87" s="81"/>
      <c r="W87" s="81"/>
      <c r="X87" s="81"/>
      <c r="Y87" s="82" t="s">
        <v>559</v>
      </c>
      <c r="Z87" s="83" t="s">
        <v>101</v>
      </c>
      <c r="AB87" s="86" t="s">
        <v>546</v>
      </c>
      <c r="AF87" s="80" t="s">
        <v>289</v>
      </c>
      <c r="AG87" s="81" t="s">
        <v>142</v>
      </c>
      <c r="AH87" s="81" t="s">
        <v>367</v>
      </c>
      <c r="AI87" s="81" t="s">
        <v>194</v>
      </c>
      <c r="AJ87" s="81" t="s">
        <v>194</v>
      </c>
      <c r="AK87" s="81" t="s">
        <v>10</v>
      </c>
      <c r="AL87" s="81" t="s">
        <v>96</v>
      </c>
      <c r="AM87" s="81" t="s">
        <v>214</v>
      </c>
      <c r="AN87" s="81" t="s">
        <v>217</v>
      </c>
      <c r="AO87" s="81" t="s">
        <v>218</v>
      </c>
      <c r="AP87" s="82" t="s">
        <v>221</v>
      </c>
      <c r="AQ87" s="86" t="s">
        <v>493</v>
      </c>
      <c r="AS87" s="181" t="str">
        <f>print!B62</f>
        <v/>
      </c>
      <c r="AT87" s="176"/>
      <c r="AU87" s="181" t="str">
        <f>print!B85</f>
        <v/>
      </c>
      <c r="AV87" s="176"/>
    </row>
    <row r="88" spans="1:48">
      <c r="B88" s="70" t="s">
        <v>133</v>
      </c>
      <c r="F88" s="70" t="s">
        <v>148</v>
      </c>
      <c r="S88" s="80" t="s">
        <v>194</v>
      </c>
      <c r="T88" s="81">
        <f>U88</f>
        <v>2</v>
      </c>
      <c r="U88" s="81">
        <v>2</v>
      </c>
      <c r="V88" s="81"/>
      <c r="W88" s="81"/>
      <c r="X88" s="81"/>
      <c r="Y88" s="82" t="s">
        <v>406</v>
      </c>
      <c r="Z88" s="83" t="s">
        <v>101</v>
      </c>
      <c r="AB88" s="86" t="s">
        <v>229</v>
      </c>
      <c r="AF88" s="80" t="s">
        <v>253</v>
      </c>
      <c r="AG88" s="81" t="s">
        <v>290</v>
      </c>
      <c r="AH88" s="81" t="s">
        <v>335</v>
      </c>
      <c r="AI88" s="81" t="s">
        <v>180</v>
      </c>
      <c r="AJ88" s="81" t="s">
        <v>184</v>
      </c>
      <c r="AK88" s="85" t="s">
        <v>101</v>
      </c>
      <c r="AL88" s="81" t="s">
        <v>213</v>
      </c>
      <c r="AM88" s="81" t="s">
        <v>214</v>
      </c>
      <c r="AN88" s="81" t="s">
        <v>216</v>
      </c>
      <c r="AO88" s="81" t="s">
        <v>221</v>
      </c>
      <c r="AP88" s="82" t="s">
        <v>222</v>
      </c>
      <c r="AQ88" s="86" t="s">
        <v>564</v>
      </c>
      <c r="AS88" s="258" t="str">
        <f>print!B63</f>
        <v/>
      </c>
      <c r="AT88" s="258"/>
      <c r="AU88" s="258" t="str">
        <f>print!B86</f>
        <v/>
      </c>
      <c r="AV88" s="258"/>
    </row>
    <row r="89" spans="1:48">
      <c r="B89" s="244"/>
      <c r="C89" s="245"/>
      <c r="F89" s="244"/>
      <c r="G89" s="245"/>
      <c r="S89" s="80" t="s">
        <v>195</v>
      </c>
      <c r="T89" s="95">
        <f>IF($B$17=V89,W89,U89)</f>
        <v>5</v>
      </c>
      <c r="U89" s="81">
        <v>5</v>
      </c>
      <c r="V89" s="81" t="s">
        <v>208</v>
      </c>
      <c r="W89" s="81">
        <v>3</v>
      </c>
      <c r="X89" s="81"/>
      <c r="Y89" s="82" t="s">
        <v>560</v>
      </c>
      <c r="Z89" s="83" t="s">
        <v>101</v>
      </c>
      <c r="AB89" s="86" t="s">
        <v>230</v>
      </c>
      <c r="AF89" s="208" t="s">
        <v>1050</v>
      </c>
      <c r="AG89" s="81" t="s">
        <v>290</v>
      </c>
      <c r="AH89" s="105" t="s">
        <v>1055</v>
      </c>
      <c r="AI89" s="105" t="s">
        <v>1044</v>
      </c>
      <c r="AJ89" s="105" t="s">
        <v>1045</v>
      </c>
      <c r="AK89" s="85" t="s">
        <v>101</v>
      </c>
      <c r="AL89" s="105" t="s">
        <v>95</v>
      </c>
      <c r="AM89" s="105" t="s">
        <v>213</v>
      </c>
      <c r="AN89" s="105" t="s">
        <v>214</v>
      </c>
      <c r="AO89" s="105" t="s">
        <v>219</v>
      </c>
      <c r="AP89" s="82" t="s">
        <v>222</v>
      </c>
      <c r="AQ89" s="86" t="s">
        <v>1056</v>
      </c>
      <c r="AS89" s="258"/>
      <c r="AT89" s="258"/>
      <c r="AU89" s="258"/>
      <c r="AV89" s="258"/>
    </row>
    <row r="90" spans="1:48">
      <c r="S90" s="80" t="s">
        <v>196</v>
      </c>
      <c r="T90" s="81">
        <f>U90</f>
        <v>4</v>
      </c>
      <c r="U90" s="81">
        <v>4</v>
      </c>
      <c r="V90" s="81"/>
      <c r="W90" s="81"/>
      <c r="X90" s="81"/>
      <c r="Y90" s="82" t="s">
        <v>426</v>
      </c>
      <c r="Z90" s="83" t="s">
        <v>101</v>
      </c>
      <c r="AB90" s="86" t="s">
        <v>231</v>
      </c>
      <c r="AF90" s="80" t="s">
        <v>280</v>
      </c>
      <c r="AG90" s="81" t="s">
        <v>212</v>
      </c>
      <c r="AH90" s="81" t="s">
        <v>359</v>
      </c>
      <c r="AI90" s="81" t="s">
        <v>194</v>
      </c>
      <c r="AJ90" s="81" t="s">
        <v>194</v>
      </c>
      <c r="AK90" s="81" t="s">
        <v>9</v>
      </c>
      <c r="AL90" s="81" t="s">
        <v>94</v>
      </c>
      <c r="AM90" s="81" t="s">
        <v>215</v>
      </c>
      <c r="AN90" s="81" t="s">
        <v>217</v>
      </c>
      <c r="AO90" s="81" t="s">
        <v>221</v>
      </c>
      <c r="AP90" s="82" t="s">
        <v>222</v>
      </c>
      <c r="AQ90" s="86" t="s">
        <v>488</v>
      </c>
      <c r="AS90" s="258"/>
      <c r="AT90" s="258"/>
      <c r="AU90" s="258"/>
      <c r="AV90" s="258"/>
    </row>
    <row r="91" spans="1:48">
      <c r="B91" s="70" t="s">
        <v>88</v>
      </c>
      <c r="D91" s="66" t="str">
        <f>IF(COUNTIF($B$60:$C$74,$S$58),"","one per wits")</f>
        <v>one per wits</v>
      </c>
      <c r="G91" s="70" t="s">
        <v>377</v>
      </c>
      <c r="S91" s="208" t="s">
        <v>1097</v>
      </c>
      <c r="T91" s="81">
        <f>U91</f>
        <v>2</v>
      </c>
      <c r="U91" s="105">
        <v>2</v>
      </c>
      <c r="V91" s="81"/>
      <c r="W91" s="81"/>
      <c r="X91" s="81"/>
      <c r="Y91" s="82" t="s">
        <v>1141</v>
      </c>
      <c r="Z91" s="83" t="s">
        <v>101</v>
      </c>
      <c r="AB91" s="86" t="s">
        <v>232</v>
      </c>
      <c r="AF91" s="80" t="s">
        <v>275</v>
      </c>
      <c r="AG91" s="81" t="s">
        <v>211</v>
      </c>
      <c r="AH91" s="81" t="s">
        <v>355</v>
      </c>
      <c r="AI91" s="81" t="s">
        <v>4</v>
      </c>
      <c r="AJ91" s="81" t="s">
        <v>198</v>
      </c>
      <c r="AK91" s="81" t="s">
        <v>157</v>
      </c>
      <c r="AL91" s="81" t="s">
        <v>95</v>
      </c>
      <c r="AM91" s="81" t="s">
        <v>213</v>
      </c>
      <c r="AN91" s="81" t="s">
        <v>214</v>
      </c>
      <c r="AO91" s="81" t="s">
        <v>216</v>
      </c>
      <c r="AP91" s="82" t="s">
        <v>222</v>
      </c>
      <c r="AQ91" s="86" t="s">
        <v>483</v>
      </c>
      <c r="AS91" s="258"/>
      <c r="AT91" s="258"/>
      <c r="AU91" s="258"/>
      <c r="AV91" s="258"/>
    </row>
    <row r="92" spans="1:48">
      <c r="B92" s="66" t="str">
        <f>IF(COUNTIF($B$60:$C$74,$S$58),"--",X145)</f>
        <v>Old Thean</v>
      </c>
      <c r="D92" s="165" t="str">
        <f>IF(COUNTIF($B$60:$C$74,$S$58),"","points left")</f>
        <v>points left</v>
      </c>
      <c r="E92" s="73">
        <f>IF(COUNTIF($B$60:$C$74,$S$58),"",F13-2-COUNTA(B94:B96))</f>
        <v>0</v>
      </c>
      <c r="G92" s="244"/>
      <c r="H92" s="245"/>
      <c r="S92" s="80" t="s">
        <v>197</v>
      </c>
      <c r="T92" s="95">
        <f>IF($B$17=V92,W92,U92)</f>
        <v>2</v>
      </c>
      <c r="U92" s="81">
        <v>2</v>
      </c>
      <c r="V92" s="81" t="s">
        <v>136</v>
      </c>
      <c r="W92" s="81">
        <v>1</v>
      </c>
      <c r="X92" s="81"/>
      <c r="Y92" s="82" t="s">
        <v>407</v>
      </c>
      <c r="Z92" s="83" t="s">
        <v>101</v>
      </c>
      <c r="AB92" s="86" t="s">
        <v>233</v>
      </c>
      <c r="AF92" s="208" t="s">
        <v>1061</v>
      </c>
      <c r="AG92" s="105" t="s">
        <v>1034</v>
      </c>
      <c r="AH92" s="81" t="s">
        <v>1062</v>
      </c>
      <c r="AI92" s="105" t="s">
        <v>1053</v>
      </c>
      <c r="AJ92" s="105" t="s">
        <v>193</v>
      </c>
      <c r="AK92" s="105" t="s">
        <v>7</v>
      </c>
      <c r="AL92" s="105" t="s">
        <v>93</v>
      </c>
      <c r="AM92" s="105" t="s">
        <v>94</v>
      </c>
      <c r="AN92" s="105" t="s">
        <v>215</v>
      </c>
      <c r="AO92" s="105" t="s">
        <v>216</v>
      </c>
      <c r="AP92" s="82" t="s">
        <v>219</v>
      </c>
      <c r="AQ92" s="86" t="s">
        <v>1063</v>
      </c>
      <c r="AS92" s="258"/>
      <c r="AT92" s="258"/>
      <c r="AU92" s="258"/>
      <c r="AV92" s="258"/>
    </row>
    <row r="93" spans="1:48">
      <c r="B93" s="66" t="e">
        <f>IF(COUNTIF($B$60:$C$74,$S$58),"--",VLOOKUP(B17,X146:Y158,2))</f>
        <v>#N/A</v>
      </c>
      <c r="C93" s="70" t="str">
        <f>IF(COUNTIF($B$60:$C$74,$S$58),"All languages known","")</f>
        <v/>
      </c>
      <c r="S93" s="80" t="s">
        <v>198</v>
      </c>
      <c r="T93" s="81">
        <f>U93</f>
        <v>2</v>
      </c>
      <c r="U93" s="81">
        <v>2</v>
      </c>
      <c r="V93" s="81"/>
      <c r="W93" s="81"/>
      <c r="X93" s="81"/>
      <c r="Y93" s="82" t="s">
        <v>1015</v>
      </c>
      <c r="Z93" s="83" t="s">
        <v>101</v>
      </c>
      <c r="AB93" s="86" t="s">
        <v>234</v>
      </c>
      <c r="AF93" s="80" t="s">
        <v>261</v>
      </c>
      <c r="AG93" s="81" t="s">
        <v>136</v>
      </c>
      <c r="AH93" s="81" t="s">
        <v>349</v>
      </c>
      <c r="AI93" s="81" t="s">
        <v>302</v>
      </c>
      <c r="AJ93" s="81" t="s">
        <v>171</v>
      </c>
      <c r="AK93" s="85" t="s">
        <v>101</v>
      </c>
      <c r="AL93" s="81" t="s">
        <v>93</v>
      </c>
      <c r="AM93" s="81" t="s">
        <v>94</v>
      </c>
      <c r="AN93" s="81" t="s">
        <v>95</v>
      </c>
      <c r="AO93" s="81" t="s">
        <v>216</v>
      </c>
      <c r="AP93" s="82" t="s">
        <v>224</v>
      </c>
      <c r="AQ93" s="86" t="s">
        <v>476</v>
      </c>
      <c r="AS93" s="258"/>
      <c r="AT93" s="258"/>
      <c r="AU93" s="258"/>
      <c r="AV93" s="258"/>
    </row>
    <row r="94" spans="1:48">
      <c r="B94" s="55"/>
      <c r="G94" s="223" t="s">
        <v>1307</v>
      </c>
      <c r="H94" s="219" t="s">
        <v>916</v>
      </c>
      <c r="I94" s="195"/>
      <c r="S94" s="80" t="s">
        <v>199</v>
      </c>
      <c r="T94" s="95">
        <f>IF($B$17=V94,W94,U94)</f>
        <v>5</v>
      </c>
      <c r="U94" s="81">
        <v>5</v>
      </c>
      <c r="V94" s="81" t="s">
        <v>212</v>
      </c>
      <c r="W94" s="81">
        <v>3</v>
      </c>
      <c r="X94" s="81"/>
      <c r="Y94" s="82" t="s">
        <v>430</v>
      </c>
      <c r="Z94" s="83" t="s">
        <v>101</v>
      </c>
      <c r="AB94" s="86" t="s">
        <v>235</v>
      </c>
      <c r="AF94" s="80" t="s">
        <v>267</v>
      </c>
      <c r="AG94" s="81" t="s">
        <v>263</v>
      </c>
      <c r="AH94" s="81" t="s">
        <v>339</v>
      </c>
      <c r="AI94" s="81" t="s">
        <v>204</v>
      </c>
      <c r="AJ94" s="81" t="s">
        <v>9</v>
      </c>
      <c r="AK94" s="85" t="s">
        <v>101</v>
      </c>
      <c r="AL94" s="81" t="s">
        <v>93</v>
      </c>
      <c r="AM94" s="81" t="s">
        <v>213</v>
      </c>
      <c r="AN94" s="81" t="s">
        <v>216</v>
      </c>
      <c r="AO94" s="81" t="s">
        <v>220</v>
      </c>
      <c r="AP94" s="82" t="s">
        <v>221</v>
      </c>
      <c r="AQ94" s="86" t="s">
        <v>468</v>
      </c>
      <c r="AS94" s="181" t="str">
        <f>print!B65</f>
        <v/>
      </c>
      <c r="AT94" s="176"/>
      <c r="AU94" s="181" t="str">
        <f>print!B88</f>
        <v/>
      </c>
      <c r="AV94" s="176"/>
    </row>
    <row r="95" spans="1:48">
      <c r="B95" s="55"/>
      <c r="G95" s="106" t="str">
        <f>IF(H94="yes","# Signers =","")</f>
        <v/>
      </c>
      <c r="S95" s="232" t="s">
        <v>1347</v>
      </c>
      <c r="T95" s="81">
        <f>U95</f>
        <v>3</v>
      </c>
      <c r="U95" s="105">
        <v>3</v>
      </c>
      <c r="V95" s="81"/>
      <c r="W95" s="81"/>
      <c r="X95" s="81"/>
      <c r="Y95" s="82" t="s">
        <v>1350</v>
      </c>
      <c r="Z95" s="83" t="s">
        <v>101</v>
      </c>
      <c r="AB95" s="86" t="s">
        <v>236</v>
      </c>
      <c r="AF95" s="80" t="s">
        <v>262</v>
      </c>
      <c r="AG95" s="81" t="s">
        <v>136</v>
      </c>
      <c r="AH95" s="81" t="s">
        <v>350</v>
      </c>
      <c r="AI95" s="81" t="s">
        <v>174</v>
      </c>
      <c r="AJ95" s="81" t="s">
        <v>198</v>
      </c>
      <c r="AK95" s="81" t="s">
        <v>7</v>
      </c>
      <c r="AL95" s="81" t="s">
        <v>95</v>
      </c>
      <c r="AM95" s="81" t="s">
        <v>214</v>
      </c>
      <c r="AN95" s="81" t="s">
        <v>219</v>
      </c>
      <c r="AO95" s="81" t="s">
        <v>222</v>
      </c>
      <c r="AP95" s="82" t="s">
        <v>223</v>
      </c>
      <c r="AQ95" s="86" t="s">
        <v>477</v>
      </c>
      <c r="AS95" s="258" t="str">
        <f>print!B66</f>
        <v/>
      </c>
      <c r="AT95" s="258"/>
      <c r="AU95" s="258" t="str">
        <f>print!B89</f>
        <v/>
      </c>
      <c r="AV95" s="258"/>
    </row>
    <row r="96" spans="1:48">
      <c r="B96" s="55"/>
      <c r="S96" s="80" t="s">
        <v>9</v>
      </c>
      <c r="T96" s="81">
        <f>U96</f>
        <v>1</v>
      </c>
      <c r="U96" s="81">
        <v>1</v>
      </c>
      <c r="V96" s="81"/>
      <c r="W96" s="81"/>
      <c r="X96" s="81"/>
      <c r="Y96" s="82" t="s">
        <v>1016</v>
      </c>
      <c r="Z96" s="83" t="s">
        <v>101</v>
      </c>
      <c r="AB96" s="86" t="s">
        <v>237</v>
      </c>
      <c r="AF96" s="208" t="s">
        <v>1125</v>
      </c>
      <c r="AG96" s="105" t="s">
        <v>1038</v>
      </c>
      <c r="AH96" s="105" t="s">
        <v>1126</v>
      </c>
      <c r="AI96" s="105" t="s">
        <v>1127</v>
      </c>
      <c r="AJ96" s="105" t="s">
        <v>162</v>
      </c>
      <c r="AK96" s="85" t="s">
        <v>101</v>
      </c>
      <c r="AL96" s="105" t="s">
        <v>93</v>
      </c>
      <c r="AM96" s="105" t="s">
        <v>94</v>
      </c>
      <c r="AN96" s="105" t="s">
        <v>216</v>
      </c>
      <c r="AO96" s="105" t="s">
        <v>219</v>
      </c>
      <c r="AP96" s="82" t="s">
        <v>224</v>
      </c>
      <c r="AQ96" s="86" t="s">
        <v>1128</v>
      </c>
      <c r="AS96" s="258"/>
      <c r="AT96" s="258"/>
      <c r="AU96" s="258"/>
      <c r="AV96" s="258"/>
    </row>
    <row r="97" spans="1:48">
      <c r="A97" s="166"/>
      <c r="B97" s="166"/>
      <c r="C97" s="166"/>
      <c r="D97" s="166"/>
      <c r="E97" s="166"/>
      <c r="F97" s="166"/>
      <c r="G97" s="166"/>
      <c r="H97" s="166"/>
      <c r="I97" s="166"/>
      <c r="J97" s="166"/>
      <c r="K97" s="166"/>
      <c r="M97" s="167"/>
      <c r="N97" s="167"/>
      <c r="O97" s="167"/>
      <c r="P97" s="167"/>
      <c r="Q97" s="167"/>
      <c r="S97" s="208" t="s">
        <v>1142</v>
      </c>
      <c r="T97" s="81">
        <f>U97</f>
        <v>2</v>
      </c>
      <c r="U97" s="105">
        <v>2</v>
      </c>
      <c r="V97" s="81"/>
      <c r="W97" s="81"/>
      <c r="X97" s="81"/>
      <c r="Y97" s="82" t="s">
        <v>1143</v>
      </c>
      <c r="Z97" s="83" t="s">
        <v>101</v>
      </c>
      <c r="AB97" s="86" t="s">
        <v>238</v>
      </c>
      <c r="AF97" s="80" t="s">
        <v>281</v>
      </c>
      <c r="AG97" s="81" t="s">
        <v>212</v>
      </c>
      <c r="AH97" s="81" t="s">
        <v>360</v>
      </c>
      <c r="AI97" s="81" t="s">
        <v>1</v>
      </c>
      <c r="AJ97" s="81" t="s">
        <v>7</v>
      </c>
      <c r="AK97" s="81" t="s">
        <v>182</v>
      </c>
      <c r="AL97" s="81" t="s">
        <v>94</v>
      </c>
      <c r="AM97" s="81" t="s">
        <v>95</v>
      </c>
      <c r="AN97" s="81" t="s">
        <v>216</v>
      </c>
      <c r="AO97" s="81" t="s">
        <v>219</v>
      </c>
      <c r="AP97" s="82" t="s">
        <v>224</v>
      </c>
      <c r="AQ97" s="86" t="s">
        <v>489</v>
      </c>
      <c r="AS97" s="258"/>
      <c r="AT97" s="258"/>
      <c r="AU97" s="258"/>
      <c r="AV97" s="258"/>
    </row>
    <row r="98" spans="1:48" ht="18.75">
      <c r="A98" s="166"/>
      <c r="B98" s="71" t="s">
        <v>18</v>
      </c>
      <c r="F98" s="166"/>
      <c r="G98" s="166"/>
      <c r="H98" s="166"/>
      <c r="I98" s="166"/>
      <c r="J98" s="166"/>
      <c r="K98" s="166"/>
      <c r="M98" s="145" t="s">
        <v>928</v>
      </c>
      <c r="Q98" s="167"/>
      <c r="S98" s="80" t="s">
        <v>200</v>
      </c>
      <c r="T98" s="81">
        <f>U98</f>
        <v>2</v>
      </c>
      <c r="U98" s="81">
        <v>2</v>
      </c>
      <c r="V98" s="81"/>
      <c r="W98" s="81"/>
      <c r="X98" s="81"/>
      <c r="Y98" s="82" t="s">
        <v>408</v>
      </c>
      <c r="Z98" s="83" t="s">
        <v>101</v>
      </c>
      <c r="AB98" s="86" t="s">
        <v>239</v>
      </c>
      <c r="AF98" s="80" t="s">
        <v>276</v>
      </c>
      <c r="AG98" s="81" t="s">
        <v>211</v>
      </c>
      <c r="AH98" s="81" t="s">
        <v>567</v>
      </c>
      <c r="AI98" s="81" t="s">
        <v>202</v>
      </c>
      <c r="AJ98" s="81" t="s">
        <v>200</v>
      </c>
      <c r="AK98" s="85" t="s">
        <v>101</v>
      </c>
      <c r="AL98" s="81" t="s">
        <v>96</v>
      </c>
      <c r="AM98" s="81" t="s">
        <v>216</v>
      </c>
      <c r="AN98" s="81" t="s">
        <v>218</v>
      </c>
      <c r="AO98" s="81" t="s">
        <v>223</v>
      </c>
      <c r="AP98" s="82" t="s">
        <v>224</v>
      </c>
      <c r="AQ98" s="86" t="s">
        <v>484</v>
      </c>
      <c r="AS98" s="258"/>
      <c r="AT98" s="258"/>
      <c r="AU98" s="258"/>
      <c r="AV98" s="258"/>
    </row>
    <row r="99" spans="1:48">
      <c r="A99" s="166"/>
      <c r="B99" s="66" t="s">
        <v>130</v>
      </c>
      <c r="C99" s="244"/>
      <c r="D99" s="245"/>
      <c r="E99" s="66" t="str">
        <f>IF(C99&lt;&gt;"",VLOOKUP(C99,S119:T141,2),"")</f>
        <v/>
      </c>
      <c r="F99" s="166"/>
      <c r="G99" s="257" t="e">
        <f>print!B12</f>
        <v>#N/A</v>
      </c>
      <c r="H99" s="257"/>
      <c r="I99" s="257"/>
      <c r="J99" s="257"/>
      <c r="K99" s="257"/>
      <c r="N99" s="149" t="s">
        <v>929</v>
      </c>
      <c r="O99" s="261"/>
      <c r="P99" s="261"/>
      <c r="Q99" s="167"/>
      <c r="S99" s="80" t="s">
        <v>201</v>
      </c>
      <c r="T99" s="81">
        <f>U99</f>
        <v>3</v>
      </c>
      <c r="U99" s="81">
        <v>3</v>
      </c>
      <c r="V99" s="81"/>
      <c r="W99" s="81"/>
      <c r="X99" s="81"/>
      <c r="Y99" s="82" t="s">
        <v>421</v>
      </c>
      <c r="Z99" s="83" t="s">
        <v>101</v>
      </c>
      <c r="AB99" s="86" t="s">
        <v>240</v>
      </c>
      <c r="AF99" s="91" t="s">
        <v>277</v>
      </c>
      <c r="AG99" s="92" t="s">
        <v>211</v>
      </c>
      <c r="AH99" s="92" t="s">
        <v>356</v>
      </c>
      <c r="AI99" s="92" t="s">
        <v>194</v>
      </c>
      <c r="AJ99" s="92" t="s">
        <v>194</v>
      </c>
      <c r="AK99" s="92" t="s">
        <v>6</v>
      </c>
      <c r="AL99" s="92" t="s">
        <v>94</v>
      </c>
      <c r="AM99" s="92" t="s">
        <v>96</v>
      </c>
      <c r="AN99" s="92" t="s">
        <v>217</v>
      </c>
      <c r="AO99" s="92" t="s">
        <v>220</v>
      </c>
      <c r="AP99" s="93" t="s">
        <v>224</v>
      </c>
      <c r="AQ99" s="99" t="s">
        <v>485</v>
      </c>
      <c r="AS99" s="258"/>
      <c r="AT99" s="258"/>
      <c r="AU99" s="258"/>
      <c r="AV99" s="258"/>
    </row>
    <row r="100" spans="1:48">
      <c r="A100" s="166"/>
      <c r="B100" s="66" t="s">
        <v>131</v>
      </c>
      <c r="C100" s="249"/>
      <c r="D100" s="250"/>
      <c r="E100" s="66" t="str">
        <f>IF(C100&lt;&gt;"",VLOOKUP(C100,V119:W141,2),"")</f>
        <v/>
      </c>
      <c r="F100" s="166"/>
      <c r="G100" s="257"/>
      <c r="H100" s="257"/>
      <c r="I100" s="257"/>
      <c r="J100" s="257"/>
      <c r="K100" s="257"/>
      <c r="O100" s="145" t="str">
        <f>IF(O99&lt;&gt;"",VLOOKUP(O99,S119:T141,2),"")</f>
        <v/>
      </c>
      <c r="Q100" s="167"/>
      <c r="S100" s="208" t="s">
        <v>1071</v>
      </c>
      <c r="T100" s="95">
        <f>IF($B$17=V100,W100,U100)</f>
        <v>4</v>
      </c>
      <c r="U100" s="105">
        <v>4</v>
      </c>
      <c r="V100" s="213" t="s">
        <v>1034</v>
      </c>
      <c r="W100" s="81">
        <v>2</v>
      </c>
      <c r="X100" s="81"/>
      <c r="Y100" s="82" t="s">
        <v>1153</v>
      </c>
      <c r="Z100" s="83" t="s">
        <v>101</v>
      </c>
      <c r="AB100" s="86" t="s">
        <v>241</v>
      </c>
      <c r="AS100" s="258"/>
      <c r="AT100" s="258"/>
      <c r="AU100" s="258"/>
      <c r="AV100" s="258"/>
    </row>
    <row r="101" spans="1:48">
      <c r="G101" s="257"/>
      <c r="H101" s="257"/>
      <c r="I101" s="257"/>
      <c r="J101" s="257"/>
      <c r="K101" s="257"/>
      <c r="S101" s="80" t="s">
        <v>300</v>
      </c>
      <c r="T101" s="90">
        <f>IF($AC$43=1,W101,U101)</f>
        <v>5</v>
      </c>
      <c r="U101" s="81">
        <v>5</v>
      </c>
      <c r="V101" s="81" t="s">
        <v>16</v>
      </c>
      <c r="W101" s="81">
        <v>3</v>
      </c>
      <c r="X101" s="81"/>
      <c r="Y101" s="82" t="s">
        <v>562</v>
      </c>
      <c r="Z101" s="83" t="s">
        <v>101</v>
      </c>
      <c r="AA101" s="83" t="s">
        <v>101</v>
      </c>
      <c r="AB101" s="86" t="s">
        <v>242</v>
      </c>
      <c r="AF101" s="210" t="s">
        <v>1034</v>
      </c>
      <c r="AG101" s="211" t="s">
        <v>1057</v>
      </c>
      <c r="AH101" s="211" t="s">
        <v>1068</v>
      </c>
      <c r="AI101" s="211" t="s">
        <v>1064</v>
      </c>
      <c r="AJ101" s="212" t="s">
        <v>1061</v>
      </c>
      <c r="AS101" s="181" t="str">
        <f>print!B68</f>
        <v/>
      </c>
      <c r="AT101" s="176"/>
      <c r="AU101" s="181" t="str">
        <f>print!B91</f>
        <v/>
      </c>
      <c r="AV101" s="176"/>
    </row>
    <row r="102" spans="1:48">
      <c r="B102" s="70" t="s">
        <v>90</v>
      </c>
      <c r="N102" s="149" t="s">
        <v>930</v>
      </c>
      <c r="O102" s="261"/>
      <c r="P102" s="261"/>
      <c r="S102" s="208" t="s">
        <v>1116</v>
      </c>
      <c r="T102" s="81">
        <f>U102</f>
        <v>3</v>
      </c>
      <c r="U102" s="105">
        <v>3</v>
      </c>
      <c r="V102" s="81"/>
      <c r="W102" s="81"/>
      <c r="X102" s="81"/>
      <c r="Y102" s="82" t="s">
        <v>1150</v>
      </c>
      <c r="Z102" s="83" t="s">
        <v>101</v>
      </c>
      <c r="AB102" s="86" t="s">
        <v>243</v>
      </c>
      <c r="AF102" s="80" t="s">
        <v>207</v>
      </c>
      <c r="AG102" s="81" t="s">
        <v>254</v>
      </c>
      <c r="AH102" s="81"/>
      <c r="AI102" s="81"/>
      <c r="AJ102" s="82"/>
      <c r="AS102" s="258" t="str">
        <f>print!B69</f>
        <v/>
      </c>
      <c r="AT102" s="258"/>
      <c r="AU102" s="258" t="str">
        <f>print!B92</f>
        <v/>
      </c>
      <c r="AV102" s="258"/>
    </row>
    <row r="103" spans="1:48">
      <c r="B103" s="244"/>
      <c r="C103" s="245"/>
      <c r="G103" s="257" t="e">
        <f>print!B15</f>
        <v>#N/A</v>
      </c>
      <c r="H103" s="257"/>
      <c r="I103" s="257"/>
      <c r="J103" s="257"/>
      <c r="K103" s="257"/>
      <c r="S103" s="80" t="s">
        <v>10</v>
      </c>
      <c r="T103" s="81">
        <f>U103</f>
        <v>1</v>
      </c>
      <c r="U103" s="81">
        <v>1</v>
      </c>
      <c r="V103" s="81"/>
      <c r="W103" s="81"/>
      <c r="X103" s="81"/>
      <c r="Y103" s="82" t="s">
        <v>391</v>
      </c>
      <c r="Z103" s="83" t="s">
        <v>101</v>
      </c>
      <c r="AB103" s="80" t="s">
        <v>244</v>
      </c>
      <c r="AF103" s="80" t="s">
        <v>208</v>
      </c>
      <c r="AG103" s="81" t="s">
        <v>255</v>
      </c>
      <c r="AH103" s="81" t="s">
        <v>256</v>
      </c>
      <c r="AI103" s="81" t="s">
        <v>257</v>
      </c>
      <c r="AJ103" s="82" t="s">
        <v>258</v>
      </c>
      <c r="AS103" s="258"/>
      <c r="AT103" s="258"/>
      <c r="AU103" s="258"/>
      <c r="AV103" s="258"/>
    </row>
    <row r="104" spans="1:48">
      <c r="G104" s="257"/>
      <c r="H104" s="257"/>
      <c r="I104" s="257"/>
      <c r="J104" s="257"/>
      <c r="K104" s="257"/>
      <c r="S104" s="80" t="s">
        <v>202</v>
      </c>
      <c r="T104" s="95">
        <f>IF($B$17=V104,W104,U104)</f>
        <v>5</v>
      </c>
      <c r="U104" s="81">
        <v>5</v>
      </c>
      <c r="V104" s="81" t="s">
        <v>211</v>
      </c>
      <c r="W104" s="81">
        <v>3</v>
      </c>
      <c r="X104" s="81"/>
      <c r="Y104" s="82" t="s">
        <v>431</v>
      </c>
      <c r="Z104" s="83" t="s">
        <v>101</v>
      </c>
      <c r="AB104" s="80" t="s">
        <v>245</v>
      </c>
      <c r="AF104" s="80" t="s">
        <v>136</v>
      </c>
      <c r="AG104" s="81" t="s">
        <v>259</v>
      </c>
      <c r="AH104" s="81" t="s">
        <v>260</v>
      </c>
      <c r="AI104" s="81" t="s">
        <v>261</v>
      </c>
      <c r="AJ104" s="82" t="s">
        <v>262</v>
      </c>
      <c r="AS104" s="258"/>
      <c r="AT104" s="258"/>
      <c r="AU104" s="258"/>
      <c r="AV104" s="258"/>
    </row>
    <row r="105" spans="1:48" ht="15" customHeight="1">
      <c r="B105" s="70" t="s">
        <v>707</v>
      </c>
      <c r="E105" s="106" t="s">
        <v>714</v>
      </c>
      <c r="F105" s="107">
        <f>COUNTIF(N67:O74,S30)+COUNTIF(B60:C74,S30)</f>
        <v>0</v>
      </c>
      <c r="G105" s="257"/>
      <c r="H105" s="257"/>
      <c r="I105" s="257"/>
      <c r="J105" s="257"/>
      <c r="K105" s="257"/>
      <c r="S105" s="80" t="s">
        <v>203</v>
      </c>
      <c r="T105" s="81">
        <f>U105</f>
        <v>4</v>
      </c>
      <c r="U105" s="81">
        <v>4</v>
      </c>
      <c r="V105" s="81"/>
      <c r="W105" s="81"/>
      <c r="X105" s="81"/>
      <c r="Y105" s="82" t="s">
        <v>1019</v>
      </c>
      <c r="Z105" s="83" t="s">
        <v>101</v>
      </c>
      <c r="AB105" s="80" t="s">
        <v>246</v>
      </c>
      <c r="AF105" s="80" t="s">
        <v>263</v>
      </c>
      <c r="AG105" s="81" t="s">
        <v>264</v>
      </c>
      <c r="AH105" s="81" t="s">
        <v>265</v>
      </c>
      <c r="AI105" s="81" t="s">
        <v>266</v>
      </c>
      <c r="AJ105" s="82" t="s">
        <v>267</v>
      </c>
      <c r="AS105" s="258"/>
      <c r="AT105" s="258"/>
      <c r="AU105" s="258"/>
      <c r="AV105" s="258"/>
    </row>
    <row r="106" spans="1:48">
      <c r="B106" s="244"/>
      <c r="C106" s="245"/>
      <c r="E106" s="66" t="e">
        <f>VLOOKUP(B106,styles!$B$3:$D$17,2)</f>
        <v>#N/A</v>
      </c>
      <c r="S106" s="80" t="s">
        <v>204</v>
      </c>
      <c r="T106" s="81">
        <f>U106</f>
        <v>4</v>
      </c>
      <c r="U106" s="81">
        <v>4</v>
      </c>
      <c r="V106" s="81"/>
      <c r="W106" s="81"/>
      <c r="X106" s="81">
        <v>1</v>
      </c>
      <c r="Y106" s="82" t="s">
        <v>1017</v>
      </c>
      <c r="Z106" s="83" t="s">
        <v>101</v>
      </c>
      <c r="AB106" s="80" t="s">
        <v>247</v>
      </c>
      <c r="AF106" s="80" t="s">
        <v>209</v>
      </c>
      <c r="AG106" s="81" t="s">
        <v>268</v>
      </c>
      <c r="AH106" s="81"/>
      <c r="AI106" s="81"/>
      <c r="AJ106" s="82"/>
      <c r="AS106" s="258"/>
      <c r="AT106" s="258"/>
      <c r="AU106" s="258"/>
      <c r="AV106" s="258"/>
    </row>
    <row r="107" spans="1:48">
      <c r="B107" s="244"/>
      <c r="C107" s="245"/>
      <c r="E107" s="66" t="e">
        <f>VLOOKUP(B107,styles!$B$3:$D$17,2)</f>
        <v>#N/A</v>
      </c>
      <c r="G107" s="264" t="str">
        <f>IF(COUNTIF(B60:C74,S83)&gt;0,"2nd Virtue:","")</f>
        <v/>
      </c>
      <c r="H107" s="264"/>
      <c r="I107" s="253"/>
      <c r="J107" s="253"/>
      <c r="S107" s="80" t="s">
        <v>205</v>
      </c>
      <c r="T107" s="81">
        <f>U107</f>
        <v>2</v>
      </c>
      <c r="U107" s="81">
        <v>2</v>
      </c>
      <c r="V107" s="81"/>
      <c r="W107" s="81"/>
      <c r="X107" s="81"/>
      <c r="Y107" s="82" t="s">
        <v>409</v>
      </c>
      <c r="Z107" s="83" t="s">
        <v>101</v>
      </c>
      <c r="AB107" s="86" t="s">
        <v>248</v>
      </c>
      <c r="AF107" s="80" t="s">
        <v>210</v>
      </c>
      <c r="AG107" s="81" t="s">
        <v>269</v>
      </c>
      <c r="AH107" s="81"/>
      <c r="AI107" s="81"/>
      <c r="AJ107" s="82"/>
      <c r="AS107" s="258"/>
      <c r="AT107" s="258"/>
      <c r="AU107" s="258"/>
      <c r="AV107" s="258"/>
    </row>
    <row r="108" spans="1:48">
      <c r="B108" s="244"/>
      <c r="C108" s="245"/>
      <c r="E108" s="66" t="e">
        <f>VLOOKUP(B108,styles!$B$3:$D$17,2)</f>
        <v>#N/A</v>
      </c>
      <c r="I108" s="66" t="str">
        <f>IF(I107&lt;&gt;"",VLOOKUP(I107,S119:T141,2),"")</f>
        <v/>
      </c>
      <c r="L108" s="136"/>
      <c r="S108" s="80" t="s">
        <v>206</v>
      </c>
      <c r="T108" s="81">
        <f>U108</f>
        <v>3</v>
      </c>
      <c r="U108" s="81">
        <v>3</v>
      </c>
      <c r="V108" s="81"/>
      <c r="W108" s="81"/>
      <c r="X108" s="81"/>
      <c r="Y108" s="82" t="s">
        <v>565</v>
      </c>
      <c r="Z108" s="83" t="s">
        <v>101</v>
      </c>
      <c r="AB108" s="86" t="s">
        <v>249</v>
      </c>
      <c r="AF108" s="208" t="s">
        <v>1035</v>
      </c>
      <c r="AG108" s="213" t="s">
        <v>1080</v>
      </c>
      <c r="AH108" s="213" t="s">
        <v>1084</v>
      </c>
      <c r="AI108" s="213" t="s">
        <v>1076</v>
      </c>
      <c r="AJ108" s="214" t="s">
        <v>1073</v>
      </c>
      <c r="AS108" s="181" t="str">
        <f>print!B71</f>
        <v/>
      </c>
      <c r="AT108" s="176"/>
      <c r="AU108" s="181" t="str">
        <f>print!B94</f>
        <v/>
      </c>
      <c r="AV108" s="176"/>
    </row>
    <row r="109" spans="1:48">
      <c r="B109" s="195"/>
      <c r="C109" s="195"/>
      <c r="D109" s="195"/>
      <c r="E109" s="195"/>
      <c r="F109" s="195"/>
      <c r="G109" s="264" t="str">
        <f>IF(COUNTIF(B106:C108,AB144)&gt;0,"Weapon Type: ","")</f>
        <v/>
      </c>
      <c r="H109" s="264"/>
      <c r="I109" s="253"/>
      <c r="J109" s="253"/>
      <c r="K109" s="195"/>
      <c r="L109" s="136"/>
      <c r="S109" s="80" t="s">
        <v>301</v>
      </c>
      <c r="T109" s="95">
        <f>IF($B$17=V109,W109,U109)</f>
        <v>5</v>
      </c>
      <c r="U109" s="105">
        <v>5</v>
      </c>
      <c r="V109" s="81" t="s">
        <v>142</v>
      </c>
      <c r="W109" s="81">
        <v>3</v>
      </c>
      <c r="X109" s="81"/>
      <c r="Y109" s="82" t="s">
        <v>566</v>
      </c>
      <c r="Z109" s="83" t="s">
        <v>101</v>
      </c>
      <c r="AB109" s="209" t="s">
        <v>1049</v>
      </c>
      <c r="AF109" s="208" t="s">
        <v>1036</v>
      </c>
      <c r="AG109" s="213" t="s">
        <v>1091</v>
      </c>
      <c r="AH109" s="213" t="s">
        <v>1100</v>
      </c>
      <c r="AI109" s="213" t="s">
        <v>1096</v>
      </c>
      <c r="AJ109" s="214" t="s">
        <v>1088</v>
      </c>
      <c r="AS109" s="258" t="str">
        <f>print!B72</f>
        <v/>
      </c>
      <c r="AT109" s="258"/>
      <c r="AU109" s="258" t="str">
        <f>print!B95</f>
        <v/>
      </c>
      <c r="AV109" s="258"/>
    </row>
    <row r="110" spans="1:48" ht="15.75" thickBot="1">
      <c r="A110" s="195"/>
      <c r="L110" s="136"/>
      <c r="S110" s="208" t="s">
        <v>1078</v>
      </c>
      <c r="T110" s="95">
        <f>IF($B$17=V110,W110,U110)</f>
        <v>5</v>
      </c>
      <c r="U110" s="105">
        <v>5</v>
      </c>
      <c r="V110" s="213" t="s">
        <v>1035</v>
      </c>
      <c r="W110" s="81">
        <v>3</v>
      </c>
      <c r="X110" s="81"/>
      <c r="Y110" s="82" t="s">
        <v>1160</v>
      </c>
      <c r="Z110" s="83" t="s">
        <v>101</v>
      </c>
      <c r="AB110" s="86" t="s">
        <v>250</v>
      </c>
      <c r="AF110" s="80" t="s">
        <v>138</v>
      </c>
      <c r="AG110" s="81" t="s">
        <v>270</v>
      </c>
      <c r="AH110" s="81" t="s">
        <v>271</v>
      </c>
      <c r="AI110" s="81" t="s">
        <v>272</v>
      </c>
      <c r="AJ110" s="82" t="s">
        <v>273</v>
      </c>
      <c r="AS110" s="258"/>
      <c r="AT110" s="258"/>
      <c r="AU110" s="258"/>
      <c r="AV110" s="258"/>
    </row>
    <row r="111" spans="1:48" ht="18.75">
      <c r="A111" s="109"/>
      <c r="B111" s="110" t="s">
        <v>194</v>
      </c>
      <c r="C111" s="111"/>
      <c r="D111" s="111"/>
      <c r="E111" s="226"/>
      <c r="F111" s="226"/>
      <c r="G111" s="265" t="s">
        <v>1327</v>
      </c>
      <c r="H111" s="265"/>
      <c r="I111" s="265"/>
      <c r="J111" s="266"/>
      <c r="K111" s="227" t="s">
        <v>916</v>
      </c>
      <c r="L111" s="136"/>
      <c r="S111" s="208" t="s">
        <v>1054</v>
      </c>
      <c r="T111" s="81">
        <f>U111</f>
        <v>3</v>
      </c>
      <c r="U111" s="81">
        <v>3</v>
      </c>
      <c r="V111" s="81"/>
      <c r="W111" s="81"/>
      <c r="X111" s="81"/>
      <c r="Y111" s="82" t="s">
        <v>1151</v>
      </c>
      <c r="Z111" s="83" t="s">
        <v>101</v>
      </c>
      <c r="AB111" s="86" t="s">
        <v>251</v>
      </c>
      <c r="AF111" s="208" t="s">
        <v>1037</v>
      </c>
      <c r="AG111" s="213" t="s">
        <v>1104</v>
      </c>
      <c r="AH111" s="213" t="s">
        <v>1107</v>
      </c>
      <c r="AI111" s="213" t="s">
        <v>1114</v>
      </c>
      <c r="AJ111" s="214" t="s">
        <v>1111</v>
      </c>
      <c r="AS111" s="258"/>
      <c r="AT111" s="258"/>
      <c r="AU111" s="258"/>
      <c r="AV111" s="258"/>
    </row>
    <row r="112" spans="1:48">
      <c r="A112" s="112"/>
      <c r="B112" s="113" t="str">
        <f>IF(COUNTIF($N$67:$O$74,$S$88)+COUNTIF($B$60:$C$74,$S$88)&gt;0,IF(K111=T2,AD139,VLOOKUP(B17,AA9:AD23,4)),"")</f>
        <v/>
      </c>
      <c r="C112" s="196"/>
      <c r="D112" s="196"/>
      <c r="E112" s="114" t="s">
        <v>1006</v>
      </c>
      <c r="F112" s="194">
        <f>COUNTIF(B60:C74,S88)+COUNTIF(N67:O74,S88)</f>
        <v>0</v>
      </c>
      <c r="G112" s="196" t="str">
        <f>IF(B112=AN118,"Dievas common name:","")</f>
        <v/>
      </c>
      <c r="H112" s="196"/>
      <c r="I112" s="253"/>
      <c r="J112" s="253"/>
      <c r="K112" s="115"/>
      <c r="L112" s="136"/>
      <c r="M112" s="151"/>
      <c r="N112" s="151"/>
      <c r="O112" s="151"/>
      <c r="P112" s="151"/>
      <c r="Q112" s="151"/>
      <c r="S112" s="215" t="s">
        <v>1102</v>
      </c>
      <c r="T112" s="88" t="str">
        <f>IF($B$17=V112,U112,"NO")</f>
        <v>NO</v>
      </c>
      <c r="U112" s="92">
        <v>4</v>
      </c>
      <c r="V112" s="213" t="s">
        <v>1036</v>
      </c>
      <c r="W112" s="92" t="s">
        <v>17</v>
      </c>
      <c r="X112" s="92"/>
      <c r="Y112" s="93" t="s">
        <v>1155</v>
      </c>
      <c r="Z112" s="83" t="s">
        <v>101</v>
      </c>
      <c r="AB112" s="86" t="s">
        <v>252</v>
      </c>
      <c r="AF112" s="208" t="s">
        <v>1038</v>
      </c>
      <c r="AG112" s="213" t="s">
        <v>1121</v>
      </c>
      <c r="AH112" s="213" t="s">
        <v>1118</v>
      </c>
      <c r="AI112" s="213" t="s">
        <v>1129</v>
      </c>
      <c r="AJ112" s="214" t="s">
        <v>1125</v>
      </c>
      <c r="AS112" s="258"/>
      <c r="AT112" s="258"/>
      <c r="AU112" s="258"/>
      <c r="AV112" s="258"/>
    </row>
    <row r="113" spans="1:48">
      <c r="A113" s="112"/>
      <c r="B113" s="113"/>
      <c r="C113" s="196"/>
      <c r="D113" s="196"/>
      <c r="E113" s="114"/>
      <c r="F113" s="194"/>
      <c r="G113" s="196"/>
      <c r="H113" s="196"/>
      <c r="I113" s="196"/>
      <c r="J113" s="196"/>
      <c r="K113" s="115"/>
      <c r="L113" s="136"/>
      <c r="M113" s="151"/>
      <c r="N113" s="151"/>
      <c r="O113" s="151"/>
      <c r="P113" s="151"/>
      <c r="Q113" s="151"/>
      <c r="AB113" s="86" t="s">
        <v>253</v>
      </c>
      <c r="AF113" s="80" t="s">
        <v>211</v>
      </c>
      <c r="AG113" s="81" t="s">
        <v>274</v>
      </c>
      <c r="AH113" s="81" t="s">
        <v>275</v>
      </c>
      <c r="AI113" s="81" t="s">
        <v>276</v>
      </c>
      <c r="AJ113" s="82" t="s">
        <v>277</v>
      </c>
      <c r="AS113" s="258"/>
      <c r="AT113" s="258"/>
      <c r="AU113" s="258"/>
      <c r="AV113" s="258"/>
    </row>
    <row r="114" spans="1:48">
      <c r="A114" s="112"/>
      <c r="B114" s="196" t="str">
        <f>IF(B112=$AG$118,"Select Knight",IF(B112=AN118,"Select Dievas type",""))</f>
        <v/>
      </c>
      <c r="C114" s="196"/>
      <c r="D114" s="196"/>
      <c r="E114" s="196"/>
      <c r="F114" s="116" t="str">
        <f>IF(B112=$AG$118,"Major Trait","")</f>
        <v/>
      </c>
      <c r="G114" s="196"/>
      <c r="H114" s="116" t="str">
        <f>IF(B112=$AG$118,"Minor Trait","")</f>
        <v/>
      </c>
      <c r="I114" s="196"/>
      <c r="J114" s="196"/>
      <c r="K114" s="115"/>
      <c r="L114" s="137"/>
      <c r="M114" s="151"/>
      <c r="N114" s="151"/>
      <c r="O114" s="151"/>
      <c r="P114" s="151"/>
      <c r="Q114" s="151"/>
      <c r="S114" s="80" t="s">
        <v>292</v>
      </c>
      <c r="T114" s="68">
        <f>COUNTIF(N67:O74,S114)+COUNTIF(B60:C74,S114)</f>
        <v>0</v>
      </c>
      <c r="V114" s="82" t="s">
        <v>568</v>
      </c>
      <c r="AB114" s="209" t="s">
        <v>1050</v>
      </c>
      <c r="AF114" s="80" t="s">
        <v>212</v>
      </c>
      <c r="AG114" s="81" t="s">
        <v>278</v>
      </c>
      <c r="AH114" s="81" t="s">
        <v>279</v>
      </c>
      <c r="AI114" s="81" t="s">
        <v>280</v>
      </c>
      <c r="AJ114" s="82" t="s">
        <v>281</v>
      </c>
      <c r="AS114" s="258"/>
      <c r="AT114" s="258"/>
      <c r="AU114" s="258"/>
      <c r="AV114" s="258"/>
    </row>
    <row r="115" spans="1:48">
      <c r="A115" s="112"/>
      <c r="B115" s="253"/>
      <c r="C115" s="253"/>
      <c r="D115" s="253"/>
      <c r="E115" s="196"/>
      <c r="F115" s="116" t="str">
        <f>IF(B112=AG118,VLOOKUP(B115,styles!B52:D71,2),"")</f>
        <v/>
      </c>
      <c r="G115" s="196"/>
      <c r="H115" s="116" t="str">
        <f>IF(B112=AG118,VLOOKUP(B115,styles!B52:D71,3),"")</f>
        <v/>
      </c>
      <c r="I115" s="196"/>
      <c r="J115" s="196"/>
      <c r="K115" s="115"/>
      <c r="L115" s="138"/>
      <c r="M115" s="151"/>
      <c r="N115" s="151"/>
      <c r="O115" s="151"/>
      <c r="P115" s="151"/>
      <c r="Q115" s="151"/>
      <c r="AB115" s="78" t="e">
        <f>IF($AC$43=0,VLOOKUP($B$17,$AF$101:$AJ$116,2),AG105)</f>
        <v>#N/A</v>
      </c>
      <c r="AF115" s="80" t="s">
        <v>141</v>
      </c>
      <c r="AG115" s="81" t="s">
        <v>282</v>
      </c>
      <c r="AH115" s="81" t="s">
        <v>283</v>
      </c>
      <c r="AI115" s="81" t="s">
        <v>284</v>
      </c>
      <c r="AJ115" s="82" t="s">
        <v>285</v>
      </c>
      <c r="AU115" s="258" t="str">
        <f>print!B98</f>
        <v/>
      </c>
      <c r="AV115" s="258"/>
    </row>
    <row r="116" spans="1:48">
      <c r="A116" s="112"/>
      <c r="B116" s="196"/>
      <c r="C116" s="196"/>
      <c r="D116" s="196"/>
      <c r="E116" s="196"/>
      <c r="F116" s="196"/>
      <c r="G116" s="196"/>
      <c r="H116" s="196"/>
      <c r="I116" s="196"/>
      <c r="J116" s="196"/>
      <c r="K116" s="115"/>
      <c r="L116" s="138"/>
      <c r="M116" s="151"/>
      <c r="N116" s="151"/>
      <c r="O116" s="151"/>
      <c r="P116" s="151"/>
      <c r="Q116" s="151"/>
      <c r="AB116" s="86" t="e">
        <f>IF($AC$43=0,VLOOKUP($B$17,$AF$101:$AJ$116,3),AH105)</f>
        <v>#N/A</v>
      </c>
      <c r="AF116" s="91" t="s">
        <v>142</v>
      </c>
      <c r="AG116" s="92" t="s">
        <v>286</v>
      </c>
      <c r="AH116" s="92" t="s">
        <v>287</v>
      </c>
      <c r="AI116" s="92" t="s">
        <v>288</v>
      </c>
      <c r="AJ116" s="93" t="s">
        <v>289</v>
      </c>
      <c r="AS116" s="180" t="str">
        <f>B112</f>
        <v/>
      </c>
      <c r="AU116" s="258"/>
      <c r="AV116" s="258"/>
    </row>
    <row r="117" spans="1:48">
      <c r="A117" s="112"/>
      <c r="B117" s="254" t="str">
        <f>IF(OR(COUNTIF($AG$118:$AL$118,$B$112),$B$112=$AO$118),HLOOKUP($B$112,$AG$118:$AO$125,$F$112+1),"")</f>
        <v/>
      </c>
      <c r="C117" s="254"/>
      <c r="D117" s="254"/>
      <c r="E117" s="254"/>
      <c r="F117" s="196"/>
      <c r="G117" s="254" t="str">
        <f>IF(OR(COUNTIF($AG$118:$AL$118,$B$112),$B$112=$AO$118),HLOOKUP($B$112,$AG$118:$AO$132,$F$112+8),"")</f>
        <v/>
      </c>
      <c r="H117" s="254"/>
      <c r="I117" s="254"/>
      <c r="J117" s="254"/>
      <c r="K117" s="260"/>
      <c r="L117" s="138"/>
      <c r="M117" s="151"/>
      <c r="N117" s="151"/>
      <c r="O117" s="151"/>
      <c r="P117" s="151"/>
      <c r="Q117" s="151"/>
      <c r="S117" s="74" t="s">
        <v>18</v>
      </c>
      <c r="T117" s="76"/>
      <c r="U117" s="76"/>
      <c r="V117" s="76"/>
      <c r="W117" s="76"/>
      <c r="X117" s="77"/>
      <c r="AB117" s="86" t="e">
        <f>IF($AC$43=0,VLOOKUP($B$17,$AF$101:$AJ$116,4),AI105)</f>
        <v>#N/A</v>
      </c>
      <c r="AS117" s="262" t="str">
        <f>print!D125</f>
        <v>--</v>
      </c>
      <c r="AT117" s="262"/>
      <c r="AU117" s="258"/>
      <c r="AV117" s="258"/>
    </row>
    <row r="118" spans="1:48">
      <c r="A118" s="112"/>
      <c r="B118" s="253"/>
      <c r="C118" s="253"/>
      <c r="D118" s="253"/>
      <c r="E118" s="132"/>
      <c r="F118" s="196"/>
      <c r="G118" s="253"/>
      <c r="H118" s="253"/>
      <c r="I118" s="253"/>
      <c r="J118" s="253"/>
      <c r="K118" s="133"/>
      <c r="L118" s="138"/>
      <c r="M118" s="151"/>
      <c r="N118" s="151"/>
      <c r="O118" s="151"/>
      <c r="P118" s="151"/>
      <c r="Q118" s="151"/>
      <c r="S118" s="103" t="s">
        <v>130</v>
      </c>
      <c r="T118" s="81"/>
      <c r="U118" s="81"/>
      <c r="V118" s="104" t="s">
        <v>131</v>
      </c>
      <c r="W118" s="81"/>
      <c r="X118" s="82"/>
      <c r="Y118" s="83" t="s">
        <v>101</v>
      </c>
      <c r="AB118" s="86" t="e">
        <f>IF($AC$43=0,VLOOKUP($B$17,$AF$101:$AJ$116,5),AJ105)</f>
        <v>#N/A</v>
      </c>
      <c r="AF118" s="102"/>
      <c r="AG118" s="118" t="s">
        <v>263</v>
      </c>
      <c r="AH118" s="119" t="s">
        <v>709</v>
      </c>
      <c r="AI118" s="209" t="s">
        <v>1181</v>
      </c>
      <c r="AJ118" s="209" t="s">
        <v>1183</v>
      </c>
      <c r="AK118" s="119" t="s">
        <v>727</v>
      </c>
      <c r="AL118" s="209" t="s">
        <v>1182</v>
      </c>
      <c r="AM118" s="119" t="s">
        <v>710</v>
      </c>
      <c r="AN118" s="120" t="s">
        <v>711</v>
      </c>
      <c r="AO118" s="121" t="s">
        <v>712</v>
      </c>
      <c r="AS118" s="263" t="str">
        <f>print!B126</f>
        <v/>
      </c>
      <c r="AT118" s="263"/>
      <c r="AU118" s="258"/>
      <c r="AV118" s="258"/>
    </row>
    <row r="119" spans="1:48">
      <c r="A119" s="112"/>
      <c r="B119" s="253"/>
      <c r="C119" s="253"/>
      <c r="D119" s="253"/>
      <c r="E119" s="132"/>
      <c r="F119" s="196"/>
      <c r="G119" s="253"/>
      <c r="H119" s="253"/>
      <c r="I119" s="253"/>
      <c r="J119" s="253"/>
      <c r="K119" s="133"/>
      <c r="L119" s="138"/>
      <c r="M119" s="151"/>
      <c r="N119" s="151"/>
      <c r="O119" s="151"/>
      <c r="P119" s="151"/>
      <c r="Q119" s="151"/>
      <c r="S119" s="80" t="s">
        <v>53</v>
      </c>
      <c r="T119" s="81" t="s">
        <v>52</v>
      </c>
      <c r="U119" s="81" t="s">
        <v>509</v>
      </c>
      <c r="V119" s="81" t="s">
        <v>27</v>
      </c>
      <c r="W119" s="81" t="s">
        <v>25</v>
      </c>
      <c r="X119" s="82" t="s">
        <v>499</v>
      </c>
      <c r="Y119" s="83" t="s">
        <v>101</v>
      </c>
      <c r="AB119" s="108" t="str">
        <f>IF($AC$43=1,VLOOKUP($B$17,$AF$111:$AJ$116,2),"")</f>
        <v/>
      </c>
      <c r="AF119" s="80">
        <v>1</v>
      </c>
      <c r="AG119" s="81" t="s">
        <v>890</v>
      </c>
      <c r="AH119" s="81" t="s">
        <v>760</v>
      </c>
      <c r="AI119" s="105" t="s">
        <v>1300</v>
      </c>
      <c r="AJ119" s="105" t="s">
        <v>1329</v>
      </c>
      <c r="AK119" s="81" t="s">
        <v>763</v>
      </c>
      <c r="AL119" s="81" t="s">
        <v>1310</v>
      </c>
      <c r="AM119" s="81" t="s">
        <v>762</v>
      </c>
      <c r="AN119" s="85" t="s">
        <v>812</v>
      </c>
      <c r="AO119" s="82" t="s">
        <v>761</v>
      </c>
      <c r="AR119" s="68"/>
      <c r="AS119" s="262" t="str">
        <f>print!B127</f>
        <v/>
      </c>
      <c r="AT119" s="262"/>
      <c r="AU119" s="258"/>
      <c r="AV119" s="258"/>
    </row>
    <row r="120" spans="1:48">
      <c r="A120" s="112"/>
      <c r="B120" s="253"/>
      <c r="C120" s="253"/>
      <c r="D120" s="253"/>
      <c r="E120" s="132"/>
      <c r="F120" s="196"/>
      <c r="G120" s="253"/>
      <c r="H120" s="253"/>
      <c r="I120" s="253"/>
      <c r="J120" s="253"/>
      <c r="K120" s="133"/>
      <c r="L120" s="139"/>
      <c r="M120" s="151"/>
      <c r="N120" s="151"/>
      <c r="O120" s="151"/>
      <c r="P120" s="151"/>
      <c r="Q120" s="151"/>
      <c r="S120" s="80" t="s">
        <v>50</v>
      </c>
      <c r="T120" s="81" t="s">
        <v>49</v>
      </c>
      <c r="U120" s="81" t="s">
        <v>523</v>
      </c>
      <c r="V120" s="81" t="s">
        <v>39</v>
      </c>
      <c r="W120" s="81" t="s">
        <v>37</v>
      </c>
      <c r="X120" s="82" t="s">
        <v>504</v>
      </c>
      <c r="Y120" s="83" t="s">
        <v>101</v>
      </c>
      <c r="AF120" s="80">
        <v>2</v>
      </c>
      <c r="AG120" s="81" t="s">
        <v>891</v>
      </c>
      <c r="AH120" s="81" t="s">
        <v>764</v>
      </c>
      <c r="AI120" s="105" t="s">
        <v>1301</v>
      </c>
      <c r="AJ120" s="105" t="s">
        <v>1330</v>
      </c>
      <c r="AK120" s="81" t="s">
        <v>766</v>
      </c>
      <c r="AL120" s="81" t="s">
        <v>1312</v>
      </c>
      <c r="AM120" s="81" t="s">
        <v>767</v>
      </c>
      <c r="AN120" s="85" t="s">
        <v>812</v>
      </c>
      <c r="AO120" s="82" t="s">
        <v>765</v>
      </c>
      <c r="AR120" s="68"/>
      <c r="AS120" s="263" t="str">
        <f>print!B128</f>
        <v/>
      </c>
      <c r="AT120" s="263"/>
      <c r="AU120" s="258"/>
      <c r="AV120" s="258"/>
    </row>
    <row r="121" spans="1:48">
      <c r="A121" s="112"/>
      <c r="B121" s="253"/>
      <c r="C121" s="253"/>
      <c r="D121" s="253"/>
      <c r="E121" s="132"/>
      <c r="F121" s="196"/>
      <c r="G121" s="253"/>
      <c r="H121" s="253"/>
      <c r="I121" s="253"/>
      <c r="J121" s="253"/>
      <c r="K121" s="133"/>
      <c r="L121" s="136"/>
      <c r="M121" s="151"/>
      <c r="N121" s="151"/>
      <c r="O121" s="151"/>
      <c r="P121" s="151"/>
      <c r="Q121" s="151"/>
      <c r="S121" s="80" t="s">
        <v>35</v>
      </c>
      <c r="T121" s="81" t="s">
        <v>34</v>
      </c>
      <c r="U121" s="105" t="s">
        <v>525</v>
      </c>
      <c r="V121" s="81" t="s">
        <v>69</v>
      </c>
      <c r="W121" s="81" t="s">
        <v>67</v>
      </c>
      <c r="X121" s="82" t="s">
        <v>520</v>
      </c>
      <c r="Y121" s="83" t="s">
        <v>101</v>
      </c>
      <c r="AB121" s="98" t="s">
        <v>90</v>
      </c>
      <c r="AF121" s="80">
        <v>3</v>
      </c>
      <c r="AG121" s="81" t="s">
        <v>892</v>
      </c>
      <c r="AH121" s="81" t="s">
        <v>768</v>
      </c>
      <c r="AI121" s="105" t="s">
        <v>1302</v>
      </c>
      <c r="AJ121" s="105" t="s">
        <v>1331</v>
      </c>
      <c r="AK121" s="81" t="s">
        <v>770</v>
      </c>
      <c r="AL121" s="81" t="s">
        <v>1313</v>
      </c>
      <c r="AM121" s="81" t="s">
        <v>771</v>
      </c>
      <c r="AN121" s="85" t="s">
        <v>812</v>
      </c>
      <c r="AO121" s="82" t="s">
        <v>769</v>
      </c>
      <c r="AR121" s="68"/>
      <c r="AS121" s="262" t="str">
        <f>print!B129</f>
        <v/>
      </c>
      <c r="AT121" s="262"/>
    </row>
    <row r="122" spans="1:48">
      <c r="A122" s="112"/>
      <c r="B122" s="253"/>
      <c r="C122" s="253"/>
      <c r="D122" s="253"/>
      <c r="E122" s="132"/>
      <c r="F122" s="196"/>
      <c r="G122" s="253"/>
      <c r="H122" s="253"/>
      <c r="I122" s="253"/>
      <c r="J122" s="253"/>
      <c r="K122" s="133"/>
      <c r="L122" s="136"/>
      <c r="M122" s="151"/>
      <c r="N122" s="151"/>
      <c r="O122" s="151"/>
      <c r="P122" s="151"/>
      <c r="Q122" s="151"/>
      <c r="S122" s="80" t="s">
        <v>56</v>
      </c>
      <c r="T122" s="81" t="s">
        <v>55</v>
      </c>
      <c r="U122" s="105" t="s">
        <v>526</v>
      </c>
      <c r="V122" s="81" t="s">
        <v>60</v>
      </c>
      <c r="W122" s="81" t="s">
        <v>58</v>
      </c>
      <c r="X122" s="82" t="s">
        <v>513</v>
      </c>
      <c r="Y122" s="83" t="s">
        <v>101</v>
      </c>
      <c r="AB122" s="86" t="s">
        <v>144</v>
      </c>
      <c r="AF122" s="80">
        <v>4</v>
      </c>
      <c r="AG122" s="81" t="s">
        <v>893</v>
      </c>
      <c r="AH122" s="81" t="s">
        <v>772</v>
      </c>
      <c r="AI122" s="105" t="s">
        <v>1303</v>
      </c>
      <c r="AJ122" s="105" t="s">
        <v>1332</v>
      </c>
      <c r="AK122" s="81" t="s">
        <v>774</v>
      </c>
      <c r="AL122" s="81" t="s">
        <v>1314</v>
      </c>
      <c r="AM122" s="81" t="s">
        <v>775</v>
      </c>
      <c r="AN122" s="85" t="s">
        <v>812</v>
      </c>
      <c r="AO122" s="82" t="s">
        <v>773</v>
      </c>
      <c r="AR122" s="68"/>
      <c r="AS122" s="263" t="str">
        <f>print!B130</f>
        <v/>
      </c>
      <c r="AT122" s="263"/>
    </row>
    <row r="123" spans="1:48">
      <c r="A123" s="112"/>
      <c r="B123" s="253"/>
      <c r="C123" s="253"/>
      <c r="D123" s="253"/>
      <c r="E123" s="116" t="str">
        <f>IF($B$112=$AG$118,"ranks","")</f>
        <v/>
      </c>
      <c r="F123" s="196"/>
      <c r="G123" s="253"/>
      <c r="H123" s="253"/>
      <c r="I123" s="253"/>
      <c r="J123" s="253"/>
      <c r="K123" s="122" t="str">
        <f>IF($B$112=$AG$118,"ranks","")</f>
        <v/>
      </c>
      <c r="L123" s="136"/>
      <c r="M123" s="151"/>
      <c r="N123" s="151"/>
      <c r="O123" s="151"/>
      <c r="P123" s="151"/>
      <c r="Q123" s="151"/>
      <c r="S123" s="80" t="s">
        <v>77</v>
      </c>
      <c r="T123" s="81" t="s">
        <v>76</v>
      </c>
      <c r="U123" s="105" t="s">
        <v>528</v>
      </c>
      <c r="V123" s="81" t="s">
        <v>21</v>
      </c>
      <c r="W123" s="81" t="s">
        <v>19</v>
      </c>
      <c r="X123" s="82" t="s">
        <v>495</v>
      </c>
      <c r="Y123" s="83" t="s">
        <v>101</v>
      </c>
      <c r="AB123" s="86" t="s">
        <v>293</v>
      </c>
      <c r="AF123" s="80">
        <v>5</v>
      </c>
      <c r="AG123" s="81" t="s">
        <v>894</v>
      </c>
      <c r="AH123" s="81" t="s">
        <v>776</v>
      </c>
      <c r="AI123" s="105" t="s">
        <v>1304</v>
      </c>
      <c r="AJ123" s="105" t="s">
        <v>1333</v>
      </c>
      <c r="AK123" s="81" t="s">
        <v>777</v>
      </c>
      <c r="AL123" s="81" t="s">
        <v>1315</v>
      </c>
      <c r="AM123" s="81" t="s">
        <v>778</v>
      </c>
      <c r="AN123" s="85" t="s">
        <v>812</v>
      </c>
      <c r="AO123" s="123" t="s">
        <v>708</v>
      </c>
      <c r="AR123" s="68"/>
      <c r="AS123" s="262" t="str">
        <f>print!B131</f>
        <v/>
      </c>
      <c r="AT123" s="262"/>
    </row>
    <row r="124" spans="1:48">
      <c r="A124" s="112"/>
      <c r="B124" s="253"/>
      <c r="C124" s="253"/>
      <c r="D124" s="253"/>
      <c r="E124" s="196"/>
      <c r="F124" s="196"/>
      <c r="G124" s="253"/>
      <c r="H124" s="253"/>
      <c r="I124" s="253"/>
      <c r="J124" s="253"/>
      <c r="K124" s="115"/>
      <c r="L124" s="136"/>
      <c r="M124" s="151"/>
      <c r="N124" s="151"/>
      <c r="O124" s="151"/>
      <c r="P124" s="151"/>
      <c r="Q124" s="151"/>
      <c r="S124" s="80" t="s">
        <v>71</v>
      </c>
      <c r="T124" s="81" t="s">
        <v>70</v>
      </c>
      <c r="U124" s="105" t="s">
        <v>518</v>
      </c>
      <c r="V124" s="218" t="s">
        <v>1171</v>
      </c>
      <c r="W124" s="213" t="s">
        <v>1169</v>
      </c>
      <c r="X124" s="218" t="s">
        <v>1172</v>
      </c>
      <c r="Y124" s="83" t="s">
        <v>101</v>
      </c>
      <c r="AB124" s="86" t="s">
        <v>294</v>
      </c>
      <c r="AF124" s="80">
        <v>6</v>
      </c>
      <c r="AG124" s="81" t="s">
        <v>895</v>
      </c>
      <c r="AH124" s="81" t="s">
        <v>779</v>
      </c>
      <c r="AI124" s="105" t="s">
        <v>1305</v>
      </c>
      <c r="AJ124" s="105" t="s">
        <v>1334</v>
      </c>
      <c r="AK124" s="81" t="s">
        <v>780</v>
      </c>
      <c r="AL124" s="81" t="s">
        <v>1316</v>
      </c>
      <c r="AM124" s="81" t="s">
        <v>781</v>
      </c>
      <c r="AN124" s="85" t="s">
        <v>812</v>
      </c>
      <c r="AO124" s="123" t="s">
        <v>708</v>
      </c>
      <c r="AR124" s="68"/>
      <c r="AS124" s="263" t="str">
        <f>print!B132</f>
        <v/>
      </c>
      <c r="AT124" s="263"/>
    </row>
    <row r="125" spans="1:48">
      <c r="A125" s="112"/>
      <c r="B125" s="194" t="str">
        <f>IF(OR($B$112=$AM$118,$B$112=$AN$118),HLOOKUP($B$112,$Y$115:$AD$129,$F$112+8),"")</f>
        <v/>
      </c>
      <c r="C125" s="194"/>
      <c r="D125" s="196"/>
      <c r="E125" s="196"/>
      <c r="F125" s="196"/>
      <c r="G125" s="253"/>
      <c r="H125" s="253"/>
      <c r="I125" s="253"/>
      <c r="J125" s="253"/>
      <c r="K125" s="115"/>
      <c r="L125" s="136"/>
      <c r="M125" s="151"/>
      <c r="N125" s="151"/>
      <c r="O125" s="151"/>
      <c r="P125" s="151"/>
      <c r="Q125" s="151"/>
      <c r="S125" s="80" t="s">
        <v>68</v>
      </c>
      <c r="T125" s="81" t="s">
        <v>67</v>
      </c>
      <c r="U125" s="105" t="s">
        <v>517</v>
      </c>
      <c r="V125" s="81" t="s">
        <v>42</v>
      </c>
      <c r="W125" s="81" t="s">
        <v>40</v>
      </c>
      <c r="X125" s="82" t="s">
        <v>506</v>
      </c>
      <c r="Y125" s="83" t="s">
        <v>101</v>
      </c>
      <c r="AB125" s="86" t="s">
        <v>1028</v>
      </c>
      <c r="AF125" s="80">
        <v>7</v>
      </c>
      <c r="AG125" s="81" t="s">
        <v>895</v>
      </c>
      <c r="AH125" s="81" t="s">
        <v>810</v>
      </c>
      <c r="AI125" s="105" t="s">
        <v>1306</v>
      </c>
      <c r="AJ125" s="81" t="s">
        <v>708</v>
      </c>
      <c r="AK125" s="81" t="s">
        <v>782</v>
      </c>
      <c r="AL125" s="81" t="s">
        <v>1317</v>
      </c>
      <c r="AM125" s="81" t="s">
        <v>783</v>
      </c>
      <c r="AN125" s="85" t="s">
        <v>813</v>
      </c>
      <c r="AO125" s="123" t="s">
        <v>708</v>
      </c>
      <c r="AR125" s="68"/>
      <c r="AS125" s="262" t="str">
        <f>print!B133</f>
        <v/>
      </c>
      <c r="AT125" s="262"/>
    </row>
    <row r="126" spans="1:48">
      <c r="A126" s="112"/>
      <c r="B126" s="253"/>
      <c r="C126" s="253"/>
      <c r="D126" s="253"/>
      <c r="E126" s="253"/>
      <c r="F126" s="196"/>
      <c r="G126" s="253"/>
      <c r="H126" s="253"/>
      <c r="I126" s="253"/>
      <c r="J126" s="253"/>
      <c r="K126" s="115"/>
      <c r="L126" s="136"/>
      <c r="M126" s="151"/>
      <c r="N126" s="151"/>
      <c r="O126" s="151"/>
      <c r="P126" s="151"/>
      <c r="Q126" s="151"/>
      <c r="S126" s="80" t="s">
        <v>32</v>
      </c>
      <c r="T126" s="81" t="s">
        <v>31</v>
      </c>
      <c r="U126" s="105" t="s">
        <v>500</v>
      </c>
      <c r="V126" s="81" t="s">
        <v>72</v>
      </c>
      <c r="W126" s="81" t="s">
        <v>70</v>
      </c>
      <c r="X126" s="82" t="s">
        <v>519</v>
      </c>
      <c r="Y126" s="83" t="s">
        <v>101</v>
      </c>
      <c r="AB126" s="86" t="s">
        <v>295</v>
      </c>
      <c r="AF126" s="80">
        <v>1</v>
      </c>
      <c r="AG126" s="81" t="s">
        <v>896</v>
      </c>
      <c r="AH126" s="81" t="s">
        <v>784</v>
      </c>
      <c r="AI126" s="81" t="s">
        <v>1293</v>
      </c>
      <c r="AJ126" s="105" t="s">
        <v>1328</v>
      </c>
      <c r="AK126" s="81" t="s">
        <v>785</v>
      </c>
      <c r="AL126" s="81" t="s">
        <v>1311</v>
      </c>
      <c r="AM126" s="81" t="s">
        <v>786</v>
      </c>
      <c r="AN126" s="81" t="s">
        <v>787</v>
      </c>
      <c r="AO126" s="82" t="s">
        <v>807</v>
      </c>
      <c r="AR126" s="68"/>
      <c r="AS126" s="263" t="str">
        <f>print!B134</f>
        <v/>
      </c>
      <c r="AT126" s="263"/>
    </row>
    <row r="127" spans="1:48">
      <c r="A127" s="112"/>
      <c r="B127" s="253"/>
      <c r="C127" s="253"/>
      <c r="D127" s="253"/>
      <c r="E127" s="253"/>
      <c r="F127" s="196"/>
      <c r="G127" s="253"/>
      <c r="H127" s="253"/>
      <c r="I127" s="253"/>
      <c r="J127" s="253"/>
      <c r="K127" s="115"/>
      <c r="L127" s="136"/>
      <c r="M127" s="151"/>
      <c r="N127" s="151"/>
      <c r="O127" s="151"/>
      <c r="P127" s="151"/>
      <c r="Q127" s="151"/>
      <c r="S127" s="80" t="s">
        <v>23</v>
      </c>
      <c r="T127" s="81" t="s">
        <v>22</v>
      </c>
      <c r="U127" s="105" t="s">
        <v>496</v>
      </c>
      <c r="V127" s="81" t="s">
        <v>78</v>
      </c>
      <c r="W127" s="81" t="s">
        <v>76</v>
      </c>
      <c r="X127" s="82" t="s">
        <v>529</v>
      </c>
      <c r="Y127" s="83" t="s">
        <v>101</v>
      </c>
      <c r="AB127" s="86" t="s">
        <v>296</v>
      </c>
      <c r="AF127" s="80">
        <v>2</v>
      </c>
      <c r="AG127" s="81" t="str">
        <f>IF($S$159=2,"Select 4 minor glamours at rank 1","Select 2 minor glamours at rank 2")</f>
        <v>Select 2 minor glamours at rank 2</v>
      </c>
      <c r="AH127" s="81" t="s">
        <v>788</v>
      </c>
      <c r="AI127" s="81" t="s">
        <v>1294</v>
      </c>
      <c r="AJ127" s="105" t="s">
        <v>1336</v>
      </c>
      <c r="AK127" s="81" t="s">
        <v>789</v>
      </c>
      <c r="AL127" s="81" t="s">
        <v>1311</v>
      </c>
      <c r="AM127" s="81" t="s">
        <v>790</v>
      </c>
      <c r="AN127" s="81" t="s">
        <v>791</v>
      </c>
      <c r="AO127" s="82" t="s">
        <v>808</v>
      </c>
      <c r="AR127" s="68"/>
      <c r="AS127" s="262" t="str">
        <f>print!B135</f>
        <v/>
      </c>
      <c r="AT127" s="262"/>
    </row>
    <row r="128" spans="1:48">
      <c r="A128" s="112"/>
      <c r="B128" s="253"/>
      <c r="C128" s="253"/>
      <c r="D128" s="253"/>
      <c r="E128" s="253"/>
      <c r="F128" s="196"/>
      <c r="G128" s="253"/>
      <c r="H128" s="253"/>
      <c r="I128" s="253"/>
      <c r="J128" s="253"/>
      <c r="K128" s="115"/>
      <c r="L128" s="136"/>
      <c r="M128" s="151"/>
      <c r="N128" s="151"/>
      <c r="O128" s="151"/>
      <c r="P128" s="151"/>
      <c r="Q128" s="151"/>
      <c r="S128" s="80" t="s">
        <v>62</v>
      </c>
      <c r="T128" s="81" t="s">
        <v>61</v>
      </c>
      <c r="U128" s="105" t="s">
        <v>514</v>
      </c>
      <c r="V128" s="81" t="s">
        <v>51</v>
      </c>
      <c r="W128" s="81" t="s">
        <v>49</v>
      </c>
      <c r="X128" s="82" t="s">
        <v>508</v>
      </c>
      <c r="Y128" s="83" t="s">
        <v>101</v>
      </c>
      <c r="AB128" s="209" t="s">
        <v>1179</v>
      </c>
      <c r="AF128" s="80">
        <v>3</v>
      </c>
      <c r="AG128" s="81" t="str">
        <f>IF($S$159=3,"Select all 5 minor glamours at rank 1",IF($S$159=2,"Select 2 minor glamours at 2 and 2 at 1","Select 2 minor glamours at rank 3"))</f>
        <v>Select 2 minor glamours at rank 3</v>
      </c>
      <c r="AH128" s="81" t="s">
        <v>792</v>
      </c>
      <c r="AI128" s="81" t="s">
        <v>1295</v>
      </c>
      <c r="AJ128" s="105" t="s">
        <v>1337</v>
      </c>
      <c r="AK128" s="81" t="s">
        <v>793</v>
      </c>
      <c r="AL128" s="81" t="s">
        <v>1311</v>
      </c>
      <c r="AM128" s="81" t="s">
        <v>794</v>
      </c>
      <c r="AN128" s="81" t="s">
        <v>795</v>
      </c>
      <c r="AO128" s="82" t="s">
        <v>809</v>
      </c>
      <c r="AR128" s="68"/>
      <c r="AS128" s="263" t="str">
        <f>print!B136</f>
        <v/>
      </c>
      <c r="AT128" s="263"/>
    </row>
    <row r="129" spans="1:46">
      <c r="A129" s="112"/>
      <c r="B129" s="253"/>
      <c r="C129" s="253"/>
      <c r="D129" s="253"/>
      <c r="E129" s="253"/>
      <c r="F129" s="196"/>
      <c r="G129" s="253"/>
      <c r="H129" s="253"/>
      <c r="I129" s="253"/>
      <c r="J129" s="253"/>
      <c r="K129" s="115"/>
      <c r="L129" s="136"/>
      <c r="M129" s="151"/>
      <c r="N129" s="151"/>
      <c r="O129" s="151"/>
      <c r="P129" s="151"/>
      <c r="Q129" s="151"/>
      <c r="S129" s="80" t="s">
        <v>38</v>
      </c>
      <c r="T129" s="81" t="s">
        <v>37</v>
      </c>
      <c r="U129" s="105" t="s">
        <v>503</v>
      </c>
      <c r="V129" s="81" t="s">
        <v>48</v>
      </c>
      <c r="W129" s="81" t="s">
        <v>46</v>
      </c>
      <c r="X129" s="82" t="s">
        <v>507</v>
      </c>
      <c r="Y129" s="83" t="s">
        <v>101</v>
      </c>
      <c r="AB129" s="86" t="s">
        <v>297</v>
      </c>
      <c r="AF129" s="80">
        <v>4</v>
      </c>
      <c r="AG129" s="81" t="str">
        <f>IF($S$159=4,"Select all 5 minor glamours at rank 1",IF($S$159=3,"Select 3 glamours at 1 and 2 at 2",IF($S$159=2,"Select 4 minor glamours at 2 or select 2 at 1 and 2 at 3","Select 2 minor glamours at 4")))</f>
        <v>Select 2 minor glamours at 4</v>
      </c>
      <c r="AH129" s="81" t="s">
        <v>796</v>
      </c>
      <c r="AI129" s="81" t="s">
        <v>1296</v>
      </c>
      <c r="AJ129" s="105" t="s">
        <v>1338</v>
      </c>
      <c r="AK129" s="81" t="s">
        <v>797</v>
      </c>
      <c r="AL129" s="81" t="s">
        <v>1311</v>
      </c>
      <c r="AM129" s="81" t="s">
        <v>798</v>
      </c>
      <c r="AN129" s="81" t="s">
        <v>799</v>
      </c>
      <c r="AO129" s="82" t="s">
        <v>809</v>
      </c>
      <c r="AR129" s="68"/>
      <c r="AS129" s="262" t="str">
        <f>print!B137</f>
        <v/>
      </c>
      <c r="AT129" s="262"/>
    </row>
    <row r="130" spans="1:46">
      <c r="A130" s="112"/>
      <c r="B130" s="253"/>
      <c r="C130" s="253"/>
      <c r="D130" s="253"/>
      <c r="E130" s="253"/>
      <c r="F130" s="196"/>
      <c r="G130" s="253"/>
      <c r="H130" s="253"/>
      <c r="I130" s="253"/>
      <c r="J130" s="253"/>
      <c r="K130" s="115"/>
      <c r="L130" s="136"/>
      <c r="M130" s="151"/>
      <c r="N130" s="151"/>
      <c r="O130" s="151"/>
      <c r="P130" s="151"/>
      <c r="Q130" s="151"/>
      <c r="S130" s="208" t="s">
        <v>1166</v>
      </c>
      <c r="T130" s="213" t="s">
        <v>1167</v>
      </c>
      <c r="U130" s="213" t="s">
        <v>1174</v>
      </c>
      <c r="V130" s="81" t="s">
        <v>45</v>
      </c>
      <c r="W130" s="81" t="s">
        <v>43</v>
      </c>
      <c r="X130" s="82" t="s">
        <v>533</v>
      </c>
      <c r="Y130" s="83" t="s">
        <v>101</v>
      </c>
      <c r="AB130" s="86" t="s">
        <v>298</v>
      </c>
      <c r="AF130" s="80">
        <v>5</v>
      </c>
      <c r="AG130" s="81" t="str">
        <f>IF($S$159=5,"Select all 5 minor glamours at rank 1",IF($S$159=4,"Select 2 minor glamours at rank 2 and 3 at rank 1",IF($S$159=3,"Select 2 glamours at 3 &amp; 2 at 1, or select 4 at 2 &amp; 1 at 1",IF($S$159=2,"Select 2 glamours at 4 &amp; 2 at 1, or select 2 at 3 &amp; 2 at 2","Select 2 minor glamours at 5"))))</f>
        <v>Select 2 minor glamours at 5</v>
      </c>
      <c r="AH130" s="81" t="s">
        <v>800</v>
      </c>
      <c r="AI130" s="81" t="s">
        <v>1297</v>
      </c>
      <c r="AJ130" s="105" t="s">
        <v>1335</v>
      </c>
      <c r="AK130" s="81" t="s">
        <v>708</v>
      </c>
      <c r="AL130" s="81" t="s">
        <v>1311</v>
      </c>
      <c r="AM130" s="81" t="s">
        <v>801</v>
      </c>
      <c r="AN130" s="81" t="s">
        <v>802</v>
      </c>
      <c r="AO130" s="123" t="s">
        <v>708</v>
      </c>
      <c r="AR130" s="68"/>
      <c r="AS130" s="263" t="str">
        <f>print!B138</f>
        <v/>
      </c>
      <c r="AT130" s="263"/>
    </row>
    <row r="131" spans="1:46">
      <c r="A131" s="112"/>
      <c r="B131" s="253"/>
      <c r="C131" s="253"/>
      <c r="D131" s="253"/>
      <c r="E131" s="253"/>
      <c r="F131" s="196"/>
      <c r="G131" s="196"/>
      <c r="H131" s="196"/>
      <c r="I131" s="196"/>
      <c r="J131" s="196"/>
      <c r="K131" s="115"/>
      <c r="L131" s="136"/>
      <c r="M131" s="151"/>
      <c r="N131" s="151"/>
      <c r="O131" s="151"/>
      <c r="P131" s="151"/>
      <c r="Q131" s="151"/>
      <c r="S131" s="80" t="s">
        <v>65</v>
      </c>
      <c r="T131" s="81" t="s">
        <v>64</v>
      </c>
      <c r="U131" s="81" t="s">
        <v>515</v>
      </c>
      <c r="V131" s="81" t="s">
        <v>66</v>
      </c>
      <c r="W131" s="81" t="s">
        <v>64</v>
      </c>
      <c r="X131" s="82" t="s">
        <v>516</v>
      </c>
      <c r="Y131" s="83" t="s">
        <v>101</v>
      </c>
      <c r="AB131" s="86" t="s">
        <v>299</v>
      </c>
      <c r="AF131" s="80">
        <v>6</v>
      </c>
      <c r="AG131" s="81" t="str">
        <f>IF($S$159=5,"Select 2 minor glamours at rank 2 and 3 at rank 1",IF($S$159=4,"Select 2 glamours at 3 &amp; 2 at 1, or select 4 at 2 &amp; 1 at 1",IF($S$159=3,"Select (2 glamours at 3, 2 at 2 &amp; 1 at 1), or (2 at 4 &amp; 3 at 1), or all 5 at 2",IF($S$159=2,"Select 2 glamours at 5 &amp; 2 at 1, or  2 at 4 &amp; 2 at 2, or 4 at 3","Select 2 minor glamours at 5"))))</f>
        <v>Select 2 minor glamours at 5</v>
      </c>
      <c r="AH131" s="81" t="s">
        <v>803</v>
      </c>
      <c r="AI131" s="81" t="s">
        <v>1298</v>
      </c>
      <c r="AJ131" s="105" t="s">
        <v>1335</v>
      </c>
      <c r="AK131" s="81" t="s">
        <v>708</v>
      </c>
      <c r="AL131" s="81" t="s">
        <v>1311</v>
      </c>
      <c r="AM131" s="81" t="s">
        <v>804</v>
      </c>
      <c r="AN131" s="81" t="s">
        <v>805</v>
      </c>
      <c r="AO131" s="123" t="s">
        <v>708</v>
      </c>
      <c r="AR131" s="68"/>
      <c r="AS131" s="262" t="str">
        <f>print!B139</f>
        <v/>
      </c>
      <c r="AT131" s="262"/>
    </row>
    <row r="132" spans="1:46">
      <c r="A132" s="112"/>
      <c r="B132" s="253"/>
      <c r="C132" s="253"/>
      <c r="D132" s="253"/>
      <c r="E132" s="253"/>
      <c r="F132" s="196"/>
      <c r="G132" s="255" t="str">
        <f>IF(OR($B$112=$AM$118,$B$112=$AN$118),HLOOKUP($B$112,$AA$115:$AD$122,$F$112+1),"")</f>
        <v/>
      </c>
      <c r="H132" s="255"/>
      <c r="I132" s="255"/>
      <c r="J132" s="255"/>
      <c r="K132" s="115"/>
      <c r="L132" s="136"/>
      <c r="M132" s="151"/>
      <c r="N132" s="151"/>
      <c r="O132" s="151"/>
      <c r="P132" s="151"/>
      <c r="Q132" s="151"/>
      <c r="S132" s="80" t="s">
        <v>41</v>
      </c>
      <c r="T132" s="81" t="s">
        <v>40</v>
      </c>
      <c r="U132" s="105" t="s">
        <v>505</v>
      </c>
      <c r="V132" s="213" t="s">
        <v>1164</v>
      </c>
      <c r="W132" s="213" t="s">
        <v>1162</v>
      </c>
      <c r="X132" s="218" t="s">
        <v>1165</v>
      </c>
      <c r="Y132" s="83" t="s">
        <v>101</v>
      </c>
      <c r="AB132" s="209" t="s">
        <v>1180</v>
      </c>
      <c r="AF132" s="91">
        <v>7</v>
      </c>
      <c r="AG132" s="92" t="str">
        <f>IF($S$159=5,"Select 2 glamours at 3 &amp; 2 at 1, or select 4 at 2 &amp; 1 at 1",IF($S$159=4,"Select (2 glamours at 3, 2 at 2 &amp; 1 at 1), or (2 at 4 &amp; 3 at 1), or all 5 at 2",IF($S$159=3,"Select (2 glamours at 4, 2 at 2 &amp; 1 at 1), or (2 at 5 &amp; 3 at 1), or (2 at 3, &amp; 3 at 2)",IF($S$159=2,"Select 2 glamours at 5 &amp; 2 at 2, or  2 at 4 &amp; 2 at 3, or 4 at 3","Select 2 minor glamours at 5"))))</f>
        <v>Select 2 minor glamours at 5</v>
      </c>
      <c r="AH132" s="92" t="s">
        <v>806</v>
      </c>
      <c r="AI132" s="92" t="s">
        <v>1299</v>
      </c>
      <c r="AJ132" s="92" t="s">
        <v>708</v>
      </c>
      <c r="AK132" s="92" t="s">
        <v>708</v>
      </c>
      <c r="AL132" s="92" t="s">
        <v>1311</v>
      </c>
      <c r="AM132" s="125" t="s">
        <v>811</v>
      </c>
      <c r="AN132" s="125" t="s">
        <v>708</v>
      </c>
      <c r="AO132" s="126" t="s">
        <v>708</v>
      </c>
      <c r="AR132" s="68"/>
      <c r="AS132" s="177" t="str">
        <f>print!D141</f>
        <v>--</v>
      </c>
    </row>
    <row r="133" spans="1:46">
      <c r="A133" s="112"/>
      <c r="B133" s="253"/>
      <c r="C133" s="253"/>
      <c r="D133" s="253"/>
      <c r="E133" s="253"/>
      <c r="F133" s="196"/>
      <c r="G133" s="253"/>
      <c r="H133" s="253"/>
      <c r="I133" s="253"/>
      <c r="J133" s="253"/>
      <c r="K133" s="115"/>
      <c r="L133" s="136"/>
      <c r="M133" s="151"/>
      <c r="N133" s="151"/>
      <c r="O133" s="151"/>
      <c r="P133" s="151"/>
      <c r="Q133" s="151"/>
      <c r="S133" s="80" t="s">
        <v>44</v>
      </c>
      <c r="T133" s="81" t="s">
        <v>43</v>
      </c>
      <c r="U133" s="105" t="s">
        <v>535</v>
      </c>
      <c r="V133" s="81" t="s">
        <v>63</v>
      </c>
      <c r="W133" s="81" t="s">
        <v>61</v>
      </c>
      <c r="X133" s="82" t="s">
        <v>534</v>
      </c>
      <c r="Y133" s="83" t="s">
        <v>101</v>
      </c>
      <c r="AB133" s="99" t="s">
        <v>531</v>
      </c>
      <c r="AG133" s="68" t="s">
        <v>897</v>
      </c>
      <c r="AH133" s="105" t="s">
        <v>822</v>
      </c>
      <c r="AI133" s="105" t="s">
        <v>1259</v>
      </c>
      <c r="AJ133" s="105" t="s">
        <v>1340</v>
      </c>
      <c r="AK133" s="105" t="s">
        <v>823</v>
      </c>
      <c r="AL133" s="105" t="s">
        <v>1217</v>
      </c>
      <c r="AM133" s="105" t="s">
        <v>759</v>
      </c>
      <c r="AN133" s="127" t="s">
        <v>708</v>
      </c>
      <c r="AO133" s="128" t="s">
        <v>826</v>
      </c>
      <c r="AR133" s="68"/>
      <c r="AS133" s="263" t="str">
        <f>print!B142</f>
        <v/>
      </c>
      <c r="AT133" s="263"/>
    </row>
    <row r="134" spans="1:46">
      <c r="A134" s="112"/>
      <c r="B134" s="253"/>
      <c r="C134" s="253"/>
      <c r="D134" s="253"/>
      <c r="E134" s="253"/>
      <c r="F134" s="196"/>
      <c r="G134" s="253"/>
      <c r="H134" s="253"/>
      <c r="I134" s="253"/>
      <c r="J134" s="253"/>
      <c r="K134" s="115"/>
      <c r="L134" s="136"/>
      <c r="M134" s="151"/>
      <c r="N134" s="151"/>
      <c r="O134" s="151"/>
      <c r="P134" s="151"/>
      <c r="Q134" s="151"/>
      <c r="S134" s="80" t="s">
        <v>29</v>
      </c>
      <c r="T134" s="81" t="s">
        <v>28</v>
      </c>
      <c r="U134" s="105" t="s">
        <v>537</v>
      </c>
      <c r="V134" s="81" t="s">
        <v>54</v>
      </c>
      <c r="W134" s="81" t="s">
        <v>52</v>
      </c>
      <c r="X134" s="82" t="s">
        <v>510</v>
      </c>
      <c r="Y134" s="83" t="s">
        <v>101</v>
      </c>
      <c r="AG134" s="68" t="s">
        <v>898</v>
      </c>
      <c r="AH134" s="105" t="s">
        <v>821</v>
      </c>
      <c r="AI134" s="105" t="s">
        <v>1260</v>
      </c>
      <c r="AJ134" s="105" t="s">
        <v>1341</v>
      </c>
      <c r="AK134" s="105" t="s">
        <v>824</v>
      </c>
      <c r="AL134" s="105" t="s">
        <v>1321</v>
      </c>
      <c r="AM134" s="105" t="s">
        <v>758</v>
      </c>
      <c r="AN134" s="105" t="s">
        <v>825</v>
      </c>
      <c r="AO134" s="128" t="s">
        <v>827</v>
      </c>
      <c r="AR134" s="68"/>
      <c r="AS134" s="262" t="str">
        <f>print!B143</f>
        <v/>
      </c>
      <c r="AT134" s="262"/>
    </row>
    <row r="135" spans="1:46">
      <c r="A135" s="112"/>
      <c r="B135" s="253"/>
      <c r="C135" s="253"/>
      <c r="D135" s="253"/>
      <c r="E135" s="253"/>
      <c r="F135" s="196"/>
      <c r="G135" s="253"/>
      <c r="H135" s="253"/>
      <c r="I135" s="253"/>
      <c r="J135" s="253"/>
      <c r="K135" s="115"/>
      <c r="L135" s="136"/>
      <c r="M135" s="151"/>
      <c r="N135" s="151"/>
      <c r="O135" s="151"/>
      <c r="P135" s="151"/>
      <c r="Q135" s="151"/>
      <c r="S135" s="80" t="s">
        <v>59</v>
      </c>
      <c r="T135" s="81" t="s">
        <v>58</v>
      </c>
      <c r="U135" s="105" t="s">
        <v>512</v>
      </c>
      <c r="V135" s="81" t="s">
        <v>30</v>
      </c>
      <c r="W135" s="81" t="s">
        <v>28</v>
      </c>
      <c r="X135" s="82" t="s">
        <v>521</v>
      </c>
      <c r="Y135" s="83" t="s">
        <v>101</v>
      </c>
      <c r="AB135" s="98" t="s">
        <v>617</v>
      </c>
      <c r="AD135" s="193" t="s">
        <v>713</v>
      </c>
      <c r="AG135" s="68" t="s">
        <v>899</v>
      </c>
      <c r="AH135" s="105" t="s">
        <v>889</v>
      </c>
      <c r="AI135" s="105" t="s">
        <v>1261</v>
      </c>
      <c r="AJ135" s="105" t="s">
        <v>1339</v>
      </c>
      <c r="AK135" s="127" t="s">
        <v>708</v>
      </c>
      <c r="AL135" s="127" t="s">
        <v>1309</v>
      </c>
      <c r="AM135" s="105" t="s">
        <v>901</v>
      </c>
      <c r="AN135" s="85" t="s">
        <v>812</v>
      </c>
      <c r="AO135" s="128" t="s">
        <v>913</v>
      </c>
      <c r="AR135" s="68"/>
      <c r="AS135" s="263" t="str">
        <f>print!B144</f>
        <v/>
      </c>
      <c r="AT135" s="263"/>
    </row>
    <row r="136" spans="1:46">
      <c r="A136" s="112"/>
      <c r="B136" s="253"/>
      <c r="C136" s="253"/>
      <c r="D136" s="253"/>
      <c r="E136" s="253"/>
      <c r="F136" s="196"/>
      <c r="G136" s="253"/>
      <c r="H136" s="253"/>
      <c r="I136" s="253"/>
      <c r="J136" s="253"/>
      <c r="K136" s="115"/>
      <c r="L136" s="136"/>
      <c r="M136" s="151"/>
      <c r="N136" s="151"/>
      <c r="O136" s="151"/>
      <c r="P136" s="151"/>
      <c r="Q136" s="151"/>
      <c r="S136" s="80" t="s">
        <v>74</v>
      </c>
      <c r="T136" s="81" t="s">
        <v>73</v>
      </c>
      <c r="U136" s="105" t="s">
        <v>539</v>
      </c>
      <c r="V136" s="81" t="s">
        <v>57</v>
      </c>
      <c r="W136" s="81" t="s">
        <v>55</v>
      </c>
      <c r="X136" s="82" t="s">
        <v>511</v>
      </c>
      <c r="Y136" s="83" t="s">
        <v>101</v>
      </c>
      <c r="AB136" s="86" t="s">
        <v>582</v>
      </c>
      <c r="AD136" s="84" t="s">
        <v>263</v>
      </c>
      <c r="AG136" s="68" t="s">
        <v>899</v>
      </c>
      <c r="AH136" s="127" t="s">
        <v>708</v>
      </c>
      <c r="AI136" s="127" t="s">
        <v>1262</v>
      </c>
      <c r="AJ136" s="105" t="s">
        <v>1339</v>
      </c>
      <c r="AK136" s="68" t="s">
        <v>888</v>
      </c>
      <c r="AL136" s="105" t="s">
        <v>1308</v>
      </c>
      <c r="AM136" s="68" t="s">
        <v>900</v>
      </c>
      <c r="AN136" s="105" t="s">
        <v>914</v>
      </c>
      <c r="AO136" s="68" t="s">
        <v>912</v>
      </c>
      <c r="AR136" s="68"/>
      <c r="AS136" s="262" t="str">
        <f>print!B145</f>
        <v/>
      </c>
      <c r="AT136" s="262"/>
    </row>
    <row r="137" spans="1:46">
      <c r="A137" s="112"/>
      <c r="B137" s="253"/>
      <c r="C137" s="253"/>
      <c r="D137" s="253"/>
      <c r="E137" s="253"/>
      <c r="F137" s="196"/>
      <c r="G137" s="253"/>
      <c r="H137" s="253"/>
      <c r="I137" s="253"/>
      <c r="J137" s="253"/>
      <c r="K137" s="115"/>
      <c r="L137" s="136"/>
      <c r="S137" s="208" t="s">
        <v>1168</v>
      </c>
      <c r="T137" s="213" t="s">
        <v>1169</v>
      </c>
      <c r="U137" s="213" t="s">
        <v>1170</v>
      </c>
      <c r="V137" s="81" t="s">
        <v>75</v>
      </c>
      <c r="W137" s="81" t="s">
        <v>73</v>
      </c>
      <c r="X137" s="82" t="s">
        <v>540</v>
      </c>
      <c r="Y137" s="83" t="s">
        <v>101</v>
      </c>
      <c r="AB137" s="86" t="s">
        <v>584</v>
      </c>
      <c r="AD137" s="84" t="s">
        <v>709</v>
      </c>
      <c r="AR137" s="68"/>
      <c r="AS137" s="263" t="str">
        <f>print!B146</f>
        <v/>
      </c>
      <c r="AT137" s="263"/>
    </row>
    <row r="138" spans="1:46">
      <c r="A138" s="112"/>
      <c r="B138" s="253"/>
      <c r="C138" s="253"/>
      <c r="D138" s="253"/>
      <c r="E138" s="253"/>
      <c r="F138" s="196"/>
      <c r="G138" s="253"/>
      <c r="H138" s="253"/>
      <c r="I138" s="253"/>
      <c r="J138" s="253"/>
      <c r="K138" s="115"/>
      <c r="S138" s="208" t="s">
        <v>1161</v>
      </c>
      <c r="T138" s="213" t="s">
        <v>1162</v>
      </c>
      <c r="U138" s="213" t="s">
        <v>1163</v>
      </c>
      <c r="V138" s="218" t="s">
        <v>1173</v>
      </c>
      <c r="W138" s="213" t="s">
        <v>1167</v>
      </c>
      <c r="X138" s="218" t="s">
        <v>1175</v>
      </c>
      <c r="Y138" s="83" t="s">
        <v>101</v>
      </c>
      <c r="AB138" s="209" t="s">
        <v>1184</v>
      </c>
      <c r="AD138" s="209" t="s">
        <v>1181</v>
      </c>
      <c r="AR138" s="68"/>
      <c r="AS138" s="262" t="str">
        <f>print!B147</f>
        <v/>
      </c>
      <c r="AT138" s="262"/>
    </row>
    <row r="139" spans="1:46">
      <c r="A139" s="112"/>
      <c r="B139" s="253"/>
      <c r="C139" s="253"/>
      <c r="D139" s="253"/>
      <c r="E139" s="253"/>
      <c r="F139" s="196"/>
      <c r="G139" s="253"/>
      <c r="H139" s="253"/>
      <c r="I139" s="253"/>
      <c r="J139" s="253"/>
      <c r="K139" s="115"/>
      <c r="S139" s="80" t="s">
        <v>47</v>
      </c>
      <c r="T139" s="81" t="s">
        <v>46</v>
      </c>
      <c r="U139" s="105" t="s">
        <v>541</v>
      </c>
      <c r="V139" s="81" t="s">
        <v>36</v>
      </c>
      <c r="W139" s="81" t="s">
        <v>34</v>
      </c>
      <c r="X139" s="82" t="s">
        <v>502</v>
      </c>
      <c r="AB139" s="86" t="s">
        <v>607</v>
      </c>
      <c r="AD139" s="209" t="s">
        <v>1183</v>
      </c>
      <c r="AR139" s="68"/>
      <c r="AS139" s="263" t="str">
        <f>print!B148</f>
        <v/>
      </c>
      <c r="AT139" s="263"/>
    </row>
    <row r="140" spans="1:46" ht="15.75" thickBot="1">
      <c r="A140" s="129"/>
      <c r="B140" s="130"/>
      <c r="C140" s="130"/>
      <c r="D140" s="130"/>
      <c r="E140" s="130"/>
      <c r="F140" s="130"/>
      <c r="G140" s="130"/>
      <c r="H140" s="130"/>
      <c r="I140" s="130"/>
      <c r="J140" s="130"/>
      <c r="K140" s="131"/>
      <c r="S140" s="80" t="s">
        <v>26</v>
      </c>
      <c r="T140" s="81" t="s">
        <v>25</v>
      </c>
      <c r="U140" s="105" t="s">
        <v>498</v>
      </c>
      <c r="V140" s="81" t="s">
        <v>24</v>
      </c>
      <c r="W140" s="81" t="s">
        <v>22</v>
      </c>
      <c r="X140" s="82" t="s">
        <v>497</v>
      </c>
      <c r="AB140" s="86" t="s">
        <v>608</v>
      </c>
      <c r="AD140" s="84" t="s">
        <v>727</v>
      </c>
      <c r="AR140" s="68"/>
      <c r="AS140" s="262" t="str">
        <f>print!B149</f>
        <v/>
      </c>
      <c r="AT140" s="262"/>
    </row>
    <row r="141" spans="1:46">
      <c r="S141" s="91" t="s">
        <v>20</v>
      </c>
      <c r="T141" s="92" t="s">
        <v>19</v>
      </c>
      <c r="U141" s="92" t="s">
        <v>494</v>
      </c>
      <c r="V141" s="92" t="s">
        <v>33</v>
      </c>
      <c r="W141" s="92" t="s">
        <v>31</v>
      </c>
      <c r="X141" s="93" t="s">
        <v>501</v>
      </c>
      <c r="AB141" s="86" t="s">
        <v>609</v>
      </c>
      <c r="AD141" s="209" t="s">
        <v>1182</v>
      </c>
      <c r="AR141" s="68"/>
      <c r="AS141" s="263" t="str">
        <f>print!B150</f>
        <v/>
      </c>
      <c r="AT141" s="263"/>
    </row>
    <row r="142" spans="1:46">
      <c r="AB142" s="86" t="s">
        <v>610</v>
      </c>
      <c r="AD142" s="84" t="s">
        <v>710</v>
      </c>
      <c r="AR142" s="68"/>
      <c r="AS142" s="262" t="str">
        <f>print!B151</f>
        <v/>
      </c>
      <c r="AT142" s="262"/>
    </row>
    <row r="143" spans="1:46">
      <c r="AB143" s="209" t="s">
        <v>1185</v>
      </c>
      <c r="AD143" s="84" t="s">
        <v>711</v>
      </c>
      <c r="AR143" s="68"/>
      <c r="AS143" s="263" t="str">
        <f>print!B152</f>
        <v/>
      </c>
      <c r="AT143" s="263"/>
    </row>
    <row r="144" spans="1:46">
      <c r="S144" s="74" t="s">
        <v>619</v>
      </c>
      <c r="T144" s="75" t="s">
        <v>660</v>
      </c>
      <c r="U144" s="76"/>
      <c r="V144" s="117" t="s">
        <v>715</v>
      </c>
      <c r="X144" s="74" t="s">
        <v>88</v>
      </c>
      <c r="Y144" s="77"/>
      <c r="AB144" s="209" t="s">
        <v>1186</v>
      </c>
      <c r="AD144" s="94" t="s">
        <v>712</v>
      </c>
      <c r="AR144" s="68"/>
      <c r="AS144" s="262" t="str">
        <f>print!B153</f>
        <v/>
      </c>
      <c r="AT144" s="262"/>
    </row>
    <row r="145" spans="19:46">
      <c r="S145" s="80">
        <f>IF($B$112=$AH$118,styles!B29,IF($B$112=$AG$118,'adv shuffle'!E31,IF($B$112=$AO$118,styles!C75,IF($B$112=$AK$118,styles!B94,IF($B$112=$AI$118,styles!B102,IF($B$112=$AL$118,styles!I102,IF(AND(COUNTIF(G118:J130,T145),$B$112=$AJ$118),styles!N102,0)))))))</f>
        <v>0</v>
      </c>
      <c r="T145" s="81">
        <f>IF($B$112=$AH$118,styles!B36,IF($B$112=$AG$118,'adv shuffle'!E41,IF($B$112=$AO$118,styles!D75,IF($B$112=$AK$118,styles!B84,IF($B$112=$AI$118,styles!E102,IF(COUNTIF($B$118:$D$124,styles!I102)&gt;0,styles!K102,IF($B$112=$AJ$118,styles!N102,0)))))))</f>
        <v>0</v>
      </c>
      <c r="U145" s="81"/>
      <c r="V145" s="82" t="str">
        <f>IF($B$112=$AG$118,styles!B52,IF($B$112=$AN$118,styles!I75,""))</f>
        <v/>
      </c>
      <c r="X145" s="80" t="s">
        <v>89</v>
      </c>
      <c r="Y145" s="82"/>
      <c r="AB145" s="86" t="s">
        <v>611</v>
      </c>
      <c r="AR145" s="68"/>
      <c r="AS145" s="263" t="str">
        <f>print!B154</f>
        <v/>
      </c>
      <c r="AT145" s="263"/>
    </row>
    <row r="146" spans="19:46">
      <c r="S146" s="80">
        <f>IF($B$112=$AH$118,styles!B30,IF($B$112=$AG$118,'adv shuffle'!E32,IF($B$112=$AO$118,styles!C76,IF($B$112=$AK$118,styles!B95,IF($B$112=$AI$118,styles!B103,IF($B$112=$AL$118,styles!I103,IF(AND(COUNTIF(G118:J130,T146),$B$112=$AJ$118),styles!N103,0)))))))</f>
        <v>0</v>
      </c>
      <c r="T146" s="81">
        <f>IF($B$112=$AH$118,styles!B37,IF($B$112=$AG$118,'adv shuffle'!E42,IF($B$112=$AO$118,styles!D76,IF($B$112=$AK$118,styles!B85,IF($B$112=$AI$118,styles!E103,IF(COUNTIF($B$118:$D$124,styles!I103)&gt;0,styles!K103,IF($B$112=$AJ$118,styles!N103,0)))))))</f>
        <v>0</v>
      </c>
      <c r="U146" s="81"/>
      <c r="V146" s="82" t="str">
        <f>IF($B$112=$AG$118,styles!B53,IF($B$112=$AN$118,styles!I76,""))</f>
        <v/>
      </c>
      <c r="X146" s="80" t="s">
        <v>207</v>
      </c>
      <c r="Y146" s="82" t="s">
        <v>134</v>
      </c>
      <c r="AB146" s="86" t="s">
        <v>612</v>
      </c>
      <c r="AR146" s="68"/>
      <c r="AS146" s="262" t="str">
        <f>print!B155</f>
        <v/>
      </c>
      <c r="AT146" s="262"/>
    </row>
    <row r="147" spans="19:46">
      <c r="S147" s="80">
        <f>IF($B$112=$AH$118,styles!B31,IF($B$112=$AG$118,'adv shuffle'!E33,IF($B$112=$AO$118,styles!C77,IF($B$112=$AK$118,styles!B96,IF($B$112=$AI$118,styles!B106,IF($B$112=$AL$118,styles!I108,IF(AND(COUNTIF(G118:J130,T147),$B$112=$AJ$118),styles!N104,0)))))))</f>
        <v>0</v>
      </c>
      <c r="T147" s="81">
        <f>IF($B$112=$AH$118,styles!B38,IF($B$112=$AG$118,'adv shuffle'!E43,IF($B$112=$AO$118,styles!D77,IF($B$112=$AK$118,styles!B86,IF($B$112=$AI$118,styles!E104,IF(COUNTIF($B$118:$D$124,styles!I104)&gt;0,styles!K108,IF($B$112=$AJ$118,styles!N104,0)))))))</f>
        <v>0</v>
      </c>
      <c r="U147" s="81"/>
      <c r="V147" s="82" t="str">
        <f>IF($B$112=$AG$118,styles!B54,IF($B$112=$AN$118,styles!I77,""))</f>
        <v/>
      </c>
      <c r="X147" s="80" t="s">
        <v>208</v>
      </c>
      <c r="Y147" s="82" t="s">
        <v>135</v>
      </c>
      <c r="AB147" s="86" t="s">
        <v>613</v>
      </c>
      <c r="AR147" s="68"/>
      <c r="AS147" s="263" t="str">
        <f>print!B156</f>
        <v/>
      </c>
      <c r="AT147" s="263"/>
    </row>
    <row r="148" spans="19:46">
      <c r="S148" s="80">
        <f>IF($B$112=$AH$118,styles!B32,IF($B$112=$AG$118,'adv shuffle'!E34,IF($B$112=$AO$118,styles!C78,IF($B$112=$AK$118,styles!B97,IF($B$112=$AI$118,styles!B107,IF($B$112=$AL$118,styles!I105,IF(AND(COUNTIF(G118:J130,T148),$B$112=$AJ$118),styles!N105,0)))))))</f>
        <v>0</v>
      </c>
      <c r="T148" s="81">
        <f>IF($B$112=$AH$118,styles!B39,IF($B$112=$AG$118,'adv shuffle'!E44,IF($B$112=$AO$118,styles!D78,IF($B$112=$AK$118,styles!B87,IF($B$112=$AI$118,styles!E105,IF(COUNTIF($B$118:$D$124,styles!I105)&gt;0,styles!K105,IF($B$112=$AJ$118,styles!N105,0)))))))</f>
        <v>0</v>
      </c>
      <c r="U148" s="81"/>
      <c r="V148" s="82" t="str">
        <f>IF($B$112=$AG$118,styles!B55,IF($B$112=$AN$118,styles!I78,""))</f>
        <v/>
      </c>
      <c r="X148" s="80" t="s">
        <v>136</v>
      </c>
      <c r="Y148" s="82" t="s">
        <v>136</v>
      </c>
      <c r="AB148" s="86" t="s">
        <v>614</v>
      </c>
      <c r="AR148" s="68"/>
      <c r="AS148" s="262" t="str">
        <f>print!B157</f>
        <v/>
      </c>
      <c r="AT148" s="262"/>
    </row>
    <row r="149" spans="19:46">
      <c r="S149" s="80">
        <f>IF($B$112=$AH$118,styles!B33,IF($B$112=$AG$118,'adv shuffle'!E35,IF($B$112=$AK$118,styles!B98,IF($B$112=$AI$118,styles!B110,IF($B$112=$AL$118,styles!I106,IF(AND(COUNTIF(G118:J130,T149),$B$112=$AJ$118),styles!N106,0))))))</f>
        <v>0</v>
      </c>
      <c r="T149" s="81">
        <f>IF($B$112=$AH$118,styles!B40,IF($B$112=$AG$118,'adv shuffle'!E45,IF($B$112=$AK$118,styles!B88,IF($B$112=$AO$118,styles!D79,IF($B$112=$AI$118,styles!E106,IF(COUNTIF($B$118:$D$124,styles!I106)&gt;0,styles!K106,IF($B$112=$AJ$118,styles!N106,0)))))))</f>
        <v>0</v>
      </c>
      <c r="U149" s="81"/>
      <c r="V149" s="82" t="str">
        <f>IF($B$112=$AG$118,styles!B56,IF($B$112=$AN$118,styles!I79,""))</f>
        <v/>
      </c>
      <c r="X149" s="80" t="s">
        <v>209</v>
      </c>
      <c r="Y149" s="82" t="s">
        <v>143</v>
      </c>
      <c r="AB149" s="86" t="s">
        <v>615</v>
      </c>
      <c r="AR149" s="68"/>
      <c r="AS149" s="263" t="str">
        <f>print!B158</f>
        <v/>
      </c>
      <c r="AT149" s="263"/>
    </row>
    <row r="150" spans="19:46">
      <c r="S150" s="80" t="str">
        <f>IF($B$112=$AH$118,styles!B34,IF($B$112=$AG$118,'adv shuffle'!E36,IF($B$112=$AK$118,styles!B99,IF($B$112=$AI$118,styles!B111,IF($B$112=$AL$118,styles!I107,IF(AND(COUNTIF(G118:J130,T150),$B$112=$AJ$118),styles!N107,""))))))</f>
        <v/>
      </c>
      <c r="T150" s="81">
        <f>IF($B$112=$AH$118,styles!B41,IF($B$112=$AG$118,'adv shuffle'!E46,IF($B$112=$AK$118,styles!B89,IF($B$112=$AI$118,styles!E107,IF(COUNTIF($B$118:$D$124,styles!I107)&gt;0,styles!K107,IF($B$112=$AJ$118,styles!N107,0))))))</f>
        <v>0</v>
      </c>
      <c r="U150" s="81"/>
      <c r="V150" s="82" t="str">
        <f>IF($B$112=$AG$118,styles!B57,IF($B$112=$AN$118,styles!I80,""))</f>
        <v/>
      </c>
      <c r="X150" s="80" t="s">
        <v>210</v>
      </c>
      <c r="Y150" s="82" t="s">
        <v>137</v>
      </c>
      <c r="AB150" s="99" t="s">
        <v>616</v>
      </c>
      <c r="AR150" s="68"/>
      <c r="AS150" s="262" t="str">
        <f>print!B159</f>
        <v/>
      </c>
      <c r="AT150" s="262"/>
    </row>
    <row r="151" spans="19:46">
      <c r="S151" s="80" t="str">
        <f>IF($B$112=$AH$118,styles!B35,IF($B$112=$AG$118,'adv shuffle'!E37,IF($B$112=$AI$118,styles!B114,IF(AND($B$112=$AL$118,J3=U3),styles!I104,""))))</f>
        <v/>
      </c>
      <c r="T151" s="81">
        <f>IF($B$112=$AH$118,styles!B42,IF($B$112=$AG$118,'adv shuffle'!E47,IF($B$112=$AK$118,styles!B90,IF($B$112=$AI$118,styles!E108,IF(AND(J3=U3,COUNTIF($B$118:$D$124,styles!I108)&gt;0),styles!K104,0)))))</f>
        <v>0</v>
      </c>
      <c r="U151" s="81"/>
      <c r="V151" s="82" t="str">
        <f>IF($B$112=$AG$118,styles!B58,IF($B$112=$AN$118,styles!I81,""))</f>
        <v/>
      </c>
      <c r="X151" s="208" t="s">
        <v>1035</v>
      </c>
      <c r="Y151" s="82" t="s">
        <v>1358</v>
      </c>
      <c r="AR151" s="68"/>
      <c r="AS151" s="263" t="str">
        <f>print!B160</f>
        <v/>
      </c>
      <c r="AT151" s="263"/>
    </row>
    <row r="152" spans="19:46">
      <c r="S152" s="80" t="str">
        <f>IF($B$112=$AI$118,styles!B115,"")</f>
        <v/>
      </c>
      <c r="T152" s="81">
        <f>IF($B$112=$AH$118,styles!B43,IF($B$112=$AG$118,'adv shuffle'!E48,IF($B$112=$AK$118,styles!B91,IF($B$112=$AI$118,styles!E109,0))))</f>
        <v>0</v>
      </c>
      <c r="U152" s="81"/>
      <c r="V152" s="82" t="str">
        <f>IF($B$112=$AG$118,styles!B59,"")</f>
        <v/>
      </c>
      <c r="X152" s="80" t="s">
        <v>138</v>
      </c>
      <c r="Y152" s="82" t="s">
        <v>138</v>
      </c>
      <c r="AB152" s="12" t="s">
        <v>1236</v>
      </c>
      <c r="AR152" s="68"/>
      <c r="AS152" s="262" t="str">
        <f>print!B161</f>
        <v/>
      </c>
      <c r="AT152" s="262"/>
    </row>
    <row r="153" spans="19:46">
      <c r="S153" s="80" t="str">
        <f>IF($B$112=$AI$118,styles!B118,"")</f>
        <v/>
      </c>
      <c r="T153" s="81">
        <f>IF($B$112=$AH$118,styles!B44,IF($B$112=$AG$118,'adv shuffle'!E49,IF($B$112=$AK$118,styles!B92,IF($B$112=$AI$118,styles!E110,0))))</f>
        <v>0</v>
      </c>
      <c r="U153" s="81"/>
      <c r="V153" s="82" t="str">
        <f>IF($B$112=$AG$118,styles!B60,"")</f>
        <v/>
      </c>
      <c r="X153" s="208" t="s">
        <v>1037</v>
      </c>
      <c r="Y153" s="82" t="s">
        <v>1359</v>
      </c>
      <c r="AB153" s="13" t="s">
        <v>1237</v>
      </c>
      <c r="AR153" s="68"/>
      <c r="AS153" s="263" t="str">
        <f>print!B162</f>
        <v/>
      </c>
      <c r="AT153" s="263"/>
    </row>
    <row r="154" spans="19:46">
      <c r="S154" s="80" t="str">
        <f>IF($B$112=$AI$118,styles!B119,"")</f>
        <v/>
      </c>
      <c r="T154" s="81">
        <f>IF($B$112=$AH$118,styles!B45,IF($B$112=$AG$118,'adv shuffle'!E50,IF($B$112=$AI$118,styles!E111,0)))</f>
        <v>0</v>
      </c>
      <c r="U154" s="81"/>
      <c r="V154" s="82" t="str">
        <f>IF($B$112=$AG$118,styles!B61,"")</f>
        <v/>
      </c>
      <c r="X154" s="208" t="s">
        <v>1038</v>
      </c>
      <c r="Y154" s="128" t="s">
        <v>1357</v>
      </c>
      <c r="AB154" s="14" t="s">
        <v>1238</v>
      </c>
      <c r="AR154" s="68"/>
      <c r="AS154" s="262" t="str">
        <f>print!B163</f>
        <v/>
      </c>
      <c r="AT154" s="262"/>
    </row>
    <row r="155" spans="19:46">
      <c r="S155" s="124" t="s">
        <v>101</v>
      </c>
      <c r="T155" s="81">
        <f>IF($B$112=$AH$118,styles!B46,IF($B$112=$AI$118,styles!E112,0))</f>
        <v>0</v>
      </c>
      <c r="U155" s="81"/>
      <c r="V155" s="82" t="str">
        <f>IF($B$112=$AG$118,styles!B62,"")</f>
        <v/>
      </c>
      <c r="X155" s="80" t="s">
        <v>211</v>
      </c>
      <c r="Y155" s="82" t="s">
        <v>139</v>
      </c>
      <c r="AR155" s="68"/>
      <c r="AS155" s="263" t="str">
        <f>print!B164</f>
        <v/>
      </c>
      <c r="AT155" s="263"/>
    </row>
    <row r="156" spans="19:46">
      <c r="S156" s="124" t="s">
        <v>101</v>
      </c>
      <c r="T156" s="81">
        <f>IF($B$112=$AH$118,styles!B47,IF($B$112=$AI$118,styles!E113,0))</f>
        <v>0</v>
      </c>
      <c r="U156" s="81"/>
      <c r="V156" s="82" t="str">
        <f>IF($B$112=$AG$118,styles!B63,"")</f>
        <v/>
      </c>
      <c r="X156" s="80" t="s">
        <v>212</v>
      </c>
      <c r="Y156" s="82" t="s">
        <v>140</v>
      </c>
      <c r="AA156" s="105"/>
      <c r="AR156" s="68"/>
      <c r="AS156" s="262" t="str">
        <f>print!B165</f>
        <v/>
      </c>
      <c r="AT156" s="262"/>
    </row>
    <row r="157" spans="19:46">
      <c r="S157" s="124" t="s">
        <v>101</v>
      </c>
      <c r="T157" s="81">
        <f>IF($B$112=$AH$118,styles!B48,IF($B$112=$AI$118,styles!E114,0))</f>
        <v>0</v>
      </c>
      <c r="U157" s="81"/>
      <c r="V157" s="82" t="str">
        <f>IF($B$112=$AG$118,styles!B64,"")</f>
        <v/>
      </c>
      <c r="X157" s="80" t="s">
        <v>141</v>
      </c>
      <c r="Y157" s="82" t="s">
        <v>141</v>
      </c>
      <c r="AR157" s="68"/>
      <c r="AS157" s="263" t="str">
        <f>print!B166</f>
        <v/>
      </c>
      <c r="AT157" s="263"/>
    </row>
    <row r="158" spans="19:46">
      <c r="S158" s="80"/>
      <c r="T158" s="81">
        <f>IF($B$112=$AI$118,styles!E115,0)</f>
        <v>0</v>
      </c>
      <c r="U158" s="81"/>
      <c r="V158" s="82" t="str">
        <f>IF($B$112=$AG$118,styles!B65,"")</f>
        <v/>
      </c>
      <c r="X158" s="91" t="s">
        <v>142</v>
      </c>
      <c r="Y158" s="93" t="s">
        <v>142</v>
      </c>
      <c r="AR158" s="68"/>
      <c r="AS158" s="262" t="str">
        <f>print!B167</f>
        <v/>
      </c>
      <c r="AT158" s="262"/>
    </row>
    <row r="159" spans="19:46">
      <c r="S159" s="108">
        <f>COUNTA(B118:D122)</f>
        <v>0</v>
      </c>
      <c r="T159" s="81">
        <f>IF($B$112=$AI$118,styles!E116,0)</f>
        <v>0</v>
      </c>
      <c r="U159" s="81"/>
      <c r="V159" s="82" t="str">
        <f>IF($B$112=$AG$118,styles!B66,"")</f>
        <v/>
      </c>
      <c r="AC159" s="105"/>
      <c r="AQ159" s="69"/>
      <c r="AS159" s="263" t="str">
        <f>print!B168</f>
        <v/>
      </c>
      <c r="AT159" s="263"/>
    </row>
    <row r="160" spans="19:46">
      <c r="S160" s="80"/>
      <c r="T160" s="81">
        <f>IF($B$112=$AI$118,styles!E117,0)</f>
        <v>0</v>
      </c>
      <c r="U160" s="81"/>
      <c r="V160" s="82" t="str">
        <f>IF($B$112=$AG$118,styles!B67,"")</f>
        <v/>
      </c>
      <c r="AC160" s="105"/>
      <c r="AQ160" s="69"/>
      <c r="AS160" s="262" t="str">
        <f>print!B169</f>
        <v/>
      </c>
      <c r="AT160" s="262"/>
    </row>
    <row r="161" spans="19:43">
      <c r="S161" s="80"/>
      <c r="T161" s="81">
        <f>IF($B$112=$AI$118,styles!E118,0)</f>
        <v>0</v>
      </c>
      <c r="U161" s="81"/>
      <c r="V161" s="82" t="str">
        <f>IF($B$112=$AG$118,styles!B68,"")</f>
        <v/>
      </c>
      <c r="X161" s="105"/>
      <c r="AC161" s="105"/>
      <c r="AQ161" s="69"/>
    </row>
    <row r="162" spans="19:43">
      <c r="S162" s="80"/>
      <c r="T162" s="81">
        <f>IF($B$112=$AI$118,styles!E119,0)</f>
        <v>0</v>
      </c>
      <c r="U162" s="81"/>
      <c r="V162" s="82" t="str">
        <f>IF($B$112=$AG$118,styles!B69,"")</f>
        <v/>
      </c>
      <c r="AQ162" s="69"/>
    </row>
    <row r="163" spans="19:43">
      <c r="S163" s="80"/>
      <c r="T163" s="81">
        <f>IF($B$112=$AI$118,styles!E120,0)</f>
        <v>0</v>
      </c>
      <c r="U163" s="81"/>
      <c r="V163" s="82" t="str">
        <f>IF($B$112=$AG$118,styles!B70,"")</f>
        <v/>
      </c>
      <c r="AQ163" s="69"/>
    </row>
    <row r="164" spans="19:43">
      <c r="S164" s="91"/>
      <c r="T164" s="92">
        <f>IF($B$112=$AI$118,styles!E121,0)</f>
        <v>0</v>
      </c>
      <c r="U164" s="92"/>
      <c r="V164" s="93" t="str">
        <f>IF($B$112=$AG$118,styles!B71,"")</f>
        <v/>
      </c>
      <c r="AQ164" s="69"/>
    </row>
    <row r="165" spans="19:43">
      <c r="AQ165" s="69"/>
    </row>
    <row r="166" spans="19:43">
      <c r="AQ166" s="69"/>
    </row>
    <row r="167" spans="19:43">
      <c r="AQ167" s="69"/>
    </row>
    <row r="168" spans="19:43">
      <c r="AQ168" s="69"/>
    </row>
    <row r="169" spans="19:43">
      <c r="AQ169" s="69"/>
    </row>
  </sheetData>
  <sortState ref="AD136:AD144">
    <sortCondition ref="AD144"/>
  </sortState>
  <mergeCells count="207">
    <mergeCell ref="J2:K2"/>
    <mergeCell ref="G111:J111"/>
    <mergeCell ref="AS49:AV51"/>
    <mergeCell ref="AS47:AV48"/>
    <mergeCell ref="AS43:AV45"/>
    <mergeCell ref="AS46:AV46"/>
    <mergeCell ref="AS21:AV24"/>
    <mergeCell ref="AS27:AV30"/>
    <mergeCell ref="AS20:AV20"/>
    <mergeCell ref="AS26:AV26"/>
    <mergeCell ref="AS33:AV34"/>
    <mergeCell ref="AS39:AV40"/>
    <mergeCell ref="AS41:AV42"/>
    <mergeCell ref="AS37:AV38"/>
    <mergeCell ref="AS35:AV36"/>
    <mergeCell ref="N85:O85"/>
    <mergeCell ref="N86:O86"/>
    <mergeCell ref="N83:O83"/>
    <mergeCell ref="O99:P99"/>
    <mergeCell ref="O102:P102"/>
    <mergeCell ref="AS53:AV54"/>
    <mergeCell ref="AS52:AV52"/>
    <mergeCell ref="B81:H81"/>
    <mergeCell ref="G78:H78"/>
    <mergeCell ref="AS153:AT153"/>
    <mergeCell ref="AS154:AT154"/>
    <mergeCell ref="AS155:AT155"/>
    <mergeCell ref="AS156:AT156"/>
    <mergeCell ref="AS157:AT157"/>
    <mergeCell ref="AS158:AT158"/>
    <mergeCell ref="AS159:AT159"/>
    <mergeCell ref="AS160:AT160"/>
    <mergeCell ref="AS74:AT79"/>
    <mergeCell ref="AS144:AT144"/>
    <mergeCell ref="AS145:AT145"/>
    <mergeCell ref="AS146:AT146"/>
    <mergeCell ref="AS147:AT147"/>
    <mergeCell ref="AS148:AT148"/>
    <mergeCell ref="AS149:AT149"/>
    <mergeCell ref="AS150:AT150"/>
    <mergeCell ref="AS151:AT151"/>
    <mergeCell ref="AS152:AT152"/>
    <mergeCell ref="AS135:AT135"/>
    <mergeCell ref="AS136:AT136"/>
    <mergeCell ref="AS137:AT137"/>
    <mergeCell ref="AS138:AT138"/>
    <mergeCell ref="AS139:AT139"/>
    <mergeCell ref="AS140:AT140"/>
    <mergeCell ref="AS123:AT123"/>
    <mergeCell ref="AS124:AT124"/>
    <mergeCell ref="AS141:AT141"/>
    <mergeCell ref="AS142:AT142"/>
    <mergeCell ref="AS143:AT143"/>
    <mergeCell ref="AS125:AT125"/>
    <mergeCell ref="AS126:AT126"/>
    <mergeCell ref="AS127:AT127"/>
    <mergeCell ref="AS128:AT128"/>
    <mergeCell ref="AS129:AT129"/>
    <mergeCell ref="AS130:AT130"/>
    <mergeCell ref="AS131:AT131"/>
    <mergeCell ref="AS133:AT133"/>
    <mergeCell ref="AS134:AT134"/>
    <mergeCell ref="AS120:AT120"/>
    <mergeCell ref="G118:J118"/>
    <mergeCell ref="G119:J119"/>
    <mergeCell ref="G107:H107"/>
    <mergeCell ref="I107:J107"/>
    <mergeCell ref="G109:H109"/>
    <mergeCell ref="I109:J109"/>
    <mergeCell ref="AS121:AT121"/>
    <mergeCell ref="AS122:AT122"/>
    <mergeCell ref="G133:J133"/>
    <mergeCell ref="G134:J134"/>
    <mergeCell ref="G135:J135"/>
    <mergeCell ref="G136:J136"/>
    <mergeCell ref="AS64:AV64"/>
    <mergeCell ref="AS62:AV63"/>
    <mergeCell ref="G117:K117"/>
    <mergeCell ref="G127:J127"/>
    <mergeCell ref="G120:J120"/>
    <mergeCell ref="G125:J125"/>
    <mergeCell ref="G126:J126"/>
    <mergeCell ref="N72:O72"/>
    <mergeCell ref="N73:O73"/>
    <mergeCell ref="N74:O74"/>
    <mergeCell ref="N67:O67"/>
    <mergeCell ref="N68:O68"/>
    <mergeCell ref="N69:O69"/>
    <mergeCell ref="N70:O70"/>
    <mergeCell ref="N71:O71"/>
    <mergeCell ref="G121:J121"/>
    <mergeCell ref="AU115:AV120"/>
    <mergeCell ref="AS117:AT117"/>
    <mergeCell ref="AS118:AT118"/>
    <mergeCell ref="AS119:AT119"/>
    <mergeCell ref="AS60:AV61"/>
    <mergeCell ref="AS58:AV59"/>
    <mergeCell ref="AS55:AV57"/>
    <mergeCell ref="G99:K101"/>
    <mergeCell ref="G103:K105"/>
    <mergeCell ref="AS102:AT107"/>
    <mergeCell ref="AS109:AT114"/>
    <mergeCell ref="AU81:AV86"/>
    <mergeCell ref="AU88:AV93"/>
    <mergeCell ref="AU95:AV100"/>
    <mergeCell ref="AU102:AV107"/>
    <mergeCell ref="AU109:AV114"/>
    <mergeCell ref="AS81:AT86"/>
    <mergeCell ref="AS88:AT93"/>
    <mergeCell ref="AS95:AT100"/>
    <mergeCell ref="I112:J112"/>
    <mergeCell ref="AU67:AV72"/>
    <mergeCell ref="AU74:AV79"/>
    <mergeCell ref="AS67:AT72"/>
    <mergeCell ref="G139:J139"/>
    <mergeCell ref="B138:E138"/>
    <mergeCell ref="B139:E139"/>
    <mergeCell ref="G128:J128"/>
    <mergeCell ref="G129:J129"/>
    <mergeCell ref="B126:E126"/>
    <mergeCell ref="G122:J122"/>
    <mergeCell ref="G123:J123"/>
    <mergeCell ref="G124:J124"/>
    <mergeCell ref="G132:J132"/>
    <mergeCell ref="G137:J137"/>
    <mergeCell ref="G138:J138"/>
    <mergeCell ref="B127:E127"/>
    <mergeCell ref="B128:E128"/>
    <mergeCell ref="B129:E129"/>
    <mergeCell ref="B130:E130"/>
    <mergeCell ref="B131:E131"/>
    <mergeCell ref="B132:E132"/>
    <mergeCell ref="B133:E133"/>
    <mergeCell ref="B134:E134"/>
    <mergeCell ref="B135:E135"/>
    <mergeCell ref="G130:J130"/>
    <mergeCell ref="B136:E136"/>
    <mergeCell ref="B137:E137"/>
    <mergeCell ref="B119:D119"/>
    <mergeCell ref="B120:D120"/>
    <mergeCell ref="B121:D121"/>
    <mergeCell ref="B106:C106"/>
    <mergeCell ref="B107:C107"/>
    <mergeCell ref="B108:C108"/>
    <mergeCell ref="B122:D122"/>
    <mergeCell ref="B123:D123"/>
    <mergeCell ref="B124:D124"/>
    <mergeCell ref="B115:D115"/>
    <mergeCell ref="B118:D118"/>
    <mergeCell ref="B117:E117"/>
    <mergeCell ref="F24:H27"/>
    <mergeCell ref="G92:H92"/>
    <mergeCell ref="F22:H22"/>
    <mergeCell ref="B22:D22"/>
    <mergeCell ref="B83:H83"/>
    <mergeCell ref="B85:H85"/>
    <mergeCell ref="B74:C74"/>
    <mergeCell ref="F60:K60"/>
    <mergeCell ref="F61:K61"/>
    <mergeCell ref="F62:K62"/>
    <mergeCell ref="F63:K63"/>
    <mergeCell ref="F64:K64"/>
    <mergeCell ref="F65:K65"/>
    <mergeCell ref="F66:K66"/>
    <mergeCell ref="F67:K67"/>
    <mergeCell ref="F68:K68"/>
    <mergeCell ref="F69:K69"/>
    <mergeCell ref="F70:K70"/>
    <mergeCell ref="F71:K71"/>
    <mergeCell ref="F72:K72"/>
    <mergeCell ref="F73:K73"/>
    <mergeCell ref="F74:K74"/>
    <mergeCell ref="B78:E78"/>
    <mergeCell ref="B103:C103"/>
    <mergeCell ref="C2:H2"/>
    <mergeCell ref="C4:H4"/>
    <mergeCell ref="C6:H6"/>
    <mergeCell ref="F89:G89"/>
    <mergeCell ref="B64:C64"/>
    <mergeCell ref="B65:C65"/>
    <mergeCell ref="C99:D99"/>
    <mergeCell ref="C100:D100"/>
    <mergeCell ref="B89:C89"/>
    <mergeCell ref="B69:C69"/>
    <mergeCell ref="B70:C70"/>
    <mergeCell ref="B71:C71"/>
    <mergeCell ref="B72:C72"/>
    <mergeCell ref="B73:C73"/>
    <mergeCell ref="B17:C17"/>
    <mergeCell ref="E17:F17"/>
    <mergeCell ref="B67:C67"/>
    <mergeCell ref="B68:C68"/>
    <mergeCell ref="B60:C60"/>
    <mergeCell ref="B61:C61"/>
    <mergeCell ref="B62:C62"/>
    <mergeCell ref="B63:C63"/>
    <mergeCell ref="B24:D27"/>
    <mergeCell ref="N24:P24"/>
    <mergeCell ref="M26:P26"/>
    <mergeCell ref="N28:P28"/>
    <mergeCell ref="M66:Q66"/>
    <mergeCell ref="M40:Q40"/>
    <mergeCell ref="M6:P6"/>
    <mergeCell ref="M7:P8"/>
    <mergeCell ref="M3:N3"/>
    <mergeCell ref="M22:P22"/>
    <mergeCell ref="M21:Q21"/>
  </mergeCells>
  <conditionalFormatting sqref="P15">
    <cfRule type="cellIs" dxfId="31" priority="14" operator="greaterThan">
      <formula>15</formula>
    </cfRule>
  </conditionalFormatting>
  <conditionalFormatting sqref="P10:P14">
    <cfRule type="cellIs" dxfId="30" priority="13" operator="greaterThan">
      <formula>5</formula>
    </cfRule>
  </conditionalFormatting>
  <conditionalFormatting sqref="M1:Q1048576">
    <cfRule type="expression" dxfId="29" priority="12">
      <formula>$M$3=$T$3</formula>
    </cfRule>
  </conditionalFormatting>
  <conditionalFormatting sqref="N10:O14 N24:P24 N28:P28 N42:N57 P83 P85">
    <cfRule type="expression" dxfId="28" priority="11">
      <formula>$M$3=$T$3</formula>
    </cfRule>
  </conditionalFormatting>
  <conditionalFormatting sqref="O102:P102 O99:P99 N67:O74">
    <cfRule type="expression" dxfId="27" priority="10">
      <formula>$M$3=$T$3</formula>
    </cfRule>
  </conditionalFormatting>
  <conditionalFormatting sqref="H94">
    <cfRule type="expression" dxfId="26" priority="7">
      <formula>$M$3=$T$3</formula>
    </cfRule>
  </conditionalFormatting>
  <conditionalFormatting sqref="H95">
    <cfRule type="expression" dxfId="25" priority="6">
      <formula>$H$94="yes"</formula>
    </cfRule>
  </conditionalFormatting>
  <conditionalFormatting sqref="I107:J107">
    <cfRule type="expression" dxfId="24" priority="5">
      <formula>$G$107&lt;&gt;""</formula>
    </cfRule>
  </conditionalFormatting>
  <conditionalFormatting sqref="I109:J109">
    <cfRule type="expression" dxfId="16" priority="4">
      <formula>$G$109&lt;&gt;""</formula>
    </cfRule>
  </conditionalFormatting>
  <conditionalFormatting sqref="B115:D115 E118:E122 L115:L119 K118:K122">
    <cfRule type="expression" dxfId="23" priority="543">
      <formula>$B$112=$AG$118</formula>
    </cfRule>
  </conditionalFormatting>
  <conditionalFormatting sqref="G133:J139">
    <cfRule type="expression" dxfId="22" priority="549">
      <formula>$B$112=$AM$118</formula>
    </cfRule>
  </conditionalFormatting>
  <conditionalFormatting sqref="B126:E139">
    <cfRule type="expression" dxfId="21" priority="552">
      <formula>OR($B$112=$AM$118,$B$112=$AN$118)</formula>
    </cfRule>
  </conditionalFormatting>
  <conditionalFormatting sqref="I112:J112 B115:D115">
    <cfRule type="expression" dxfId="20" priority="553">
      <formula>$B$112=$AN$118</formula>
    </cfRule>
  </conditionalFormatting>
  <conditionalFormatting sqref="B118:D124">
    <cfRule type="expression" dxfId="19" priority="3">
      <formula>$B$117&lt;&gt;""</formula>
    </cfRule>
  </conditionalFormatting>
  <conditionalFormatting sqref="G118:J130">
    <cfRule type="expression" dxfId="18" priority="2">
      <formula>$G$117&lt;&gt;""</formula>
    </cfRule>
  </conditionalFormatting>
  <conditionalFormatting sqref="K111">
    <cfRule type="expression" dxfId="17" priority="1">
      <formula>$M$3=$T$3</formula>
    </cfRule>
  </conditionalFormatting>
  <dataValidations count="18">
    <dataValidation type="whole" operator="lessThanOrEqual" allowBlank="1" showInputMessage="1" showErrorMessage="1" sqref="D42:D57">
      <formula1>5</formula1>
    </dataValidation>
    <dataValidation type="whole" operator="lessThanOrEqual" allowBlank="1" showInputMessage="1" showErrorMessage="1" sqref="D10:D14">
      <formula1>2</formula1>
    </dataValidation>
    <dataValidation type="list" allowBlank="1" showInputMessage="1" showErrorMessage="1" sqref="E17">
      <formula1>$AC$44:$AC$45</formula1>
    </dataValidation>
    <dataValidation type="list" allowBlank="1" showInputMessage="1" showErrorMessage="1" sqref="B115:D115">
      <formula1>$V$145:$V$164</formula1>
    </dataValidation>
    <dataValidation type="list" allowBlank="1" showInputMessage="1" showErrorMessage="1" sqref="B118:D124">
      <formula1>$S$145:$S$154</formula1>
    </dataValidation>
    <dataValidation type="list" allowBlank="1" showInputMessage="1" showErrorMessage="1" sqref="M3 H94 K111">
      <formula1>$T$2:$T$3</formula1>
    </dataValidation>
    <dataValidation type="list" allowBlank="1" showInputMessage="1" showErrorMessage="1" sqref="B17">
      <formula1>$AA$9:$AA$23</formula1>
    </dataValidation>
    <dataValidation type="list" allowBlank="1" showInputMessage="1" showErrorMessage="1" sqref="B22:C22 F22:G22">
      <formula1>$AB$79:$AB$119</formula1>
    </dataValidation>
    <dataValidation type="list" allowBlank="1" showInputMessage="1" showErrorMessage="1" sqref="C99:D99 O99:P99 I107:J107">
      <formula1>$S$119:$S$141</formula1>
    </dataValidation>
    <dataValidation type="list" allowBlank="1" showInputMessage="1" showErrorMessage="1" sqref="C100:D100 O102:P102">
      <formula1>$V$119:$V$141</formula1>
    </dataValidation>
    <dataValidation type="list" allowBlank="1" showInputMessage="1" showErrorMessage="1" sqref="G78">
      <formula1>$AB$66:$AB$76</formula1>
    </dataValidation>
    <dataValidation type="list" allowBlank="1" showInputMessage="1" showErrorMessage="1" sqref="B103:C103">
      <formula1>$AB$122:$AB$133</formula1>
    </dataValidation>
    <dataValidation type="list" allowBlank="1" showInputMessage="1" showErrorMessage="1" sqref="B106:C108">
      <formula1>$AB$136:$AB$150</formula1>
    </dataValidation>
    <dataValidation type="list" allowBlank="1" showInputMessage="1" showErrorMessage="1" sqref="I109:J109">
      <formula1>$AB$152:$AB$154</formula1>
    </dataValidation>
    <dataValidation type="list" allowBlank="1" showInputMessage="1" showErrorMessage="1" sqref="G118:J130">
      <formula1>$T$145:$T$164</formula1>
    </dataValidation>
    <dataValidation type="list" allowBlank="1" showInputMessage="1" showErrorMessage="1" sqref="J3">
      <formula1>$U$2:$U$3</formula1>
    </dataValidation>
    <dataValidation type="list" allowBlank="1" showInputMessage="1" showErrorMessage="1" sqref="B67:C74 N67:O74">
      <formula1>$S$10:$S$112</formula1>
    </dataValidation>
    <dataValidation type="list" allowBlank="1" showInputMessage="1" showErrorMessage="1" sqref="B94:B96">
      <formula1>$Y$146:$Y$158</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172"/>
  <sheetViews>
    <sheetView topLeftCell="B1" workbookViewId="0">
      <selection activeCell="B1" sqref="B1"/>
    </sheetView>
  </sheetViews>
  <sheetFormatPr defaultRowHeight="15"/>
  <cols>
    <col min="1" max="1" width="2.140625" customWidth="1"/>
    <col min="2" max="2" width="12.28515625" customWidth="1"/>
    <col min="4" max="4" width="7" customWidth="1"/>
    <col min="6" max="6" width="2" bestFit="1" customWidth="1"/>
    <col min="7" max="7" width="0.7109375" customWidth="1"/>
    <col min="8" max="8" width="2" customWidth="1"/>
    <col min="9" max="9" width="0.7109375" customWidth="1"/>
    <col min="10" max="10" width="2" customWidth="1"/>
    <col min="11" max="11" width="0.7109375" customWidth="1"/>
    <col min="12" max="12" width="2" customWidth="1"/>
    <col min="13" max="13" width="0.7109375" customWidth="1"/>
    <col min="14" max="14" width="2" customWidth="1"/>
    <col min="16" max="16" width="2" bestFit="1" customWidth="1"/>
    <col min="17" max="17" width="5.42578125" customWidth="1"/>
    <col min="18" max="18" width="8.28515625" bestFit="1" customWidth="1"/>
    <col min="19" max="19" width="12" customWidth="1"/>
    <col min="20" max="20" width="2.140625" customWidth="1"/>
  </cols>
  <sheetData>
    <row r="2" spans="2:24">
      <c r="B2" t="s">
        <v>368</v>
      </c>
      <c r="C2" s="274">
        <f>builder!C2</f>
        <v>0</v>
      </c>
      <c r="D2" s="274"/>
      <c r="E2" s="274"/>
      <c r="F2" s="274"/>
      <c r="G2" s="274"/>
      <c r="H2" s="274"/>
      <c r="I2" s="274"/>
      <c r="J2" s="274"/>
      <c r="K2" s="274"/>
      <c r="L2" s="274"/>
      <c r="M2" s="274"/>
      <c r="N2" s="274"/>
      <c r="O2" s="274"/>
      <c r="P2" s="274"/>
      <c r="Q2" s="274"/>
      <c r="R2" s="274"/>
      <c r="S2" s="274"/>
    </row>
    <row r="3" spans="2:24">
      <c r="B3" t="s">
        <v>369</v>
      </c>
      <c r="C3" s="274">
        <f>builder!C4</f>
        <v>0</v>
      </c>
      <c r="D3" s="274"/>
      <c r="E3" s="274"/>
      <c r="F3" s="274"/>
      <c r="G3" s="274"/>
      <c r="H3" s="274"/>
      <c r="I3" s="274"/>
      <c r="J3" s="274"/>
      <c r="K3" s="274"/>
      <c r="L3" s="274"/>
      <c r="M3" s="274"/>
      <c r="N3" s="274"/>
      <c r="O3" s="274"/>
      <c r="P3" s="274"/>
      <c r="Q3" s="274"/>
      <c r="R3" s="274"/>
      <c r="S3" s="274"/>
    </row>
    <row r="4" spans="2:24">
      <c r="B4" t="s">
        <v>370</v>
      </c>
      <c r="C4" s="274">
        <f>builder!C6</f>
        <v>0</v>
      </c>
      <c r="D4" s="274"/>
      <c r="E4" s="274"/>
      <c r="F4" s="274"/>
      <c r="G4" s="274"/>
      <c r="H4" s="274"/>
      <c r="I4" s="274"/>
      <c r="J4" s="274"/>
      <c r="K4" s="274"/>
      <c r="L4" s="274"/>
      <c r="M4" s="274"/>
      <c r="N4" s="274"/>
      <c r="O4" s="274"/>
      <c r="P4" s="274"/>
      <c r="Q4" s="274"/>
      <c r="R4" s="274"/>
      <c r="S4" s="274"/>
    </row>
    <row r="5" spans="2:24">
      <c r="B5" t="s">
        <v>371</v>
      </c>
      <c r="C5" s="27">
        <f>builder!B17</f>
        <v>0</v>
      </c>
      <c r="F5" s="289" t="s">
        <v>88</v>
      </c>
      <c r="G5" s="290"/>
      <c r="H5" s="290"/>
      <c r="I5" s="290"/>
      <c r="J5" s="290"/>
      <c r="K5" s="290"/>
      <c r="L5" s="290"/>
      <c r="M5" s="290"/>
      <c r="N5" s="290"/>
      <c r="O5" s="291"/>
      <c r="R5" t="str">
        <f>builder!J3</f>
        <v>Hero</v>
      </c>
      <c r="W5" s="61"/>
      <c r="X5" s="61"/>
    </row>
    <row r="6" spans="2:24">
      <c r="B6" t="s">
        <v>372</v>
      </c>
      <c r="C6" s="27">
        <f>builder!F89</f>
        <v>0</v>
      </c>
      <c r="F6" s="296" t="str">
        <f>IF(builder!B92&lt;&gt;"--",builder!B92,"")</f>
        <v>Old Thean</v>
      </c>
      <c r="G6" s="295"/>
      <c r="H6" s="295"/>
      <c r="I6" s="295"/>
      <c r="J6" s="295"/>
      <c r="K6" s="295"/>
      <c r="L6" s="295"/>
      <c r="M6" s="295"/>
      <c r="N6" s="302" t="str">
        <f>IF(builder!B94&lt;&gt;"",builder!B94,"")</f>
        <v/>
      </c>
      <c r="O6" s="303"/>
    </row>
    <row r="7" spans="2:24">
      <c r="B7" t="s">
        <v>373</v>
      </c>
      <c r="C7" s="27">
        <f>builder!B89</f>
        <v>0</v>
      </c>
      <c r="F7" s="296" t="e">
        <f>IF(builder!B93&lt;&gt;"--",builder!B93,"")</f>
        <v>#N/A</v>
      </c>
      <c r="G7" s="295"/>
      <c r="H7" s="295"/>
      <c r="I7" s="295"/>
      <c r="J7" s="295"/>
      <c r="K7" s="295"/>
      <c r="L7" s="295"/>
      <c r="M7" s="295"/>
      <c r="N7" s="302" t="str">
        <f>IF(builder!B95&lt;&gt;"",builder!B95,"")</f>
        <v/>
      </c>
      <c r="O7" s="303"/>
    </row>
    <row r="8" spans="2:24">
      <c r="B8" t="s">
        <v>374</v>
      </c>
      <c r="C8" s="27">
        <f>builder!G92</f>
        <v>0</v>
      </c>
      <c r="F8" s="299" t="str">
        <f>IF(builder!B92&lt;&gt;"--",IF(builder!B96&lt;&gt;"",builder!B96,""),builder!C93)</f>
        <v/>
      </c>
      <c r="G8" s="300"/>
      <c r="H8" s="300"/>
      <c r="I8" s="300"/>
      <c r="J8" s="300"/>
      <c r="K8" s="300"/>
      <c r="L8" s="300"/>
      <c r="M8" s="300"/>
      <c r="N8" s="300"/>
      <c r="O8" s="301"/>
    </row>
    <row r="10" spans="2:24">
      <c r="B10" s="16" t="s">
        <v>18</v>
      </c>
      <c r="C10" s="4"/>
      <c r="D10" s="4"/>
      <c r="E10" s="4"/>
      <c r="F10" s="4"/>
      <c r="G10" s="4"/>
      <c r="H10" s="4"/>
      <c r="I10" s="4"/>
      <c r="J10" s="4"/>
      <c r="K10" s="4"/>
      <c r="L10" s="4"/>
      <c r="M10" s="4"/>
      <c r="N10" s="4"/>
      <c r="O10" s="4"/>
      <c r="P10" s="4"/>
      <c r="Q10" s="4"/>
      <c r="R10" s="4"/>
      <c r="S10" s="59"/>
    </row>
    <row r="11" spans="2:24">
      <c r="B11" s="6" t="s">
        <v>375</v>
      </c>
      <c r="C11" s="295">
        <f>IF(builder!O99&lt;&gt;"",builder!O99,builder!C99)</f>
        <v>0</v>
      </c>
      <c r="D11" s="295"/>
      <c r="E11" s="25" t="str">
        <f>builder!E99</f>
        <v/>
      </c>
      <c r="F11" s="25"/>
      <c r="G11" s="25"/>
      <c r="H11" s="25"/>
      <c r="I11" s="25"/>
      <c r="J11" s="25"/>
      <c r="K11" s="25"/>
      <c r="L11" s="25"/>
      <c r="M11" s="25"/>
      <c r="N11" s="302" t="str">
        <f>builder!G107</f>
        <v/>
      </c>
      <c r="O11" s="302"/>
      <c r="P11" s="334" t="str">
        <f>IF(builder!I107&lt;&gt;"",builder!I107,"")</f>
        <v/>
      </c>
      <c r="Q11" s="334"/>
      <c r="R11" s="334"/>
      <c r="S11" s="8"/>
      <c r="V11" s="168"/>
    </row>
    <row r="12" spans="2:24" ht="15" customHeight="1">
      <c r="B12" s="310" t="e">
        <f>VLOOKUP(C11,builder!$S$119:$U$141,3)</f>
        <v>#N/A</v>
      </c>
      <c r="C12" s="311"/>
      <c r="D12" s="311"/>
      <c r="E12" s="311"/>
      <c r="F12" s="311"/>
      <c r="G12" s="311"/>
      <c r="H12" s="311"/>
      <c r="I12" s="311"/>
      <c r="J12" s="311"/>
      <c r="K12" s="311"/>
      <c r="L12" s="311"/>
      <c r="M12" s="311"/>
      <c r="N12" s="311"/>
      <c r="O12" s="311"/>
      <c r="P12" s="311"/>
      <c r="Q12" s="311"/>
      <c r="R12" s="311"/>
      <c r="S12" s="312"/>
      <c r="V12" s="168"/>
    </row>
    <row r="13" spans="2:24">
      <c r="B13" s="310"/>
      <c r="C13" s="311"/>
      <c r="D13" s="311"/>
      <c r="E13" s="311"/>
      <c r="F13" s="311"/>
      <c r="G13" s="311"/>
      <c r="H13" s="311"/>
      <c r="I13" s="311"/>
      <c r="J13" s="311"/>
      <c r="K13" s="311"/>
      <c r="L13" s="311"/>
      <c r="M13" s="311"/>
      <c r="N13" s="311"/>
      <c r="O13" s="311"/>
      <c r="P13" s="311"/>
      <c r="Q13" s="311"/>
      <c r="R13" s="311"/>
      <c r="S13" s="312"/>
      <c r="V13" s="168"/>
    </row>
    <row r="14" spans="2:24">
      <c r="B14" s="6" t="s">
        <v>376</v>
      </c>
      <c r="C14" s="295">
        <f>IF(builder!O102&lt;&gt;"",builder!O102,builder!C100)</f>
        <v>0</v>
      </c>
      <c r="D14" s="295"/>
      <c r="E14" s="25" t="str">
        <f>builder!E100</f>
        <v/>
      </c>
      <c r="F14" s="25"/>
      <c r="G14" s="25"/>
      <c r="H14" s="25"/>
      <c r="I14" s="25"/>
      <c r="J14" s="25"/>
      <c r="K14" s="25"/>
      <c r="L14" s="25"/>
      <c r="M14" s="25"/>
      <c r="N14" s="25"/>
      <c r="O14" s="25"/>
      <c r="P14" s="25"/>
      <c r="Q14" s="25"/>
      <c r="R14" s="25"/>
      <c r="S14" s="8"/>
      <c r="V14" s="168"/>
    </row>
    <row r="15" spans="2:24" ht="15" customHeight="1">
      <c r="B15" s="304" t="e">
        <f>VLOOKUP(C14,builder!$V$119:$X$141,3)</f>
        <v>#N/A</v>
      </c>
      <c r="C15" s="305"/>
      <c r="D15" s="305"/>
      <c r="E15" s="305"/>
      <c r="F15" s="305"/>
      <c r="G15" s="305"/>
      <c r="H15" s="305"/>
      <c r="I15" s="305"/>
      <c r="J15" s="305"/>
      <c r="K15" s="305"/>
      <c r="L15" s="305"/>
      <c r="M15" s="305"/>
      <c r="N15" s="305"/>
      <c r="O15" s="305"/>
      <c r="P15" s="305"/>
      <c r="Q15" s="305"/>
      <c r="R15" s="305"/>
      <c r="S15" s="306"/>
    </row>
    <row r="16" spans="2:24">
      <c r="B16" s="307"/>
      <c r="C16" s="308"/>
      <c r="D16" s="308"/>
      <c r="E16" s="308"/>
      <c r="F16" s="308"/>
      <c r="G16" s="308"/>
      <c r="H16" s="308"/>
      <c r="I16" s="308"/>
      <c r="J16" s="308"/>
      <c r="K16" s="308"/>
      <c r="L16" s="308"/>
      <c r="M16" s="308"/>
      <c r="N16" s="308"/>
      <c r="O16" s="308"/>
      <c r="P16" s="308"/>
      <c r="Q16" s="308"/>
      <c r="R16" s="308"/>
      <c r="S16" s="309"/>
    </row>
    <row r="18" spans="2:22">
      <c r="B18" s="292" t="s">
        <v>107</v>
      </c>
      <c r="C18" s="294"/>
      <c r="E18" s="292" t="s">
        <v>92</v>
      </c>
      <c r="F18" s="293"/>
      <c r="G18" s="293"/>
      <c r="H18" s="293"/>
      <c r="I18" s="293"/>
      <c r="J18" s="293"/>
      <c r="K18" s="293"/>
      <c r="L18" s="293"/>
      <c r="M18" s="293"/>
      <c r="N18" s="293"/>
      <c r="O18" s="293"/>
      <c r="P18" s="294"/>
      <c r="R18" s="292" t="s">
        <v>79</v>
      </c>
      <c r="S18" s="294"/>
      <c r="V18" s="168"/>
    </row>
    <row r="19" spans="2:22">
      <c r="B19" s="6" t="s">
        <v>102</v>
      </c>
      <c r="C19" s="29">
        <f>builder!F10</f>
        <v>2</v>
      </c>
      <c r="E19" s="316" t="s">
        <v>93</v>
      </c>
      <c r="F19" s="317"/>
      <c r="G19" s="22"/>
      <c r="H19" s="31">
        <f>builder!O42</f>
        <v>0</v>
      </c>
      <c r="I19" s="22"/>
      <c r="J19" s="22"/>
      <c r="K19" s="22"/>
      <c r="L19" s="317" t="s">
        <v>217</v>
      </c>
      <c r="M19" s="317"/>
      <c r="N19" s="317"/>
      <c r="O19" s="317"/>
      <c r="P19" s="29">
        <f>builder!O50</f>
        <v>0</v>
      </c>
      <c r="R19" s="3" t="s">
        <v>386</v>
      </c>
      <c r="S19" s="178">
        <f>builder!B78</f>
        <v>0</v>
      </c>
      <c r="V19" s="168"/>
    </row>
    <row r="20" spans="2:22">
      <c r="B20" s="6" t="s">
        <v>103</v>
      </c>
      <c r="C20" s="29">
        <f>builder!F11</f>
        <v>2</v>
      </c>
      <c r="E20" s="287" t="s">
        <v>94</v>
      </c>
      <c r="F20" s="288"/>
      <c r="G20" s="22"/>
      <c r="H20" s="31">
        <f>builder!O43</f>
        <v>0</v>
      </c>
      <c r="I20" s="22"/>
      <c r="J20" s="22"/>
      <c r="K20" s="22"/>
      <c r="L20" s="288" t="s">
        <v>218</v>
      </c>
      <c r="M20" s="288"/>
      <c r="N20" s="288"/>
      <c r="O20" s="288"/>
      <c r="P20" s="29">
        <f>builder!O51</f>
        <v>0</v>
      </c>
      <c r="R20" s="6" t="s">
        <v>971</v>
      </c>
      <c r="S20" s="179">
        <f>builder!G78</f>
        <v>0</v>
      </c>
      <c r="V20" s="168"/>
    </row>
    <row r="21" spans="2:22">
      <c r="B21" s="6" t="s">
        <v>104</v>
      </c>
      <c r="C21" s="29">
        <f>builder!F12</f>
        <v>2</v>
      </c>
      <c r="E21" s="287" t="s">
        <v>95</v>
      </c>
      <c r="F21" s="288"/>
      <c r="G21" s="22"/>
      <c r="H21" s="31">
        <f>builder!O44</f>
        <v>0</v>
      </c>
      <c r="I21" s="22"/>
      <c r="J21" s="22"/>
      <c r="K21" s="22"/>
      <c r="L21" s="288" t="s">
        <v>219</v>
      </c>
      <c r="M21" s="288"/>
      <c r="N21" s="288"/>
      <c r="O21" s="288"/>
      <c r="P21" s="29">
        <f>builder!O52</f>
        <v>0</v>
      </c>
      <c r="R21" s="6" t="s">
        <v>389</v>
      </c>
      <c r="S21" s="179">
        <f>builder!B81</f>
        <v>0</v>
      </c>
      <c r="V21" s="168"/>
    </row>
    <row r="22" spans="2:22">
      <c r="B22" s="6" t="s">
        <v>105</v>
      </c>
      <c r="C22" s="29">
        <f>builder!F13</f>
        <v>2</v>
      </c>
      <c r="E22" s="287" t="s">
        <v>96</v>
      </c>
      <c r="F22" s="288"/>
      <c r="G22" s="22"/>
      <c r="H22" s="31">
        <f>builder!O45</f>
        <v>0</v>
      </c>
      <c r="I22" s="22"/>
      <c r="J22" s="22"/>
      <c r="K22" s="22"/>
      <c r="L22" s="288" t="s">
        <v>220</v>
      </c>
      <c r="M22" s="288"/>
      <c r="N22" s="288"/>
      <c r="O22" s="288"/>
      <c r="P22" s="29">
        <f>builder!O53</f>
        <v>0</v>
      </c>
      <c r="R22" s="6" t="s">
        <v>387</v>
      </c>
      <c r="S22" s="179">
        <f>builder!B83</f>
        <v>0</v>
      </c>
    </row>
    <row r="23" spans="2:22">
      <c r="B23" s="9" t="s">
        <v>106</v>
      </c>
      <c r="C23" s="30">
        <f>builder!F14</f>
        <v>2</v>
      </c>
      <c r="E23" s="287" t="s">
        <v>213</v>
      </c>
      <c r="F23" s="288"/>
      <c r="G23" s="22"/>
      <c r="H23" s="31">
        <f>builder!O46</f>
        <v>0</v>
      </c>
      <c r="I23" s="22"/>
      <c r="J23" s="22"/>
      <c r="K23" s="22"/>
      <c r="L23" s="288" t="s">
        <v>221</v>
      </c>
      <c r="M23" s="288"/>
      <c r="N23" s="288"/>
      <c r="O23" s="288"/>
      <c r="P23" s="29">
        <f>builder!O54</f>
        <v>0</v>
      </c>
      <c r="R23" s="6" t="s">
        <v>388</v>
      </c>
      <c r="S23" s="179">
        <f>builder!B85</f>
        <v>0</v>
      </c>
    </row>
    <row r="24" spans="2:22">
      <c r="E24" s="287" t="s">
        <v>214</v>
      </c>
      <c r="F24" s="288"/>
      <c r="G24" s="22"/>
      <c r="H24" s="31">
        <f>builder!O47</f>
        <v>0</v>
      </c>
      <c r="I24" s="22"/>
      <c r="J24" s="22"/>
      <c r="K24" s="22"/>
      <c r="L24" s="288" t="s">
        <v>222</v>
      </c>
      <c r="M24" s="288"/>
      <c r="N24" s="288"/>
      <c r="O24" s="288"/>
      <c r="P24" s="29">
        <f>builder!O55</f>
        <v>0</v>
      </c>
      <c r="R24" s="6"/>
      <c r="S24" s="8"/>
    </row>
    <row r="25" spans="2:22">
      <c r="B25" s="297" t="s">
        <v>378</v>
      </c>
      <c r="C25" s="298"/>
      <c r="E25" s="287" t="s">
        <v>215</v>
      </c>
      <c r="F25" s="288"/>
      <c r="G25" s="22"/>
      <c r="H25" s="31">
        <f>builder!O48</f>
        <v>0</v>
      </c>
      <c r="I25" s="22"/>
      <c r="J25" s="22"/>
      <c r="K25" s="22"/>
      <c r="L25" s="288" t="s">
        <v>223</v>
      </c>
      <c r="M25" s="288"/>
      <c r="N25" s="288"/>
      <c r="O25" s="288"/>
      <c r="P25" s="29">
        <f>builder!O56</f>
        <v>0</v>
      </c>
      <c r="R25" s="6"/>
      <c r="S25" s="8"/>
    </row>
    <row r="26" spans="2:22">
      <c r="B26" s="313">
        <f>builder!B103</f>
        <v>0</v>
      </c>
      <c r="C26" s="314"/>
      <c r="E26" s="318" t="s">
        <v>216</v>
      </c>
      <c r="F26" s="315"/>
      <c r="G26" s="23"/>
      <c r="H26" s="32">
        <f>builder!O49</f>
        <v>0</v>
      </c>
      <c r="I26" s="23"/>
      <c r="J26" s="23"/>
      <c r="K26" s="23"/>
      <c r="L26" s="315" t="s">
        <v>224</v>
      </c>
      <c r="M26" s="315"/>
      <c r="N26" s="315"/>
      <c r="O26" s="315"/>
      <c r="P26" s="30">
        <f>builder!O57</f>
        <v>0</v>
      </c>
      <c r="R26" s="9"/>
      <c r="S26" s="11"/>
    </row>
    <row r="27" spans="2:22">
      <c r="B27" s="338" t="s">
        <v>1011</v>
      </c>
      <c r="C27" s="338"/>
      <c r="D27" s="300" t="s">
        <v>1012</v>
      </c>
      <c r="E27" s="300"/>
      <c r="F27" s="300"/>
      <c r="G27" s="300"/>
      <c r="H27" s="300"/>
      <c r="I27" s="300"/>
      <c r="J27" s="300"/>
      <c r="K27" s="300"/>
      <c r="L27" s="300"/>
      <c r="M27" s="300"/>
      <c r="N27" s="300"/>
      <c r="O27" s="300"/>
      <c r="P27" s="300"/>
      <c r="Q27" s="300"/>
      <c r="R27" s="337" t="s">
        <v>1013</v>
      </c>
      <c r="S27" s="337"/>
    </row>
    <row r="28" spans="2:22">
      <c r="B28" s="16" t="s">
        <v>97</v>
      </c>
      <c r="C28" s="4"/>
      <c r="D28" s="4"/>
      <c r="E28" s="4"/>
      <c r="F28" s="4"/>
      <c r="G28" s="4"/>
      <c r="H28" s="4"/>
      <c r="I28" s="4"/>
      <c r="J28" s="4"/>
      <c r="K28" s="4"/>
      <c r="L28" s="4"/>
      <c r="M28" s="4"/>
      <c r="N28" s="4"/>
      <c r="O28" s="4"/>
      <c r="P28" s="4"/>
      <c r="Q28" s="4"/>
      <c r="R28" s="4"/>
      <c r="S28" s="5"/>
    </row>
    <row r="29" spans="2:22">
      <c r="B29" s="296">
        <f>builder!B22</f>
        <v>0</v>
      </c>
      <c r="C29" s="295"/>
      <c r="D29" s="295"/>
      <c r="E29" s="7"/>
      <c r="F29" s="7"/>
      <c r="G29" s="7"/>
      <c r="H29" s="7"/>
      <c r="I29" s="7"/>
      <c r="J29" s="7"/>
      <c r="K29" s="7"/>
      <c r="L29" s="7"/>
      <c r="M29" s="7"/>
      <c r="N29" s="7"/>
      <c r="O29" s="7"/>
      <c r="P29" s="7"/>
      <c r="Q29" s="7"/>
      <c r="R29" s="7"/>
      <c r="S29" s="8"/>
    </row>
    <row r="30" spans="2:22">
      <c r="B30" s="275" t="e">
        <f>VLOOKUP(builder!$B$22,builder!$AF$9:$AQ$99,12)</f>
        <v>#N/A</v>
      </c>
      <c r="C30" s="276"/>
      <c r="D30" s="276"/>
      <c r="E30" s="276"/>
      <c r="F30" s="276"/>
      <c r="G30" s="276"/>
      <c r="H30" s="276"/>
      <c r="I30" s="276"/>
      <c r="J30" s="276"/>
      <c r="K30" s="276"/>
      <c r="L30" s="276"/>
      <c r="M30" s="276"/>
      <c r="N30" s="276"/>
      <c r="O30" s="276"/>
      <c r="P30" s="276"/>
      <c r="Q30" s="276"/>
      <c r="R30" s="276"/>
      <c r="S30" s="277"/>
    </row>
    <row r="31" spans="2:22">
      <c r="B31" s="275"/>
      <c r="C31" s="276"/>
      <c r="D31" s="276"/>
      <c r="E31" s="276"/>
      <c r="F31" s="276"/>
      <c r="G31" s="276"/>
      <c r="H31" s="276"/>
      <c r="I31" s="276"/>
      <c r="J31" s="276"/>
      <c r="K31" s="276"/>
      <c r="L31" s="276"/>
      <c r="M31" s="276"/>
      <c r="N31" s="276"/>
      <c r="O31" s="276"/>
      <c r="P31" s="276"/>
      <c r="Q31" s="276"/>
      <c r="R31" s="276"/>
      <c r="S31" s="277"/>
    </row>
    <row r="32" spans="2:22">
      <c r="B32" s="275" t="e">
        <f>CONCATENATE("Quirk: ",IF(builder!N24&lt;&gt;"",builder!N24,builder!B24))</f>
        <v>#N/A</v>
      </c>
      <c r="C32" s="276"/>
      <c r="D32" s="276"/>
      <c r="E32" s="276"/>
      <c r="F32" s="276"/>
      <c r="G32" s="276"/>
      <c r="H32" s="276"/>
      <c r="I32" s="276"/>
      <c r="J32" s="276"/>
      <c r="K32" s="276"/>
      <c r="L32" s="276"/>
      <c r="M32" s="276"/>
      <c r="N32" s="276"/>
      <c r="O32" s="276"/>
      <c r="P32" s="276"/>
      <c r="Q32" s="276"/>
      <c r="R32" s="276"/>
      <c r="S32" s="277"/>
    </row>
    <row r="33" spans="2:19">
      <c r="B33" s="275"/>
      <c r="C33" s="276"/>
      <c r="D33" s="276"/>
      <c r="E33" s="276"/>
      <c r="F33" s="276"/>
      <c r="G33" s="276"/>
      <c r="H33" s="276"/>
      <c r="I33" s="276"/>
      <c r="J33" s="276"/>
      <c r="K33" s="276"/>
      <c r="L33" s="276"/>
      <c r="M33" s="276"/>
      <c r="N33" s="276"/>
      <c r="O33" s="276"/>
      <c r="P33" s="276"/>
      <c r="Q33" s="276"/>
      <c r="R33" s="276"/>
      <c r="S33" s="277"/>
    </row>
    <row r="34" spans="2:19">
      <c r="B34" s="6"/>
      <c r="C34" s="7"/>
      <c r="D34" s="7"/>
      <c r="E34" s="7"/>
      <c r="F34" s="7"/>
      <c r="G34" s="7"/>
      <c r="H34" s="7"/>
      <c r="I34" s="7"/>
      <c r="J34" s="7"/>
      <c r="K34" s="7"/>
      <c r="L34" s="7"/>
      <c r="M34" s="7"/>
      <c r="N34" s="7"/>
      <c r="O34" s="7"/>
      <c r="P34" s="7"/>
      <c r="Q34" s="7"/>
      <c r="R34" s="7"/>
      <c r="S34" s="8"/>
    </row>
    <row r="35" spans="2:19">
      <c r="B35" s="296">
        <f>builder!F22</f>
        <v>0</v>
      </c>
      <c r="C35" s="295"/>
      <c r="D35" s="295"/>
      <c r="E35" s="7"/>
      <c r="F35" s="7"/>
      <c r="G35" s="7"/>
      <c r="H35" s="7"/>
      <c r="I35" s="7"/>
      <c r="J35" s="7"/>
      <c r="K35" s="7"/>
      <c r="L35" s="7"/>
      <c r="M35" s="7"/>
      <c r="N35" s="7"/>
      <c r="O35" s="7"/>
      <c r="P35" s="7"/>
      <c r="Q35" s="7"/>
      <c r="R35" s="7"/>
      <c r="S35" s="8"/>
    </row>
    <row r="36" spans="2:19">
      <c r="B36" s="275" t="e">
        <f>VLOOKUP(builder!$F$22,builder!$AF$9:$AQ$99,12)</f>
        <v>#N/A</v>
      </c>
      <c r="C36" s="276"/>
      <c r="D36" s="276"/>
      <c r="E36" s="276"/>
      <c r="F36" s="276"/>
      <c r="G36" s="276"/>
      <c r="H36" s="276"/>
      <c r="I36" s="276"/>
      <c r="J36" s="276"/>
      <c r="K36" s="276"/>
      <c r="L36" s="276"/>
      <c r="M36" s="276"/>
      <c r="N36" s="276"/>
      <c r="O36" s="276"/>
      <c r="P36" s="276"/>
      <c r="Q36" s="276"/>
      <c r="R36" s="276"/>
      <c r="S36" s="277"/>
    </row>
    <row r="37" spans="2:19">
      <c r="B37" s="275"/>
      <c r="C37" s="276"/>
      <c r="D37" s="276"/>
      <c r="E37" s="276"/>
      <c r="F37" s="276"/>
      <c r="G37" s="276"/>
      <c r="H37" s="276"/>
      <c r="I37" s="276"/>
      <c r="J37" s="276"/>
      <c r="K37" s="276"/>
      <c r="L37" s="276"/>
      <c r="M37" s="276"/>
      <c r="N37" s="276"/>
      <c r="O37" s="276"/>
      <c r="P37" s="276"/>
      <c r="Q37" s="276"/>
      <c r="R37" s="276"/>
      <c r="S37" s="277"/>
    </row>
    <row r="38" spans="2:19">
      <c r="B38" s="275" t="e">
        <f>CONCATENATE("Quirk: ",IF(builder!N28&lt;&gt;"",builder!N28,builder!F24))</f>
        <v>#N/A</v>
      </c>
      <c r="C38" s="276"/>
      <c r="D38" s="276"/>
      <c r="E38" s="276"/>
      <c r="F38" s="276"/>
      <c r="G38" s="276"/>
      <c r="H38" s="276"/>
      <c r="I38" s="276"/>
      <c r="J38" s="276"/>
      <c r="K38" s="276"/>
      <c r="L38" s="276"/>
      <c r="M38" s="276"/>
      <c r="N38" s="276"/>
      <c r="O38" s="276"/>
      <c r="P38" s="276"/>
      <c r="Q38" s="276"/>
      <c r="R38" s="276"/>
      <c r="S38" s="277"/>
    </row>
    <row r="39" spans="2:19">
      <c r="B39" s="278"/>
      <c r="C39" s="279"/>
      <c r="D39" s="279"/>
      <c r="E39" s="279"/>
      <c r="F39" s="279"/>
      <c r="G39" s="279"/>
      <c r="H39" s="279"/>
      <c r="I39" s="279"/>
      <c r="J39" s="279"/>
      <c r="K39" s="279"/>
      <c r="L39" s="279"/>
      <c r="M39" s="279"/>
      <c r="N39" s="279"/>
      <c r="O39" s="279"/>
      <c r="P39" s="279"/>
      <c r="Q39" s="279"/>
      <c r="R39" s="279"/>
      <c r="S39" s="280"/>
    </row>
    <row r="40" spans="2:19" ht="15.75" thickBot="1"/>
    <row r="41" spans="2:19" ht="15.75" thickBot="1">
      <c r="B41" t="s">
        <v>379</v>
      </c>
      <c r="E41" s="7"/>
      <c r="F41" s="15"/>
      <c r="G41" s="7"/>
      <c r="H41" s="15"/>
      <c r="I41" s="7"/>
      <c r="J41" s="15"/>
      <c r="K41" s="7"/>
      <c r="L41" s="15"/>
      <c r="M41" s="7"/>
      <c r="N41" s="28"/>
      <c r="Q41" s="335" t="b">
        <f>IF(builder!H94="yes","Ship's Charter")</f>
        <v>0</v>
      </c>
      <c r="R41" s="335"/>
    </row>
    <row r="42" spans="2:19" ht="4.5" customHeight="1" thickBot="1">
      <c r="E42" s="7"/>
      <c r="F42" s="7"/>
      <c r="G42" s="7"/>
      <c r="H42" s="7"/>
      <c r="I42" s="7"/>
      <c r="J42" s="7"/>
      <c r="K42" s="7"/>
      <c r="L42" s="7"/>
      <c r="M42" s="7"/>
      <c r="N42" s="7"/>
      <c r="Q42" s="197"/>
      <c r="R42" s="197"/>
    </row>
    <row r="43" spans="2:19" ht="15.75" thickBot="1">
      <c r="B43" t="s">
        <v>380</v>
      </c>
      <c r="E43" s="7"/>
      <c r="F43" s="15"/>
      <c r="G43" s="7"/>
      <c r="H43" s="15"/>
      <c r="I43" s="7"/>
      <c r="J43" s="15"/>
      <c r="K43" s="7"/>
      <c r="L43" s="15"/>
      <c r="M43" s="7"/>
      <c r="N43" s="28"/>
      <c r="Q43" s="335" t="str">
        <f>IF(Q41&lt;&gt;"",CONCATENATE(builder!H95," Signers"))</f>
        <v xml:space="preserve"> Signers</v>
      </c>
      <c r="R43" s="335"/>
    </row>
    <row r="44" spans="2:19" ht="4.5" customHeight="1" thickBot="1">
      <c r="E44" s="7"/>
      <c r="F44" s="7"/>
      <c r="G44" s="7"/>
      <c r="H44" s="7"/>
      <c r="I44" s="7"/>
      <c r="J44" s="7"/>
      <c r="K44" s="7"/>
      <c r="L44" s="7"/>
      <c r="M44" s="7"/>
      <c r="N44" s="7"/>
    </row>
    <row r="45" spans="2:19" ht="15.75" thickBot="1">
      <c r="B45" t="s">
        <v>381</v>
      </c>
      <c r="E45" s="7"/>
      <c r="F45" s="15"/>
      <c r="G45" s="7"/>
      <c r="H45" s="15"/>
      <c r="I45" s="7"/>
      <c r="J45" s="15"/>
      <c r="K45" s="7"/>
      <c r="L45" s="15"/>
      <c r="M45" s="7"/>
      <c r="N45" s="28"/>
    </row>
    <row r="46" spans="2:19" ht="4.5" customHeight="1" thickBot="1">
      <c r="E46" s="7"/>
      <c r="F46" s="7"/>
      <c r="G46" s="7"/>
      <c r="H46" s="7"/>
      <c r="I46" s="7"/>
      <c r="J46" s="7"/>
      <c r="K46" s="7"/>
      <c r="L46" s="7"/>
      <c r="M46" s="7"/>
      <c r="N46" s="7"/>
    </row>
    <row r="47" spans="2:19" ht="15.75" thickBot="1">
      <c r="B47" s="61" t="str">
        <f>IF(COUNTIF('adv shuffle'!B2:B23,builder!S44)&gt;0,"Hard to Kill 4th: Villains get +3 Bonus dice","4th: You are helpless")</f>
        <v>4th: You are helpless</v>
      </c>
      <c r="E47" s="7"/>
      <c r="F47" s="15"/>
      <c r="G47" s="7"/>
      <c r="H47" s="15"/>
      <c r="I47" s="7"/>
      <c r="J47" s="15"/>
      <c r="K47" s="7"/>
      <c r="L47" s="15"/>
      <c r="M47" s="7"/>
      <c r="N47" s="28"/>
    </row>
    <row r="48" spans="2:19" ht="4.5" customHeight="1">
      <c r="E48" s="7"/>
      <c r="F48" s="7"/>
      <c r="G48" s="7"/>
      <c r="H48" s="7"/>
      <c r="I48" s="7"/>
      <c r="J48" s="7"/>
      <c r="K48" s="7"/>
      <c r="L48" s="7"/>
      <c r="M48" s="7"/>
      <c r="N48" s="7"/>
    </row>
    <row r="49" spans="2:19">
      <c r="B49" t="str">
        <f>IF(COUNTIF('adv shuffle'!B2:B23,builder!S44)&gt;0,"Hard to Kill 5th: You are helpless","")</f>
        <v/>
      </c>
      <c r="E49" s="7"/>
      <c r="F49" s="7"/>
      <c r="G49" s="7"/>
      <c r="H49" s="7"/>
      <c r="I49" s="7"/>
      <c r="J49" s="7"/>
      <c r="K49" s="7"/>
      <c r="L49" s="7"/>
      <c r="M49" s="7"/>
      <c r="N49" s="7"/>
      <c r="Q49" s="340">
        <f ca="1">NOW()</f>
        <v>42776.622852314817</v>
      </c>
      <c r="R49" s="340"/>
      <c r="S49" s="340"/>
    </row>
    <row r="50" spans="2:19">
      <c r="B50" s="282">
        <f>$C$2</f>
        <v>0</v>
      </c>
      <c r="C50" s="283"/>
      <c r="D50" s="283"/>
      <c r="E50" s="283"/>
      <c r="F50" s="283"/>
      <c r="G50" s="283"/>
      <c r="H50" s="283"/>
      <c r="I50" s="283"/>
      <c r="J50" s="283"/>
      <c r="K50" s="283"/>
      <c r="L50" s="283"/>
      <c r="M50" s="283"/>
      <c r="N50" s="283"/>
      <c r="O50" s="283"/>
      <c r="P50" s="283"/>
      <c r="Q50" s="283"/>
      <c r="R50" s="283"/>
      <c r="S50" s="284"/>
    </row>
    <row r="51" spans="2:19" s="24" customFormat="1" ht="4.5" customHeight="1">
      <c r="B51" s="54"/>
      <c r="C51" s="54"/>
      <c r="D51" s="54"/>
      <c r="E51" s="54"/>
      <c r="F51" s="54"/>
      <c r="G51" s="54"/>
      <c r="H51" s="54"/>
      <c r="I51" s="54"/>
      <c r="J51" s="54"/>
      <c r="K51" s="54"/>
      <c r="L51" s="54"/>
      <c r="M51" s="54"/>
      <c r="N51" s="54"/>
      <c r="O51" s="54"/>
      <c r="P51" s="54"/>
      <c r="Q51" s="54"/>
      <c r="R51" s="54"/>
      <c r="S51" s="54"/>
    </row>
    <row r="52" spans="2:19">
      <c r="B52" s="286" t="s">
        <v>0</v>
      </c>
      <c r="C52" s="286"/>
      <c r="D52" s="286"/>
      <c r="E52" s="286"/>
      <c r="F52" s="286"/>
      <c r="G52" s="286"/>
      <c r="H52" s="286"/>
      <c r="I52" s="286"/>
      <c r="J52" s="286"/>
      <c r="K52" s="286"/>
      <c r="L52" s="286"/>
      <c r="M52" s="286"/>
      <c r="N52" s="286"/>
      <c r="O52" s="286"/>
      <c r="P52" s="286"/>
      <c r="Q52" s="286"/>
      <c r="R52" s="286"/>
      <c r="S52" s="286"/>
    </row>
    <row r="53" spans="2:19">
      <c r="B53" s="281" t="str">
        <f>'adv shuffle'!M2</f>
        <v/>
      </c>
      <c r="C53" s="281"/>
      <c r="D53" s="281"/>
      <c r="E53" s="41"/>
      <c r="F53" s="41"/>
      <c r="G53" s="41"/>
      <c r="H53" s="41"/>
      <c r="I53" s="41"/>
      <c r="J53" s="41"/>
      <c r="K53" s="41"/>
      <c r="L53" s="41"/>
      <c r="M53" s="41"/>
      <c r="N53" s="41"/>
      <c r="O53" s="41"/>
      <c r="P53" s="41"/>
      <c r="Q53" s="41"/>
      <c r="R53" s="41"/>
      <c r="S53" s="41"/>
    </row>
    <row r="54" spans="2:19">
      <c r="B54" s="273" t="str">
        <f>IF(B53&lt;&gt;"",VLOOKUP(B53,builder!$S$10:$Y$112,7),"")</f>
        <v/>
      </c>
      <c r="C54" s="273"/>
      <c r="D54" s="273"/>
      <c r="E54" s="273"/>
      <c r="F54" s="273"/>
      <c r="G54" s="273"/>
      <c r="H54" s="273"/>
      <c r="I54" s="273"/>
      <c r="J54" s="273"/>
      <c r="K54" s="273"/>
      <c r="L54" s="273"/>
      <c r="M54" s="273"/>
      <c r="N54" s="273"/>
      <c r="O54" s="273"/>
      <c r="P54" s="273"/>
      <c r="Q54" s="273"/>
      <c r="R54" s="273"/>
      <c r="S54" s="273"/>
    </row>
    <row r="55" spans="2:19" ht="55.5" customHeight="1">
      <c r="B55" s="273"/>
      <c r="C55" s="273"/>
      <c r="D55" s="273"/>
      <c r="E55" s="273"/>
      <c r="F55" s="273"/>
      <c r="G55" s="273"/>
      <c r="H55" s="273"/>
      <c r="I55" s="273"/>
      <c r="J55" s="273"/>
      <c r="K55" s="273"/>
      <c r="L55" s="273"/>
      <c r="M55" s="273"/>
      <c r="N55" s="273"/>
      <c r="O55" s="273"/>
      <c r="P55" s="273"/>
      <c r="Q55" s="273"/>
      <c r="R55" s="273"/>
      <c r="S55" s="273"/>
    </row>
    <row r="56" spans="2:19">
      <c r="B56" s="281" t="str">
        <f>'adv shuffle'!M3</f>
        <v/>
      </c>
      <c r="C56" s="281"/>
      <c r="D56" s="281"/>
      <c r="E56" s="41"/>
      <c r="F56" s="41"/>
      <c r="G56" s="41"/>
      <c r="H56" s="41"/>
      <c r="I56" s="41"/>
      <c r="J56" s="41"/>
      <c r="K56" s="41"/>
      <c r="L56" s="41"/>
      <c r="M56" s="41"/>
      <c r="N56" s="41"/>
      <c r="O56" s="41"/>
      <c r="P56" s="41"/>
      <c r="Q56" s="41"/>
      <c r="R56" s="41"/>
      <c r="S56" s="41"/>
    </row>
    <row r="57" spans="2:19">
      <c r="B57" s="273" t="str">
        <f>IF(B56&lt;&gt;"",VLOOKUP(B56,builder!$S$10:$Y$112,7),"")</f>
        <v/>
      </c>
      <c r="C57" s="273"/>
      <c r="D57" s="273"/>
      <c r="E57" s="273"/>
      <c r="F57" s="273"/>
      <c r="G57" s="273"/>
      <c r="H57" s="273"/>
      <c r="I57" s="273"/>
      <c r="J57" s="273"/>
      <c r="K57" s="273"/>
      <c r="L57" s="273"/>
      <c r="M57" s="273"/>
      <c r="N57" s="273"/>
      <c r="O57" s="273"/>
      <c r="P57" s="273"/>
      <c r="Q57" s="273"/>
      <c r="R57" s="273"/>
      <c r="S57" s="273"/>
    </row>
    <row r="58" spans="2:19" ht="55.5" customHeight="1">
      <c r="B58" s="273"/>
      <c r="C58" s="273"/>
      <c r="D58" s="273"/>
      <c r="E58" s="273"/>
      <c r="F58" s="273"/>
      <c r="G58" s="273"/>
      <c r="H58" s="273"/>
      <c r="I58" s="273"/>
      <c r="J58" s="273"/>
      <c r="K58" s="273"/>
      <c r="L58" s="273"/>
      <c r="M58" s="273"/>
      <c r="N58" s="273"/>
      <c r="O58" s="273"/>
      <c r="P58" s="273"/>
      <c r="Q58" s="273"/>
      <c r="R58" s="273"/>
      <c r="S58" s="273"/>
    </row>
    <row r="59" spans="2:19">
      <c r="B59" s="281" t="str">
        <f>'adv shuffle'!M4</f>
        <v/>
      </c>
      <c r="C59" s="281"/>
      <c r="D59" s="281"/>
      <c r="E59" s="41"/>
      <c r="F59" s="41"/>
      <c r="G59" s="41"/>
      <c r="H59" s="41"/>
      <c r="I59" s="41"/>
      <c r="J59" s="41"/>
      <c r="K59" s="41"/>
      <c r="L59" s="41"/>
      <c r="M59" s="41"/>
      <c r="N59" s="41"/>
      <c r="O59" s="41"/>
      <c r="P59" s="41"/>
      <c r="Q59" s="41"/>
      <c r="R59" s="41"/>
      <c r="S59" s="41"/>
    </row>
    <row r="60" spans="2:19">
      <c r="B60" s="273" t="str">
        <f>IF(B59&lt;&gt;"",VLOOKUP(B59,builder!$S$10:$Y$112,7),"")</f>
        <v/>
      </c>
      <c r="C60" s="273"/>
      <c r="D60" s="273"/>
      <c r="E60" s="273"/>
      <c r="F60" s="273"/>
      <c r="G60" s="273"/>
      <c r="H60" s="273"/>
      <c r="I60" s="273"/>
      <c r="J60" s="273"/>
      <c r="K60" s="273"/>
      <c r="L60" s="273"/>
      <c r="M60" s="273"/>
      <c r="N60" s="273"/>
      <c r="O60" s="273"/>
      <c r="P60" s="273"/>
      <c r="Q60" s="273"/>
      <c r="R60" s="273"/>
      <c r="S60" s="273"/>
    </row>
    <row r="61" spans="2:19" ht="55.5" customHeight="1">
      <c r="B61" s="273"/>
      <c r="C61" s="273"/>
      <c r="D61" s="273"/>
      <c r="E61" s="273"/>
      <c r="F61" s="273"/>
      <c r="G61" s="273"/>
      <c r="H61" s="273"/>
      <c r="I61" s="273"/>
      <c r="J61" s="273"/>
      <c r="K61" s="273"/>
      <c r="L61" s="273"/>
      <c r="M61" s="273"/>
      <c r="N61" s="273"/>
      <c r="O61" s="273"/>
      <c r="P61" s="273"/>
      <c r="Q61" s="273"/>
      <c r="R61" s="273"/>
      <c r="S61" s="273"/>
    </row>
    <row r="62" spans="2:19">
      <c r="B62" s="281" t="str">
        <f>'adv shuffle'!M5</f>
        <v/>
      </c>
      <c r="C62" s="281"/>
      <c r="D62" s="281"/>
      <c r="E62" s="41"/>
      <c r="F62" s="41"/>
      <c r="G62" s="41"/>
      <c r="H62" s="41"/>
      <c r="I62" s="41"/>
      <c r="J62" s="41"/>
      <c r="K62" s="41"/>
      <c r="L62" s="41"/>
      <c r="M62" s="41"/>
      <c r="N62" s="41"/>
      <c r="O62" s="41"/>
      <c r="P62" s="41"/>
      <c r="Q62" s="41"/>
      <c r="R62" s="41"/>
      <c r="S62" s="41"/>
    </row>
    <row r="63" spans="2:19">
      <c r="B63" s="273" t="str">
        <f>IF(B62&lt;&gt;"",VLOOKUP(B62,builder!$S$10:$Y$112,7),"")</f>
        <v/>
      </c>
      <c r="C63" s="273"/>
      <c r="D63" s="273"/>
      <c r="E63" s="273"/>
      <c r="F63" s="273"/>
      <c r="G63" s="273"/>
      <c r="H63" s="273"/>
      <c r="I63" s="273"/>
      <c r="J63" s="273"/>
      <c r="K63" s="273"/>
      <c r="L63" s="273"/>
      <c r="M63" s="273"/>
      <c r="N63" s="273"/>
      <c r="O63" s="273"/>
      <c r="P63" s="273"/>
      <c r="Q63" s="273"/>
      <c r="R63" s="273"/>
      <c r="S63" s="273"/>
    </row>
    <row r="64" spans="2:19" ht="55.5" customHeight="1">
      <c r="B64" s="273"/>
      <c r="C64" s="273"/>
      <c r="D64" s="273"/>
      <c r="E64" s="273"/>
      <c r="F64" s="273"/>
      <c r="G64" s="273"/>
      <c r="H64" s="273"/>
      <c r="I64" s="273"/>
      <c r="J64" s="273"/>
      <c r="K64" s="273"/>
      <c r="L64" s="273"/>
      <c r="M64" s="273"/>
      <c r="N64" s="273"/>
      <c r="O64" s="273"/>
      <c r="P64" s="273"/>
      <c r="Q64" s="273"/>
      <c r="R64" s="273"/>
      <c r="S64" s="273"/>
    </row>
    <row r="65" spans="2:23">
      <c r="B65" s="281" t="str">
        <f>'adv shuffle'!M6</f>
        <v/>
      </c>
      <c r="C65" s="281"/>
      <c r="D65" s="281"/>
      <c r="E65" s="41"/>
      <c r="F65" s="41"/>
      <c r="G65" s="41"/>
      <c r="H65" s="41"/>
      <c r="I65" s="41"/>
      <c r="J65" s="41"/>
      <c r="K65" s="41"/>
      <c r="L65" s="41"/>
      <c r="M65" s="41"/>
      <c r="N65" s="41"/>
      <c r="O65" s="41"/>
      <c r="P65" s="41"/>
      <c r="Q65" s="41"/>
      <c r="R65" s="41"/>
      <c r="S65" s="41"/>
    </row>
    <row r="66" spans="2:23">
      <c r="B66" s="273" t="str">
        <f>IF(B65&lt;&gt;"",VLOOKUP(B65,builder!$S$10:$Y$112,7),"")</f>
        <v/>
      </c>
      <c r="C66" s="273"/>
      <c r="D66" s="273"/>
      <c r="E66" s="273"/>
      <c r="F66" s="273"/>
      <c r="G66" s="273"/>
      <c r="H66" s="273"/>
      <c r="I66" s="273"/>
      <c r="J66" s="273"/>
      <c r="K66" s="273"/>
      <c r="L66" s="273"/>
      <c r="M66" s="273"/>
      <c r="N66" s="273"/>
      <c r="O66" s="273"/>
      <c r="P66" s="273"/>
      <c r="Q66" s="273"/>
      <c r="R66" s="273"/>
      <c r="S66" s="273"/>
    </row>
    <row r="67" spans="2:23" ht="55.5" customHeight="1">
      <c r="B67" s="273"/>
      <c r="C67" s="273"/>
      <c r="D67" s="273"/>
      <c r="E67" s="273"/>
      <c r="F67" s="273"/>
      <c r="G67" s="273"/>
      <c r="H67" s="273"/>
      <c r="I67" s="273"/>
      <c r="J67" s="273"/>
      <c r="K67" s="273"/>
      <c r="L67" s="273"/>
      <c r="M67" s="273"/>
      <c r="N67" s="273"/>
      <c r="O67" s="273"/>
      <c r="P67" s="273"/>
      <c r="Q67" s="273"/>
      <c r="R67" s="273"/>
      <c r="S67" s="273"/>
      <c r="U67" s="27"/>
      <c r="V67" s="27"/>
      <c r="W67" s="27"/>
    </row>
    <row r="68" spans="2:23">
      <c r="B68" s="281" t="str">
        <f>'adv shuffle'!M7</f>
        <v/>
      </c>
      <c r="C68" s="281"/>
      <c r="D68" s="281"/>
      <c r="E68" s="41"/>
      <c r="F68" s="41"/>
      <c r="G68" s="41"/>
      <c r="H68" s="41"/>
      <c r="I68" s="41"/>
      <c r="J68" s="41"/>
      <c r="K68" s="41"/>
      <c r="L68" s="41"/>
      <c r="M68" s="41"/>
      <c r="N68" s="41"/>
      <c r="O68" s="41"/>
      <c r="P68" s="41"/>
      <c r="Q68" s="41"/>
      <c r="R68" s="41"/>
      <c r="S68" s="41"/>
      <c r="U68" s="27"/>
      <c r="V68" s="27"/>
      <c r="W68" s="27"/>
    </row>
    <row r="69" spans="2:23">
      <c r="B69" s="273" t="str">
        <f>IF(B68&lt;&gt;"",VLOOKUP(B68,builder!$S$10:$Y$112,7),"")</f>
        <v/>
      </c>
      <c r="C69" s="273"/>
      <c r="D69" s="273"/>
      <c r="E69" s="273"/>
      <c r="F69" s="273"/>
      <c r="G69" s="273"/>
      <c r="H69" s="273"/>
      <c r="I69" s="273"/>
      <c r="J69" s="273"/>
      <c r="K69" s="273"/>
      <c r="L69" s="273"/>
      <c r="M69" s="273"/>
      <c r="N69" s="273"/>
      <c r="O69" s="273"/>
      <c r="P69" s="273"/>
      <c r="Q69" s="273"/>
      <c r="R69" s="273"/>
      <c r="S69" s="273"/>
    </row>
    <row r="70" spans="2:23" ht="55.5" customHeight="1">
      <c r="B70" s="273"/>
      <c r="C70" s="273"/>
      <c r="D70" s="273"/>
      <c r="E70" s="273"/>
      <c r="F70" s="273"/>
      <c r="G70" s="273"/>
      <c r="H70" s="273"/>
      <c r="I70" s="273"/>
      <c r="J70" s="273"/>
      <c r="K70" s="273"/>
      <c r="L70" s="273"/>
      <c r="M70" s="273"/>
      <c r="N70" s="273"/>
      <c r="O70" s="273"/>
      <c r="P70" s="273"/>
      <c r="Q70" s="273"/>
      <c r="R70" s="273"/>
      <c r="S70" s="273"/>
    </row>
    <row r="71" spans="2:23">
      <c r="B71" s="281" t="str">
        <f>'adv shuffle'!M8</f>
        <v/>
      </c>
      <c r="C71" s="281"/>
      <c r="D71" s="281"/>
      <c r="E71" s="41"/>
      <c r="F71" s="41"/>
      <c r="G71" s="41"/>
      <c r="H71" s="41"/>
      <c r="I71" s="41"/>
      <c r="J71" s="41"/>
      <c r="K71" s="41"/>
      <c r="L71" s="41"/>
      <c r="M71" s="41"/>
      <c r="N71" s="41"/>
      <c r="O71" s="41"/>
      <c r="P71" s="41"/>
      <c r="Q71" s="41"/>
      <c r="R71" s="41"/>
      <c r="S71" s="41"/>
    </row>
    <row r="72" spans="2:23">
      <c r="B72" s="273" t="str">
        <f>IF(B71&lt;&gt;"",VLOOKUP(B71,builder!$S$10:$Y$112,7),"")</f>
        <v/>
      </c>
      <c r="C72" s="273"/>
      <c r="D72" s="273"/>
      <c r="E72" s="273"/>
      <c r="F72" s="273"/>
      <c r="G72" s="273"/>
      <c r="H72" s="273"/>
      <c r="I72" s="273"/>
      <c r="J72" s="273"/>
      <c r="K72" s="273"/>
      <c r="L72" s="273"/>
      <c r="M72" s="273"/>
      <c r="N72" s="273"/>
      <c r="O72" s="273"/>
      <c r="P72" s="273"/>
      <c r="Q72" s="273"/>
      <c r="R72" s="273"/>
      <c r="S72" s="273"/>
    </row>
    <row r="73" spans="2:23" ht="55.5" customHeight="1">
      <c r="B73" s="273"/>
      <c r="C73" s="273"/>
      <c r="D73" s="273"/>
      <c r="E73" s="273"/>
      <c r="F73" s="273"/>
      <c r="G73" s="273"/>
      <c r="H73" s="273"/>
      <c r="I73" s="273"/>
      <c r="J73" s="273"/>
      <c r="K73" s="273"/>
      <c r="L73" s="273"/>
      <c r="M73" s="273"/>
      <c r="N73" s="273"/>
      <c r="O73" s="273"/>
      <c r="P73" s="273"/>
      <c r="Q73" s="273"/>
      <c r="R73" s="273"/>
      <c r="S73" s="273"/>
    </row>
    <row r="74" spans="2:23" s="24" customFormat="1" ht="71.25" customHeight="1">
      <c r="B74" s="42"/>
      <c r="C74" s="42"/>
      <c r="D74" s="42"/>
      <c r="E74" s="42"/>
      <c r="F74" s="42"/>
      <c r="G74" s="42"/>
      <c r="H74" s="42"/>
      <c r="I74" s="42"/>
      <c r="J74" s="42"/>
      <c r="K74" s="42"/>
      <c r="L74" s="42"/>
      <c r="M74" s="42"/>
      <c r="N74" s="42"/>
      <c r="O74" s="42"/>
      <c r="P74" s="42"/>
      <c r="Q74" s="285">
        <f ca="1">NOW()</f>
        <v>42776.622852314817</v>
      </c>
      <c r="R74" s="285"/>
      <c r="S74" s="285"/>
    </row>
    <row r="75" spans="2:23" s="24" customFormat="1">
      <c r="B75" s="282">
        <f>$C$2</f>
        <v>0</v>
      </c>
      <c r="C75" s="283"/>
      <c r="D75" s="283"/>
      <c r="E75" s="283"/>
      <c r="F75" s="283"/>
      <c r="G75" s="283"/>
      <c r="H75" s="283"/>
      <c r="I75" s="283"/>
      <c r="J75" s="283"/>
      <c r="K75" s="283"/>
      <c r="L75" s="283"/>
      <c r="M75" s="283"/>
      <c r="N75" s="283"/>
      <c r="O75" s="283"/>
      <c r="P75" s="283"/>
      <c r="Q75" s="283"/>
      <c r="R75" s="283"/>
      <c r="S75" s="284"/>
    </row>
    <row r="76" spans="2:23">
      <c r="B76" s="281" t="str">
        <f>'adv shuffle'!M9</f>
        <v/>
      </c>
      <c r="C76" s="281"/>
      <c r="D76" s="281"/>
      <c r="E76" s="41"/>
      <c r="F76" s="41"/>
      <c r="G76" s="41"/>
      <c r="H76" s="41"/>
      <c r="I76" s="41"/>
      <c r="J76" s="41"/>
      <c r="K76" s="41"/>
      <c r="L76" s="41"/>
      <c r="M76" s="41"/>
      <c r="N76" s="41"/>
      <c r="O76" s="41"/>
      <c r="P76" s="41"/>
      <c r="Q76" s="41"/>
      <c r="R76" s="41"/>
      <c r="S76" s="41"/>
    </row>
    <row r="77" spans="2:23">
      <c r="B77" s="273" t="str">
        <f>IF(B76&lt;&gt;"",VLOOKUP(B76,builder!$S$10:$Y$112,7),"")</f>
        <v/>
      </c>
      <c r="C77" s="273"/>
      <c r="D77" s="273"/>
      <c r="E77" s="273"/>
      <c r="F77" s="273"/>
      <c r="G77" s="273"/>
      <c r="H77" s="273"/>
      <c r="I77" s="273"/>
      <c r="J77" s="273"/>
      <c r="K77" s="273"/>
      <c r="L77" s="273"/>
      <c r="M77" s="273"/>
      <c r="N77" s="273"/>
      <c r="O77" s="273"/>
      <c r="P77" s="273"/>
      <c r="Q77" s="273"/>
      <c r="R77" s="273"/>
      <c r="S77" s="273"/>
    </row>
    <row r="78" spans="2:23" ht="55.5" customHeight="1">
      <c r="B78" s="273"/>
      <c r="C78" s="273"/>
      <c r="D78" s="273"/>
      <c r="E78" s="273"/>
      <c r="F78" s="273"/>
      <c r="G78" s="273"/>
      <c r="H78" s="273"/>
      <c r="I78" s="273"/>
      <c r="J78" s="273"/>
      <c r="K78" s="273"/>
      <c r="L78" s="273"/>
      <c r="M78" s="273"/>
      <c r="N78" s="273"/>
      <c r="O78" s="273"/>
      <c r="P78" s="273"/>
      <c r="Q78" s="273"/>
      <c r="R78" s="273"/>
      <c r="S78" s="273"/>
    </row>
    <row r="79" spans="2:23">
      <c r="B79" s="281" t="str">
        <f>'adv shuffle'!M10</f>
        <v/>
      </c>
      <c r="C79" s="281"/>
      <c r="D79" s="281"/>
      <c r="E79" s="41"/>
      <c r="F79" s="41"/>
      <c r="G79" s="41"/>
      <c r="H79" s="41"/>
      <c r="I79" s="41"/>
      <c r="J79" s="41"/>
      <c r="K79" s="41"/>
      <c r="L79" s="41"/>
      <c r="M79" s="41"/>
      <c r="N79" s="41"/>
      <c r="O79" s="41"/>
      <c r="P79" s="41"/>
      <c r="Q79" s="41"/>
      <c r="R79" s="41"/>
      <c r="S79" s="41"/>
    </row>
    <row r="80" spans="2:23">
      <c r="B80" s="273" t="str">
        <f>IF(B79&lt;&gt;"",VLOOKUP(B79,builder!$S$10:$Y$112,7),"")</f>
        <v/>
      </c>
      <c r="C80" s="273"/>
      <c r="D80" s="273"/>
      <c r="E80" s="273"/>
      <c r="F80" s="273"/>
      <c r="G80" s="273"/>
      <c r="H80" s="273"/>
      <c r="I80" s="273"/>
      <c r="J80" s="273"/>
      <c r="K80" s="273"/>
      <c r="L80" s="273"/>
      <c r="M80" s="273"/>
      <c r="N80" s="273"/>
      <c r="O80" s="273"/>
      <c r="P80" s="273"/>
      <c r="Q80" s="273"/>
      <c r="R80" s="273"/>
      <c r="S80" s="273"/>
    </row>
    <row r="81" spans="2:19" ht="55.5" customHeight="1">
      <c r="B81" s="273"/>
      <c r="C81" s="273"/>
      <c r="D81" s="273"/>
      <c r="E81" s="273"/>
      <c r="F81" s="273"/>
      <c r="G81" s="273"/>
      <c r="H81" s="273"/>
      <c r="I81" s="273"/>
      <c r="J81" s="273"/>
      <c r="K81" s="273"/>
      <c r="L81" s="273"/>
      <c r="M81" s="273"/>
      <c r="N81" s="273"/>
      <c r="O81" s="273"/>
      <c r="P81" s="273"/>
      <c r="Q81" s="273"/>
      <c r="R81" s="273"/>
      <c r="S81" s="273"/>
    </row>
    <row r="82" spans="2:19">
      <c r="B82" s="281" t="str">
        <f>'adv shuffle'!M11</f>
        <v/>
      </c>
      <c r="C82" s="281"/>
      <c r="D82" s="281"/>
      <c r="E82" s="41"/>
      <c r="F82" s="41"/>
      <c r="G82" s="41"/>
      <c r="H82" s="41"/>
      <c r="I82" s="41"/>
      <c r="J82" s="41"/>
      <c r="K82" s="41"/>
      <c r="L82" s="41"/>
      <c r="M82" s="41"/>
      <c r="N82" s="41"/>
      <c r="O82" s="41"/>
      <c r="P82" s="41"/>
      <c r="Q82" s="41"/>
      <c r="R82" s="41"/>
      <c r="S82" s="41"/>
    </row>
    <row r="83" spans="2:19">
      <c r="B83" s="273" t="str">
        <f>IF(B82&lt;&gt;"",VLOOKUP(B82,builder!$S$10:$Y$112,7),"")</f>
        <v/>
      </c>
      <c r="C83" s="273"/>
      <c r="D83" s="273"/>
      <c r="E83" s="273"/>
      <c r="F83" s="273"/>
      <c r="G83" s="273"/>
      <c r="H83" s="273"/>
      <c r="I83" s="273"/>
      <c r="J83" s="273"/>
      <c r="K83" s="273"/>
      <c r="L83" s="273"/>
      <c r="M83" s="273"/>
      <c r="N83" s="273"/>
      <c r="O83" s="273"/>
      <c r="P83" s="273"/>
      <c r="Q83" s="273"/>
      <c r="R83" s="273"/>
      <c r="S83" s="273"/>
    </row>
    <row r="84" spans="2:19" ht="55.5" customHeight="1">
      <c r="B84" s="273"/>
      <c r="C84" s="273"/>
      <c r="D84" s="273"/>
      <c r="E84" s="273"/>
      <c r="F84" s="273"/>
      <c r="G84" s="273"/>
      <c r="H84" s="273"/>
      <c r="I84" s="273"/>
      <c r="J84" s="273"/>
      <c r="K84" s="273"/>
      <c r="L84" s="273"/>
      <c r="M84" s="273"/>
      <c r="N84" s="273"/>
      <c r="O84" s="273"/>
      <c r="P84" s="273"/>
      <c r="Q84" s="273"/>
      <c r="R84" s="273"/>
      <c r="S84" s="273"/>
    </row>
    <row r="85" spans="2:19">
      <c r="B85" s="281" t="str">
        <f>'adv shuffle'!M12</f>
        <v/>
      </c>
      <c r="C85" s="281"/>
      <c r="D85" s="281"/>
      <c r="E85" s="41"/>
      <c r="F85" s="41"/>
      <c r="G85" s="41"/>
      <c r="H85" s="41"/>
      <c r="I85" s="41"/>
      <c r="J85" s="41"/>
      <c r="K85" s="41"/>
      <c r="L85" s="41"/>
      <c r="M85" s="41"/>
      <c r="N85" s="41"/>
      <c r="O85" s="41"/>
      <c r="P85" s="41"/>
      <c r="Q85" s="41"/>
      <c r="R85" s="41"/>
      <c r="S85" s="41"/>
    </row>
    <row r="86" spans="2:19">
      <c r="B86" s="273" t="str">
        <f>IF(B85&lt;&gt;"",VLOOKUP(B85,builder!$S$10:$Y$112,7),"")</f>
        <v/>
      </c>
      <c r="C86" s="273"/>
      <c r="D86" s="273"/>
      <c r="E86" s="273"/>
      <c r="F86" s="273"/>
      <c r="G86" s="273"/>
      <c r="H86" s="273"/>
      <c r="I86" s="273"/>
      <c r="J86" s="273"/>
      <c r="K86" s="273"/>
      <c r="L86" s="273"/>
      <c r="M86" s="273"/>
      <c r="N86" s="273"/>
      <c r="O86" s="273"/>
      <c r="P86" s="273"/>
      <c r="Q86" s="273"/>
      <c r="R86" s="273"/>
      <c r="S86" s="273"/>
    </row>
    <row r="87" spans="2:19" ht="55.5" customHeight="1">
      <c r="B87" s="273"/>
      <c r="C87" s="273"/>
      <c r="D87" s="273"/>
      <c r="E87" s="273"/>
      <c r="F87" s="273"/>
      <c r="G87" s="273"/>
      <c r="H87" s="273"/>
      <c r="I87" s="273"/>
      <c r="J87" s="273"/>
      <c r="K87" s="273"/>
      <c r="L87" s="273"/>
      <c r="M87" s="273"/>
      <c r="N87" s="273"/>
      <c r="O87" s="273"/>
      <c r="P87" s="273"/>
      <c r="Q87" s="273"/>
      <c r="R87" s="273"/>
      <c r="S87" s="273"/>
    </row>
    <row r="88" spans="2:19">
      <c r="B88" s="281" t="str">
        <f>'adv shuffle'!M13</f>
        <v/>
      </c>
      <c r="C88" s="281"/>
      <c r="D88" s="281"/>
      <c r="E88" s="41"/>
      <c r="F88" s="41"/>
      <c r="G88" s="41"/>
      <c r="H88" s="41"/>
      <c r="I88" s="41"/>
      <c r="J88" s="41"/>
      <c r="K88" s="41"/>
      <c r="L88" s="41"/>
      <c r="M88" s="41"/>
      <c r="N88" s="41"/>
      <c r="O88" s="41"/>
      <c r="P88" s="41"/>
      <c r="Q88" s="41"/>
      <c r="R88" s="41"/>
      <c r="S88" s="41"/>
    </row>
    <row r="89" spans="2:19">
      <c r="B89" s="273" t="str">
        <f>IF(B88&lt;&gt;"",VLOOKUP(B88,builder!$S$10:$Y$112,7),"")</f>
        <v/>
      </c>
      <c r="C89" s="273"/>
      <c r="D89" s="273"/>
      <c r="E89" s="273"/>
      <c r="F89" s="273"/>
      <c r="G89" s="273"/>
      <c r="H89" s="273"/>
      <c r="I89" s="273"/>
      <c r="J89" s="273"/>
      <c r="K89" s="273"/>
      <c r="L89" s="273"/>
      <c r="M89" s="273"/>
      <c r="N89" s="273"/>
      <c r="O89" s="273"/>
      <c r="P89" s="273"/>
      <c r="Q89" s="273"/>
      <c r="R89" s="273"/>
      <c r="S89" s="273"/>
    </row>
    <row r="90" spans="2:19" ht="55.5" customHeight="1">
      <c r="B90" s="273"/>
      <c r="C90" s="273"/>
      <c r="D90" s="273"/>
      <c r="E90" s="273"/>
      <c r="F90" s="273"/>
      <c r="G90" s="273"/>
      <c r="H90" s="273"/>
      <c r="I90" s="273"/>
      <c r="J90" s="273"/>
      <c r="K90" s="273"/>
      <c r="L90" s="273"/>
      <c r="M90" s="273"/>
      <c r="N90" s="273"/>
      <c r="O90" s="273"/>
      <c r="P90" s="273"/>
      <c r="Q90" s="273"/>
      <c r="R90" s="273"/>
      <c r="S90" s="273"/>
    </row>
    <row r="91" spans="2:19">
      <c r="B91" s="281" t="str">
        <f>'adv shuffle'!M14</f>
        <v/>
      </c>
      <c r="C91" s="281"/>
      <c r="D91" s="281"/>
      <c r="E91" s="41"/>
      <c r="F91" s="41"/>
      <c r="G91" s="41"/>
      <c r="H91" s="41"/>
      <c r="I91" s="41"/>
      <c r="J91" s="41"/>
      <c r="K91" s="41"/>
      <c r="L91" s="41"/>
      <c r="M91" s="41"/>
      <c r="N91" s="41"/>
      <c r="O91" s="41"/>
      <c r="P91" s="41"/>
      <c r="Q91" s="41"/>
      <c r="R91" s="41"/>
      <c r="S91" s="41"/>
    </row>
    <row r="92" spans="2:19">
      <c r="B92" s="273" t="str">
        <f>IF(B91&lt;&gt;"",VLOOKUP(B91,builder!$S$10:$Y$112,7),"")</f>
        <v/>
      </c>
      <c r="C92" s="273"/>
      <c r="D92" s="273"/>
      <c r="E92" s="273"/>
      <c r="F92" s="273"/>
      <c r="G92" s="273"/>
      <c r="H92" s="273"/>
      <c r="I92" s="273"/>
      <c r="J92" s="273"/>
      <c r="K92" s="273"/>
      <c r="L92" s="273"/>
      <c r="M92" s="273"/>
      <c r="N92" s="273"/>
      <c r="O92" s="273"/>
      <c r="P92" s="273"/>
      <c r="Q92" s="273"/>
      <c r="R92" s="273"/>
      <c r="S92" s="273"/>
    </row>
    <row r="93" spans="2:19" ht="55.5" customHeight="1">
      <c r="B93" s="273"/>
      <c r="C93" s="273"/>
      <c r="D93" s="273"/>
      <c r="E93" s="273"/>
      <c r="F93" s="273"/>
      <c r="G93" s="273"/>
      <c r="H93" s="273"/>
      <c r="I93" s="273"/>
      <c r="J93" s="273"/>
      <c r="K93" s="273"/>
      <c r="L93" s="273"/>
      <c r="M93" s="273"/>
      <c r="N93" s="273"/>
      <c r="O93" s="273"/>
      <c r="P93" s="273"/>
      <c r="Q93" s="273"/>
      <c r="R93" s="273"/>
      <c r="S93" s="273"/>
    </row>
    <row r="94" spans="2:19">
      <c r="B94" s="281" t="str">
        <f>'adv shuffle'!M15</f>
        <v/>
      </c>
      <c r="C94" s="281"/>
      <c r="D94" s="281"/>
      <c r="E94" s="41"/>
      <c r="F94" s="41"/>
      <c r="G94" s="41"/>
      <c r="H94" s="41"/>
      <c r="I94" s="41"/>
      <c r="J94" s="41"/>
      <c r="K94" s="41"/>
      <c r="L94" s="41"/>
      <c r="M94" s="41"/>
      <c r="N94" s="41"/>
      <c r="O94" s="41"/>
      <c r="P94" s="41"/>
      <c r="Q94" s="41"/>
      <c r="R94" s="41"/>
      <c r="S94" s="41"/>
    </row>
    <row r="95" spans="2:19">
      <c r="B95" s="273" t="str">
        <f>IF(B94&lt;&gt;"",VLOOKUP(B94,builder!$S$10:$Y$112,7),"")</f>
        <v/>
      </c>
      <c r="C95" s="273"/>
      <c r="D95" s="273"/>
      <c r="E95" s="273"/>
      <c r="F95" s="273"/>
      <c r="G95" s="273"/>
      <c r="H95" s="273"/>
      <c r="I95" s="273"/>
      <c r="J95" s="273"/>
      <c r="K95" s="273"/>
      <c r="L95" s="273"/>
      <c r="M95" s="273"/>
      <c r="N95" s="273"/>
      <c r="O95" s="273"/>
      <c r="P95" s="273"/>
      <c r="Q95" s="273"/>
      <c r="R95" s="273"/>
      <c r="S95" s="273"/>
    </row>
    <row r="96" spans="2:19" ht="55.5" customHeight="1">
      <c r="B96" s="273"/>
      <c r="C96" s="273"/>
      <c r="D96" s="273"/>
      <c r="E96" s="273"/>
      <c r="F96" s="273"/>
      <c r="G96" s="273"/>
      <c r="H96" s="273"/>
      <c r="I96" s="273"/>
      <c r="J96" s="273"/>
      <c r="K96" s="273"/>
      <c r="L96" s="273"/>
      <c r="M96" s="273"/>
      <c r="N96" s="273"/>
      <c r="O96" s="273"/>
      <c r="P96" s="273"/>
      <c r="Q96" s="273"/>
      <c r="R96" s="273"/>
      <c r="S96" s="273"/>
    </row>
    <row r="97" spans="1:20" s="24" customFormat="1" ht="3.75" customHeight="1">
      <c r="B97" s="42"/>
      <c r="C97" s="42"/>
      <c r="D97" s="42"/>
      <c r="E97" s="42"/>
      <c r="F97" s="42"/>
      <c r="G97" s="42"/>
      <c r="H97" s="42"/>
      <c r="I97" s="42"/>
      <c r="J97" s="42"/>
      <c r="K97" s="42"/>
      <c r="L97" s="42"/>
      <c r="M97" s="42"/>
      <c r="N97" s="42"/>
      <c r="O97" s="42"/>
      <c r="P97" s="42"/>
      <c r="Q97" s="42"/>
      <c r="R97" s="42"/>
      <c r="S97" s="42"/>
    </row>
    <row r="98" spans="1:20">
      <c r="B98" s="273" t="str">
        <f>IF(builder!T114=1,builder!V114,"")</f>
        <v/>
      </c>
      <c r="C98" s="273"/>
      <c r="D98" s="273"/>
      <c r="E98" s="273"/>
      <c r="F98" s="273"/>
      <c r="G98" s="273"/>
      <c r="H98" s="273"/>
      <c r="I98" s="273"/>
      <c r="J98" s="273"/>
      <c r="K98" s="273"/>
      <c r="L98" s="273"/>
      <c r="M98" s="273"/>
      <c r="N98" s="273"/>
      <c r="O98" s="273"/>
      <c r="P98" s="273"/>
      <c r="Q98" s="273"/>
      <c r="R98" s="273"/>
      <c r="S98" s="273"/>
    </row>
    <row r="99" spans="1:20" ht="54.75" customHeight="1">
      <c r="B99" s="273"/>
      <c r="C99" s="273"/>
      <c r="D99" s="273"/>
      <c r="E99" s="273"/>
      <c r="F99" s="273"/>
      <c r="G99" s="273"/>
      <c r="H99" s="273"/>
      <c r="I99" s="273"/>
      <c r="J99" s="273"/>
      <c r="K99" s="273"/>
      <c r="L99" s="273"/>
      <c r="M99" s="273"/>
      <c r="N99" s="273"/>
      <c r="O99" s="273"/>
      <c r="P99" s="273"/>
      <c r="Q99" s="273"/>
      <c r="R99" s="273"/>
      <c r="S99" s="273"/>
    </row>
    <row r="100" spans="1:20" ht="15.75" thickBot="1">
      <c r="Q100" s="285">
        <f ca="1">NOW()</f>
        <v>42776.622852314817</v>
      </c>
      <c r="R100" s="285"/>
      <c r="S100" s="285"/>
    </row>
    <row r="101" spans="1:20" ht="15.75" thickBot="1">
      <c r="B101" s="323">
        <f>$C$2</f>
        <v>0</v>
      </c>
      <c r="C101" s="324"/>
      <c r="D101" s="324"/>
      <c r="E101" s="324"/>
      <c r="F101" s="324"/>
      <c r="G101" s="324"/>
      <c r="H101" s="324"/>
      <c r="I101" s="324"/>
      <c r="J101" s="324"/>
      <c r="K101" s="324"/>
      <c r="L101" s="324"/>
      <c r="M101" s="324"/>
      <c r="N101" s="324"/>
      <c r="O101" s="324"/>
      <c r="P101" s="324"/>
      <c r="Q101" s="324"/>
      <c r="R101" s="324"/>
      <c r="S101" s="325"/>
    </row>
    <row r="102" spans="1:20" s="24" customFormat="1" ht="4.5" customHeight="1">
      <c r="A102" s="25"/>
      <c r="B102" s="64"/>
      <c r="C102" s="64"/>
      <c r="D102" s="64"/>
      <c r="E102" s="64"/>
      <c r="F102" s="64"/>
      <c r="G102" s="64"/>
      <c r="H102" s="64"/>
      <c r="I102" s="64"/>
      <c r="J102" s="64"/>
      <c r="K102" s="64"/>
      <c r="L102" s="64"/>
      <c r="M102" s="64"/>
      <c r="N102" s="64"/>
      <c r="O102" s="64"/>
      <c r="P102" s="64"/>
      <c r="Q102" s="64"/>
      <c r="R102" s="64"/>
      <c r="S102" s="64"/>
      <c r="T102" s="25"/>
    </row>
    <row r="103" spans="1:20">
      <c r="B103" s="292" t="s">
        <v>617</v>
      </c>
      <c r="C103" s="293"/>
      <c r="D103" s="293"/>
      <c r="E103" s="293"/>
      <c r="F103" s="293"/>
      <c r="G103" s="293"/>
      <c r="H103" s="293"/>
      <c r="I103" s="293"/>
      <c r="J103" s="293"/>
      <c r="K103" s="293"/>
      <c r="L103" s="293"/>
      <c r="M103" s="293"/>
      <c r="N103" s="293"/>
      <c r="O103" s="293"/>
      <c r="P103" s="293"/>
      <c r="Q103" s="293"/>
      <c r="R103" s="293"/>
      <c r="S103" s="294"/>
    </row>
    <row r="104" spans="1:20">
      <c r="B104" s="25" t="str">
        <f>IF('adv shuffle'!O31&lt;&gt;"",'adv shuffle'!O31,"")</f>
        <v/>
      </c>
      <c r="D104" s="25" t="str">
        <f>IF(B104&lt;&gt;"",VLOOKUP(B104,styles!$B$3:$D$17,2),"")</f>
        <v/>
      </c>
      <c r="E104" s="25"/>
      <c r="F104" s="25"/>
      <c r="G104" s="25"/>
      <c r="H104" s="25"/>
      <c r="I104" s="25"/>
      <c r="J104" s="25"/>
      <c r="K104" s="25"/>
      <c r="L104" s="25"/>
      <c r="M104" s="25"/>
      <c r="N104" s="25"/>
      <c r="O104" s="25"/>
      <c r="P104" s="25"/>
      <c r="Q104" s="25"/>
      <c r="R104" s="25"/>
      <c r="S104" s="25"/>
    </row>
    <row r="105" spans="1:20" ht="60" customHeight="1">
      <c r="B105" s="311" t="str">
        <f>IF(B104&lt;&gt;"",VLOOKUP(B104,styles!$B$3:$D$17,3),"")</f>
        <v/>
      </c>
      <c r="C105" s="311"/>
      <c r="D105" s="311"/>
      <c r="E105" s="311"/>
      <c r="F105" s="311"/>
      <c r="G105" s="311"/>
      <c r="H105" s="311"/>
      <c r="I105" s="311"/>
      <c r="J105" s="311"/>
      <c r="K105" s="311"/>
      <c r="L105" s="311"/>
      <c r="M105" s="311"/>
      <c r="N105" s="311"/>
      <c r="O105" s="311"/>
      <c r="P105" s="311"/>
      <c r="Q105" s="311"/>
      <c r="R105" s="311"/>
      <c r="S105" s="311"/>
    </row>
    <row r="106" spans="1:20" ht="4.5" customHeight="1">
      <c r="B106" s="62"/>
      <c r="C106" s="62"/>
      <c r="D106" s="62"/>
      <c r="E106" s="62"/>
      <c r="F106" s="62"/>
      <c r="G106" s="62"/>
      <c r="H106" s="62"/>
      <c r="I106" s="62"/>
      <c r="J106" s="62"/>
      <c r="K106" s="62"/>
      <c r="L106" s="62"/>
      <c r="M106" s="62"/>
      <c r="N106" s="62"/>
      <c r="O106" s="62"/>
      <c r="P106" s="62"/>
      <c r="Q106" s="62"/>
      <c r="R106" s="62"/>
      <c r="S106" s="62"/>
    </row>
    <row r="107" spans="1:20">
      <c r="B107" s="25" t="str">
        <f>IF('adv shuffle'!O32&lt;&gt;"",'adv shuffle'!O32,"")</f>
        <v/>
      </c>
      <c r="D107" s="25" t="str">
        <f>IF(B107&lt;&gt;"",VLOOKUP(B107,styles!$B$3:$D$17,2),"")</f>
        <v/>
      </c>
      <c r="E107" s="62"/>
      <c r="F107" s="62"/>
      <c r="G107" s="62"/>
      <c r="H107" s="62"/>
      <c r="I107" s="62"/>
      <c r="J107" s="62"/>
      <c r="K107" s="62"/>
      <c r="L107" s="62"/>
      <c r="M107" s="62"/>
      <c r="N107" s="62"/>
      <c r="O107" s="62"/>
      <c r="P107" s="62"/>
      <c r="Q107" s="62"/>
      <c r="R107" s="62"/>
      <c r="S107" s="62"/>
    </row>
    <row r="108" spans="1:20" ht="60" customHeight="1">
      <c r="B108" s="311" t="str">
        <f>IF(B107&lt;&gt;"",VLOOKUP(B107,styles!$B$3:$D$17,3),"")</f>
        <v/>
      </c>
      <c r="C108" s="311"/>
      <c r="D108" s="311"/>
      <c r="E108" s="311"/>
      <c r="F108" s="311"/>
      <c r="G108" s="311"/>
      <c r="H108" s="311"/>
      <c r="I108" s="311"/>
      <c r="J108" s="311"/>
      <c r="K108" s="311"/>
      <c r="L108" s="311"/>
      <c r="M108" s="311"/>
      <c r="N108" s="311"/>
      <c r="O108" s="311"/>
      <c r="P108" s="311"/>
      <c r="Q108" s="311"/>
      <c r="R108" s="311"/>
      <c r="S108" s="311"/>
    </row>
    <row r="109" spans="1:20" ht="4.5" customHeight="1">
      <c r="B109" s="25"/>
      <c r="C109" s="25"/>
      <c r="D109" s="25"/>
      <c r="E109" s="25"/>
      <c r="F109" s="25"/>
      <c r="G109" s="25"/>
      <c r="H109" s="25"/>
      <c r="I109" s="25"/>
      <c r="J109" s="25"/>
      <c r="K109" s="25"/>
      <c r="L109" s="25"/>
      <c r="M109" s="25"/>
      <c r="N109" s="25"/>
      <c r="O109" s="25"/>
      <c r="P109" s="25"/>
      <c r="Q109" s="25"/>
      <c r="R109" s="25"/>
      <c r="S109" s="25"/>
    </row>
    <row r="110" spans="1:20">
      <c r="B110" s="25" t="str">
        <f>IF('adv shuffle'!O33&lt;&gt;"",'adv shuffle'!O33,"")</f>
        <v/>
      </c>
      <c r="D110" s="25" t="str">
        <f>IF(B110&lt;&gt;"",VLOOKUP(B110,styles!$B$3:$D$17,2),"")</f>
        <v/>
      </c>
      <c r="E110" s="25"/>
      <c r="F110" s="25"/>
      <c r="G110" s="25"/>
      <c r="H110" s="25"/>
      <c r="I110" s="25"/>
      <c r="J110" s="25"/>
      <c r="K110" s="25"/>
      <c r="L110" s="25"/>
      <c r="M110" s="25"/>
      <c r="N110" s="25"/>
      <c r="O110" s="25"/>
      <c r="P110" s="25"/>
      <c r="Q110" s="25"/>
      <c r="R110" s="25"/>
      <c r="S110" s="25"/>
    </row>
    <row r="111" spans="1:20" ht="60" customHeight="1">
      <c r="B111" s="311" t="str">
        <f>IF(B110&lt;&gt;"",VLOOKUP(B110,styles!$B$3:$D$17,3),"")</f>
        <v/>
      </c>
      <c r="C111" s="311"/>
      <c r="D111" s="311"/>
      <c r="E111" s="311"/>
      <c r="F111" s="311"/>
      <c r="G111" s="311"/>
      <c r="H111" s="311"/>
      <c r="I111" s="311"/>
      <c r="J111" s="311"/>
      <c r="K111" s="311"/>
      <c r="L111" s="311"/>
      <c r="M111" s="311"/>
      <c r="N111" s="311"/>
      <c r="O111" s="311"/>
      <c r="P111" s="311"/>
      <c r="Q111" s="311"/>
      <c r="R111" s="311"/>
      <c r="S111" s="311"/>
    </row>
    <row r="112" spans="1:20" ht="4.5" customHeight="1">
      <c r="B112" s="25"/>
      <c r="C112" s="25"/>
      <c r="D112" s="25"/>
      <c r="E112" s="25"/>
      <c r="F112" s="25"/>
      <c r="G112" s="25"/>
      <c r="H112" s="25"/>
      <c r="I112" s="25"/>
      <c r="J112" s="25"/>
      <c r="K112" s="25"/>
      <c r="L112" s="25"/>
      <c r="M112" s="25"/>
      <c r="N112" s="25"/>
      <c r="O112" s="25"/>
      <c r="P112" s="25"/>
      <c r="Q112" s="25"/>
      <c r="R112" s="25"/>
      <c r="S112" s="25"/>
    </row>
    <row r="113" spans="2:22">
      <c r="B113" s="25" t="str">
        <f>IF(OR($B$104=styles!$B$8,$B$107=styles!$B$8,$B$110=styles!$B$8),styles!$C$19,"")</f>
        <v/>
      </c>
      <c r="C113" s="25"/>
      <c r="D113" s="25"/>
      <c r="E113" s="25"/>
      <c r="F113" s="25"/>
      <c r="G113" s="25"/>
      <c r="H113" s="25"/>
      <c r="I113" s="25"/>
      <c r="J113" s="25"/>
      <c r="K113" s="25"/>
      <c r="L113" s="25"/>
      <c r="M113" s="25"/>
      <c r="N113" s="25"/>
      <c r="O113" s="25"/>
      <c r="P113" s="25"/>
      <c r="Q113" s="25"/>
      <c r="R113" s="25"/>
      <c r="S113" s="25"/>
    </row>
    <row r="114" spans="2:22" ht="40.5" customHeight="1">
      <c r="B114" s="322" t="str">
        <f>IF(B113&lt;&gt;"",styles!D19,"")</f>
        <v/>
      </c>
      <c r="C114" s="322"/>
      <c r="D114" s="322"/>
      <c r="E114" s="322"/>
      <c r="F114" s="322"/>
      <c r="G114" s="322"/>
      <c r="H114" s="322"/>
      <c r="I114" s="322"/>
      <c r="J114" s="322"/>
      <c r="K114" s="322"/>
      <c r="L114" s="322"/>
      <c r="M114" s="322"/>
      <c r="N114" s="322"/>
      <c r="O114" s="322"/>
      <c r="P114" s="322"/>
      <c r="Q114" s="322"/>
      <c r="R114" s="322"/>
      <c r="S114" s="322"/>
    </row>
    <row r="115" spans="2:22">
      <c r="B115" s="25" t="str">
        <f>IF(OR($B$104=styles!$B$8,$B$107=styles!$B$8,$B$110=styles!$B$8),styles!$C$20,"")</f>
        <v/>
      </c>
      <c r="C115" s="25"/>
      <c r="D115" s="25"/>
      <c r="E115" s="25"/>
      <c r="F115" s="25"/>
      <c r="G115" s="25"/>
      <c r="H115" s="25"/>
      <c r="I115" s="25"/>
      <c r="J115" s="25"/>
      <c r="K115" s="25"/>
      <c r="L115" s="25"/>
      <c r="M115" s="25"/>
      <c r="N115" s="25"/>
      <c r="O115" s="25"/>
      <c r="P115" s="25"/>
      <c r="Q115" s="25"/>
      <c r="R115" s="25"/>
      <c r="S115" s="25"/>
    </row>
    <row r="116" spans="2:22" ht="39.75" customHeight="1">
      <c r="B116" s="322" t="str">
        <f>IF(B115&lt;&gt;"",styles!D20,"")</f>
        <v/>
      </c>
      <c r="C116" s="322"/>
      <c r="D116" s="322"/>
      <c r="E116" s="322"/>
      <c r="F116" s="322"/>
      <c r="G116" s="322"/>
      <c r="H116" s="322"/>
      <c r="I116" s="322"/>
      <c r="J116" s="322"/>
      <c r="K116" s="322"/>
      <c r="L116" s="322"/>
      <c r="M116" s="322"/>
      <c r="N116" s="322"/>
      <c r="O116" s="322"/>
      <c r="P116" s="322"/>
      <c r="Q116" s="322"/>
      <c r="R116" s="322"/>
      <c r="S116" s="322"/>
    </row>
    <row r="117" spans="2:22">
      <c r="B117" s="25" t="str">
        <f>IF(OR($B$104=styles!$B$8,$B$107=styles!$B$8,$B$110=styles!$B$8),styles!$C$21,"")</f>
        <v/>
      </c>
      <c r="C117" s="25"/>
      <c r="D117" s="25"/>
      <c r="E117" s="25"/>
      <c r="F117" s="25"/>
      <c r="G117" s="25"/>
      <c r="H117" s="25"/>
      <c r="I117" s="25"/>
      <c r="J117" s="25"/>
      <c r="K117" s="25"/>
      <c r="L117" s="25"/>
      <c r="M117" s="25"/>
      <c r="N117" s="25"/>
      <c r="O117" s="25"/>
      <c r="P117" s="25"/>
      <c r="Q117" s="25"/>
      <c r="R117" s="25"/>
      <c r="S117" s="25"/>
    </row>
    <row r="118" spans="2:22" ht="27.75" customHeight="1">
      <c r="B118" s="322" t="str">
        <f>IF(B117&lt;&gt;"",styles!D21,"")</f>
        <v/>
      </c>
      <c r="C118" s="322"/>
      <c r="D118" s="322"/>
      <c r="E118" s="322"/>
      <c r="F118" s="322"/>
      <c r="G118" s="322"/>
      <c r="H118" s="322"/>
      <c r="I118" s="322"/>
      <c r="J118" s="322"/>
      <c r="K118" s="322"/>
      <c r="L118" s="322"/>
      <c r="M118" s="322"/>
      <c r="N118" s="322"/>
      <c r="O118" s="322"/>
      <c r="P118" s="322"/>
      <c r="Q118" s="322"/>
      <c r="R118" s="322"/>
      <c r="S118" s="322"/>
    </row>
    <row r="119" spans="2:22" s="24" customFormat="1" ht="15.75" thickBot="1">
      <c r="B119" s="62"/>
      <c r="C119" s="62"/>
      <c r="D119" s="62"/>
      <c r="E119" s="62"/>
      <c r="F119" s="62"/>
      <c r="G119" s="62"/>
      <c r="H119" s="62"/>
      <c r="I119" s="62"/>
      <c r="J119" s="62"/>
      <c r="K119" s="62"/>
      <c r="L119" s="62"/>
      <c r="M119" s="62"/>
      <c r="N119" s="62"/>
      <c r="O119" s="62"/>
      <c r="P119" s="62"/>
      <c r="Q119" s="285">
        <f ca="1">NOW()</f>
        <v>42776.622852314817</v>
      </c>
      <c r="R119" s="285"/>
      <c r="S119" s="285"/>
    </row>
    <row r="120" spans="2:22" s="24" customFormat="1" ht="15.75" thickBot="1">
      <c r="B120" s="323">
        <f>$C$2</f>
        <v>0</v>
      </c>
      <c r="C120" s="324"/>
      <c r="D120" s="324"/>
      <c r="E120" s="324"/>
      <c r="F120" s="324"/>
      <c r="G120" s="324"/>
      <c r="H120" s="324"/>
      <c r="I120" s="324"/>
      <c r="J120" s="324"/>
      <c r="K120" s="324"/>
      <c r="L120" s="324"/>
      <c r="M120" s="324"/>
      <c r="N120" s="324"/>
      <c r="O120" s="324"/>
      <c r="P120" s="324"/>
      <c r="Q120" s="324"/>
      <c r="R120" s="324"/>
      <c r="S120" s="325"/>
    </row>
    <row r="121" spans="2:22" s="24" customFormat="1" ht="4.5" customHeight="1">
      <c r="B121" s="64"/>
      <c r="C121" s="64"/>
      <c r="D121" s="64"/>
      <c r="E121" s="64"/>
      <c r="F121" s="64"/>
      <c r="G121" s="64"/>
      <c r="H121" s="64"/>
      <c r="I121" s="64"/>
      <c r="J121" s="64"/>
      <c r="K121" s="64"/>
      <c r="L121" s="64"/>
      <c r="M121" s="64"/>
      <c r="N121" s="64"/>
      <c r="O121" s="64"/>
      <c r="P121" s="64"/>
      <c r="Q121" s="64"/>
      <c r="R121" s="64"/>
      <c r="S121" s="64"/>
    </row>
    <row r="122" spans="2:22">
      <c r="B122" s="292" t="s">
        <v>194</v>
      </c>
      <c r="C122" s="293"/>
      <c r="D122" s="293"/>
      <c r="E122" s="293"/>
      <c r="F122" s="293"/>
      <c r="G122" s="293"/>
      <c r="H122" s="293"/>
      <c r="I122" s="293"/>
      <c r="J122" s="293"/>
      <c r="K122" s="293"/>
      <c r="L122" s="293"/>
      <c r="M122" s="293"/>
      <c r="N122" s="293"/>
      <c r="O122" s="293"/>
      <c r="P122" s="293"/>
      <c r="Q122" s="293"/>
      <c r="R122" s="293"/>
      <c r="S122" s="294"/>
      <c r="V122" s="198"/>
    </row>
    <row r="123" spans="2:22" ht="18.75">
      <c r="B123" s="333" t="str">
        <f>builder!B112</f>
        <v/>
      </c>
      <c r="C123" s="333"/>
      <c r="D123" t="str">
        <f>IF($B$123=builder!$AG$118,"Knight:",IF(builder!B112=builder!AN118,"Dievas:",""))</f>
        <v/>
      </c>
      <c r="E123" s="335" t="str">
        <f>IF($B$123=builder!$AG$118,builder!B115,IF(builder!B112=builder!AN118,builder!I112,""))</f>
        <v/>
      </c>
      <c r="F123" s="335"/>
      <c r="G123" s="335"/>
      <c r="H123" s="335"/>
      <c r="I123" s="335"/>
      <c r="J123" s="335"/>
      <c r="K123" s="335"/>
      <c r="L123" s="335"/>
      <c r="M123" s="335"/>
      <c r="N123" s="335"/>
      <c r="O123" s="335"/>
      <c r="R123" s="37" t="str">
        <f>IF($B$123=builder!$AG$118,"Major Trait:","")</f>
        <v/>
      </c>
      <c r="S123" s="24" t="str">
        <f>IF($B$123=builder!$AG$118,builder!F115,"")</f>
        <v/>
      </c>
      <c r="V123" s="198"/>
    </row>
    <row r="124" spans="2:22" ht="15" customHeight="1">
      <c r="D124" s="274" t="str">
        <f>IF(builder!AN118=builder!B112,"Dievas type:","")</f>
        <v/>
      </c>
      <c r="E124" s="274"/>
      <c r="F124" s="339" t="str">
        <f>IF(builder!B112=builder!AN118,builder!B115,"")</f>
        <v/>
      </c>
      <c r="G124" s="339"/>
      <c r="H124" s="339"/>
      <c r="I124" s="339"/>
      <c r="J124" s="339"/>
      <c r="K124" s="339"/>
      <c r="L124" s="339"/>
      <c r="M124" s="339"/>
      <c r="N124" s="339"/>
      <c r="O124" s="339"/>
      <c r="R124" s="37" t="str">
        <f>IF($B$123=builder!$AG$118,"Minor Trait:","")</f>
        <v/>
      </c>
      <c r="S124" s="24" t="str">
        <f>IF($B$123=builder!$AG$118,builder!H115,"")</f>
        <v/>
      </c>
      <c r="V124" s="198"/>
    </row>
    <row r="125" spans="2:22">
      <c r="B125" s="1" t="str">
        <f>IF(B123&lt;&gt;"",HLOOKUP(B123,builder!AG118:AO136,16),"")</f>
        <v/>
      </c>
      <c r="D125" s="326" t="str">
        <f>IF(B123&lt;&gt;"",HLOOKUP($B$123,builder!AG118:AO136,18),"--")</f>
        <v>--</v>
      </c>
      <c r="E125" s="326"/>
      <c r="F125" s="326"/>
      <c r="G125" s="326"/>
      <c r="H125" s="326"/>
      <c r="I125" s="326"/>
      <c r="J125" s="326"/>
      <c r="K125" s="326"/>
      <c r="L125" s="326"/>
      <c r="M125" s="326"/>
      <c r="N125" s="326"/>
      <c r="O125" s="326"/>
      <c r="P125" s="326"/>
      <c r="Q125" s="326"/>
      <c r="R125" s="326"/>
      <c r="S125" s="326"/>
      <c r="V125" s="198"/>
    </row>
    <row r="126" spans="2:22">
      <c r="B126" s="336" t="str">
        <f>IF('adv shuffle'!J31&lt;&gt;"",'adv shuffle'!J31,"")</f>
        <v/>
      </c>
      <c r="C126" s="326"/>
      <c r="D126" s="326"/>
      <c r="E126" s="326"/>
      <c r="F126" s="326"/>
      <c r="G126" s="326"/>
      <c r="H126" s="326"/>
      <c r="I126" s="326"/>
      <c r="J126" s="326"/>
      <c r="K126" s="326"/>
      <c r="L126" s="326"/>
      <c r="M126" s="326"/>
      <c r="N126" s="326"/>
      <c r="O126" s="326"/>
      <c r="P126" s="10"/>
      <c r="Q126" s="10"/>
      <c r="R126" s="10"/>
      <c r="S126" s="10"/>
      <c r="V126" s="198"/>
    </row>
    <row r="127" spans="2:22" s="24" customFormat="1" ht="30" customHeight="1">
      <c r="B127" s="327" t="str">
        <f>IF(B126&lt;&gt;"",IF($B$123=builder!$AH$118,VLOOKUP(B126,styles!$B$29:$E$35,4),IF($B$123=builder!$AG$118,VLOOKUP(B126,styles!$F$52:$I$64,4),IF($B$123=builder!$AK$118,VLOOKUP(B126,styles!$B$94:$E$99,4),IF($B$123=builder!$AO$118,VLOOKUP(B126,styles!$D$75:$F$79,3),IF($B$123=builder!$AI$118,VLOOKUP($B$126,styles!$B$102:$D$121,3),IF($B$123=builder!$AL$118,VLOOKUP($B126,styles!$I$102:$J$108,2),IF($B$123=builder!$AJ$118,VLOOKUP($B126,styles!$N$102:$Q$107,3),""))))))),"")</f>
        <v/>
      </c>
      <c r="C127" s="328"/>
      <c r="D127" s="320"/>
      <c r="E127" s="320"/>
      <c r="F127" s="320"/>
      <c r="G127" s="320"/>
      <c r="H127" s="320"/>
      <c r="I127" s="320"/>
      <c r="J127" s="320"/>
      <c r="K127" s="320"/>
      <c r="L127" s="320"/>
      <c r="M127" s="320"/>
      <c r="N127" s="320"/>
      <c r="O127" s="320"/>
      <c r="P127" s="320"/>
      <c r="Q127" s="320"/>
      <c r="R127" s="320"/>
      <c r="S127" s="321"/>
      <c r="V127" s="198"/>
    </row>
    <row r="128" spans="2:22">
      <c r="B128" s="331" t="str">
        <f>IF('adv shuffle'!J32&lt;&gt;"",'adv shuffle'!J32,"")</f>
        <v/>
      </c>
      <c r="C128" s="332"/>
      <c r="D128" s="332"/>
      <c r="E128" s="332"/>
      <c r="F128" s="332"/>
      <c r="G128" s="332"/>
      <c r="H128" s="332"/>
      <c r="I128" s="332"/>
      <c r="J128" s="332"/>
      <c r="K128" s="332"/>
      <c r="L128" s="332"/>
      <c r="M128" s="332"/>
      <c r="N128" s="332"/>
      <c r="O128" s="332"/>
      <c r="P128" s="65"/>
      <c r="Q128" s="65"/>
      <c r="R128" s="65"/>
      <c r="S128" s="65"/>
      <c r="V128" s="198"/>
    </row>
    <row r="129" spans="2:23" s="24" customFormat="1" ht="30" customHeight="1">
      <c r="B129" s="319" t="str">
        <f>IF(B128&lt;&gt;"",IF($B$123=builder!$AH$118,VLOOKUP(B128,styles!$B$29:$E$35,4),IF($B$123=builder!$AG$118,VLOOKUP(B128,styles!$F$52:$I$64,4),IF($B$123=builder!$AK$118,VLOOKUP(B128,styles!$B$94:$E$99,4),IF($B$123=builder!$AO$118,VLOOKUP(B128,styles!$D$75:$F$79,3),IF($B$123=builder!$AI$118,VLOOKUP($B$128,styles!$B$102:$D$121,3),IF($B$123=builder!$AL$118,VLOOKUP($B128,styles!$I$102:$J$108,2),IF($B$123=builder!$AJ$118,VLOOKUP($B128,styles!$N$102:$Q$107,3),""))))))),"")</f>
        <v/>
      </c>
      <c r="C129" s="320"/>
      <c r="D129" s="320"/>
      <c r="E129" s="320"/>
      <c r="F129" s="320"/>
      <c r="G129" s="320"/>
      <c r="H129" s="320"/>
      <c r="I129" s="320"/>
      <c r="J129" s="320"/>
      <c r="K129" s="320"/>
      <c r="L129" s="320"/>
      <c r="M129" s="320"/>
      <c r="N129" s="320"/>
      <c r="O129" s="320"/>
      <c r="P129" s="320"/>
      <c r="Q129" s="320"/>
      <c r="R129" s="320"/>
      <c r="S129" s="321"/>
      <c r="V129" s="198"/>
      <c r="W129" s="198"/>
    </row>
    <row r="130" spans="2:23">
      <c r="B130" s="331" t="str">
        <f>IF('adv shuffle'!J33&lt;&gt;"",'adv shuffle'!J33,"")</f>
        <v/>
      </c>
      <c r="C130" s="332"/>
      <c r="D130" s="332"/>
      <c r="E130" s="332"/>
      <c r="F130" s="332"/>
      <c r="G130" s="332"/>
      <c r="H130" s="332"/>
      <c r="I130" s="332"/>
      <c r="J130" s="332"/>
      <c r="K130" s="332"/>
      <c r="L130" s="332"/>
      <c r="M130" s="332"/>
      <c r="N130" s="332"/>
      <c r="O130" s="332"/>
      <c r="P130" s="65"/>
      <c r="Q130" s="65"/>
      <c r="R130" s="65"/>
      <c r="S130" s="65"/>
    </row>
    <row r="131" spans="2:23" s="24" customFormat="1" ht="30" customHeight="1">
      <c r="B131" s="319" t="str">
        <f>IF(B130&lt;&gt;"",IF($B$123=builder!$AH$118,VLOOKUP(B130,styles!$B$29:$E$35,4),IF($B$123=builder!$AG$118,VLOOKUP(B130,styles!$F$52:$I$64,4),IF($B$123=builder!$AK$118,VLOOKUP(B130,styles!$B$94:$E$99,4),IF($B$123=builder!$AO$118,VLOOKUP(B130,styles!$D$75:$F$79,3),IF($B$123=builder!$AI$118,VLOOKUP($B$130,styles!$B$102:$D$121,3),IF($B$123=builder!$AL$118,VLOOKUP($B130,styles!$I$102:$J$108,2),IF($B$123=builder!$AJ$118,VLOOKUP($B130,styles!$N$102:$Q$107,3),""))))))),"")</f>
        <v/>
      </c>
      <c r="C131" s="320"/>
      <c r="D131" s="320"/>
      <c r="E131" s="320"/>
      <c r="F131" s="320"/>
      <c r="G131" s="320"/>
      <c r="H131" s="320"/>
      <c r="I131" s="320"/>
      <c r="J131" s="320"/>
      <c r="K131" s="320"/>
      <c r="L131" s="320"/>
      <c r="M131" s="320"/>
      <c r="N131" s="320"/>
      <c r="O131" s="320"/>
      <c r="P131" s="320"/>
      <c r="Q131" s="320"/>
      <c r="R131" s="320"/>
      <c r="S131" s="321"/>
      <c r="V131" s="198"/>
      <c r="W131" s="198"/>
    </row>
    <row r="132" spans="2:23">
      <c r="B132" s="331" t="str">
        <f>IF('adv shuffle'!J34&lt;&gt;"",'adv shuffle'!J34,"")</f>
        <v/>
      </c>
      <c r="C132" s="332"/>
      <c r="D132" s="332"/>
      <c r="E132" s="332"/>
      <c r="F132" s="332"/>
      <c r="G132" s="332"/>
      <c r="H132" s="332"/>
      <c r="I132" s="332"/>
      <c r="J132" s="332"/>
      <c r="K132" s="332"/>
      <c r="L132" s="332"/>
      <c r="M132" s="332"/>
      <c r="N132" s="332"/>
      <c r="O132" s="332"/>
      <c r="P132" s="65"/>
      <c r="Q132" s="65"/>
      <c r="R132" s="65"/>
      <c r="S132" s="65"/>
    </row>
    <row r="133" spans="2:23" s="24" customFormat="1" ht="30" customHeight="1">
      <c r="B133" s="319" t="str">
        <f>IF(B132&lt;&gt;"",IF($B$123=builder!$AH$118,VLOOKUP(B132,styles!$B$29:$E$35,4),IF($B$123=builder!$AG$118,VLOOKUP(B132,styles!$F$52:$I$64,4),IF($B$123=builder!$AK$118,VLOOKUP(B132,styles!$B$94:$E$99,4),IF($B$123=builder!$AO$118,VLOOKUP(B132,styles!$D$75:$F$79,3),IF($B$123=builder!$AI$118,VLOOKUP($B$132,styles!$B$102:$D$121,3),IF($B$123=builder!$AL$118,VLOOKUP($B132,styles!$I$102:$J$108,2),IF($B$123=builder!$AJ$118,VLOOKUP($B132,styles!$N$102:$Q$107,3),""))))))),"")</f>
        <v/>
      </c>
      <c r="C133" s="320"/>
      <c r="D133" s="320"/>
      <c r="E133" s="320"/>
      <c r="F133" s="320"/>
      <c r="G133" s="320"/>
      <c r="H133" s="320"/>
      <c r="I133" s="320"/>
      <c r="J133" s="320"/>
      <c r="K133" s="320"/>
      <c r="L133" s="320"/>
      <c r="M133" s="320"/>
      <c r="N133" s="320"/>
      <c r="O133" s="320"/>
      <c r="P133" s="320"/>
      <c r="Q133" s="320"/>
      <c r="R133" s="320"/>
      <c r="S133" s="321"/>
      <c r="V133" s="198"/>
      <c r="W133" s="198"/>
    </row>
    <row r="134" spans="2:23">
      <c r="B134" s="331" t="str">
        <f>IF('adv shuffle'!J35&lt;&gt;"",'adv shuffle'!J35,"")</f>
        <v/>
      </c>
      <c r="C134" s="332"/>
      <c r="D134" s="332"/>
      <c r="E134" s="332"/>
      <c r="F134" s="332"/>
      <c r="G134" s="332"/>
      <c r="H134" s="332"/>
      <c r="I134" s="332"/>
      <c r="J134" s="332"/>
      <c r="K134" s="332"/>
      <c r="L134" s="332"/>
      <c r="M134" s="332"/>
      <c r="N134" s="332"/>
      <c r="O134" s="332"/>
      <c r="P134" s="65"/>
      <c r="Q134" s="65"/>
      <c r="R134" s="65"/>
      <c r="S134" s="65"/>
    </row>
    <row r="135" spans="2:23" s="24" customFormat="1" ht="30" customHeight="1">
      <c r="B135" s="319" t="str">
        <f>IF(B134&lt;&gt;"",IF($B$123=builder!$AH$118,VLOOKUP(B134,styles!$B$29:$E$35,4),IF($B$123=builder!$AG$118,VLOOKUP(B134,styles!$F$52:$I$64,4),IF($B$123=builder!$AK$118,VLOOKUP(B134,styles!$B$94:$E$99,4),IF($B$123=builder!$AO$118,VLOOKUP(B134,styles!$D$75:$F$79,3),IF($B$123=builder!$AI$118,VLOOKUP($B$134,styles!$B$102:$D$121,3),IF($B$123=builder!$AL$118,VLOOKUP($B134,styles!$I$102:$J$108,2),IF($B$123=builder!$AJ$118,VLOOKUP($B134,styles!$N$102:$Q$107,3),""))))))),"")</f>
        <v/>
      </c>
      <c r="C135" s="320"/>
      <c r="D135" s="320"/>
      <c r="E135" s="320"/>
      <c r="F135" s="320"/>
      <c r="G135" s="320"/>
      <c r="H135" s="320"/>
      <c r="I135" s="320"/>
      <c r="J135" s="320"/>
      <c r="K135" s="320"/>
      <c r="L135" s="320"/>
      <c r="M135" s="320"/>
      <c r="N135" s="320"/>
      <c r="O135" s="320"/>
      <c r="P135" s="320"/>
      <c r="Q135" s="320"/>
      <c r="R135" s="320"/>
      <c r="S135" s="321"/>
      <c r="V135" s="198"/>
      <c r="W135" s="198"/>
    </row>
    <row r="136" spans="2:23">
      <c r="B136" s="331" t="str">
        <f>IF('adv shuffle'!J36&lt;&gt;"",'adv shuffle'!J36,"")</f>
        <v/>
      </c>
      <c r="C136" s="332"/>
      <c r="D136" s="332"/>
      <c r="E136" s="332"/>
      <c r="F136" s="332"/>
      <c r="G136" s="332"/>
      <c r="H136" s="332"/>
      <c r="I136" s="332"/>
      <c r="J136" s="332"/>
      <c r="K136" s="332"/>
      <c r="L136" s="332"/>
      <c r="M136" s="332"/>
      <c r="N136" s="332"/>
      <c r="O136" s="332"/>
      <c r="P136" s="65"/>
      <c r="Q136" s="65"/>
      <c r="R136" s="65"/>
      <c r="S136" s="65"/>
    </row>
    <row r="137" spans="2:23" s="24" customFormat="1" ht="30" customHeight="1">
      <c r="B137" s="319" t="str">
        <f>IF(B136&lt;&gt;"",IF($B$123=builder!$AH$118,VLOOKUP(B136,styles!$B$29:$E$35,4),IF($B$123=builder!$AG$118,VLOOKUP(B136,styles!$F$52:$I$64,4),IF($B$123=builder!$AK$118,VLOOKUP(B136,styles!$B$94:$E$99,4),IF($B$123=builder!$AO$118,VLOOKUP(B136,styles!$D$75:$F$79,3),IF($B$123=builder!$AI$118,VLOOKUP($B$136,styles!$B$102:$D$121,3),IF($B$123=builder!$AL$118,VLOOKUP($B136,styles!$I$102:$J$108,2),IF($B$123=builder!$AJ$118,VLOOKUP($B136,styles!$N$102:$Q$107,3),""))))))),"")</f>
        <v/>
      </c>
      <c r="C137" s="320"/>
      <c r="D137" s="320"/>
      <c r="E137" s="320"/>
      <c r="F137" s="320"/>
      <c r="G137" s="320"/>
      <c r="H137" s="320"/>
      <c r="I137" s="320"/>
      <c r="J137" s="320"/>
      <c r="K137" s="320"/>
      <c r="L137" s="320"/>
      <c r="M137" s="320"/>
      <c r="N137" s="320"/>
      <c r="O137" s="320"/>
      <c r="P137" s="320"/>
      <c r="Q137" s="320"/>
      <c r="R137" s="320"/>
      <c r="S137" s="321"/>
      <c r="W137" s="198"/>
    </row>
    <row r="138" spans="2:23">
      <c r="B138" s="331" t="str">
        <f>IF(COUNTIF(builder!B118:D121,styles!D78),"Pull cont.",IF('adv shuffle'!J37&lt;&gt;"",'adv shuffle'!J37,""))</f>
        <v/>
      </c>
      <c r="C138" s="332"/>
      <c r="D138" s="332"/>
      <c r="E138" s="332"/>
      <c r="F138" s="332"/>
      <c r="G138" s="332"/>
      <c r="H138" s="332"/>
      <c r="I138" s="332"/>
      <c r="J138" s="332"/>
      <c r="K138" s="332"/>
      <c r="L138" s="332"/>
      <c r="M138" s="332"/>
      <c r="N138" s="332"/>
      <c r="O138" s="332"/>
      <c r="P138" s="65"/>
      <c r="Q138" s="65"/>
      <c r="R138" s="65"/>
      <c r="S138" s="65"/>
    </row>
    <row r="139" spans="2:23" s="24" customFormat="1" ht="30" customHeight="1">
      <c r="B139" s="319" t="str">
        <f>IF(B138&lt;&gt;"",IF($B$123=builder!$AH$118,VLOOKUP(B138,styles!$B$29:$E$35,4),IF($B$123=builder!$AG$118,VLOOKUP(B138,styles!$F$52:$I$64,4),IF($B$123=builder!$AK$118,VLOOKUP(B138,styles!$B$94:$E$99,4),IF($B$123=builder!$AO$118,styles!G78,IF($B$123=builder!$AI$118,VLOOKUP($B$138,styles!$B$102:$D$121,3),IF($B$123=builder!$AL$118,VLOOKUP($B138,styles!$I$102:$J$108,2),"")))))),"")</f>
        <v/>
      </c>
      <c r="C139" s="320"/>
      <c r="D139" s="320"/>
      <c r="E139" s="320"/>
      <c r="F139" s="320"/>
      <c r="G139" s="320"/>
      <c r="H139" s="320"/>
      <c r="I139" s="320"/>
      <c r="J139" s="320"/>
      <c r="K139" s="320"/>
      <c r="L139" s="320"/>
      <c r="M139" s="320"/>
      <c r="N139" s="320"/>
      <c r="O139" s="320"/>
      <c r="P139" s="320"/>
      <c r="Q139" s="320"/>
      <c r="R139" s="320"/>
      <c r="S139" s="321"/>
      <c r="W139" s="198"/>
    </row>
    <row r="141" spans="2:23">
      <c r="B141" s="1" t="str">
        <f>IF(B123&lt;&gt;"",HLOOKUP(B123,builder!AG118:AO136,17),"")</f>
        <v/>
      </c>
      <c r="D141" s="326" t="str">
        <f>IF(AND(B123&lt;&gt;"",B123&lt;&gt;"none"),HLOOKUP($B$123,builder!AG118:AO136,19),"--")</f>
        <v>--</v>
      </c>
      <c r="E141" s="326"/>
      <c r="F141" s="326"/>
      <c r="G141" s="326"/>
      <c r="H141" s="326"/>
      <c r="I141" s="326"/>
      <c r="J141" s="326"/>
      <c r="K141" s="326"/>
      <c r="L141" s="326"/>
      <c r="M141" s="326"/>
      <c r="N141" s="326"/>
      <c r="O141" s="326"/>
      <c r="P141" s="326"/>
      <c r="Q141" s="326"/>
      <c r="R141" s="326"/>
      <c r="S141" s="326"/>
    </row>
    <row r="142" spans="2:23">
      <c r="B142" s="336" t="str">
        <f>IF('adv shuffle'!J38&lt;&gt;"",'adv shuffle'!J38,"")</f>
        <v/>
      </c>
      <c r="C142" s="326"/>
      <c r="D142" s="326"/>
      <c r="E142" s="10"/>
      <c r="F142" s="10"/>
      <c r="G142" s="10"/>
      <c r="H142" s="10"/>
      <c r="I142" s="10"/>
      <c r="J142" s="10"/>
      <c r="K142" s="10"/>
      <c r="L142" s="10"/>
      <c r="M142" s="10"/>
      <c r="N142" s="10"/>
      <c r="O142" s="10"/>
      <c r="P142" s="10"/>
      <c r="Q142" s="10"/>
      <c r="R142" s="10"/>
      <c r="S142" s="10"/>
    </row>
    <row r="143" spans="2:23" s="24" customFormat="1" ht="30" customHeight="1">
      <c r="B143" s="327" t="str">
        <f>IF(B142&lt;&gt;"",IF($B$123=builder!$AH$118,VLOOKUP(B142,styles!$B$36:$E$48,4),IF($B$123=builder!$AG$118,VLOOKUP(B142,styles!$K$52:$N$64,4),IF($B$123=builder!$AK$118,VLOOKUP(B142,styles!$B$84:$D$92,3),IF($B$123=builder!$AO$118,VLOOKUP(B142,styles!$D$75:$F$79,2),IF($B$123=builder!$AI$118,VLOOKUP($B$142,styles!$E$102:$F$121,2),IF($B$123=builder!$AL$118,VLOOKUP($B142,styles!$K$102:$L$108,2),IF($B$123=builder!$AJ$118,VLOOKUP($B142,styles!$N$102:$Q$107,4),""))))))),"")</f>
        <v/>
      </c>
      <c r="C143" s="328"/>
      <c r="D143" s="329"/>
      <c r="E143" s="329"/>
      <c r="F143" s="329"/>
      <c r="G143" s="329"/>
      <c r="H143" s="329"/>
      <c r="I143" s="329"/>
      <c r="J143" s="329"/>
      <c r="K143" s="329"/>
      <c r="L143" s="329"/>
      <c r="M143" s="329"/>
      <c r="N143" s="329"/>
      <c r="O143" s="329"/>
      <c r="P143" s="329"/>
      <c r="Q143" s="329"/>
      <c r="R143" s="329"/>
      <c r="S143" s="330"/>
    </row>
    <row r="144" spans="2:23">
      <c r="B144" s="331" t="str">
        <f>IF('adv shuffle'!J39&lt;&gt;"",'adv shuffle'!J39,"")</f>
        <v/>
      </c>
      <c r="C144" s="332"/>
      <c r="D144" s="332"/>
      <c r="E144" s="65"/>
      <c r="F144" s="65"/>
      <c r="G144" s="65"/>
      <c r="H144" s="65"/>
      <c r="I144" s="65"/>
      <c r="J144" s="65"/>
      <c r="K144" s="65"/>
      <c r="L144" s="65"/>
      <c r="M144" s="65"/>
      <c r="N144" s="65"/>
      <c r="O144" s="65"/>
      <c r="P144" s="65"/>
      <c r="Q144" s="65"/>
      <c r="R144" s="65"/>
      <c r="S144" s="65"/>
    </row>
    <row r="145" spans="2:22" s="24" customFormat="1" ht="30" customHeight="1">
      <c r="B145" s="327" t="str">
        <f>IF(B144&lt;&gt;"",IF($B$123=builder!$AH$118,VLOOKUP(B144,styles!$B$36:$E$48,4),IF($B$123=builder!$AG$118,VLOOKUP(B144,styles!$K$52:$N$64,4),IF($B$123=builder!$AK$118,VLOOKUP(B144,styles!$B$84:$D$92,3),IF($B$123=builder!$AO$118,VLOOKUP(B144,styles!$D$75:$F$79,2),IF($B$123=builder!$AI$118,VLOOKUP($B144,styles!$E$102:$F$121,2),IF($B$123=builder!$AL$118,VLOOKUP($B144,styles!$K$102:$L$108,2),IF($B$123=builder!$AJ$118,VLOOKUP($B144,styles!$N$102:$Q$107,4),""))))))),"")</f>
        <v/>
      </c>
      <c r="C145" s="328"/>
      <c r="D145" s="329"/>
      <c r="E145" s="329"/>
      <c r="F145" s="329"/>
      <c r="G145" s="329"/>
      <c r="H145" s="329"/>
      <c r="I145" s="329"/>
      <c r="J145" s="329"/>
      <c r="K145" s="329"/>
      <c r="L145" s="329"/>
      <c r="M145" s="329"/>
      <c r="N145" s="329"/>
      <c r="O145" s="329"/>
      <c r="P145" s="329"/>
      <c r="Q145" s="329"/>
      <c r="R145" s="329"/>
      <c r="S145" s="330"/>
      <c r="U145" s="198"/>
      <c r="V145" s="198"/>
    </row>
    <row r="146" spans="2:22">
      <c r="B146" s="331" t="str">
        <f>IF('adv shuffle'!J40&lt;&gt;"",'adv shuffle'!J40,"")</f>
        <v/>
      </c>
      <c r="C146" s="332"/>
      <c r="D146" s="332"/>
    </row>
    <row r="147" spans="2:22" s="24" customFormat="1" ht="30" customHeight="1">
      <c r="B147" s="327" t="str">
        <f>IF(B146&lt;&gt;"",IF($B$123=builder!$AH$118,VLOOKUP(B146,styles!$B$36:$E$48,4),IF($B$123=builder!$AG$118,VLOOKUP(B146,styles!$K$52:$N$64,4),IF($B$123=builder!$AK$118,VLOOKUP(B146,styles!$B$84:$D$92,3),IF($B$123=builder!$AO$118,VLOOKUP(B146,styles!$D$75:$F$79,2),IF($B$123=builder!$AI$118,VLOOKUP($B146,styles!$E$102:$F$121,2),IF($B$123=builder!$AL$118,VLOOKUP($B146,styles!$K$102:$L$108,2),IF($B$123=builder!$AJ$118,VLOOKUP($B146,styles!$N$102:$Q$107,4),""))))))),"")</f>
        <v/>
      </c>
      <c r="C147" s="328"/>
      <c r="D147" s="329"/>
      <c r="E147" s="329"/>
      <c r="F147" s="329"/>
      <c r="G147" s="329"/>
      <c r="H147" s="329"/>
      <c r="I147" s="329"/>
      <c r="J147" s="329"/>
      <c r="K147" s="329"/>
      <c r="L147" s="329"/>
      <c r="M147" s="329"/>
      <c r="N147" s="329"/>
      <c r="O147" s="329"/>
      <c r="P147" s="329"/>
      <c r="Q147" s="329"/>
      <c r="R147" s="329"/>
      <c r="S147" s="330"/>
      <c r="U147" s="198"/>
      <c r="V147" s="198"/>
    </row>
    <row r="148" spans="2:22">
      <c r="B148" s="331" t="str">
        <f>IF('adv shuffle'!J41&lt;&gt;"",'adv shuffle'!J41,"")</f>
        <v/>
      </c>
      <c r="C148" s="332"/>
      <c r="D148" s="332"/>
    </row>
    <row r="149" spans="2:22" s="24" customFormat="1" ht="30" customHeight="1">
      <c r="B149" s="327" t="str">
        <f>IF(B148&lt;&gt;"",IF($B$123=builder!$AH$118,VLOOKUP(B148,styles!$B$36:$E$48,4),IF($B$123=builder!$AG$118,VLOOKUP(B148,styles!$K$52:$N$64,4),IF($B$123=builder!$AK$118,VLOOKUP(B148,styles!$B$84:$D$92,3),IF($B$123=builder!$AO$118,VLOOKUP(B148,styles!$D$75:$F$79,2),IF($B$123=builder!$AI$118,VLOOKUP($B148,styles!$E$102:$F$121,2),IF($B$123=builder!$AL$118,VLOOKUP($B148,styles!$K$102:$L$108,2),IF($B$123=builder!$AJ$118,VLOOKUP($B148,styles!$N$102:$Q$107,4),""))))))),"")</f>
        <v/>
      </c>
      <c r="C149" s="328"/>
      <c r="D149" s="329"/>
      <c r="E149" s="329"/>
      <c r="F149" s="329"/>
      <c r="G149" s="329"/>
      <c r="H149" s="329"/>
      <c r="I149" s="329"/>
      <c r="J149" s="329"/>
      <c r="K149" s="329"/>
      <c r="L149" s="329"/>
      <c r="M149" s="329"/>
      <c r="N149" s="329"/>
      <c r="O149" s="329"/>
      <c r="P149" s="329"/>
      <c r="Q149" s="329"/>
      <c r="R149" s="329"/>
      <c r="S149" s="330"/>
      <c r="U149" s="198"/>
      <c r="V149" s="198"/>
    </row>
    <row r="150" spans="2:22">
      <c r="B150" s="331" t="str">
        <f>IF('adv shuffle'!J42&lt;&gt;"",'adv shuffle'!J42,"")</f>
        <v/>
      </c>
      <c r="C150" s="332"/>
      <c r="D150" s="332"/>
    </row>
    <row r="151" spans="2:22" s="24" customFormat="1" ht="30" customHeight="1">
      <c r="B151" s="327" t="str">
        <f>IF(B150&lt;&gt;"",IF($B$123=builder!$AH$118,VLOOKUP(B150,styles!$B$36:$E$48,4),IF($B$123=builder!$AG$118,VLOOKUP(B150,styles!$K$52:$N$64,4),IF($B$123=builder!$AK$118,VLOOKUP(B150,styles!$B$84:$D$92,3),IF($B$123=builder!$AO$118,VLOOKUP(B150,styles!$D$75:$F$79,2),IF($B$123=builder!$AI$118,VLOOKUP($B150,styles!$E$102:$F$121,2),IF($B$123=builder!$AL$118,VLOOKUP($B150,styles!$K$102:$L$108,2),IF($B$123=builder!$AJ$118,VLOOKUP($B150,styles!$N$102:$Q$107,4),""))))))),"")</f>
        <v/>
      </c>
      <c r="C151" s="328"/>
      <c r="D151" s="329"/>
      <c r="E151" s="329"/>
      <c r="F151" s="329"/>
      <c r="G151" s="329"/>
      <c r="H151" s="329"/>
      <c r="I151" s="329"/>
      <c r="J151" s="329"/>
      <c r="K151" s="329"/>
      <c r="L151" s="329"/>
      <c r="M151" s="329"/>
      <c r="N151" s="329"/>
      <c r="O151" s="329"/>
      <c r="P151" s="329"/>
      <c r="Q151" s="329"/>
      <c r="R151" s="329"/>
      <c r="S151" s="330"/>
      <c r="U151" s="198"/>
      <c r="V151" s="198"/>
    </row>
    <row r="152" spans="2:22">
      <c r="B152" s="331" t="str">
        <f>IF('adv shuffle'!J43&lt;&gt;"",'adv shuffle'!J43,"")</f>
        <v/>
      </c>
      <c r="C152" s="332"/>
      <c r="D152" s="332"/>
    </row>
    <row r="153" spans="2:22" s="24" customFormat="1" ht="30" customHeight="1">
      <c r="B153" s="327" t="str">
        <f>IF(B152&lt;&gt;"",IF($B$123=builder!$AH$118,VLOOKUP(B152,styles!$B$36:$E$48,4),IF($B$123=builder!$AG$118,VLOOKUP(B152,styles!$K$52:$N$64,4),IF($B$123=builder!$AK$118,VLOOKUP(B152,styles!$B$84:$D$92,3),IF($B$123=builder!$AO$118,VLOOKUP(B152,styles!$D$75:$F$79,2),IF($B$123=builder!$AI$118,VLOOKUP($B152,styles!$E$102:$F$121,2),IF($B$123=builder!$AL$118,VLOOKUP($B152,styles!$K$102:$L$108,2),IF($B$123=builder!$AJ$118,VLOOKUP($B152,styles!$N$102:$Q$107,4),""))))))),"")</f>
        <v/>
      </c>
      <c r="C153" s="328"/>
      <c r="D153" s="329"/>
      <c r="E153" s="329"/>
      <c r="F153" s="329"/>
      <c r="G153" s="329"/>
      <c r="H153" s="329"/>
      <c r="I153" s="329"/>
      <c r="J153" s="329"/>
      <c r="K153" s="329"/>
      <c r="L153" s="329"/>
      <c r="M153" s="329"/>
      <c r="N153" s="329"/>
      <c r="O153" s="329"/>
      <c r="P153" s="329"/>
      <c r="Q153" s="329"/>
      <c r="R153" s="329"/>
      <c r="S153" s="330"/>
      <c r="U153" s="198"/>
    </row>
    <row r="154" spans="2:22">
      <c r="B154" s="331" t="str">
        <f>IF('adv shuffle'!J44&lt;&gt;"",'adv shuffle'!J44,"")</f>
        <v/>
      </c>
      <c r="C154" s="332"/>
      <c r="D154" s="332"/>
    </row>
    <row r="155" spans="2:22" s="24" customFormat="1" ht="30" customHeight="1">
      <c r="B155" s="327" t="str">
        <f>IF(B154&lt;&gt;"",IF($B$123=builder!$AH$118,VLOOKUP(B154,styles!$B$36:$E$48,4),IF($B$123=builder!$AG$118,VLOOKUP(B154,styles!$K$52:$N$64,4),IF($B$123=builder!$AK$118,VLOOKUP(B154,styles!$B$84:$D$92,3),IF($B$123=builder!$AO$118,VLOOKUP(B154,styles!$D$75:$F$79,2),IF($B$123=builder!$AI$118,VLOOKUP($B154,styles!$E$102:$F$121,2),IF($B$123=builder!$AL$118,VLOOKUP($B154,styles!$K$102:$L$108,2),"")))))),"")</f>
        <v/>
      </c>
      <c r="C155" s="328"/>
      <c r="D155" s="329"/>
      <c r="E155" s="329"/>
      <c r="F155" s="329"/>
      <c r="G155" s="329"/>
      <c r="H155" s="329"/>
      <c r="I155" s="329"/>
      <c r="J155" s="329"/>
      <c r="K155" s="329"/>
      <c r="L155" s="329"/>
      <c r="M155" s="329"/>
      <c r="N155" s="329"/>
      <c r="O155" s="329"/>
      <c r="P155" s="329"/>
      <c r="Q155" s="329"/>
      <c r="R155" s="329"/>
      <c r="S155" s="330"/>
      <c r="U155" s="198"/>
    </row>
    <row r="156" spans="2:22">
      <c r="B156" s="331" t="str">
        <f>IF('adv shuffle'!J45&lt;&gt;"",'adv shuffle'!J45,"")</f>
        <v/>
      </c>
      <c r="C156" s="332"/>
      <c r="D156" s="332"/>
    </row>
    <row r="157" spans="2:22" s="24" customFormat="1" ht="30" customHeight="1">
      <c r="B157" s="327" t="str">
        <f>IF(B156&lt;&gt;"",IF($B$123=builder!$AH$118,VLOOKUP(B156,styles!$B$36:$E$48,4),IF($B$123=builder!$AG$118,VLOOKUP(B156,styles!$K$52:$N$64,4),IF($B$123=builder!$AK$118,VLOOKUP(B156,styles!$B$84:$D$92,3),IF($B$123=builder!$AO$118,VLOOKUP(B156,styles!$D$75:$F$79,2),IF($B$123=builder!$AI$118,VLOOKUP($B156,styles!$E$102:$F$121,2),""))))),"")</f>
        <v/>
      </c>
      <c r="C157" s="328"/>
      <c r="D157" s="329"/>
      <c r="E157" s="329"/>
      <c r="F157" s="329"/>
      <c r="G157" s="329"/>
      <c r="H157" s="329"/>
      <c r="I157" s="329"/>
      <c r="J157" s="329"/>
      <c r="K157" s="329"/>
      <c r="L157" s="329"/>
      <c r="M157" s="329"/>
      <c r="N157" s="329"/>
      <c r="O157" s="329"/>
      <c r="P157" s="329"/>
      <c r="Q157" s="329"/>
      <c r="R157" s="329"/>
      <c r="S157" s="330"/>
    </row>
    <row r="158" spans="2:22">
      <c r="B158" s="331" t="str">
        <f>IF('adv shuffle'!J46&lt;&gt;"",'adv shuffle'!J46,"")</f>
        <v/>
      </c>
      <c r="C158" s="332"/>
      <c r="D158" s="332"/>
    </row>
    <row r="159" spans="2:22" s="24" customFormat="1" ht="30" customHeight="1">
      <c r="B159" s="327" t="str">
        <f>IF(B158&lt;&gt;"",IF($B$123=builder!$AH$118,VLOOKUP(B158,styles!$B$36:$E$48,4),IF($B$123=builder!$AG$118,VLOOKUP(B158,styles!$K$52:$N$64,4),IF($B$123=builder!$AK$118,VLOOKUP(B158,styles!$B$84:$D$92,3),IF($B$123=builder!$AO$118,VLOOKUP(B158,styles!$D$75:$F$79,2),IF($B$123=builder!$AI$118,VLOOKUP($B158,styles!$E$102:$F$121,2),""))))),"")</f>
        <v/>
      </c>
      <c r="C159" s="328"/>
      <c r="D159" s="329"/>
      <c r="E159" s="329"/>
      <c r="F159" s="329"/>
      <c r="G159" s="329"/>
      <c r="H159" s="329"/>
      <c r="I159" s="329"/>
      <c r="J159" s="329"/>
      <c r="K159" s="329"/>
      <c r="L159" s="329"/>
      <c r="M159" s="329"/>
      <c r="N159" s="329"/>
      <c r="O159" s="329"/>
      <c r="P159" s="329"/>
      <c r="Q159" s="329"/>
      <c r="R159" s="329"/>
      <c r="S159" s="330"/>
    </row>
    <row r="160" spans="2:22">
      <c r="B160" s="331" t="str">
        <f>IF('adv shuffle'!J47&lt;&gt;"",'adv shuffle'!J47,"")</f>
        <v/>
      </c>
      <c r="C160" s="332"/>
      <c r="D160" s="332"/>
    </row>
    <row r="161" spans="2:19" s="24" customFormat="1" ht="30" customHeight="1">
      <c r="B161" s="327" t="str">
        <f>IF(B160&lt;&gt;"",IF($B$123=builder!$AH$118,VLOOKUP(B160,styles!$B$36:$E$48,4),IF($B$123=builder!$AG$118,VLOOKUP(B160,styles!$K$52:$N$64,4),IF($B$123=builder!$AK$118,VLOOKUP(B160,styles!$B$84:$D$92,3),IF($B$123=builder!$AO$118,VLOOKUP(B160,styles!$D$75:$F$79,2),IF($B$123=builder!$AI$118,VLOOKUP($B160,styles!$E$102:$F$121,2),""))))),"")</f>
        <v/>
      </c>
      <c r="C161" s="328"/>
      <c r="D161" s="329"/>
      <c r="E161" s="329"/>
      <c r="F161" s="329"/>
      <c r="G161" s="329"/>
      <c r="H161" s="329"/>
      <c r="I161" s="329"/>
      <c r="J161" s="329"/>
      <c r="K161" s="329"/>
      <c r="L161" s="329"/>
      <c r="M161" s="329"/>
      <c r="N161" s="329"/>
      <c r="O161" s="329"/>
      <c r="P161" s="329"/>
      <c r="Q161" s="329"/>
      <c r="R161" s="329"/>
      <c r="S161" s="330"/>
    </row>
    <row r="162" spans="2:19">
      <c r="B162" s="331" t="str">
        <f>IF('adv shuffle'!J48&lt;&gt;"",'adv shuffle'!J48,"")</f>
        <v/>
      </c>
      <c r="C162" s="332"/>
      <c r="D162" s="332"/>
    </row>
    <row r="163" spans="2:19" s="24" customFormat="1" ht="30" customHeight="1">
      <c r="B163" s="327" t="str">
        <f>IF(B162&lt;&gt;"",IF($B$123=builder!$AH$118,VLOOKUP(B162,styles!$B$36:$E$48,4),IF($B$123=builder!$AG$118,VLOOKUP(B162,styles!$K$52:$N$64,4),IF($B$123=builder!$AK$118,VLOOKUP(B162,styles!$B$84:$D$92,3),IF($B$123=builder!$AO$118,VLOOKUP(B162,styles!$D$75:$F$79,2),IF($B$123=builder!$AI$118,VLOOKUP($B162,styles!$E$102:$F$121,2),""))))),"")</f>
        <v/>
      </c>
      <c r="C163" s="328"/>
      <c r="D163" s="329"/>
      <c r="E163" s="329"/>
      <c r="F163" s="329"/>
      <c r="G163" s="329"/>
      <c r="H163" s="329"/>
      <c r="I163" s="329"/>
      <c r="J163" s="329"/>
      <c r="K163" s="329"/>
      <c r="L163" s="329"/>
      <c r="M163" s="329"/>
      <c r="N163" s="329"/>
      <c r="O163" s="329"/>
      <c r="P163" s="329"/>
      <c r="Q163" s="329"/>
      <c r="R163" s="329"/>
      <c r="S163" s="330"/>
    </row>
    <row r="164" spans="2:19">
      <c r="B164" s="331" t="str">
        <f>IF('adv shuffle'!J49&lt;&gt;"",'adv shuffle'!J49,"")</f>
        <v/>
      </c>
      <c r="C164" s="332"/>
      <c r="D164" s="332"/>
    </row>
    <row r="165" spans="2:19" s="24" customFormat="1" ht="30" customHeight="1">
      <c r="B165" s="327" t="str">
        <f>IF(B164&lt;&gt;"",IF($B$123=builder!$AH$118,VLOOKUP(B164,styles!$B$36:$E$48,4),IF($B$123=builder!$AG$118,VLOOKUP(B164,styles!$K$52:$N$64,4),IF($B$123=builder!$AK$118,VLOOKUP(B164,styles!$B$84:$D$92,3),IF($B$123=builder!$AO$118,VLOOKUP(B164,styles!$D$75:$F$79,2),IF($B$123=builder!$AI$118,VLOOKUP($B164,styles!$E$102:$F$121,2),""))))),"")</f>
        <v/>
      </c>
      <c r="C165" s="328"/>
      <c r="D165" s="329"/>
      <c r="E165" s="329"/>
      <c r="F165" s="329"/>
      <c r="G165" s="329"/>
      <c r="H165" s="329"/>
      <c r="I165" s="329"/>
      <c r="J165" s="329"/>
      <c r="K165" s="329"/>
      <c r="L165" s="329"/>
      <c r="M165" s="329"/>
      <c r="N165" s="329"/>
      <c r="O165" s="329"/>
      <c r="P165" s="329"/>
      <c r="Q165" s="329"/>
      <c r="R165" s="329"/>
      <c r="S165" s="330"/>
    </row>
    <row r="166" spans="2:19">
      <c r="B166" s="331" t="str">
        <f>IF('adv shuffle'!J50&lt;&gt;"",'adv shuffle'!J50,"")</f>
        <v/>
      </c>
      <c r="C166" s="332"/>
      <c r="D166" s="332"/>
    </row>
    <row r="167" spans="2:19" s="24" customFormat="1" ht="30" customHeight="1">
      <c r="B167" s="327" t="str">
        <f>IF(B166&lt;&gt;"",IF($B$123=builder!$AH$118,VLOOKUP(B166,styles!$B$36:$E$48,4),IF($B$123=builder!$AG$118,VLOOKUP(B166,styles!$K$52:$N$64,4),IF($B$123=builder!$AK$118,VLOOKUP(B166,styles!$B$84:$D$92,3),IF($B$123=builder!$AO$118,VLOOKUP(B166,styles!$D$75:$F$79,2),IF($B$123=builder!$AI$118,VLOOKUP($B166,styles!$E$102:$F$121,2),""))))),"")</f>
        <v/>
      </c>
      <c r="C167" s="328"/>
      <c r="D167" s="329"/>
      <c r="E167" s="329"/>
      <c r="F167" s="329"/>
      <c r="G167" s="329"/>
      <c r="H167" s="329"/>
      <c r="I167" s="329"/>
      <c r="J167" s="329"/>
      <c r="K167" s="329"/>
      <c r="L167" s="329"/>
      <c r="M167" s="329"/>
      <c r="N167" s="329"/>
      <c r="O167" s="329"/>
      <c r="P167" s="329"/>
      <c r="Q167" s="329"/>
      <c r="R167" s="329"/>
      <c r="S167" s="330"/>
    </row>
    <row r="168" spans="2:19">
      <c r="B168" s="331" t="str">
        <f>IF('adv shuffle'!J51&lt;&gt;"",'adv shuffle'!J51,"")</f>
        <v/>
      </c>
      <c r="C168" s="332"/>
      <c r="D168" s="332"/>
    </row>
    <row r="169" spans="2:19" ht="30" customHeight="1">
      <c r="B169" s="319" t="str">
        <f>IF(B168&lt;&gt;"",IF($B$123=builder!$AH$118,VLOOKUP(B168,styles!$B$36:$E$48,4),IF($B$123=builder!$AG$118,VLOOKUP(B168,styles!$K$52:$N$64,4),IF($B$123=builder!$AK$118,VLOOKUP(B168,styles!$B$84:$D$92,3),IF($B$123=builder!$AO$118,VLOOKUP(B168,styles!$D$75:$F$79,2),IF($B$123=builder!$AI$118,VLOOKUP($B168,styles!$E$102:$F$121,2),""))))),"")</f>
        <v/>
      </c>
      <c r="C169" s="320"/>
      <c r="D169" s="329"/>
      <c r="E169" s="329"/>
      <c r="F169" s="329"/>
      <c r="G169" s="329"/>
      <c r="H169" s="329"/>
      <c r="I169" s="329"/>
      <c r="J169" s="329"/>
      <c r="K169" s="329"/>
      <c r="L169" s="329"/>
      <c r="M169" s="329"/>
      <c r="N169" s="329"/>
      <c r="O169" s="329"/>
      <c r="P169" s="329"/>
      <c r="Q169" s="329"/>
      <c r="R169" s="329"/>
      <c r="S169" s="330"/>
    </row>
    <row r="170" spans="2:19">
      <c r="Q170" s="285">
        <f ca="1">NOW()</f>
        <v>42776.622852314817</v>
      </c>
      <c r="R170" s="285"/>
      <c r="S170" s="285"/>
    </row>
    <row r="171" spans="2:19" ht="15" customHeight="1"/>
    <row r="172" spans="2:19">
      <c r="B172" s="63"/>
      <c r="C172" s="63"/>
      <c r="D172" s="63"/>
      <c r="E172" s="63"/>
      <c r="F172" s="63"/>
      <c r="G172" s="63"/>
      <c r="H172" s="63"/>
      <c r="I172" s="63"/>
      <c r="J172" s="63"/>
      <c r="K172" s="63"/>
      <c r="L172" s="63"/>
      <c r="M172" s="63"/>
      <c r="N172" s="63"/>
      <c r="O172" s="63"/>
      <c r="P172" s="63"/>
      <c r="Q172" s="63"/>
      <c r="R172" s="63"/>
      <c r="S172" s="63"/>
    </row>
  </sheetData>
  <mergeCells count="142">
    <mergeCell ref="B144:D144"/>
    <mergeCell ref="B142:D142"/>
    <mergeCell ref="B168:D168"/>
    <mergeCell ref="B164:D164"/>
    <mergeCell ref="B166:D166"/>
    <mergeCell ref="B152:D152"/>
    <mergeCell ref="B154:D154"/>
    <mergeCell ref="B156:D156"/>
    <mergeCell ref="B158:D158"/>
    <mergeCell ref="B160:D160"/>
    <mergeCell ref="B162:D162"/>
    <mergeCell ref="B143:S143"/>
    <mergeCell ref="N11:O11"/>
    <mergeCell ref="P11:R11"/>
    <mergeCell ref="Q41:R41"/>
    <mergeCell ref="Q43:R43"/>
    <mergeCell ref="B126:O126"/>
    <mergeCell ref="B138:O138"/>
    <mergeCell ref="B136:O136"/>
    <mergeCell ref="B134:O134"/>
    <mergeCell ref="B132:O132"/>
    <mergeCell ref="B130:O130"/>
    <mergeCell ref="B128:O128"/>
    <mergeCell ref="D27:Q27"/>
    <mergeCell ref="R27:S27"/>
    <mergeCell ref="B27:C27"/>
    <mergeCell ref="B118:S118"/>
    <mergeCell ref="E123:O123"/>
    <mergeCell ref="D124:E124"/>
    <mergeCell ref="F124:O124"/>
    <mergeCell ref="B135:S135"/>
    <mergeCell ref="B137:S137"/>
    <mergeCell ref="Q49:S49"/>
    <mergeCell ref="Q100:S100"/>
    <mergeCell ref="B95:S96"/>
    <mergeCell ref="B63:S64"/>
    <mergeCell ref="Q170:S170"/>
    <mergeCell ref="Q119:S119"/>
    <mergeCell ref="B120:S120"/>
    <mergeCell ref="D125:S125"/>
    <mergeCell ref="D141:S141"/>
    <mergeCell ref="B165:S165"/>
    <mergeCell ref="B167:S167"/>
    <mergeCell ref="B169:S169"/>
    <mergeCell ref="B127:S127"/>
    <mergeCell ref="B157:S157"/>
    <mergeCell ref="B159:S159"/>
    <mergeCell ref="B161:S161"/>
    <mergeCell ref="B163:S163"/>
    <mergeCell ref="B145:S145"/>
    <mergeCell ref="B147:S147"/>
    <mergeCell ref="B149:S149"/>
    <mergeCell ref="B151:S151"/>
    <mergeCell ref="B153:S153"/>
    <mergeCell ref="B155:S155"/>
    <mergeCell ref="B150:D150"/>
    <mergeCell ref="B148:D148"/>
    <mergeCell ref="B146:D146"/>
    <mergeCell ref="B122:S122"/>
    <mergeCell ref="B123:C123"/>
    <mergeCell ref="B139:S139"/>
    <mergeCell ref="B129:S129"/>
    <mergeCell ref="B131:S131"/>
    <mergeCell ref="B133:S133"/>
    <mergeCell ref="B108:S108"/>
    <mergeCell ref="B111:S111"/>
    <mergeCell ref="B114:S114"/>
    <mergeCell ref="B116:S116"/>
    <mergeCell ref="B101:S101"/>
    <mergeCell ref="B103:S103"/>
    <mergeCell ref="B105:S105"/>
    <mergeCell ref="B66:S67"/>
    <mergeCell ref="B53:D53"/>
    <mergeCell ref="B54:S55"/>
    <mergeCell ref="B65:D65"/>
    <mergeCell ref="B85:D85"/>
    <mergeCell ref="B88:D88"/>
    <mergeCell ref="B50:S50"/>
    <mergeCell ref="B57:S58"/>
    <mergeCell ref="B56:D56"/>
    <mergeCell ref="B59:D59"/>
    <mergeCell ref="B62:D62"/>
    <mergeCell ref="B83:S84"/>
    <mergeCell ref="B86:S87"/>
    <mergeCell ref="E23:F23"/>
    <mergeCell ref="E24:F24"/>
    <mergeCell ref="E25:F25"/>
    <mergeCell ref="E26:F26"/>
    <mergeCell ref="L19:O19"/>
    <mergeCell ref="L20:O20"/>
    <mergeCell ref="L21:O21"/>
    <mergeCell ref="L22:O22"/>
    <mergeCell ref="L23:O23"/>
    <mergeCell ref="L24:O24"/>
    <mergeCell ref="C3:S3"/>
    <mergeCell ref="C2:S2"/>
    <mergeCell ref="F5:O5"/>
    <mergeCell ref="E18:P18"/>
    <mergeCell ref="B18:C18"/>
    <mergeCell ref="C14:D14"/>
    <mergeCell ref="C11:D11"/>
    <mergeCell ref="R18:S18"/>
    <mergeCell ref="B35:D35"/>
    <mergeCell ref="B25:C25"/>
    <mergeCell ref="F6:M6"/>
    <mergeCell ref="F7:M7"/>
    <mergeCell ref="F8:O8"/>
    <mergeCell ref="N6:O6"/>
    <mergeCell ref="N7:O7"/>
    <mergeCell ref="B15:S16"/>
    <mergeCell ref="B12:S13"/>
    <mergeCell ref="B26:C26"/>
    <mergeCell ref="L25:O25"/>
    <mergeCell ref="B29:D29"/>
    <mergeCell ref="B32:S33"/>
    <mergeCell ref="B30:S31"/>
    <mergeCell ref="L26:O26"/>
    <mergeCell ref="E19:F19"/>
    <mergeCell ref="B98:S99"/>
    <mergeCell ref="C4:S4"/>
    <mergeCell ref="B36:S37"/>
    <mergeCell ref="B38:S39"/>
    <mergeCell ref="B91:D91"/>
    <mergeCell ref="B94:D94"/>
    <mergeCell ref="B68:D68"/>
    <mergeCell ref="B71:D71"/>
    <mergeCell ref="B76:D76"/>
    <mergeCell ref="B79:D79"/>
    <mergeCell ref="B82:D82"/>
    <mergeCell ref="B89:S90"/>
    <mergeCell ref="B92:S93"/>
    <mergeCell ref="B75:S75"/>
    <mergeCell ref="Q74:S74"/>
    <mergeCell ref="B52:S52"/>
    <mergeCell ref="B80:S81"/>
    <mergeCell ref="B69:S70"/>
    <mergeCell ref="B72:S73"/>
    <mergeCell ref="B77:S78"/>
    <mergeCell ref="B60:S61"/>
    <mergeCell ref="E20:F20"/>
    <mergeCell ref="E21:F21"/>
    <mergeCell ref="E22:F22"/>
  </mergeCells>
  <conditionalFormatting sqref="B98:S99">
    <cfRule type="notContainsBlanks" dxfId="242" priority="3">
      <formula>LEN(TRIM(B98))&gt;0</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1" id="{2DA9A1C1-94D2-4030-96E8-0C6D84760FAA}">
            <xm:f>IF(COUNTIF('adv shuffle'!$B$2:$B$23,builder!$S$44)&gt;0,TRUE,FALSE)</xm:f>
            <x14:dxf>
              <border>
                <left style="thin">
                  <color auto="1"/>
                </left>
                <right style="thin">
                  <color auto="1"/>
                </right>
                <top style="thin">
                  <color auto="1"/>
                </top>
                <bottom style="thin">
                  <color auto="1"/>
                </bottom>
                <vertical/>
                <horizontal/>
              </border>
            </x14:dxf>
          </x14:cfRule>
          <xm:sqref>N49 L49 J49 H49 F49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9"/>
  <sheetViews>
    <sheetView zoomScale="130" zoomScaleNormal="130" workbookViewId="0"/>
  </sheetViews>
  <sheetFormatPr defaultRowHeight="15"/>
  <cols>
    <col min="1" max="1" width="1" style="153" customWidth="1"/>
    <col min="2" max="2" width="9.85546875" style="153" customWidth="1"/>
    <col min="3" max="3" width="27.42578125" style="153" customWidth="1"/>
    <col min="4" max="4" width="1.140625" style="153" customWidth="1"/>
    <col min="5" max="5" width="10.140625" style="153" customWidth="1"/>
    <col min="6" max="15" width="1.42578125" style="153" customWidth="1"/>
    <col min="16" max="16" width="4.85546875" style="153" customWidth="1"/>
    <col min="17" max="21" width="1.5703125" style="153" customWidth="1"/>
    <col min="22" max="22" width="2.28515625" style="153" customWidth="1"/>
    <col min="23" max="23" width="1.140625" style="153" customWidth="1"/>
    <col min="24" max="24" width="41.140625" style="153" customWidth="1"/>
    <col min="25" max="25" width="1" style="153" customWidth="1"/>
    <col min="26" max="26" width="3.85546875" style="17" customWidth="1"/>
    <col min="27" max="16384" width="9.140625" style="17"/>
  </cols>
  <sheetData>
    <row r="1" spans="1:25" ht="9.75" customHeight="1">
      <c r="A1" s="158"/>
      <c r="B1" s="158"/>
      <c r="C1" s="158"/>
      <c r="D1" s="158"/>
      <c r="E1" s="158"/>
      <c r="F1" s="158"/>
      <c r="G1" s="158"/>
      <c r="H1" s="158"/>
      <c r="I1" s="158"/>
      <c r="J1" s="158"/>
      <c r="K1" s="158"/>
      <c r="L1" s="158"/>
      <c r="M1" s="158"/>
      <c r="N1" s="158"/>
      <c r="O1" s="158"/>
      <c r="P1" s="158"/>
      <c r="Q1" s="158"/>
      <c r="R1" s="158"/>
      <c r="S1" s="158"/>
      <c r="T1" s="158"/>
      <c r="U1" s="158"/>
      <c r="V1" s="158"/>
      <c r="W1" s="158"/>
      <c r="X1" s="158"/>
      <c r="Y1" s="158"/>
    </row>
    <row r="2" spans="1:25" s="153" customFormat="1" ht="16.5" customHeight="1">
      <c r="A2" s="158"/>
      <c r="B2" s="349" t="s">
        <v>936</v>
      </c>
      <c r="C2" s="349"/>
      <c r="D2" s="158"/>
      <c r="E2" s="349" t="s">
        <v>937</v>
      </c>
      <c r="F2" s="349"/>
      <c r="G2" s="349"/>
      <c r="H2" s="349"/>
      <c r="I2" s="349"/>
      <c r="J2" s="349"/>
      <c r="K2" s="349"/>
      <c r="L2" s="349"/>
      <c r="M2" s="349"/>
      <c r="N2" s="349"/>
      <c r="O2" s="349"/>
      <c r="P2" s="349"/>
      <c r="Q2" s="349"/>
      <c r="R2" s="349"/>
      <c r="S2" s="349"/>
      <c r="T2" s="349"/>
      <c r="U2" s="349"/>
      <c r="V2" s="349"/>
      <c r="W2" s="158"/>
      <c r="X2" s="159" t="s">
        <v>938</v>
      </c>
      <c r="Y2" s="158"/>
    </row>
    <row r="3" spans="1:25" ht="3" customHeight="1">
      <c r="A3" s="158"/>
      <c r="D3" s="158"/>
      <c r="F3" s="19"/>
      <c r="G3" s="19"/>
      <c r="H3" s="19"/>
      <c r="I3" s="19"/>
      <c r="J3" s="19"/>
      <c r="K3" s="19"/>
      <c r="L3" s="19"/>
      <c r="M3" s="19"/>
      <c r="N3" s="19"/>
      <c r="O3" s="19"/>
      <c r="P3" s="19"/>
      <c r="Q3" s="19"/>
      <c r="R3" s="19"/>
      <c r="S3" s="19"/>
      <c r="T3" s="19"/>
      <c r="U3" s="19"/>
      <c r="V3" s="173"/>
      <c r="W3" s="158"/>
      <c r="X3" s="342">
        <f>builder!$B$22</f>
        <v>0</v>
      </c>
      <c r="Y3" s="158"/>
    </row>
    <row r="4" spans="1:25" ht="8.25" customHeight="1">
      <c r="A4" s="158"/>
      <c r="B4" s="350" t="s">
        <v>145</v>
      </c>
      <c r="C4" s="345">
        <f>builder!C2</f>
        <v>0</v>
      </c>
      <c r="D4" s="158"/>
      <c r="E4" s="348" t="s">
        <v>960</v>
      </c>
      <c r="F4" s="348"/>
      <c r="G4" s="348"/>
      <c r="H4" s="348"/>
      <c r="I4" s="348"/>
      <c r="J4" s="348"/>
      <c r="K4" s="20"/>
      <c r="L4" s="20"/>
      <c r="M4" s="160">
        <f>IF(builder!$P10&gt;2,1,0)</f>
        <v>0</v>
      </c>
      <c r="N4" s="160">
        <f>IF(builder!$P10&gt;3,1,0)</f>
        <v>0</v>
      </c>
      <c r="O4" s="160">
        <f>IF(builder!$P10&gt;4,1,0)</f>
        <v>0</v>
      </c>
      <c r="P4" s="19"/>
      <c r="Q4" s="19"/>
      <c r="R4" s="19"/>
      <c r="S4" s="19"/>
      <c r="T4" s="19"/>
      <c r="U4" s="19"/>
      <c r="V4" s="173"/>
      <c r="W4" s="158"/>
      <c r="X4" s="342"/>
      <c r="Y4" s="158"/>
    </row>
    <row r="5" spans="1:25" ht="3" customHeight="1">
      <c r="A5" s="158"/>
      <c r="B5" s="350"/>
      <c r="C5" s="345"/>
      <c r="D5" s="158"/>
      <c r="F5" s="157"/>
      <c r="G5" s="157"/>
      <c r="H5" s="157"/>
      <c r="I5" s="157"/>
      <c r="J5" s="157"/>
      <c r="K5" s="19"/>
      <c r="L5" s="19"/>
      <c r="M5" s="21"/>
      <c r="N5" s="21"/>
      <c r="O5" s="21"/>
      <c r="P5" s="19"/>
      <c r="Q5" s="19"/>
      <c r="R5" s="19"/>
      <c r="S5" s="19"/>
      <c r="T5" s="19"/>
      <c r="U5" s="19"/>
      <c r="V5" s="173"/>
      <c r="W5" s="158"/>
      <c r="X5" s="342"/>
      <c r="Y5" s="158"/>
    </row>
    <row r="6" spans="1:25" ht="3" customHeight="1">
      <c r="A6" s="158"/>
      <c r="B6" s="350"/>
      <c r="C6" s="345"/>
      <c r="D6" s="158"/>
      <c r="F6" s="19"/>
      <c r="G6" s="19"/>
      <c r="H6" s="19"/>
      <c r="I6" s="19"/>
      <c r="J6" s="19"/>
      <c r="K6" s="19"/>
      <c r="L6" s="19"/>
      <c r="M6" s="21"/>
      <c r="N6" s="21"/>
      <c r="O6" s="21"/>
      <c r="P6" s="19"/>
      <c r="Q6" s="19"/>
      <c r="R6" s="19"/>
      <c r="S6" s="19"/>
      <c r="T6" s="19"/>
      <c r="U6" s="19"/>
      <c r="V6" s="173"/>
      <c r="W6" s="158"/>
      <c r="X6" s="347" t="e">
        <f>CONCATENATE("Quirk: ",IF(builder!$N$24&lt;&gt;"",builder!$N$24,builder!$B$24))</f>
        <v>#N/A</v>
      </c>
      <c r="Y6" s="158"/>
    </row>
    <row r="7" spans="1:25" ht="8.25" customHeight="1">
      <c r="A7" s="158"/>
      <c r="B7" s="350" t="s">
        <v>147</v>
      </c>
      <c r="C7" s="345">
        <f>builder!C4</f>
        <v>0</v>
      </c>
      <c r="D7" s="158"/>
      <c r="E7" s="348" t="s">
        <v>961</v>
      </c>
      <c r="F7" s="348"/>
      <c r="G7" s="348"/>
      <c r="H7" s="348"/>
      <c r="I7" s="348"/>
      <c r="J7" s="348"/>
      <c r="K7" s="20"/>
      <c r="L7" s="20"/>
      <c r="M7" s="160">
        <f>IF(builder!$P11&gt;2,1,0)</f>
        <v>0</v>
      </c>
      <c r="N7" s="160">
        <f>IF(builder!$P11&gt;3,1,0)</f>
        <v>0</v>
      </c>
      <c r="O7" s="160">
        <f>IF(builder!$P11&gt;4,1,0)</f>
        <v>0</v>
      </c>
      <c r="P7" s="19"/>
      <c r="Q7" s="19"/>
      <c r="R7" s="19"/>
      <c r="S7" s="19"/>
      <c r="T7" s="19"/>
      <c r="U7" s="19"/>
      <c r="V7" s="173"/>
      <c r="W7" s="158"/>
      <c r="X7" s="347"/>
      <c r="Y7" s="158"/>
    </row>
    <row r="8" spans="1:25" ht="3.75" customHeight="1">
      <c r="A8" s="158"/>
      <c r="B8" s="350"/>
      <c r="C8" s="345"/>
      <c r="D8" s="158"/>
      <c r="F8" s="19"/>
      <c r="G8" s="19"/>
      <c r="H8" s="19"/>
      <c r="I8" s="19"/>
      <c r="J8" s="19"/>
      <c r="K8" s="19"/>
      <c r="L8" s="19"/>
      <c r="M8" s="21"/>
      <c r="N8" s="21"/>
      <c r="O8" s="21"/>
      <c r="P8" s="19"/>
      <c r="Q8" s="19"/>
      <c r="R8" s="19"/>
      <c r="S8" s="19"/>
      <c r="T8" s="19"/>
      <c r="U8" s="19"/>
      <c r="V8" s="173"/>
      <c r="W8" s="158"/>
      <c r="X8" s="347"/>
      <c r="Y8" s="158"/>
    </row>
    <row r="9" spans="1:25" ht="3.75" customHeight="1">
      <c r="A9" s="158"/>
      <c r="B9" s="350"/>
      <c r="C9" s="345"/>
      <c r="D9" s="158"/>
      <c r="F9" s="19"/>
      <c r="G9" s="19"/>
      <c r="H9" s="19"/>
      <c r="I9" s="19"/>
      <c r="J9" s="19"/>
      <c r="K9" s="19"/>
      <c r="L9" s="19"/>
      <c r="M9" s="21"/>
      <c r="N9" s="21"/>
      <c r="O9" s="21"/>
      <c r="P9" s="19"/>
      <c r="Q9" s="19"/>
      <c r="R9" s="19"/>
      <c r="S9" s="19"/>
      <c r="T9" s="19"/>
      <c r="U9" s="19"/>
      <c r="V9" s="173"/>
      <c r="W9" s="158"/>
      <c r="X9" s="347"/>
      <c r="Y9" s="158"/>
    </row>
    <row r="10" spans="1:25" ht="8.25" customHeight="1">
      <c r="A10" s="158"/>
      <c r="B10" s="350" t="s">
        <v>146</v>
      </c>
      <c r="C10" s="345">
        <f>builder!C6</f>
        <v>0</v>
      </c>
      <c r="D10" s="158"/>
      <c r="E10" s="348" t="s">
        <v>962</v>
      </c>
      <c r="F10" s="348"/>
      <c r="G10" s="348"/>
      <c r="H10" s="348"/>
      <c r="I10" s="348"/>
      <c r="J10" s="348"/>
      <c r="K10" s="20"/>
      <c r="L10" s="20"/>
      <c r="M10" s="160">
        <f>IF(builder!$P12&gt;2,1,0)</f>
        <v>0</v>
      </c>
      <c r="N10" s="160">
        <f>IF(builder!$P12&gt;3,1,0)</f>
        <v>0</v>
      </c>
      <c r="O10" s="160">
        <f>IF(builder!$P12&gt;4,1,0)</f>
        <v>0</v>
      </c>
      <c r="P10" s="19"/>
      <c r="Q10" s="19"/>
      <c r="R10" s="19"/>
      <c r="S10" s="19"/>
      <c r="T10" s="19"/>
      <c r="U10" s="19"/>
      <c r="V10" s="173"/>
      <c r="W10" s="158"/>
      <c r="X10" s="347"/>
      <c r="Y10" s="158"/>
    </row>
    <row r="11" spans="1:25" ht="2.25" customHeight="1">
      <c r="A11" s="158"/>
      <c r="B11" s="350"/>
      <c r="C11" s="345"/>
      <c r="D11" s="158"/>
      <c r="F11" s="19"/>
      <c r="G11" s="19"/>
      <c r="H11" s="19"/>
      <c r="I11" s="19"/>
      <c r="J11" s="19"/>
      <c r="K11" s="19"/>
      <c r="L11" s="19"/>
      <c r="M11" s="21"/>
      <c r="N11" s="21"/>
      <c r="O11" s="21"/>
      <c r="P11" s="19"/>
      <c r="Q11" s="19"/>
      <c r="R11" s="19"/>
      <c r="S11" s="19"/>
      <c r="T11" s="19"/>
      <c r="U11" s="19"/>
      <c r="V11" s="173"/>
      <c r="W11" s="158"/>
      <c r="X11" s="342">
        <f>builder!$F$22</f>
        <v>0</v>
      </c>
      <c r="Y11" s="158"/>
    </row>
    <row r="12" spans="1:25" ht="3.75" customHeight="1">
      <c r="A12" s="158"/>
      <c r="B12" s="350"/>
      <c r="C12" s="345"/>
      <c r="D12" s="158"/>
      <c r="F12" s="19"/>
      <c r="G12" s="19"/>
      <c r="H12" s="19"/>
      <c r="I12" s="19"/>
      <c r="J12" s="19"/>
      <c r="K12" s="19"/>
      <c r="L12" s="19"/>
      <c r="M12" s="21"/>
      <c r="N12" s="21"/>
      <c r="O12" s="21"/>
      <c r="P12" s="19"/>
      <c r="Q12" s="19"/>
      <c r="R12" s="19"/>
      <c r="S12" s="19"/>
      <c r="T12" s="19"/>
      <c r="U12" s="19"/>
      <c r="V12" s="173"/>
      <c r="W12" s="158"/>
      <c r="X12" s="342"/>
      <c r="Y12" s="158"/>
    </row>
    <row r="13" spans="1:25" ht="8.25" customHeight="1">
      <c r="A13" s="158"/>
      <c r="B13" s="350" t="s">
        <v>111</v>
      </c>
      <c r="C13" s="345">
        <f>builder!B17</f>
        <v>0</v>
      </c>
      <c r="D13" s="158"/>
      <c r="E13" s="348" t="s">
        <v>963</v>
      </c>
      <c r="F13" s="348"/>
      <c r="G13" s="348"/>
      <c r="H13" s="348"/>
      <c r="I13" s="348"/>
      <c r="J13" s="348"/>
      <c r="K13" s="20"/>
      <c r="L13" s="20"/>
      <c r="M13" s="160">
        <f>IF(builder!$P13&gt;2,1,0)</f>
        <v>0</v>
      </c>
      <c r="N13" s="160">
        <f>IF(builder!$P13&gt;3,1,0)</f>
        <v>0</v>
      </c>
      <c r="O13" s="160">
        <f>IF(builder!$P13&gt;4,1,0)</f>
        <v>0</v>
      </c>
      <c r="P13" s="19"/>
      <c r="Q13" s="19"/>
      <c r="R13" s="19"/>
      <c r="S13" s="19"/>
      <c r="T13" s="19"/>
      <c r="U13" s="19"/>
      <c r="V13" s="173"/>
      <c r="W13" s="158"/>
      <c r="X13" s="342"/>
      <c r="Y13" s="158"/>
    </row>
    <row r="14" spans="1:25" ht="5.25" customHeight="1">
      <c r="A14" s="158"/>
      <c r="B14" s="350"/>
      <c r="C14" s="345"/>
      <c r="D14" s="158"/>
      <c r="F14" s="19"/>
      <c r="G14" s="19"/>
      <c r="H14" s="19"/>
      <c r="I14" s="19"/>
      <c r="J14" s="19"/>
      <c r="K14" s="19"/>
      <c r="L14" s="19"/>
      <c r="M14" s="21"/>
      <c r="N14" s="21"/>
      <c r="O14" s="21"/>
      <c r="P14" s="19"/>
      <c r="Q14" s="19"/>
      <c r="R14" s="19"/>
      <c r="S14" s="19"/>
      <c r="T14" s="19"/>
      <c r="U14" s="19"/>
      <c r="V14" s="173"/>
      <c r="W14" s="158"/>
      <c r="X14" s="347" t="e">
        <f>CONCATENATE("Quirk: ",IF(builder!$N$28&lt;&gt;"",builder!$N$28,builder!$F$24))</f>
        <v>#N/A</v>
      </c>
      <c r="Y14" s="158"/>
    </row>
    <row r="15" spans="1:25" ht="8.25" customHeight="1">
      <c r="A15" s="158"/>
      <c r="B15" s="344" t="s">
        <v>148</v>
      </c>
      <c r="C15" s="345">
        <f>builder!F89</f>
        <v>0</v>
      </c>
      <c r="D15" s="158"/>
      <c r="E15" s="348" t="s">
        <v>964</v>
      </c>
      <c r="F15" s="348"/>
      <c r="G15" s="348"/>
      <c r="H15" s="348"/>
      <c r="I15" s="348"/>
      <c r="J15" s="348"/>
      <c r="K15" s="20"/>
      <c r="L15" s="20"/>
      <c r="M15" s="160">
        <f>IF(builder!$P14&gt;2,1,0)</f>
        <v>0</v>
      </c>
      <c r="N15" s="160">
        <f>IF(builder!$P14&gt;3,1,0)</f>
        <v>0</v>
      </c>
      <c r="O15" s="160">
        <f>IF(builder!$P14&gt;4,1,0)</f>
        <v>0</v>
      </c>
      <c r="P15" s="19"/>
      <c r="Q15" s="19"/>
      <c r="R15" s="19"/>
      <c r="S15" s="19"/>
      <c r="T15" s="19"/>
      <c r="U15" s="19"/>
      <c r="V15" s="173"/>
      <c r="W15" s="158"/>
      <c r="X15" s="347"/>
      <c r="Y15" s="158"/>
    </row>
    <row r="16" spans="1:25" ht="6" customHeight="1">
      <c r="A16" s="158"/>
      <c r="B16" s="344"/>
      <c r="C16" s="345"/>
      <c r="D16" s="158"/>
      <c r="F16" s="19"/>
      <c r="G16" s="19"/>
      <c r="H16" s="19"/>
      <c r="I16" s="19"/>
      <c r="J16" s="19"/>
      <c r="K16" s="19"/>
      <c r="L16" s="19"/>
      <c r="M16" s="19"/>
      <c r="N16" s="19"/>
      <c r="O16" s="19"/>
      <c r="P16" s="19"/>
      <c r="Q16" s="19"/>
      <c r="R16" s="19"/>
      <c r="S16" s="19"/>
      <c r="T16" s="19"/>
      <c r="U16" s="19"/>
      <c r="V16" s="173"/>
      <c r="W16" s="158"/>
      <c r="X16" s="347"/>
      <c r="Y16" s="158"/>
    </row>
    <row r="17" spans="1:25" ht="7.5" customHeight="1">
      <c r="A17" s="158"/>
      <c r="B17" s="346" t="s">
        <v>133</v>
      </c>
      <c r="C17" s="345">
        <f>builder!B89</f>
        <v>0</v>
      </c>
      <c r="D17" s="158"/>
      <c r="F17" s="19"/>
      <c r="G17" s="19"/>
      <c r="H17" s="19"/>
      <c r="I17" s="19"/>
      <c r="J17" s="19"/>
      <c r="K17" s="19"/>
      <c r="L17" s="19"/>
      <c r="M17" s="19"/>
      <c r="N17" s="19"/>
      <c r="O17" s="19"/>
      <c r="P17" s="19"/>
      <c r="Q17" s="19"/>
      <c r="R17" s="19"/>
      <c r="S17" s="19"/>
      <c r="T17" s="19"/>
      <c r="U17" s="19"/>
      <c r="V17" s="173"/>
      <c r="W17" s="158"/>
      <c r="X17" s="347"/>
      <c r="Y17" s="158"/>
    </row>
    <row r="18" spans="1:25" ht="5.25" customHeight="1">
      <c r="A18" s="158"/>
      <c r="B18" s="346"/>
      <c r="C18" s="345"/>
      <c r="D18" s="158"/>
      <c r="E18" s="158"/>
      <c r="F18" s="158"/>
      <c r="G18" s="158"/>
      <c r="H18" s="158"/>
      <c r="I18" s="158"/>
      <c r="J18" s="158"/>
      <c r="K18" s="158"/>
      <c r="L18" s="158"/>
      <c r="M18" s="158"/>
      <c r="N18" s="158"/>
      <c r="O18" s="158"/>
      <c r="P18" s="158"/>
      <c r="Q18" s="158"/>
      <c r="R18" s="158"/>
      <c r="S18" s="158"/>
      <c r="T18" s="158"/>
      <c r="U18" s="158"/>
      <c r="V18" s="158"/>
      <c r="W18" s="158"/>
      <c r="X18" s="158"/>
      <c r="Y18" s="158"/>
    </row>
    <row r="19" spans="1:25" ht="14.25" customHeight="1">
      <c r="A19" s="158"/>
      <c r="B19" s="346"/>
      <c r="C19" s="345"/>
      <c r="D19" s="158"/>
      <c r="E19" s="349" t="s">
        <v>940</v>
      </c>
      <c r="F19" s="349"/>
      <c r="G19" s="349"/>
      <c r="H19" s="349"/>
      <c r="I19" s="349"/>
      <c r="J19" s="349"/>
      <c r="K19" s="349"/>
      <c r="L19" s="349"/>
      <c r="M19" s="349"/>
      <c r="N19" s="349"/>
      <c r="O19" s="349"/>
      <c r="P19" s="349"/>
      <c r="Q19" s="349"/>
      <c r="R19" s="349"/>
      <c r="S19" s="349"/>
      <c r="T19" s="349"/>
      <c r="U19" s="349"/>
      <c r="V19" s="349"/>
      <c r="W19" s="158"/>
      <c r="X19" s="159" t="s">
        <v>941</v>
      </c>
      <c r="Y19" s="158"/>
    </row>
    <row r="20" spans="1:25" ht="4.5" customHeight="1">
      <c r="A20" s="158"/>
      <c r="B20" s="350" t="s">
        <v>377</v>
      </c>
      <c r="C20" s="353">
        <f>builder!G92</f>
        <v>0</v>
      </c>
      <c r="D20" s="158"/>
      <c r="F20" s="19"/>
      <c r="G20" s="19"/>
      <c r="H20" s="19"/>
      <c r="I20" s="19"/>
      <c r="J20" s="19"/>
      <c r="K20" s="19"/>
      <c r="L20" s="19"/>
      <c r="M20" s="19"/>
      <c r="N20" s="19"/>
      <c r="O20" s="19"/>
      <c r="P20" s="19"/>
      <c r="Q20" s="19"/>
      <c r="R20" s="19"/>
      <c r="S20" s="19"/>
      <c r="T20" s="19"/>
      <c r="U20" s="19"/>
      <c r="W20" s="158"/>
      <c r="Y20" s="158"/>
    </row>
    <row r="21" spans="1:25" ht="8.25" customHeight="1">
      <c r="A21" s="158"/>
      <c r="B21" s="350"/>
      <c r="C21" s="353"/>
      <c r="D21" s="158"/>
      <c r="E21" s="161" t="s">
        <v>952</v>
      </c>
      <c r="F21" s="160">
        <f>IF(builder!$O$42&gt;0,1,0)</f>
        <v>0</v>
      </c>
      <c r="G21" s="160">
        <f>IF(builder!$O$42&gt;1,1,0)</f>
        <v>0</v>
      </c>
      <c r="H21" s="160">
        <f>IF(builder!$O$42&gt;2,1,0)</f>
        <v>0</v>
      </c>
      <c r="I21" s="160">
        <f>IF(builder!$O$42&gt;3,1,0)</f>
        <v>0</v>
      </c>
      <c r="J21" s="160">
        <f>IF(builder!$O$42&gt;4,1,0)</f>
        <v>0</v>
      </c>
      <c r="K21" s="21"/>
      <c r="L21" s="343" t="s">
        <v>951</v>
      </c>
      <c r="M21" s="343"/>
      <c r="N21" s="343"/>
      <c r="O21" s="343"/>
      <c r="P21" s="343"/>
      <c r="Q21" s="160">
        <f>IF(builder!$O$50&gt;0,1,0)</f>
        <v>0</v>
      </c>
      <c r="R21" s="160">
        <f>IF(builder!$O$50&gt;1,1,0)</f>
        <v>0</v>
      </c>
      <c r="S21" s="160">
        <f>IF(builder!$O$50&gt;2,1,0)</f>
        <v>0</v>
      </c>
      <c r="T21" s="160">
        <f>IF(builder!$O$50&gt;3,1,0)</f>
        <v>0</v>
      </c>
      <c r="U21" s="160">
        <f>IF(builder!$O$50&gt;4,1,0)</f>
        <v>0</v>
      </c>
      <c r="W21" s="158"/>
      <c r="X21" s="342" t="str">
        <f>'adv shuffle'!$M$2</f>
        <v/>
      </c>
      <c r="Y21" s="158"/>
    </row>
    <row r="22" spans="1:25" ht="6" customHeight="1">
      <c r="A22" s="158"/>
      <c r="B22" s="158"/>
      <c r="C22" s="158"/>
      <c r="D22" s="158"/>
      <c r="E22" s="162"/>
      <c r="F22" s="21"/>
      <c r="G22" s="21"/>
      <c r="H22" s="21"/>
      <c r="I22" s="21"/>
      <c r="J22" s="21"/>
      <c r="K22" s="21"/>
      <c r="L22" s="163"/>
      <c r="M22" s="163"/>
      <c r="N22" s="163"/>
      <c r="O22" s="163"/>
      <c r="P22" s="163"/>
      <c r="Q22" s="21"/>
      <c r="R22" s="21"/>
      <c r="S22" s="21"/>
      <c r="T22" s="21"/>
      <c r="U22" s="21"/>
      <c r="W22" s="158"/>
      <c r="X22" s="342"/>
      <c r="Y22" s="158"/>
    </row>
    <row r="23" spans="1:25" ht="8.25" customHeight="1">
      <c r="A23" s="158"/>
      <c r="B23" s="349" t="s">
        <v>939</v>
      </c>
      <c r="C23" s="349"/>
      <c r="D23" s="158"/>
      <c r="E23" s="161" t="s">
        <v>953</v>
      </c>
      <c r="F23" s="160">
        <f>IF(builder!$O$43&gt;0,1,0)</f>
        <v>0</v>
      </c>
      <c r="G23" s="160">
        <f>IF(builder!$O$43&gt;1,1,0)</f>
        <v>0</v>
      </c>
      <c r="H23" s="160">
        <f>IF(builder!$O$43&gt;2,1,0)</f>
        <v>0</v>
      </c>
      <c r="I23" s="160">
        <f>IF(builder!$O$43&gt;3,1,0)</f>
        <v>0</v>
      </c>
      <c r="J23" s="160">
        <f>IF(builder!$O$43&gt;4,1,0)</f>
        <v>0</v>
      </c>
      <c r="K23" s="21"/>
      <c r="L23" s="343" t="s">
        <v>950</v>
      </c>
      <c r="M23" s="343"/>
      <c r="N23" s="343"/>
      <c r="O23" s="343"/>
      <c r="P23" s="343"/>
      <c r="Q23" s="160">
        <f>IF(builder!$O$51&gt;0,1,0)</f>
        <v>0</v>
      </c>
      <c r="R23" s="160">
        <f>IF(builder!$O$51&gt;1,1,0)</f>
        <v>0</v>
      </c>
      <c r="S23" s="160">
        <f>IF(builder!$O$51&gt;2,1,0)</f>
        <v>0</v>
      </c>
      <c r="T23" s="160">
        <f>IF(builder!$O$51&gt;3,1,0)</f>
        <v>0</v>
      </c>
      <c r="U23" s="160">
        <f>IF(builder!$O$51&gt;4,1,0)</f>
        <v>0</v>
      </c>
      <c r="W23" s="158"/>
      <c r="X23" s="342"/>
      <c r="Y23" s="158"/>
    </row>
    <row r="24" spans="1:25" ht="6" customHeight="1">
      <c r="A24" s="158"/>
      <c r="B24" s="349"/>
      <c r="C24" s="349"/>
      <c r="D24" s="158"/>
      <c r="E24" s="162"/>
      <c r="F24" s="21"/>
      <c r="G24" s="21"/>
      <c r="H24" s="21"/>
      <c r="I24" s="21"/>
      <c r="J24" s="21"/>
      <c r="K24" s="21"/>
      <c r="L24" s="163"/>
      <c r="M24" s="163"/>
      <c r="N24" s="163"/>
      <c r="O24" s="163"/>
      <c r="P24" s="163"/>
      <c r="Q24" s="21"/>
      <c r="R24" s="21"/>
      <c r="S24" s="21"/>
      <c r="T24" s="21"/>
      <c r="U24" s="21"/>
      <c r="W24" s="158"/>
      <c r="X24" s="342" t="str">
        <f>'adv shuffle'!$M$3</f>
        <v/>
      </c>
      <c r="Y24" s="158"/>
    </row>
    <row r="25" spans="1:25" ht="8.25" customHeight="1">
      <c r="A25" s="158"/>
      <c r="B25" s="342" t="s">
        <v>130</v>
      </c>
      <c r="C25" s="342" t="str">
        <f>CONCATENATE(IF(builder!$O$99&lt;&gt;"",builder!$O$99,builder!$C$99)," (",IF(builder!$O$99&lt;&gt;"",builder!$O$100,builder!$E$99),")")</f>
        <v xml:space="preserve"> ()</v>
      </c>
      <c r="D25" s="158"/>
      <c r="E25" s="161" t="s">
        <v>954</v>
      </c>
      <c r="F25" s="160">
        <f>IF(builder!$O$44&gt;0,1,0)</f>
        <v>0</v>
      </c>
      <c r="G25" s="160">
        <f>IF(builder!$O$44&gt;1,1,0)</f>
        <v>0</v>
      </c>
      <c r="H25" s="160">
        <f>IF(builder!$O$44&gt;2,1,0)</f>
        <v>0</v>
      </c>
      <c r="I25" s="160">
        <f>IF(builder!$O$44&gt;3,1,0)</f>
        <v>0</v>
      </c>
      <c r="J25" s="160">
        <f>IF(builder!$O$44&gt;4,1,0)</f>
        <v>0</v>
      </c>
      <c r="K25" s="21"/>
      <c r="L25" s="343" t="s">
        <v>949</v>
      </c>
      <c r="M25" s="343"/>
      <c r="N25" s="343"/>
      <c r="O25" s="343"/>
      <c r="P25" s="343"/>
      <c r="Q25" s="160">
        <f>IF(builder!$O$52&gt;0,1,0)</f>
        <v>0</v>
      </c>
      <c r="R25" s="160">
        <f>IF(builder!$O$52&gt;1,1,0)</f>
        <v>0</v>
      </c>
      <c r="S25" s="160">
        <f>IF(builder!$O$52&gt;2,1,0)</f>
        <v>0</v>
      </c>
      <c r="T25" s="160">
        <f>IF(builder!$O$52&gt;3,1,0)</f>
        <v>0</v>
      </c>
      <c r="U25" s="160">
        <f>IF(builder!$O$52&gt;4,1,0)</f>
        <v>0</v>
      </c>
      <c r="W25" s="158"/>
      <c r="X25" s="342"/>
      <c r="Y25" s="158"/>
    </row>
    <row r="26" spans="1:25" ht="6.75" customHeight="1">
      <c r="A26" s="158"/>
      <c r="B26" s="342"/>
      <c r="C26" s="342"/>
      <c r="D26" s="158"/>
      <c r="E26" s="162"/>
      <c r="F26" s="21"/>
      <c r="G26" s="21"/>
      <c r="H26" s="21"/>
      <c r="I26" s="21"/>
      <c r="J26" s="21"/>
      <c r="K26" s="21"/>
      <c r="L26" s="163"/>
      <c r="M26" s="163"/>
      <c r="N26" s="163"/>
      <c r="O26" s="163"/>
      <c r="P26" s="163"/>
      <c r="Q26" s="21"/>
      <c r="R26" s="21"/>
      <c r="S26" s="21"/>
      <c r="T26" s="21"/>
      <c r="U26" s="21"/>
      <c r="W26" s="158"/>
      <c r="X26" s="342"/>
      <c r="Y26" s="158"/>
    </row>
    <row r="27" spans="1:25" ht="8.25" customHeight="1">
      <c r="A27" s="158"/>
      <c r="B27" s="351" t="e">
        <f>print!B12</f>
        <v>#N/A</v>
      </c>
      <c r="C27" s="351"/>
      <c r="D27" s="158"/>
      <c r="E27" s="161" t="s">
        <v>955</v>
      </c>
      <c r="F27" s="160">
        <f>IF(builder!$O$45&gt;0,1,0)</f>
        <v>0</v>
      </c>
      <c r="G27" s="160">
        <f>IF(builder!$O$45&gt;1,1,0)</f>
        <v>0</v>
      </c>
      <c r="H27" s="160">
        <f>IF(builder!$O$45&gt;2,1,0)</f>
        <v>0</v>
      </c>
      <c r="I27" s="160">
        <f>IF(builder!$O$45&gt;3,1,0)</f>
        <v>0</v>
      </c>
      <c r="J27" s="160">
        <f>IF(builder!$O$45&gt;4,1,0)</f>
        <v>0</v>
      </c>
      <c r="K27" s="17"/>
      <c r="L27" s="343" t="s">
        <v>948</v>
      </c>
      <c r="M27" s="343"/>
      <c r="N27" s="343"/>
      <c r="O27" s="343"/>
      <c r="P27" s="343"/>
      <c r="Q27" s="160">
        <f>IF(builder!$O$53&gt;0,1,0)</f>
        <v>0</v>
      </c>
      <c r="R27" s="160">
        <f>IF(builder!$O$53&gt;1,1,0)</f>
        <v>0</v>
      </c>
      <c r="S27" s="160">
        <f>IF(builder!$O$53&gt;2,1,0)</f>
        <v>0</v>
      </c>
      <c r="T27" s="160">
        <f>IF(builder!$O$53&gt;3,1,0)</f>
        <v>0</v>
      </c>
      <c r="U27" s="160">
        <f>IF(builder!$O$53&gt;4,1,0)</f>
        <v>0</v>
      </c>
      <c r="W27" s="158"/>
      <c r="X27" s="342" t="str">
        <f>'adv shuffle'!$M$4</f>
        <v/>
      </c>
      <c r="Y27" s="158"/>
    </row>
    <row r="28" spans="1:25" ht="6.75" customHeight="1">
      <c r="A28" s="158"/>
      <c r="B28" s="351"/>
      <c r="C28" s="351"/>
      <c r="D28" s="158"/>
      <c r="E28" s="162"/>
      <c r="F28" s="21"/>
      <c r="G28" s="21"/>
      <c r="H28" s="21"/>
      <c r="I28" s="21"/>
      <c r="J28" s="21"/>
      <c r="K28" s="21"/>
      <c r="L28" s="163"/>
      <c r="M28" s="163"/>
      <c r="N28" s="163"/>
      <c r="O28" s="163"/>
      <c r="P28" s="163"/>
      <c r="Q28" s="21"/>
      <c r="R28" s="21"/>
      <c r="S28" s="21"/>
      <c r="T28" s="21"/>
      <c r="U28" s="21"/>
      <c r="W28" s="158"/>
      <c r="X28" s="342"/>
      <c r="Y28" s="158"/>
    </row>
    <row r="29" spans="1:25" ht="8.25" customHeight="1">
      <c r="A29" s="158"/>
      <c r="B29" s="351"/>
      <c r="C29" s="351"/>
      <c r="D29" s="158"/>
      <c r="E29" s="161" t="s">
        <v>956</v>
      </c>
      <c r="F29" s="160">
        <f>IF(builder!$O$46&gt;0,1,0)</f>
        <v>0</v>
      </c>
      <c r="G29" s="160">
        <f>IF(builder!$O$46&gt;1,1,0)</f>
        <v>0</v>
      </c>
      <c r="H29" s="160">
        <f>IF(builder!$O$46&gt;2,1,0)</f>
        <v>0</v>
      </c>
      <c r="I29" s="160">
        <f>IF(builder!$O$46&gt;3,1,0)</f>
        <v>0</v>
      </c>
      <c r="J29" s="160">
        <f>IF(builder!$O$46&gt;4,1,0)</f>
        <v>0</v>
      </c>
      <c r="K29" s="21"/>
      <c r="L29" s="343" t="s">
        <v>947</v>
      </c>
      <c r="M29" s="343"/>
      <c r="N29" s="343"/>
      <c r="O29" s="343"/>
      <c r="P29" s="343"/>
      <c r="Q29" s="160">
        <f>IF(builder!$O$54&gt;0,1,0)</f>
        <v>0</v>
      </c>
      <c r="R29" s="160">
        <f>IF(builder!$O$54&gt;1,1,0)</f>
        <v>0</v>
      </c>
      <c r="S29" s="160">
        <f>IF(builder!$O$54&gt;2,1,0)</f>
        <v>0</v>
      </c>
      <c r="T29" s="160">
        <f>IF(builder!$O$54&gt;3,1,0)</f>
        <v>0</v>
      </c>
      <c r="U29" s="160">
        <f>IF(builder!$O$54&gt;4,1,0)</f>
        <v>0</v>
      </c>
      <c r="W29" s="158"/>
      <c r="X29" s="342"/>
      <c r="Y29" s="158"/>
    </row>
    <row r="30" spans="1:25" ht="6.75" customHeight="1">
      <c r="A30" s="158"/>
      <c r="B30" s="351"/>
      <c r="C30" s="351"/>
      <c r="D30" s="158"/>
      <c r="E30" s="162"/>
      <c r="F30" s="21"/>
      <c r="G30" s="21"/>
      <c r="H30" s="21"/>
      <c r="I30" s="21"/>
      <c r="J30" s="21"/>
      <c r="K30" s="21"/>
      <c r="L30" s="163"/>
      <c r="M30" s="163"/>
      <c r="N30" s="163"/>
      <c r="O30" s="163"/>
      <c r="P30" s="163"/>
      <c r="Q30" s="21"/>
      <c r="R30" s="21"/>
      <c r="S30" s="21"/>
      <c r="T30" s="21"/>
      <c r="U30" s="21"/>
      <c r="W30" s="158"/>
      <c r="X30" s="342" t="str">
        <f>'adv shuffle'!$M$5</f>
        <v/>
      </c>
      <c r="Y30" s="158"/>
    </row>
    <row r="31" spans="1:25" ht="8.25" customHeight="1">
      <c r="A31" s="158"/>
      <c r="B31" s="351"/>
      <c r="C31" s="351"/>
      <c r="D31" s="158"/>
      <c r="E31" s="161" t="s">
        <v>957</v>
      </c>
      <c r="F31" s="160">
        <f>IF(builder!$O$47&gt;0,1,0)</f>
        <v>0</v>
      </c>
      <c r="G31" s="160">
        <f>IF(builder!$O$47&gt;1,1,0)</f>
        <v>0</v>
      </c>
      <c r="H31" s="160">
        <f>IF(builder!$O$47&gt;2,1,0)</f>
        <v>0</v>
      </c>
      <c r="I31" s="160">
        <f>IF(builder!$O$47&gt;3,1,0)</f>
        <v>0</v>
      </c>
      <c r="J31" s="160">
        <f>IF(builder!$O$47&gt;4,1,0)</f>
        <v>0</v>
      </c>
      <c r="K31" s="21"/>
      <c r="L31" s="343" t="s">
        <v>946</v>
      </c>
      <c r="M31" s="343"/>
      <c r="N31" s="343"/>
      <c r="O31" s="343"/>
      <c r="P31" s="343"/>
      <c r="Q31" s="160">
        <f>IF(builder!$O$55&gt;0,1,0)</f>
        <v>0</v>
      </c>
      <c r="R31" s="160">
        <f>IF(builder!$O$55&gt;1,1,0)</f>
        <v>0</v>
      </c>
      <c r="S31" s="160">
        <f>IF(builder!$O$55&gt;2,1,0)</f>
        <v>0</v>
      </c>
      <c r="T31" s="160">
        <f>IF(builder!$O$55&gt;3,1,0)</f>
        <v>0</v>
      </c>
      <c r="U31" s="160">
        <f>IF(builder!$O$55&gt;4,1,0)</f>
        <v>0</v>
      </c>
      <c r="W31" s="158"/>
      <c r="X31" s="342"/>
      <c r="Y31" s="158"/>
    </row>
    <row r="32" spans="1:25" ht="6" customHeight="1">
      <c r="A32" s="158"/>
      <c r="B32" s="342" t="s">
        <v>131</v>
      </c>
      <c r="C32" s="342" t="str">
        <f>CONCATENATE(IF(builder!$O$102&lt;&gt;"",builder!$O$102,builder!$C$100)," (",IF(builder!$O$102&lt;&gt;"",builder!$O$76,builder!$E$100),")")</f>
        <v xml:space="preserve"> ()</v>
      </c>
      <c r="D32" s="158"/>
      <c r="E32" s="162"/>
      <c r="F32" s="21"/>
      <c r="G32" s="21"/>
      <c r="H32" s="21"/>
      <c r="I32" s="21"/>
      <c r="J32" s="21"/>
      <c r="K32" s="21"/>
      <c r="L32" s="163"/>
      <c r="M32" s="163"/>
      <c r="N32" s="163"/>
      <c r="O32" s="163"/>
      <c r="P32" s="163"/>
      <c r="Q32" s="21"/>
      <c r="R32" s="21"/>
      <c r="S32" s="21"/>
      <c r="T32" s="21"/>
      <c r="U32" s="21"/>
      <c r="W32" s="158"/>
      <c r="X32" s="342"/>
      <c r="Y32" s="158"/>
    </row>
    <row r="33" spans="1:25" ht="8.25" customHeight="1">
      <c r="A33" s="158"/>
      <c r="B33" s="342"/>
      <c r="C33" s="342"/>
      <c r="D33" s="158"/>
      <c r="E33" s="161" t="s">
        <v>958</v>
      </c>
      <c r="F33" s="160">
        <f>IF(builder!$O$48&gt;0,1,0)</f>
        <v>0</v>
      </c>
      <c r="G33" s="160">
        <f>IF(builder!$O$48&gt;1,1,0)</f>
        <v>0</v>
      </c>
      <c r="H33" s="160">
        <f>IF(builder!$O$48&gt;2,1,0)</f>
        <v>0</v>
      </c>
      <c r="I33" s="160">
        <f>IF(builder!$O$48&gt;3,1,0)</f>
        <v>0</v>
      </c>
      <c r="J33" s="160">
        <f>IF(builder!$O$48&gt;4,1,0)</f>
        <v>0</v>
      </c>
      <c r="K33" s="21"/>
      <c r="L33" s="343" t="s">
        <v>945</v>
      </c>
      <c r="M33" s="343"/>
      <c r="N33" s="343"/>
      <c r="O33" s="343"/>
      <c r="P33" s="343"/>
      <c r="Q33" s="160">
        <f>IF(builder!$O$56&gt;0,1,0)</f>
        <v>0</v>
      </c>
      <c r="R33" s="160">
        <f>IF(builder!$O$56&gt;1,1,0)</f>
        <v>0</v>
      </c>
      <c r="S33" s="160">
        <f>IF(builder!$O$56&gt;2,1,0)</f>
        <v>0</v>
      </c>
      <c r="T33" s="160">
        <f>IF(builder!$O$56&gt;3,1,0)</f>
        <v>0</v>
      </c>
      <c r="U33" s="160">
        <f>IF(builder!$O$56&gt;4,1,0)</f>
        <v>0</v>
      </c>
      <c r="W33" s="158"/>
      <c r="X33" s="342" t="str">
        <f>'adv shuffle'!$M$6</f>
        <v/>
      </c>
      <c r="Y33" s="158"/>
    </row>
    <row r="34" spans="1:25" ht="6.75" customHeight="1">
      <c r="A34" s="158"/>
      <c r="B34" s="342"/>
      <c r="C34" s="342"/>
      <c r="D34" s="158"/>
      <c r="E34" s="162"/>
      <c r="F34" s="21"/>
      <c r="G34" s="21"/>
      <c r="H34" s="21"/>
      <c r="I34" s="21"/>
      <c r="J34" s="21"/>
      <c r="K34" s="21"/>
      <c r="L34" s="163"/>
      <c r="M34" s="163"/>
      <c r="N34" s="163"/>
      <c r="O34" s="163"/>
      <c r="P34" s="163"/>
      <c r="Q34" s="21"/>
      <c r="R34" s="21"/>
      <c r="S34" s="21"/>
      <c r="T34" s="21"/>
      <c r="U34" s="21"/>
      <c r="W34" s="158"/>
      <c r="X34" s="342"/>
      <c r="Y34" s="158"/>
    </row>
    <row r="35" spans="1:25" ht="8.25" customHeight="1">
      <c r="A35" s="158"/>
      <c r="B35" s="351" t="e">
        <f>print!B15</f>
        <v>#N/A</v>
      </c>
      <c r="C35" s="351"/>
      <c r="D35" s="158"/>
      <c r="E35" s="161" t="s">
        <v>959</v>
      </c>
      <c r="F35" s="160">
        <f>IF(builder!$O$49&gt;0,1,0)</f>
        <v>0</v>
      </c>
      <c r="G35" s="160">
        <f>IF(builder!$O$49&gt;1,1,0)</f>
        <v>0</v>
      </c>
      <c r="H35" s="160">
        <f>IF(builder!$O$49&gt;2,1,0)</f>
        <v>0</v>
      </c>
      <c r="I35" s="160">
        <f>IF(builder!$O$49&gt;3,1,0)</f>
        <v>0</v>
      </c>
      <c r="J35" s="160">
        <f>IF(builder!$O$49&gt;4,1,0)</f>
        <v>0</v>
      </c>
      <c r="K35" s="21"/>
      <c r="L35" s="343" t="s">
        <v>944</v>
      </c>
      <c r="M35" s="343"/>
      <c r="N35" s="343"/>
      <c r="O35" s="343"/>
      <c r="P35" s="343"/>
      <c r="Q35" s="160">
        <f>IF(builder!$O$57&gt;0,1,0)</f>
        <v>0</v>
      </c>
      <c r="R35" s="160">
        <f>IF(builder!$O$57&gt;1,1,0)</f>
        <v>0</v>
      </c>
      <c r="S35" s="160">
        <f>IF(builder!$O$57&gt;2,1,0)</f>
        <v>0</v>
      </c>
      <c r="T35" s="160">
        <f>IF(builder!$O$57&gt;3,1,0)</f>
        <v>0</v>
      </c>
      <c r="U35" s="160">
        <f>IF(builder!$O$57&gt;4,1,0)</f>
        <v>0</v>
      </c>
      <c r="W35" s="158"/>
      <c r="X35" s="342"/>
      <c r="Y35" s="158"/>
    </row>
    <row r="36" spans="1:25" ht="4.5" customHeight="1">
      <c r="A36" s="158"/>
      <c r="B36" s="351"/>
      <c r="C36" s="351"/>
      <c r="D36" s="158"/>
      <c r="F36" s="21"/>
      <c r="G36" s="21"/>
      <c r="H36" s="21"/>
      <c r="I36" s="21"/>
      <c r="J36" s="21"/>
      <c r="K36" s="21"/>
      <c r="L36" s="21"/>
      <c r="M36" s="21"/>
      <c r="N36" s="21"/>
      <c r="O36" s="21"/>
      <c r="P36" s="21"/>
      <c r="Q36" s="21"/>
      <c r="R36" s="21"/>
      <c r="S36" s="21"/>
      <c r="T36" s="21"/>
      <c r="U36" s="21"/>
      <c r="W36" s="158"/>
      <c r="X36" s="342" t="str">
        <f>'adv shuffle'!$M$7</f>
        <v/>
      </c>
      <c r="Y36" s="158"/>
    </row>
    <row r="37" spans="1:25" ht="5.25" customHeight="1">
      <c r="A37" s="158"/>
      <c r="B37" s="351"/>
      <c r="C37" s="351"/>
      <c r="D37" s="158"/>
      <c r="W37" s="158"/>
      <c r="X37" s="342"/>
      <c r="Y37" s="158"/>
    </row>
    <row r="38" spans="1:25" s="18" customFormat="1" ht="14.25" customHeight="1">
      <c r="A38" s="158"/>
      <c r="B38" s="351"/>
      <c r="C38" s="351"/>
      <c r="D38" s="158"/>
      <c r="E38" s="341" t="s">
        <v>966</v>
      </c>
      <c r="F38" s="341"/>
      <c r="G38" s="341"/>
      <c r="H38" s="341"/>
      <c r="I38" s="341"/>
      <c r="J38" s="341"/>
      <c r="K38" s="341"/>
      <c r="L38" s="341"/>
      <c r="M38" s="341"/>
      <c r="N38" s="341"/>
      <c r="O38" s="341"/>
      <c r="P38" s="341"/>
      <c r="Q38" s="341"/>
      <c r="R38" s="341"/>
      <c r="S38" s="341"/>
      <c r="T38" s="341"/>
      <c r="U38" s="341"/>
      <c r="V38" s="341"/>
      <c r="W38" s="158"/>
      <c r="X38" s="342"/>
      <c r="Y38" s="158"/>
    </row>
    <row r="39" spans="1:25" s="153" customFormat="1" ht="6.75" customHeight="1">
      <c r="A39" s="158"/>
      <c r="B39" s="351"/>
      <c r="C39" s="351"/>
      <c r="D39" s="158"/>
      <c r="E39" s="341" t="s">
        <v>967</v>
      </c>
      <c r="F39" s="341"/>
      <c r="G39" s="341"/>
      <c r="H39" s="341"/>
      <c r="I39" s="341"/>
      <c r="J39" s="341"/>
      <c r="K39" s="341"/>
      <c r="L39" s="341"/>
      <c r="M39" s="341"/>
      <c r="N39" s="341"/>
      <c r="O39" s="341"/>
      <c r="P39" s="341"/>
      <c r="Q39" s="341"/>
      <c r="R39" s="341"/>
      <c r="S39" s="341"/>
      <c r="T39" s="341"/>
      <c r="U39" s="341"/>
      <c r="V39" s="341"/>
      <c r="W39" s="158"/>
      <c r="X39" s="342" t="str">
        <f>'adv shuffle'!$M$8</f>
        <v/>
      </c>
      <c r="Y39" s="158"/>
    </row>
    <row r="40" spans="1:25" ht="6.75" customHeight="1">
      <c r="A40" s="158"/>
      <c r="B40" s="158"/>
      <c r="C40" s="158"/>
      <c r="D40" s="158"/>
      <c r="E40" s="341"/>
      <c r="F40" s="341"/>
      <c r="G40" s="341"/>
      <c r="H40" s="341"/>
      <c r="I40" s="341"/>
      <c r="J40" s="341"/>
      <c r="K40" s="341"/>
      <c r="L40" s="341"/>
      <c r="M40" s="341"/>
      <c r="N40" s="341"/>
      <c r="O40" s="341"/>
      <c r="P40" s="341"/>
      <c r="Q40" s="341"/>
      <c r="R40" s="341"/>
      <c r="S40" s="341"/>
      <c r="T40" s="341"/>
      <c r="U40" s="341"/>
      <c r="V40" s="341"/>
      <c r="W40" s="158"/>
      <c r="X40" s="342"/>
      <c r="Y40" s="158"/>
    </row>
    <row r="41" spans="1:25">
      <c r="A41" s="158"/>
      <c r="B41" s="349" t="s">
        <v>942</v>
      </c>
      <c r="C41" s="349"/>
      <c r="D41" s="158"/>
      <c r="E41" s="341" t="s">
        <v>968</v>
      </c>
      <c r="F41" s="341"/>
      <c r="G41" s="341"/>
      <c r="H41" s="341"/>
      <c r="I41" s="341"/>
      <c r="J41" s="341"/>
      <c r="K41" s="341"/>
      <c r="L41" s="341"/>
      <c r="M41" s="341"/>
      <c r="N41" s="341"/>
      <c r="O41" s="341"/>
      <c r="P41" s="341"/>
      <c r="Q41" s="341"/>
      <c r="R41" s="341"/>
      <c r="S41" s="341"/>
      <c r="T41" s="341"/>
      <c r="U41" s="341"/>
      <c r="V41" s="341"/>
      <c r="W41" s="158"/>
      <c r="X41" s="342" t="str">
        <f>'adv shuffle'!$M$9</f>
        <v/>
      </c>
      <c r="Y41" s="158"/>
    </row>
    <row r="42" spans="1:25" s="153" customFormat="1" ht="4.5" customHeight="1">
      <c r="A42" s="158"/>
      <c r="B42" s="164"/>
      <c r="C42" s="164"/>
      <c r="D42" s="158"/>
      <c r="E42" s="158"/>
      <c r="F42" s="158"/>
      <c r="G42" s="158"/>
      <c r="H42" s="158"/>
      <c r="I42" s="158"/>
      <c r="J42" s="158"/>
      <c r="K42" s="158"/>
      <c r="L42" s="158"/>
      <c r="M42" s="158"/>
      <c r="N42" s="158"/>
      <c r="O42" s="158"/>
      <c r="P42" s="158"/>
      <c r="Q42" s="158"/>
      <c r="R42" s="158"/>
      <c r="S42" s="158"/>
      <c r="T42" s="158"/>
      <c r="U42" s="158"/>
      <c r="V42" s="158"/>
      <c r="W42" s="158"/>
      <c r="X42" s="342"/>
      <c r="Y42" s="158"/>
    </row>
    <row r="43" spans="1:25">
      <c r="A43" s="158"/>
      <c r="B43" s="153" t="s">
        <v>382</v>
      </c>
      <c r="C43" s="156">
        <f>builder!B78</f>
        <v>0</v>
      </c>
      <c r="D43" s="158"/>
      <c r="E43" s="349" t="s">
        <v>943</v>
      </c>
      <c r="F43" s="349"/>
      <c r="G43" s="349"/>
      <c r="H43" s="349"/>
      <c r="I43" s="349"/>
      <c r="J43" s="349"/>
      <c r="K43" s="349"/>
      <c r="L43" s="349"/>
      <c r="M43" s="349"/>
      <c r="N43" s="349"/>
      <c r="O43" s="349"/>
      <c r="P43" s="349"/>
      <c r="Q43" s="349"/>
      <c r="R43" s="349"/>
      <c r="S43" s="349"/>
      <c r="T43" s="349"/>
      <c r="U43" s="349"/>
      <c r="V43" s="349"/>
      <c r="W43" s="158"/>
      <c r="X43" s="153" t="str">
        <f>'adv shuffle'!$M$10</f>
        <v/>
      </c>
      <c r="Y43" s="158"/>
    </row>
    <row r="44" spans="1:25">
      <c r="A44" s="158"/>
      <c r="B44" s="153" t="s">
        <v>965</v>
      </c>
      <c r="C44" s="153">
        <f>builder!G78</f>
        <v>0</v>
      </c>
      <c r="D44" s="158"/>
      <c r="E44" s="158"/>
      <c r="F44" s="158"/>
      <c r="G44" s="158"/>
      <c r="H44" s="158"/>
      <c r="I44" s="158"/>
      <c r="J44" s="158"/>
      <c r="K44" s="158"/>
      <c r="L44" s="158"/>
      <c r="M44" s="158"/>
      <c r="N44" s="158"/>
      <c r="O44" s="158"/>
      <c r="P44" s="158"/>
      <c r="Q44" s="158"/>
      <c r="R44" s="158"/>
      <c r="S44" s="158"/>
      <c r="T44" s="158"/>
      <c r="U44" s="158"/>
      <c r="V44" s="158"/>
      <c r="W44" s="158"/>
      <c r="X44" s="153" t="str">
        <f>'adv shuffle'!$M$11</f>
        <v/>
      </c>
      <c r="Y44" s="158"/>
    </row>
    <row r="45" spans="1:25">
      <c r="A45" s="158"/>
      <c r="B45" s="153" t="s">
        <v>383</v>
      </c>
      <c r="C45" s="153">
        <f>builder!B81</f>
        <v>0</v>
      </c>
      <c r="D45" s="158"/>
      <c r="E45" s="158"/>
      <c r="F45" s="158"/>
      <c r="G45" s="158"/>
      <c r="H45" s="158"/>
      <c r="I45" s="158"/>
      <c r="J45" s="158"/>
      <c r="K45" s="158"/>
      <c r="L45" s="158"/>
      <c r="M45" s="158"/>
      <c r="N45" s="158"/>
      <c r="O45" s="158"/>
      <c r="P45" s="158"/>
      <c r="Q45" s="158"/>
      <c r="R45" s="158"/>
      <c r="S45" s="158"/>
      <c r="T45" s="158"/>
      <c r="U45" s="158"/>
      <c r="V45" s="158"/>
      <c r="W45" s="158"/>
      <c r="X45" s="153" t="str">
        <f>'adv shuffle'!$M$12</f>
        <v/>
      </c>
      <c r="Y45" s="158"/>
    </row>
    <row r="46" spans="1:25">
      <c r="A46" s="158"/>
      <c r="B46" s="153" t="s">
        <v>384</v>
      </c>
      <c r="C46" s="153">
        <f>builder!B83</f>
        <v>0</v>
      </c>
      <c r="D46" s="158"/>
      <c r="E46" s="158"/>
      <c r="F46" s="158"/>
      <c r="G46" s="158"/>
      <c r="H46" s="158"/>
      <c r="I46" s="158"/>
      <c r="J46" s="158"/>
      <c r="K46" s="158"/>
      <c r="L46" s="158"/>
      <c r="M46" s="158"/>
      <c r="N46" s="158"/>
      <c r="O46" s="158"/>
      <c r="P46" s="158"/>
      <c r="Q46" s="158"/>
      <c r="R46" s="158"/>
      <c r="S46" s="158"/>
      <c r="T46" s="158"/>
      <c r="U46" s="158"/>
      <c r="V46" s="158"/>
      <c r="W46" s="158"/>
      <c r="X46" s="153" t="str">
        <f>'adv shuffle'!$M$13</f>
        <v/>
      </c>
      <c r="Y46" s="158"/>
    </row>
    <row r="47" spans="1:25">
      <c r="A47" s="158"/>
      <c r="B47" s="153" t="s">
        <v>385</v>
      </c>
      <c r="C47" s="153">
        <f>builder!B85</f>
        <v>0</v>
      </c>
      <c r="D47" s="158"/>
      <c r="E47" s="158"/>
      <c r="F47" s="158"/>
      <c r="G47" s="158"/>
      <c r="H47" s="158"/>
      <c r="I47" s="158"/>
      <c r="J47" s="158"/>
      <c r="K47" s="158"/>
      <c r="L47" s="158"/>
      <c r="M47" s="158"/>
      <c r="N47" s="158"/>
      <c r="O47" s="158"/>
      <c r="P47" s="158"/>
      <c r="Q47" s="158"/>
      <c r="R47" s="158"/>
      <c r="S47" s="158"/>
      <c r="T47" s="158"/>
      <c r="U47" s="158"/>
      <c r="V47" s="158"/>
      <c r="W47" s="158"/>
      <c r="X47" s="153" t="str">
        <f>'adv shuffle'!$M$14</f>
        <v/>
      </c>
      <c r="Y47" s="158"/>
    </row>
    <row r="48" spans="1:25" s="153" customFormat="1">
      <c r="A48" s="158"/>
      <c r="D48" s="158"/>
      <c r="E48" s="158"/>
      <c r="F48" s="158"/>
      <c r="G48" s="158"/>
      <c r="H48" s="158"/>
      <c r="I48" s="158"/>
      <c r="J48" s="158"/>
      <c r="K48" s="158"/>
      <c r="L48" s="158"/>
      <c r="M48" s="158"/>
      <c r="N48" s="158"/>
      <c r="O48" s="158"/>
      <c r="P48" s="158"/>
      <c r="Q48" s="158"/>
      <c r="R48" s="158"/>
      <c r="S48" s="158"/>
      <c r="T48" s="158"/>
      <c r="U48" s="158"/>
      <c r="V48" s="158"/>
      <c r="W48" s="158"/>
      <c r="Y48" s="158"/>
    </row>
    <row r="49" spans="1:25">
      <c r="A49" s="158"/>
      <c r="D49" s="158"/>
      <c r="E49" s="158"/>
      <c r="F49" s="158"/>
      <c r="G49" s="158"/>
      <c r="H49" s="158"/>
      <c r="I49" s="158"/>
      <c r="J49" s="158"/>
      <c r="K49" s="158"/>
      <c r="L49" s="158"/>
      <c r="M49" s="158"/>
      <c r="N49" s="158"/>
      <c r="O49" s="158"/>
      <c r="P49" s="158"/>
      <c r="Q49" s="158"/>
      <c r="R49" s="158"/>
      <c r="S49" s="158"/>
      <c r="T49" s="158"/>
      <c r="U49" s="158"/>
      <c r="V49" s="158"/>
      <c r="W49" s="158"/>
      <c r="X49" s="153" t="str">
        <f>'adv shuffle'!$M$15</f>
        <v/>
      </c>
      <c r="Y49" s="158"/>
    </row>
    <row r="50" spans="1:25">
      <c r="A50" s="158"/>
      <c r="D50" s="158"/>
      <c r="E50" s="158"/>
      <c r="F50" s="158"/>
      <c r="G50" s="158"/>
      <c r="H50" s="158"/>
      <c r="I50" s="158"/>
      <c r="J50" s="158"/>
      <c r="K50" s="158"/>
      <c r="L50" s="158"/>
      <c r="M50" s="158"/>
      <c r="N50" s="158"/>
      <c r="O50" s="158"/>
      <c r="P50" s="158"/>
      <c r="Q50" s="158"/>
      <c r="R50" s="158"/>
      <c r="S50" s="158"/>
      <c r="T50" s="158"/>
      <c r="U50" s="158"/>
      <c r="V50" s="158"/>
      <c r="W50" s="158"/>
      <c r="X50" s="153" t="str">
        <f>IF('adv shuffle'!O33&lt;&gt;"",CONCATENATE("Duelist Style: ",'adv shuffle'!O33,": ",print!D110),"")</f>
        <v/>
      </c>
      <c r="Y50" s="158"/>
    </row>
    <row r="51" spans="1:25">
      <c r="A51" s="158"/>
      <c r="D51" s="158"/>
      <c r="E51" s="158"/>
      <c r="F51" s="158"/>
      <c r="G51" s="158"/>
      <c r="H51" s="158"/>
      <c r="I51" s="158"/>
      <c r="J51" s="158"/>
      <c r="K51" s="158"/>
      <c r="L51" s="158"/>
      <c r="M51" s="158"/>
      <c r="N51" s="158"/>
      <c r="O51" s="158"/>
      <c r="P51" s="158"/>
      <c r="Q51" s="158"/>
      <c r="R51" s="158"/>
      <c r="S51" s="158"/>
      <c r="T51" s="158"/>
      <c r="U51" s="158"/>
      <c r="V51" s="158"/>
      <c r="W51" s="158"/>
      <c r="X51" s="153" t="str">
        <f>IF('adv shuffle'!O32&lt;&gt;"",CONCATENATE("Duelist Style: ",'adv shuffle'!O32,": ",print!D107),"")</f>
        <v/>
      </c>
      <c r="Y51" s="158"/>
    </row>
    <row r="52" spans="1:25">
      <c r="A52" s="158"/>
      <c r="B52" s="17"/>
      <c r="C52" s="17"/>
      <c r="D52" s="158"/>
      <c r="E52" s="158"/>
      <c r="F52" s="158"/>
      <c r="G52" s="158"/>
      <c r="H52" s="158"/>
      <c r="I52" s="158"/>
      <c r="J52" s="158"/>
      <c r="K52" s="158"/>
      <c r="L52" s="158"/>
      <c r="M52" s="158"/>
      <c r="N52" s="158"/>
      <c r="O52" s="158"/>
      <c r="P52" s="158"/>
      <c r="Q52" s="158"/>
      <c r="R52" s="158"/>
      <c r="S52" s="158"/>
      <c r="T52" s="158"/>
      <c r="U52" s="158"/>
      <c r="V52" s="158"/>
      <c r="W52" s="158"/>
      <c r="X52" s="153" t="str">
        <f>IF('adv shuffle'!O31&lt;&gt;"",CONCATENATE("Duelist Style: ",'adv shuffle'!O31,": ",print!D104),"")</f>
        <v/>
      </c>
      <c r="Y52" s="158"/>
    </row>
    <row r="53" spans="1:25">
      <c r="A53" s="158"/>
      <c r="B53" s="352" t="str">
        <f>CONCATENATE("Corruption: ",builder!$P$86)</f>
        <v>Corruption: 0</v>
      </c>
      <c r="C53" s="352"/>
      <c r="D53" s="158"/>
      <c r="E53" s="158"/>
      <c r="F53" s="158"/>
      <c r="G53" s="158"/>
      <c r="H53" s="158"/>
      <c r="I53" s="158"/>
      <c r="J53" s="158"/>
      <c r="K53" s="158"/>
      <c r="L53" s="158"/>
      <c r="M53" s="158"/>
      <c r="N53" s="158"/>
      <c r="O53" s="158"/>
      <c r="P53" s="158"/>
      <c r="Q53" s="158"/>
      <c r="R53" s="158"/>
      <c r="S53" s="158"/>
      <c r="T53" s="158"/>
      <c r="U53" s="158"/>
      <c r="V53" s="158"/>
      <c r="W53" s="158"/>
      <c r="X53" s="153" t="str">
        <f>CONCATENATE("Secret Society: ",builder!$B$103)</f>
        <v xml:space="preserve">Secret Society: </v>
      </c>
      <c r="Y53" s="158"/>
    </row>
    <row r="54" spans="1:25">
      <c r="A54" s="158"/>
      <c r="B54" s="158"/>
      <c r="C54" s="158"/>
      <c r="D54" s="158"/>
      <c r="E54" s="158"/>
      <c r="F54" s="158"/>
      <c r="G54" s="158"/>
      <c r="H54" s="158"/>
      <c r="I54" s="158"/>
      <c r="J54" s="158"/>
      <c r="K54" s="158"/>
      <c r="L54" s="158"/>
      <c r="M54" s="158"/>
      <c r="N54" s="158"/>
      <c r="O54" s="158"/>
      <c r="P54" s="158"/>
      <c r="Q54" s="158"/>
      <c r="R54" s="158"/>
      <c r="S54" s="158"/>
      <c r="T54" s="158"/>
      <c r="U54" s="158"/>
      <c r="V54" s="158"/>
      <c r="W54" s="158"/>
      <c r="X54" s="158"/>
      <c r="Y54" s="158"/>
    </row>
    <row r="55" spans="1:25" ht="32.25" customHeight="1"/>
    <row r="56" spans="1:25" s="173" customFormat="1" ht="9.75" customHeight="1">
      <c r="A56" s="158"/>
      <c r="B56" s="158"/>
      <c r="C56" s="158"/>
      <c r="D56" s="158"/>
      <c r="E56" s="158"/>
      <c r="F56" s="158"/>
      <c r="G56" s="158"/>
      <c r="H56" s="158"/>
      <c r="I56" s="158"/>
      <c r="J56" s="158"/>
      <c r="K56" s="158"/>
      <c r="L56" s="158"/>
      <c r="M56" s="158"/>
      <c r="N56" s="158"/>
      <c r="O56" s="158"/>
      <c r="P56" s="158"/>
      <c r="Q56" s="158"/>
      <c r="R56" s="158"/>
      <c r="S56" s="158"/>
      <c r="T56" s="158"/>
      <c r="U56" s="158"/>
      <c r="V56" s="158"/>
      <c r="W56" s="158"/>
      <c r="X56" s="158"/>
      <c r="Y56" s="158"/>
    </row>
    <row r="57" spans="1:25" s="173" customFormat="1" ht="16.5" customHeight="1">
      <c r="A57" s="158"/>
      <c r="B57" s="349" t="s">
        <v>1007</v>
      </c>
      <c r="C57" s="349"/>
      <c r="D57" s="349"/>
      <c r="E57" s="349"/>
      <c r="F57" s="349"/>
      <c r="G57" s="349"/>
      <c r="H57" s="349"/>
      <c r="I57" s="349"/>
      <c r="J57" s="349"/>
      <c r="K57" s="349"/>
      <c r="L57" s="349"/>
      <c r="M57" s="349"/>
      <c r="N57" s="349"/>
      <c r="O57" s="349"/>
      <c r="P57" s="349"/>
      <c r="Q57" s="349"/>
      <c r="R57" s="349"/>
      <c r="S57" s="349"/>
      <c r="T57" s="349"/>
      <c r="U57" s="349"/>
      <c r="V57" s="349"/>
      <c r="W57" s="349"/>
      <c r="X57" s="349"/>
      <c r="Y57" s="158"/>
    </row>
    <row r="58" spans="1:25" s="185" customFormat="1" ht="12.75">
      <c r="A58" s="184"/>
      <c r="B58" s="187" t="s">
        <v>97</v>
      </c>
      <c r="Y58" s="184"/>
    </row>
    <row r="59" spans="1:25" s="185" customFormat="1" ht="12.75">
      <c r="A59" s="184"/>
      <c r="B59" s="188">
        <f>X3</f>
        <v>0</v>
      </c>
      <c r="C59" s="355" t="e">
        <f>print!B30</f>
        <v>#N/A</v>
      </c>
      <c r="D59" s="355"/>
      <c r="E59" s="355"/>
      <c r="F59" s="355"/>
      <c r="G59" s="355"/>
      <c r="H59" s="355"/>
      <c r="I59" s="355"/>
      <c r="J59" s="355"/>
      <c r="K59" s="355"/>
      <c r="L59" s="355"/>
      <c r="M59" s="355"/>
      <c r="N59" s="355"/>
      <c r="O59" s="355"/>
      <c r="P59" s="355"/>
      <c r="Q59" s="355"/>
      <c r="R59" s="355"/>
      <c r="S59" s="355"/>
      <c r="T59" s="355"/>
      <c r="U59" s="355"/>
      <c r="V59" s="355"/>
      <c r="W59" s="355"/>
      <c r="X59" s="355"/>
      <c r="Y59" s="184"/>
    </row>
    <row r="60" spans="1:25" s="185" customFormat="1" ht="12.75">
      <c r="A60" s="184"/>
      <c r="B60" s="188">
        <f>X11</f>
        <v>0</v>
      </c>
      <c r="C60" s="355" t="e">
        <f>print!B36</f>
        <v>#N/A</v>
      </c>
      <c r="D60" s="355"/>
      <c r="E60" s="355"/>
      <c r="F60" s="355"/>
      <c r="G60" s="355"/>
      <c r="H60" s="355"/>
      <c r="I60" s="355"/>
      <c r="J60" s="355"/>
      <c r="K60" s="355"/>
      <c r="L60" s="355"/>
      <c r="M60" s="355"/>
      <c r="N60" s="355"/>
      <c r="O60" s="355"/>
      <c r="P60" s="355"/>
      <c r="Q60" s="355"/>
      <c r="R60" s="355"/>
      <c r="S60" s="355"/>
      <c r="T60" s="355"/>
      <c r="U60" s="355"/>
      <c r="V60" s="355"/>
      <c r="W60" s="355"/>
      <c r="X60" s="355"/>
      <c r="Y60" s="184"/>
    </row>
    <row r="61" spans="1:25" s="185" customFormat="1" ht="12.75">
      <c r="A61" s="184"/>
      <c r="B61" s="187" t="s">
        <v>0</v>
      </c>
      <c r="Y61" s="184"/>
    </row>
    <row r="62" spans="1:25" ht="24.75" customHeight="1">
      <c r="A62" s="158"/>
      <c r="B62" s="189" t="str">
        <f>'adv shuffle'!U2</f>
        <v>Styles</v>
      </c>
      <c r="C62" s="354" t="str">
        <f>'adv shuffle'!V2</f>
        <v/>
      </c>
      <c r="D62" s="354"/>
      <c r="E62" s="354"/>
      <c r="F62" s="354"/>
      <c r="G62" s="354"/>
      <c r="H62" s="354"/>
      <c r="I62" s="354"/>
      <c r="J62" s="354"/>
      <c r="K62" s="354"/>
      <c r="L62" s="354"/>
      <c r="M62" s="354"/>
      <c r="N62" s="354"/>
      <c r="O62" s="354"/>
      <c r="P62" s="354"/>
      <c r="Q62" s="354"/>
      <c r="R62" s="354"/>
      <c r="S62" s="354"/>
      <c r="T62" s="354"/>
      <c r="U62" s="354"/>
      <c r="V62" s="354"/>
      <c r="W62" s="354"/>
      <c r="X62" s="354"/>
      <c r="Y62" s="158"/>
    </row>
    <row r="63" spans="1:25" ht="24.75" customHeight="1">
      <c r="A63" s="158"/>
      <c r="B63" s="189" t="str">
        <f>'adv shuffle'!U3</f>
        <v>Sorcery</v>
      </c>
      <c r="C63" s="354" t="str">
        <f>'adv shuffle'!V3</f>
        <v/>
      </c>
      <c r="D63" s="354"/>
      <c r="E63" s="354"/>
      <c r="F63" s="354"/>
      <c r="G63" s="354"/>
      <c r="H63" s="354"/>
      <c r="I63" s="354"/>
      <c r="J63" s="354"/>
      <c r="K63" s="354"/>
      <c r="L63" s="354"/>
      <c r="M63" s="354"/>
      <c r="N63" s="354"/>
      <c r="O63" s="354"/>
      <c r="P63" s="354"/>
      <c r="Q63" s="354"/>
      <c r="R63" s="354"/>
      <c r="S63" s="354"/>
      <c r="T63" s="354"/>
      <c r="U63" s="354"/>
      <c r="V63" s="354"/>
      <c r="W63" s="354"/>
      <c r="X63" s="354"/>
      <c r="Y63" s="158"/>
    </row>
    <row r="64" spans="1:25" ht="24.75" customHeight="1">
      <c r="A64" s="158"/>
      <c r="B64" s="189" t="str">
        <f>'adv shuffle'!U4</f>
        <v/>
      </c>
      <c r="C64" s="354" t="str">
        <f>'adv shuffle'!V4</f>
        <v/>
      </c>
      <c r="D64" s="354"/>
      <c r="E64" s="354"/>
      <c r="F64" s="354"/>
      <c r="G64" s="354"/>
      <c r="H64" s="354"/>
      <c r="I64" s="354"/>
      <c r="J64" s="354"/>
      <c r="K64" s="354"/>
      <c r="L64" s="354"/>
      <c r="M64" s="354"/>
      <c r="N64" s="354"/>
      <c r="O64" s="354"/>
      <c r="P64" s="354"/>
      <c r="Q64" s="354"/>
      <c r="R64" s="354"/>
      <c r="S64" s="354"/>
      <c r="T64" s="354"/>
      <c r="U64" s="354"/>
      <c r="V64" s="354"/>
      <c r="W64" s="354"/>
      <c r="X64" s="354"/>
      <c r="Y64" s="158"/>
    </row>
    <row r="65" spans="1:25" ht="24.75" customHeight="1">
      <c r="A65" s="158"/>
      <c r="B65" s="189" t="str">
        <f>'adv shuffle'!U5</f>
        <v/>
      </c>
      <c r="C65" s="354" t="str">
        <f>'adv shuffle'!V5</f>
        <v/>
      </c>
      <c r="D65" s="354"/>
      <c r="E65" s="354"/>
      <c r="F65" s="354"/>
      <c r="G65" s="354"/>
      <c r="H65" s="354"/>
      <c r="I65" s="354"/>
      <c r="J65" s="354"/>
      <c r="K65" s="354"/>
      <c r="L65" s="354"/>
      <c r="M65" s="354"/>
      <c r="N65" s="354"/>
      <c r="O65" s="354"/>
      <c r="P65" s="354"/>
      <c r="Q65" s="354"/>
      <c r="R65" s="354"/>
      <c r="S65" s="354"/>
      <c r="T65" s="354"/>
      <c r="U65" s="354"/>
      <c r="V65" s="354"/>
      <c r="W65" s="354"/>
      <c r="X65" s="354"/>
      <c r="Y65" s="158"/>
    </row>
    <row r="66" spans="1:25" ht="24.75" customHeight="1">
      <c r="A66" s="158"/>
      <c r="B66" s="189" t="str">
        <f>'adv shuffle'!U6</f>
        <v/>
      </c>
      <c r="C66" s="354" t="str">
        <f>'adv shuffle'!V6</f>
        <v/>
      </c>
      <c r="D66" s="354"/>
      <c r="E66" s="354"/>
      <c r="F66" s="354"/>
      <c r="G66" s="354"/>
      <c r="H66" s="354"/>
      <c r="I66" s="354"/>
      <c r="J66" s="354"/>
      <c r="K66" s="354"/>
      <c r="L66" s="354"/>
      <c r="M66" s="354"/>
      <c r="N66" s="354"/>
      <c r="O66" s="354"/>
      <c r="P66" s="354"/>
      <c r="Q66" s="354"/>
      <c r="R66" s="354"/>
      <c r="S66" s="354"/>
      <c r="T66" s="354"/>
      <c r="U66" s="354"/>
      <c r="V66" s="354"/>
      <c r="W66" s="354"/>
      <c r="X66" s="354"/>
      <c r="Y66" s="158"/>
    </row>
    <row r="67" spans="1:25" ht="24.75" customHeight="1">
      <c r="A67" s="158"/>
      <c r="B67" s="189" t="str">
        <f>'adv shuffle'!U7</f>
        <v/>
      </c>
      <c r="C67" s="354" t="str">
        <f>'adv shuffle'!V7</f>
        <v/>
      </c>
      <c r="D67" s="354"/>
      <c r="E67" s="354"/>
      <c r="F67" s="354"/>
      <c r="G67" s="354"/>
      <c r="H67" s="354"/>
      <c r="I67" s="354"/>
      <c r="J67" s="354"/>
      <c r="K67" s="354"/>
      <c r="L67" s="354"/>
      <c r="M67" s="354"/>
      <c r="N67" s="354"/>
      <c r="O67" s="354"/>
      <c r="P67" s="354"/>
      <c r="Q67" s="354"/>
      <c r="R67" s="354"/>
      <c r="S67" s="354"/>
      <c r="T67" s="354"/>
      <c r="U67" s="354"/>
      <c r="V67" s="354"/>
      <c r="W67" s="354"/>
      <c r="X67" s="354"/>
      <c r="Y67" s="158"/>
    </row>
    <row r="68" spans="1:25" ht="24.75" customHeight="1">
      <c r="A68" s="158"/>
      <c r="B68" s="189" t="str">
        <f>'adv shuffle'!U8</f>
        <v/>
      </c>
      <c r="C68" s="354" t="str">
        <f>'adv shuffle'!V8</f>
        <v/>
      </c>
      <c r="D68" s="354"/>
      <c r="E68" s="354"/>
      <c r="F68" s="354"/>
      <c r="G68" s="354"/>
      <c r="H68" s="354"/>
      <c r="I68" s="354"/>
      <c r="J68" s="354"/>
      <c r="K68" s="354"/>
      <c r="L68" s="354"/>
      <c r="M68" s="354"/>
      <c r="N68" s="354"/>
      <c r="O68" s="354"/>
      <c r="P68" s="354"/>
      <c r="Q68" s="354"/>
      <c r="R68" s="354"/>
      <c r="S68" s="354"/>
      <c r="T68" s="354"/>
      <c r="U68" s="354"/>
      <c r="V68" s="354"/>
      <c r="W68" s="354"/>
      <c r="X68" s="354"/>
      <c r="Y68" s="158"/>
    </row>
    <row r="69" spans="1:25" ht="24.75" customHeight="1">
      <c r="A69" s="158"/>
      <c r="B69" s="189" t="str">
        <f>'adv shuffle'!U9</f>
        <v/>
      </c>
      <c r="C69" s="354" t="str">
        <f>'adv shuffle'!V9</f>
        <v/>
      </c>
      <c r="D69" s="354"/>
      <c r="E69" s="354"/>
      <c r="F69" s="354"/>
      <c r="G69" s="354"/>
      <c r="H69" s="354"/>
      <c r="I69" s="354"/>
      <c r="J69" s="354"/>
      <c r="K69" s="354"/>
      <c r="L69" s="354"/>
      <c r="M69" s="354"/>
      <c r="N69" s="354"/>
      <c r="O69" s="354"/>
      <c r="P69" s="354"/>
      <c r="Q69" s="354"/>
      <c r="R69" s="354"/>
      <c r="S69" s="354"/>
      <c r="T69" s="354"/>
      <c r="U69" s="354"/>
      <c r="V69" s="354"/>
      <c r="W69" s="354"/>
      <c r="X69" s="354"/>
      <c r="Y69" s="158"/>
    </row>
    <row r="70" spans="1:25" ht="24.75" customHeight="1">
      <c r="A70" s="158"/>
      <c r="B70" s="189" t="str">
        <f>'adv shuffle'!U10</f>
        <v/>
      </c>
      <c r="C70" s="354" t="str">
        <f>'adv shuffle'!V10</f>
        <v/>
      </c>
      <c r="D70" s="354"/>
      <c r="E70" s="354"/>
      <c r="F70" s="354"/>
      <c r="G70" s="354"/>
      <c r="H70" s="354"/>
      <c r="I70" s="354"/>
      <c r="J70" s="354"/>
      <c r="K70" s="354"/>
      <c r="L70" s="354"/>
      <c r="M70" s="354"/>
      <c r="N70" s="354"/>
      <c r="O70" s="354"/>
      <c r="P70" s="354"/>
      <c r="Q70" s="354"/>
      <c r="R70" s="354"/>
      <c r="S70" s="354"/>
      <c r="T70" s="354"/>
      <c r="U70" s="354"/>
      <c r="V70" s="354"/>
      <c r="W70" s="354"/>
      <c r="X70" s="354"/>
      <c r="Y70" s="158"/>
    </row>
    <row r="71" spans="1:25" ht="24.75" customHeight="1">
      <c r="A71" s="158"/>
      <c r="B71" s="189" t="str">
        <f>'adv shuffle'!U11</f>
        <v/>
      </c>
      <c r="C71" s="354" t="str">
        <f>'adv shuffle'!V11</f>
        <v/>
      </c>
      <c r="D71" s="354"/>
      <c r="E71" s="354"/>
      <c r="F71" s="354"/>
      <c r="G71" s="354"/>
      <c r="H71" s="354"/>
      <c r="I71" s="354"/>
      <c r="J71" s="354"/>
      <c r="K71" s="354"/>
      <c r="L71" s="354"/>
      <c r="M71" s="354"/>
      <c r="N71" s="354"/>
      <c r="O71" s="354"/>
      <c r="P71" s="354"/>
      <c r="Q71" s="354"/>
      <c r="R71" s="354"/>
      <c r="S71" s="354"/>
      <c r="T71" s="354"/>
      <c r="U71" s="354"/>
      <c r="V71" s="354"/>
      <c r="W71" s="354"/>
      <c r="X71" s="354"/>
      <c r="Y71" s="158"/>
    </row>
    <row r="72" spans="1:25" ht="24.75" customHeight="1">
      <c r="A72" s="158"/>
      <c r="B72" s="189" t="str">
        <f>'adv shuffle'!U12</f>
        <v/>
      </c>
      <c r="C72" s="354" t="str">
        <f>'adv shuffle'!V12</f>
        <v/>
      </c>
      <c r="D72" s="354"/>
      <c r="E72" s="354"/>
      <c r="F72" s="354"/>
      <c r="G72" s="354"/>
      <c r="H72" s="354"/>
      <c r="I72" s="354"/>
      <c r="J72" s="354"/>
      <c r="K72" s="354"/>
      <c r="L72" s="354"/>
      <c r="M72" s="354"/>
      <c r="N72" s="354"/>
      <c r="O72" s="354"/>
      <c r="P72" s="354"/>
      <c r="Q72" s="354"/>
      <c r="R72" s="354"/>
      <c r="S72" s="354"/>
      <c r="T72" s="354"/>
      <c r="U72" s="354"/>
      <c r="V72" s="354"/>
      <c r="W72" s="354"/>
      <c r="X72" s="354"/>
      <c r="Y72" s="158"/>
    </row>
    <row r="73" spans="1:25" ht="24.75" customHeight="1">
      <c r="A73" s="158"/>
      <c r="B73" s="189" t="str">
        <f>'adv shuffle'!U13</f>
        <v/>
      </c>
      <c r="C73" s="354" t="str">
        <f>'adv shuffle'!V13</f>
        <v/>
      </c>
      <c r="D73" s="354"/>
      <c r="E73" s="354"/>
      <c r="F73" s="354"/>
      <c r="G73" s="354"/>
      <c r="H73" s="354"/>
      <c r="I73" s="354"/>
      <c r="J73" s="354"/>
      <c r="K73" s="354"/>
      <c r="L73" s="354"/>
      <c r="M73" s="354"/>
      <c r="N73" s="354"/>
      <c r="O73" s="354"/>
      <c r="P73" s="354"/>
      <c r="Q73" s="354"/>
      <c r="R73" s="354"/>
      <c r="S73" s="354"/>
      <c r="T73" s="354"/>
      <c r="U73" s="354"/>
      <c r="V73" s="354"/>
      <c r="W73" s="354"/>
      <c r="X73" s="354"/>
      <c r="Y73" s="158"/>
    </row>
    <row r="74" spans="1:25" ht="24.75" customHeight="1">
      <c r="A74" s="158"/>
      <c r="B74" s="189" t="str">
        <f>'adv shuffle'!U14</f>
        <v/>
      </c>
      <c r="C74" s="354" t="str">
        <f>'adv shuffle'!V14</f>
        <v/>
      </c>
      <c r="D74" s="354"/>
      <c r="E74" s="354"/>
      <c r="F74" s="354"/>
      <c r="G74" s="354"/>
      <c r="H74" s="354"/>
      <c r="I74" s="354"/>
      <c r="J74" s="354"/>
      <c r="K74" s="354"/>
      <c r="L74" s="354"/>
      <c r="M74" s="354"/>
      <c r="N74" s="354"/>
      <c r="O74" s="354"/>
      <c r="P74" s="354"/>
      <c r="Q74" s="354"/>
      <c r="R74" s="354"/>
      <c r="S74" s="354"/>
      <c r="T74" s="354"/>
      <c r="U74" s="354"/>
      <c r="V74" s="354"/>
      <c r="W74" s="354"/>
      <c r="X74" s="354"/>
      <c r="Y74" s="158"/>
    </row>
    <row r="75" spans="1:25" ht="24.75" customHeight="1">
      <c r="A75" s="158"/>
      <c r="B75" s="189" t="str">
        <f>'adv shuffle'!U15</f>
        <v/>
      </c>
      <c r="C75" s="354" t="str">
        <f>'adv shuffle'!V15</f>
        <v/>
      </c>
      <c r="D75" s="354"/>
      <c r="E75" s="354"/>
      <c r="F75" s="354"/>
      <c r="G75" s="354"/>
      <c r="H75" s="354"/>
      <c r="I75" s="354"/>
      <c r="J75" s="354"/>
      <c r="K75" s="354"/>
      <c r="L75" s="354"/>
      <c r="M75" s="354"/>
      <c r="N75" s="354"/>
      <c r="O75" s="354"/>
      <c r="P75" s="354"/>
      <c r="Q75" s="354"/>
      <c r="R75" s="354"/>
      <c r="S75" s="354"/>
      <c r="T75" s="354"/>
      <c r="U75" s="354"/>
      <c r="V75" s="354"/>
      <c r="W75" s="354"/>
      <c r="X75" s="354"/>
      <c r="Y75" s="158"/>
    </row>
    <row r="76" spans="1:25" ht="24.75" customHeight="1">
      <c r="A76" s="158"/>
      <c r="B76" s="189" t="str">
        <f>'adv shuffle'!U16</f>
        <v/>
      </c>
      <c r="C76" s="354" t="str">
        <f>'adv shuffle'!V16</f>
        <v/>
      </c>
      <c r="D76" s="354"/>
      <c r="E76" s="354"/>
      <c r="F76" s="354"/>
      <c r="G76" s="354"/>
      <c r="H76" s="354"/>
      <c r="I76" s="354"/>
      <c r="J76" s="354"/>
      <c r="K76" s="354"/>
      <c r="L76" s="354"/>
      <c r="M76" s="354"/>
      <c r="N76" s="354"/>
      <c r="O76" s="354"/>
      <c r="P76" s="354"/>
      <c r="Q76" s="354"/>
      <c r="R76" s="354"/>
      <c r="S76" s="354"/>
      <c r="T76" s="354"/>
      <c r="U76" s="354"/>
      <c r="V76" s="354"/>
      <c r="W76" s="354"/>
      <c r="X76" s="354"/>
      <c r="Y76" s="158"/>
    </row>
    <row r="77" spans="1:25" ht="24.75" customHeight="1">
      <c r="A77" s="158"/>
      <c r="B77" s="189" t="str">
        <f>'adv shuffle'!U17</f>
        <v/>
      </c>
      <c r="C77" s="354" t="str">
        <f>'adv shuffle'!V17</f>
        <v/>
      </c>
      <c r="D77" s="354"/>
      <c r="E77" s="354"/>
      <c r="F77" s="354"/>
      <c r="G77" s="354"/>
      <c r="H77" s="354"/>
      <c r="I77" s="354"/>
      <c r="J77" s="354"/>
      <c r="K77" s="354"/>
      <c r="L77" s="354"/>
      <c r="M77" s="354"/>
      <c r="N77" s="354"/>
      <c r="O77" s="354"/>
      <c r="P77" s="354"/>
      <c r="Q77" s="354"/>
      <c r="R77" s="354"/>
      <c r="S77" s="354"/>
      <c r="T77" s="354"/>
      <c r="U77" s="354"/>
      <c r="V77" s="354"/>
      <c r="W77" s="354"/>
      <c r="X77" s="354"/>
      <c r="Y77" s="158"/>
    </row>
    <row r="78" spans="1:25" ht="24.75" customHeight="1">
      <c r="A78" s="158"/>
      <c r="B78" s="189" t="str">
        <f>'adv shuffle'!U18</f>
        <v/>
      </c>
      <c r="C78" s="354" t="str">
        <f>'adv shuffle'!V18</f>
        <v/>
      </c>
      <c r="D78" s="354"/>
      <c r="E78" s="354"/>
      <c r="F78" s="354"/>
      <c r="G78" s="354"/>
      <c r="H78" s="354"/>
      <c r="I78" s="354"/>
      <c r="J78" s="354"/>
      <c r="K78" s="354"/>
      <c r="L78" s="354"/>
      <c r="M78" s="354"/>
      <c r="N78" s="354"/>
      <c r="O78" s="354"/>
      <c r="P78" s="354"/>
      <c r="Q78" s="354"/>
      <c r="R78" s="354"/>
      <c r="S78" s="354"/>
      <c r="T78" s="354"/>
      <c r="U78" s="354"/>
      <c r="V78" s="354"/>
      <c r="W78" s="354"/>
      <c r="X78" s="354"/>
      <c r="Y78" s="158"/>
    </row>
    <row r="79" spans="1:25" ht="24.75" customHeight="1">
      <c r="A79" s="158"/>
      <c r="B79" s="189" t="str">
        <f>'adv shuffle'!U19</f>
        <v/>
      </c>
      <c r="C79" s="354" t="str">
        <f>'adv shuffle'!V19</f>
        <v/>
      </c>
      <c r="D79" s="354"/>
      <c r="E79" s="354"/>
      <c r="F79" s="354"/>
      <c r="G79" s="354"/>
      <c r="H79" s="354"/>
      <c r="I79" s="354"/>
      <c r="J79" s="354"/>
      <c r="K79" s="354"/>
      <c r="L79" s="354"/>
      <c r="M79" s="354"/>
      <c r="N79" s="354"/>
      <c r="O79" s="354"/>
      <c r="P79" s="354"/>
      <c r="Q79" s="354"/>
      <c r="R79" s="354"/>
      <c r="S79" s="354"/>
      <c r="T79" s="354"/>
      <c r="U79" s="354"/>
      <c r="V79" s="354"/>
      <c r="W79" s="354"/>
      <c r="X79" s="354"/>
      <c r="Y79" s="158"/>
    </row>
    <row r="80" spans="1:25" ht="24.75" customHeight="1">
      <c r="A80" s="158"/>
      <c r="B80" s="189" t="str">
        <f>'adv shuffle'!U20</f>
        <v/>
      </c>
      <c r="C80" s="354" t="str">
        <f>'adv shuffle'!V20</f>
        <v/>
      </c>
      <c r="D80" s="354"/>
      <c r="E80" s="354"/>
      <c r="F80" s="354"/>
      <c r="G80" s="354"/>
      <c r="H80" s="354"/>
      <c r="I80" s="354"/>
      <c r="J80" s="354"/>
      <c r="K80" s="354"/>
      <c r="L80" s="354"/>
      <c r="M80" s="354"/>
      <c r="N80" s="354"/>
      <c r="O80" s="354"/>
      <c r="P80" s="354"/>
      <c r="Q80" s="354"/>
      <c r="R80" s="354"/>
      <c r="S80" s="354"/>
      <c r="T80" s="354"/>
      <c r="U80" s="354"/>
      <c r="V80" s="354"/>
      <c r="W80" s="354"/>
      <c r="X80" s="354"/>
      <c r="Y80" s="158"/>
    </row>
    <row r="81" spans="1:25" ht="24.75" customHeight="1">
      <c r="A81" s="158"/>
      <c r="B81" s="189" t="str">
        <f>'adv shuffle'!U21</f>
        <v/>
      </c>
      <c r="C81" s="354" t="str">
        <f>'adv shuffle'!V21</f>
        <v/>
      </c>
      <c r="D81" s="354"/>
      <c r="E81" s="354"/>
      <c r="F81" s="354"/>
      <c r="G81" s="354"/>
      <c r="H81" s="354"/>
      <c r="I81" s="354"/>
      <c r="J81" s="354"/>
      <c r="K81" s="354"/>
      <c r="L81" s="354"/>
      <c r="M81" s="354"/>
      <c r="N81" s="354"/>
      <c r="O81" s="354"/>
      <c r="P81" s="354"/>
      <c r="Q81" s="354"/>
      <c r="R81" s="354"/>
      <c r="S81" s="354"/>
      <c r="T81" s="354"/>
      <c r="U81" s="354"/>
      <c r="V81" s="354"/>
      <c r="W81" s="354"/>
      <c r="X81" s="354"/>
      <c r="Y81" s="158"/>
    </row>
    <row r="82" spans="1:25" ht="24.75" customHeight="1">
      <c r="A82" s="158"/>
      <c r="B82" s="189" t="str">
        <f>'adv shuffle'!U22</f>
        <v/>
      </c>
      <c r="C82" s="354" t="str">
        <f>'adv shuffle'!V22</f>
        <v/>
      </c>
      <c r="D82" s="354"/>
      <c r="E82" s="354"/>
      <c r="F82" s="354"/>
      <c r="G82" s="354"/>
      <c r="H82" s="354"/>
      <c r="I82" s="354"/>
      <c r="J82" s="354"/>
      <c r="K82" s="354"/>
      <c r="L82" s="354"/>
      <c r="M82" s="354"/>
      <c r="N82" s="354"/>
      <c r="O82" s="354"/>
      <c r="P82" s="354"/>
      <c r="Q82" s="354"/>
      <c r="R82" s="354"/>
      <c r="S82" s="354"/>
      <c r="T82" s="354"/>
      <c r="U82" s="354"/>
      <c r="V82" s="354"/>
      <c r="W82" s="354"/>
      <c r="X82" s="354"/>
      <c r="Y82" s="158"/>
    </row>
    <row r="83" spans="1:25" ht="24.75" customHeight="1">
      <c r="A83" s="158"/>
      <c r="B83" s="189" t="str">
        <f>'adv shuffle'!U23</f>
        <v/>
      </c>
      <c r="C83" s="354" t="str">
        <f>'adv shuffle'!V23</f>
        <v/>
      </c>
      <c r="D83" s="354"/>
      <c r="E83" s="354"/>
      <c r="F83" s="354"/>
      <c r="G83" s="354"/>
      <c r="H83" s="354"/>
      <c r="I83" s="354"/>
      <c r="J83" s="354"/>
      <c r="K83" s="354"/>
      <c r="L83" s="354"/>
      <c r="M83" s="354"/>
      <c r="N83" s="354"/>
      <c r="O83" s="354"/>
      <c r="P83" s="354"/>
      <c r="Q83" s="354"/>
      <c r="R83" s="354"/>
      <c r="S83" s="354"/>
      <c r="T83" s="354"/>
      <c r="U83" s="354"/>
      <c r="V83" s="354"/>
      <c r="W83" s="354"/>
      <c r="X83" s="354"/>
      <c r="Y83" s="158"/>
    </row>
    <row r="84" spans="1:25" ht="24.75" customHeight="1">
      <c r="A84" s="158"/>
      <c r="B84" s="189" t="str">
        <f>'adv shuffle'!U24</f>
        <v/>
      </c>
      <c r="C84" s="354" t="str">
        <f>'adv shuffle'!V24</f>
        <v/>
      </c>
      <c r="D84" s="354"/>
      <c r="E84" s="354"/>
      <c r="F84" s="354"/>
      <c r="G84" s="354"/>
      <c r="H84" s="354"/>
      <c r="I84" s="354"/>
      <c r="J84" s="354"/>
      <c r="K84" s="354"/>
      <c r="L84" s="354"/>
      <c r="M84" s="354"/>
      <c r="N84" s="354"/>
      <c r="O84" s="354"/>
      <c r="P84" s="354"/>
      <c r="Q84" s="354"/>
      <c r="R84" s="354"/>
      <c r="S84" s="354"/>
      <c r="T84" s="354"/>
      <c r="U84" s="354"/>
      <c r="V84" s="354"/>
      <c r="W84" s="354"/>
      <c r="X84" s="354"/>
      <c r="Y84" s="158"/>
    </row>
    <row r="85" spans="1:25" ht="24.75" customHeight="1">
      <c r="A85" s="158"/>
      <c r="B85" s="189" t="str">
        <f>'adv shuffle'!U25</f>
        <v/>
      </c>
      <c r="C85" s="354" t="str">
        <f>'adv shuffle'!V25</f>
        <v/>
      </c>
      <c r="D85" s="354"/>
      <c r="E85" s="354"/>
      <c r="F85" s="354"/>
      <c r="G85" s="354"/>
      <c r="H85" s="354"/>
      <c r="I85" s="354"/>
      <c r="J85" s="354"/>
      <c r="K85" s="354"/>
      <c r="L85" s="354"/>
      <c r="M85" s="354"/>
      <c r="N85" s="354"/>
      <c r="O85" s="354"/>
      <c r="P85" s="354"/>
      <c r="Q85" s="354"/>
      <c r="R85" s="354"/>
      <c r="S85" s="354"/>
      <c r="T85" s="354"/>
      <c r="U85" s="354"/>
      <c r="V85" s="354"/>
      <c r="W85" s="354"/>
      <c r="X85" s="354"/>
      <c r="Y85" s="158"/>
    </row>
    <row r="86" spans="1:25" ht="24.75" customHeight="1">
      <c r="A86" s="158"/>
      <c r="B86" s="189" t="str">
        <f>'adv shuffle'!U26</f>
        <v/>
      </c>
      <c r="C86" s="354" t="str">
        <f>'adv shuffle'!V26</f>
        <v/>
      </c>
      <c r="D86" s="354"/>
      <c r="E86" s="354"/>
      <c r="F86" s="354"/>
      <c r="G86" s="354"/>
      <c r="H86" s="354"/>
      <c r="I86" s="354"/>
      <c r="J86" s="354"/>
      <c r="K86" s="354"/>
      <c r="L86" s="354"/>
      <c r="M86" s="354"/>
      <c r="N86" s="354"/>
      <c r="O86" s="354"/>
      <c r="P86" s="354"/>
      <c r="Q86" s="354"/>
      <c r="R86" s="354"/>
      <c r="S86" s="354"/>
      <c r="T86" s="354"/>
      <c r="U86" s="354"/>
      <c r="V86" s="354"/>
      <c r="W86" s="354"/>
      <c r="X86" s="354"/>
      <c r="Y86" s="158"/>
    </row>
    <row r="87" spans="1:25" ht="24.75" customHeight="1">
      <c r="A87" s="158"/>
      <c r="B87" s="189" t="str">
        <f>'adv shuffle'!U27</f>
        <v/>
      </c>
      <c r="C87" s="354" t="str">
        <f>'adv shuffle'!V27</f>
        <v/>
      </c>
      <c r="D87" s="354"/>
      <c r="E87" s="354"/>
      <c r="F87" s="354"/>
      <c r="G87" s="354"/>
      <c r="H87" s="354"/>
      <c r="I87" s="354"/>
      <c r="J87" s="354"/>
      <c r="K87" s="354"/>
      <c r="L87" s="354"/>
      <c r="M87" s="354"/>
      <c r="N87" s="354"/>
      <c r="O87" s="354"/>
      <c r="P87" s="354"/>
      <c r="Q87" s="354"/>
      <c r="R87" s="354"/>
      <c r="S87" s="354"/>
      <c r="T87" s="354"/>
      <c r="U87" s="354"/>
      <c r="V87" s="354"/>
      <c r="W87" s="354"/>
      <c r="X87" s="354"/>
      <c r="Y87" s="158"/>
    </row>
    <row r="88" spans="1:25" s="173" customFormat="1" ht="24.75" customHeight="1">
      <c r="A88" s="158"/>
      <c r="B88" s="189" t="str">
        <f>'adv shuffle'!U28</f>
        <v/>
      </c>
      <c r="C88" s="354" t="str">
        <f>'adv shuffle'!V28</f>
        <v/>
      </c>
      <c r="D88" s="354"/>
      <c r="E88" s="354"/>
      <c r="F88" s="354"/>
      <c r="G88" s="354"/>
      <c r="H88" s="354"/>
      <c r="I88" s="354"/>
      <c r="J88" s="354"/>
      <c r="K88" s="354"/>
      <c r="L88" s="354"/>
      <c r="M88" s="354"/>
      <c r="N88" s="354"/>
      <c r="O88" s="354"/>
      <c r="P88" s="354"/>
      <c r="Q88" s="354"/>
      <c r="R88" s="354"/>
      <c r="S88" s="354"/>
      <c r="T88" s="354"/>
      <c r="U88" s="354"/>
      <c r="V88" s="354"/>
      <c r="W88" s="354"/>
      <c r="X88" s="354"/>
      <c r="Y88" s="158"/>
    </row>
    <row r="89" spans="1:25" ht="24.75" customHeight="1">
      <c r="A89" s="158"/>
      <c r="B89" s="189" t="str">
        <f>'adv shuffle'!U29</f>
        <v/>
      </c>
      <c r="C89" s="354" t="str">
        <f>'adv shuffle'!V29</f>
        <v/>
      </c>
      <c r="D89" s="354"/>
      <c r="E89" s="354"/>
      <c r="F89" s="354"/>
      <c r="G89" s="354"/>
      <c r="H89" s="354"/>
      <c r="I89" s="354"/>
      <c r="J89" s="354"/>
      <c r="K89" s="354"/>
      <c r="L89" s="354"/>
      <c r="M89" s="354"/>
      <c r="N89" s="354"/>
      <c r="O89" s="354"/>
      <c r="P89" s="354"/>
      <c r="Q89" s="354"/>
      <c r="R89" s="354"/>
      <c r="S89" s="354"/>
      <c r="T89" s="354"/>
      <c r="U89" s="354"/>
      <c r="V89" s="354"/>
      <c r="W89" s="354"/>
      <c r="X89" s="354"/>
      <c r="Y89" s="158"/>
    </row>
    <row r="90" spans="1:25" s="173" customFormat="1" ht="24.75" customHeight="1">
      <c r="A90" s="158"/>
      <c r="B90" s="189" t="str">
        <f>'adv shuffle'!U30</f>
        <v/>
      </c>
      <c r="C90" s="354" t="str">
        <f>'adv shuffle'!V30</f>
        <v/>
      </c>
      <c r="D90" s="354"/>
      <c r="E90" s="354"/>
      <c r="F90" s="354"/>
      <c r="G90" s="354"/>
      <c r="H90" s="354"/>
      <c r="I90" s="354"/>
      <c r="J90" s="354"/>
      <c r="K90" s="354"/>
      <c r="L90" s="354"/>
      <c r="M90" s="354"/>
      <c r="N90" s="354"/>
      <c r="O90" s="354"/>
      <c r="P90" s="354"/>
      <c r="Q90" s="354"/>
      <c r="R90" s="354"/>
      <c r="S90" s="354"/>
      <c r="T90" s="354"/>
      <c r="U90" s="354"/>
      <c r="V90" s="354"/>
      <c r="W90" s="354"/>
      <c r="X90" s="354"/>
      <c r="Y90" s="158"/>
    </row>
    <row r="91" spans="1:25" ht="24.75" customHeight="1">
      <c r="A91" s="158"/>
      <c r="B91" s="189" t="str">
        <f>'adv shuffle'!U31</f>
        <v/>
      </c>
      <c r="C91" s="354" t="str">
        <f>'adv shuffle'!V31</f>
        <v/>
      </c>
      <c r="D91" s="354"/>
      <c r="E91" s="354"/>
      <c r="F91" s="354"/>
      <c r="G91" s="354"/>
      <c r="H91" s="354"/>
      <c r="I91" s="354"/>
      <c r="J91" s="354"/>
      <c r="K91" s="354"/>
      <c r="L91" s="354"/>
      <c r="M91" s="354"/>
      <c r="N91" s="354"/>
      <c r="O91" s="354"/>
      <c r="P91" s="354"/>
      <c r="Q91" s="354"/>
      <c r="R91" s="354"/>
      <c r="S91" s="354"/>
      <c r="T91" s="354"/>
      <c r="U91" s="354"/>
      <c r="V91" s="354"/>
      <c r="W91" s="354"/>
      <c r="X91" s="354"/>
      <c r="Y91" s="158"/>
    </row>
    <row r="92" spans="1:25" ht="24.75" customHeight="1">
      <c r="A92" s="158"/>
      <c r="B92" s="189" t="str">
        <f>'adv shuffle'!U32</f>
        <v/>
      </c>
      <c r="C92" s="354" t="str">
        <f>'adv shuffle'!V32</f>
        <v/>
      </c>
      <c r="D92" s="354"/>
      <c r="E92" s="354"/>
      <c r="F92" s="354"/>
      <c r="G92" s="354"/>
      <c r="H92" s="354"/>
      <c r="I92" s="354"/>
      <c r="J92" s="354"/>
      <c r="K92" s="354"/>
      <c r="L92" s="354"/>
      <c r="M92" s="354"/>
      <c r="N92" s="354"/>
      <c r="O92" s="354"/>
      <c r="P92" s="354"/>
      <c r="Q92" s="354"/>
      <c r="R92" s="354"/>
      <c r="S92" s="354"/>
      <c r="T92" s="354"/>
      <c r="U92" s="354"/>
      <c r="V92" s="354"/>
      <c r="W92" s="354"/>
      <c r="X92" s="354"/>
      <c r="Y92" s="158"/>
    </row>
    <row r="93" spans="1:25" ht="24.75" customHeight="1">
      <c r="A93" s="158"/>
      <c r="B93" s="189" t="str">
        <f>'adv shuffle'!U33</f>
        <v/>
      </c>
      <c r="C93" s="354" t="str">
        <f>'adv shuffle'!V33</f>
        <v/>
      </c>
      <c r="D93" s="354"/>
      <c r="E93" s="354"/>
      <c r="F93" s="354"/>
      <c r="G93" s="354"/>
      <c r="H93" s="354"/>
      <c r="I93" s="354"/>
      <c r="J93" s="354"/>
      <c r="K93" s="354"/>
      <c r="L93" s="354"/>
      <c r="M93" s="354"/>
      <c r="N93" s="354"/>
      <c r="O93" s="354"/>
      <c r="P93" s="354"/>
      <c r="Q93" s="354"/>
      <c r="R93" s="354"/>
      <c r="S93" s="354"/>
      <c r="T93" s="354"/>
      <c r="U93" s="354"/>
      <c r="V93" s="354"/>
      <c r="W93" s="354"/>
      <c r="X93" s="354"/>
      <c r="Y93" s="158"/>
    </row>
    <row r="94" spans="1:25" ht="24.75" customHeight="1">
      <c r="A94" s="158"/>
      <c r="B94" s="189" t="str">
        <f>'adv shuffle'!U34</f>
        <v/>
      </c>
      <c r="C94" s="354" t="str">
        <f>'adv shuffle'!V34</f>
        <v/>
      </c>
      <c r="D94" s="354"/>
      <c r="E94" s="354"/>
      <c r="F94" s="354"/>
      <c r="G94" s="354"/>
      <c r="H94" s="354"/>
      <c r="I94" s="354"/>
      <c r="J94" s="354"/>
      <c r="K94" s="354"/>
      <c r="L94" s="354"/>
      <c r="M94" s="354"/>
      <c r="N94" s="354"/>
      <c r="O94" s="354"/>
      <c r="P94" s="354"/>
      <c r="Q94" s="354"/>
      <c r="R94" s="354"/>
      <c r="S94" s="354"/>
      <c r="T94" s="354"/>
      <c r="U94" s="354"/>
      <c r="V94" s="354"/>
      <c r="W94" s="354"/>
      <c r="X94" s="354"/>
      <c r="Y94" s="158"/>
    </row>
    <row r="95" spans="1:25" ht="24.75" customHeight="1">
      <c r="A95" s="158"/>
      <c r="B95" s="189" t="str">
        <f>'adv shuffle'!U35</f>
        <v/>
      </c>
      <c r="C95" s="354" t="str">
        <f>'adv shuffle'!V35</f>
        <v/>
      </c>
      <c r="D95" s="354"/>
      <c r="E95" s="354"/>
      <c r="F95" s="354"/>
      <c r="G95" s="354"/>
      <c r="H95" s="354"/>
      <c r="I95" s="354"/>
      <c r="J95" s="354"/>
      <c r="K95" s="354"/>
      <c r="L95" s="354"/>
      <c r="M95" s="354"/>
      <c r="N95" s="354"/>
      <c r="O95" s="354"/>
      <c r="P95" s="354"/>
      <c r="Q95" s="354"/>
      <c r="R95" s="354"/>
      <c r="S95" s="354"/>
      <c r="T95" s="354"/>
      <c r="U95" s="354"/>
      <c r="V95" s="354"/>
      <c r="W95" s="354"/>
      <c r="X95" s="354"/>
      <c r="Y95" s="158"/>
    </row>
    <row r="96" spans="1:25" ht="24.75" customHeight="1">
      <c r="A96" s="158"/>
      <c r="B96" s="189" t="str">
        <f>'adv shuffle'!U36</f>
        <v/>
      </c>
      <c r="C96" s="354" t="str">
        <f>'adv shuffle'!V36</f>
        <v/>
      </c>
      <c r="D96" s="354"/>
      <c r="E96" s="354"/>
      <c r="F96" s="354"/>
      <c r="G96" s="354"/>
      <c r="H96" s="354"/>
      <c r="I96" s="354"/>
      <c r="J96" s="354"/>
      <c r="K96" s="354"/>
      <c r="L96" s="354"/>
      <c r="M96" s="354"/>
      <c r="N96" s="354"/>
      <c r="O96" s="354"/>
      <c r="P96" s="354"/>
      <c r="Q96" s="354"/>
      <c r="R96" s="354"/>
      <c r="S96" s="354"/>
      <c r="T96" s="354"/>
      <c r="U96" s="354"/>
      <c r="V96" s="354"/>
      <c r="W96" s="354"/>
      <c r="X96" s="354"/>
      <c r="Y96" s="158"/>
    </row>
    <row r="97" spans="1:25" ht="24.75" customHeight="1">
      <c r="A97" s="158"/>
      <c r="B97" s="189" t="str">
        <f>'adv shuffle'!U37</f>
        <v/>
      </c>
      <c r="C97" s="354" t="str">
        <f>'adv shuffle'!V37</f>
        <v/>
      </c>
      <c r="D97" s="354"/>
      <c r="E97" s="354"/>
      <c r="F97" s="354"/>
      <c r="G97" s="354"/>
      <c r="H97" s="354"/>
      <c r="I97" s="354"/>
      <c r="J97" s="354"/>
      <c r="K97" s="354"/>
      <c r="L97" s="354"/>
      <c r="M97" s="354"/>
      <c r="N97" s="354"/>
      <c r="O97" s="354"/>
      <c r="P97" s="354"/>
      <c r="Q97" s="354"/>
      <c r="R97" s="354"/>
      <c r="S97" s="354"/>
      <c r="T97" s="354"/>
      <c r="U97" s="354"/>
      <c r="V97" s="354"/>
      <c r="W97" s="354"/>
      <c r="X97" s="354"/>
      <c r="Y97" s="158"/>
    </row>
    <row r="98" spans="1:25" ht="24.75" customHeight="1">
      <c r="A98" s="158"/>
      <c r="B98" s="189" t="str">
        <f>'adv shuffle'!U38</f>
        <v/>
      </c>
      <c r="C98" s="354" t="str">
        <f>'adv shuffle'!V38</f>
        <v/>
      </c>
      <c r="D98" s="354"/>
      <c r="E98" s="354"/>
      <c r="F98" s="354"/>
      <c r="G98" s="354"/>
      <c r="H98" s="354"/>
      <c r="I98" s="354"/>
      <c r="J98" s="354"/>
      <c r="K98" s="354"/>
      <c r="L98" s="354"/>
      <c r="M98" s="354"/>
      <c r="N98" s="354"/>
      <c r="O98" s="354"/>
      <c r="P98" s="354"/>
      <c r="Q98" s="354"/>
      <c r="R98" s="354"/>
      <c r="S98" s="354"/>
      <c r="T98" s="354"/>
      <c r="U98" s="354"/>
      <c r="V98" s="354"/>
      <c r="W98" s="354"/>
      <c r="X98" s="354"/>
      <c r="Y98" s="158"/>
    </row>
    <row r="99" spans="1:25">
      <c r="A99" s="158"/>
      <c r="B99" s="158"/>
      <c r="C99" s="158"/>
      <c r="D99" s="158"/>
      <c r="E99" s="158"/>
      <c r="F99" s="158"/>
      <c r="G99" s="158"/>
      <c r="H99" s="158"/>
      <c r="I99" s="158"/>
      <c r="J99" s="158"/>
      <c r="K99" s="158"/>
      <c r="L99" s="158"/>
      <c r="M99" s="158"/>
      <c r="N99" s="158"/>
      <c r="O99" s="158"/>
      <c r="P99" s="158"/>
      <c r="Q99" s="158"/>
      <c r="R99" s="158"/>
      <c r="S99" s="158"/>
      <c r="T99" s="158"/>
      <c r="U99" s="158"/>
      <c r="V99" s="158"/>
      <c r="W99" s="158"/>
      <c r="X99" s="158"/>
      <c r="Y99" s="158"/>
    </row>
  </sheetData>
  <mergeCells count="95">
    <mergeCell ref="C94:X94"/>
    <mergeCell ref="C95:X95"/>
    <mergeCell ref="C96:X96"/>
    <mergeCell ref="C97:X97"/>
    <mergeCell ref="C98:X98"/>
    <mergeCell ref="C84:X84"/>
    <mergeCell ref="C85:X85"/>
    <mergeCell ref="C70:X70"/>
    <mergeCell ref="C75:X75"/>
    <mergeCell ref="C76:X76"/>
    <mergeCell ref="C77:X77"/>
    <mergeCell ref="C78:X78"/>
    <mergeCell ref="C79:X79"/>
    <mergeCell ref="C80:X80"/>
    <mergeCell ref="C71:X71"/>
    <mergeCell ref="C72:X72"/>
    <mergeCell ref="C73:X73"/>
    <mergeCell ref="C74:X74"/>
    <mergeCell ref="C90:X90"/>
    <mergeCell ref="C91:X91"/>
    <mergeCell ref="C92:X92"/>
    <mergeCell ref="C93:X93"/>
    <mergeCell ref="C86:X86"/>
    <mergeCell ref="C87:X87"/>
    <mergeCell ref="C89:X89"/>
    <mergeCell ref="C88:X88"/>
    <mergeCell ref="E2:V2"/>
    <mergeCell ref="C81:X81"/>
    <mergeCell ref="C82:X82"/>
    <mergeCell ref="C83:X83"/>
    <mergeCell ref="B57:X57"/>
    <mergeCell ref="C59:X59"/>
    <mergeCell ref="C60:X60"/>
    <mergeCell ref="C62:X62"/>
    <mergeCell ref="C63:X63"/>
    <mergeCell ref="C64:X64"/>
    <mergeCell ref="C65:X65"/>
    <mergeCell ref="C66:X66"/>
    <mergeCell ref="C67:X67"/>
    <mergeCell ref="C68:X68"/>
    <mergeCell ref="C69:X69"/>
    <mergeCell ref="X41:X42"/>
    <mergeCell ref="X3:X5"/>
    <mergeCell ref="E13:J13"/>
    <mergeCell ref="C32:C34"/>
    <mergeCell ref="B25:B26"/>
    <mergeCell ref="C20:C21"/>
    <mergeCell ref="B32:B34"/>
    <mergeCell ref="B27:C31"/>
    <mergeCell ref="X6:X10"/>
    <mergeCell ref="E4:J4"/>
    <mergeCell ref="E7:J7"/>
    <mergeCell ref="E10:J10"/>
    <mergeCell ref="X11:X13"/>
    <mergeCell ref="B53:C53"/>
    <mergeCell ref="E19:V19"/>
    <mergeCell ref="E43:V43"/>
    <mergeCell ref="X33:X35"/>
    <mergeCell ref="X36:X38"/>
    <mergeCell ref="L33:P33"/>
    <mergeCell ref="L35:P35"/>
    <mergeCell ref="E38:V38"/>
    <mergeCell ref="X24:X26"/>
    <mergeCell ref="X27:X29"/>
    <mergeCell ref="X30:X32"/>
    <mergeCell ref="L29:P29"/>
    <mergeCell ref="L25:P25"/>
    <mergeCell ref="L31:P31"/>
    <mergeCell ref="C25:C26"/>
    <mergeCell ref="E41:V41"/>
    <mergeCell ref="B2:C2"/>
    <mergeCell ref="B23:C24"/>
    <mergeCell ref="B41:C41"/>
    <mergeCell ref="C4:C6"/>
    <mergeCell ref="C7:C9"/>
    <mergeCell ref="C10:C12"/>
    <mergeCell ref="C13:C14"/>
    <mergeCell ref="B4:B6"/>
    <mergeCell ref="B20:B21"/>
    <mergeCell ref="B13:B14"/>
    <mergeCell ref="B10:B12"/>
    <mergeCell ref="B7:B9"/>
    <mergeCell ref="B35:C39"/>
    <mergeCell ref="E39:V40"/>
    <mergeCell ref="X39:X40"/>
    <mergeCell ref="L27:P27"/>
    <mergeCell ref="B15:B16"/>
    <mergeCell ref="C15:C16"/>
    <mergeCell ref="C17:C19"/>
    <mergeCell ref="B17:B19"/>
    <mergeCell ref="X14:X17"/>
    <mergeCell ref="X21:X23"/>
    <mergeCell ref="L23:P23"/>
    <mergeCell ref="L21:P21"/>
    <mergeCell ref="E15:J15"/>
  </mergeCells>
  <conditionalFormatting sqref="M4:O4">
    <cfRule type="cellIs" dxfId="240" priority="426" operator="equal">
      <formula>1</formula>
    </cfRule>
  </conditionalFormatting>
  <conditionalFormatting sqref="I23">
    <cfRule type="cellIs" dxfId="239" priority="346" operator="equal">
      <formula>1</formula>
    </cfRule>
  </conditionalFormatting>
  <conditionalFormatting sqref="G35">
    <cfRule type="cellIs" dxfId="238" priority="356" operator="equal">
      <formula>1</formula>
    </cfRule>
  </conditionalFormatting>
  <conditionalFormatting sqref="H23">
    <cfRule type="cellIs" dxfId="237" priority="354" operator="equal">
      <formula>1</formula>
    </cfRule>
  </conditionalFormatting>
  <conditionalFormatting sqref="H27">
    <cfRule type="cellIs" dxfId="236" priority="352" operator="equal">
      <formula>1</formula>
    </cfRule>
  </conditionalFormatting>
  <conditionalFormatting sqref="H31">
    <cfRule type="cellIs" dxfId="235" priority="350" operator="equal">
      <formula>1</formula>
    </cfRule>
  </conditionalFormatting>
  <conditionalFormatting sqref="I27">
    <cfRule type="cellIs" dxfId="234" priority="344" operator="equal">
      <formula>1</formula>
    </cfRule>
  </conditionalFormatting>
  <conditionalFormatting sqref="I31">
    <cfRule type="cellIs" dxfId="233" priority="342" operator="equal">
      <formula>1</formula>
    </cfRule>
  </conditionalFormatting>
  <conditionalFormatting sqref="I35">
    <cfRule type="cellIs" dxfId="232" priority="340" operator="equal">
      <formula>1</formula>
    </cfRule>
  </conditionalFormatting>
  <conditionalFormatting sqref="N4">
    <cfRule type="cellIs" dxfId="231" priority="425" operator="equal">
      <formula>1</formula>
    </cfRule>
  </conditionalFormatting>
  <conditionalFormatting sqref="O4">
    <cfRule type="cellIs" dxfId="230" priority="424" operator="equal">
      <formula>1</formula>
    </cfRule>
  </conditionalFormatting>
  <conditionalFormatting sqref="F21">
    <cfRule type="cellIs" dxfId="229" priority="423" operator="equal">
      <formula>1</formula>
    </cfRule>
  </conditionalFormatting>
  <conditionalFormatting sqref="J29">
    <cfRule type="cellIs" dxfId="228" priority="335" operator="equal">
      <formula>1</formula>
    </cfRule>
  </conditionalFormatting>
  <conditionalFormatting sqref="J21">
    <cfRule type="cellIs" dxfId="227" priority="339" operator="equal">
      <formula>1</formula>
    </cfRule>
  </conditionalFormatting>
  <conditionalFormatting sqref="I29">
    <cfRule type="cellIs" dxfId="226" priority="343" operator="equal">
      <formula>1</formula>
    </cfRule>
  </conditionalFormatting>
  <conditionalFormatting sqref="M7">
    <cfRule type="cellIs" dxfId="225" priority="422" operator="equal">
      <formula>1</formula>
    </cfRule>
  </conditionalFormatting>
  <conditionalFormatting sqref="I33">
    <cfRule type="cellIs" dxfId="224" priority="341" operator="equal">
      <formula>1</formula>
    </cfRule>
  </conditionalFormatting>
  <conditionalFormatting sqref="M10">
    <cfRule type="cellIs" dxfId="223" priority="421" operator="equal">
      <formula>1</formula>
    </cfRule>
  </conditionalFormatting>
  <conditionalFormatting sqref="M13">
    <cfRule type="cellIs" dxfId="222" priority="420" operator="equal">
      <formula>1</formula>
    </cfRule>
  </conditionalFormatting>
  <conditionalFormatting sqref="M15">
    <cfRule type="cellIs" dxfId="221" priority="419" operator="equal">
      <formula>1</formula>
    </cfRule>
  </conditionalFormatting>
  <conditionalFormatting sqref="N7">
    <cfRule type="cellIs" dxfId="220" priority="418" operator="equal">
      <formula>1</formula>
    </cfRule>
  </conditionalFormatting>
  <conditionalFormatting sqref="O7">
    <cfRule type="cellIs" dxfId="219" priority="417" operator="equal">
      <formula>1</formula>
    </cfRule>
  </conditionalFormatting>
  <conditionalFormatting sqref="N10">
    <cfRule type="cellIs" dxfId="218" priority="416" operator="equal">
      <formula>1</formula>
    </cfRule>
  </conditionalFormatting>
  <conditionalFormatting sqref="O10">
    <cfRule type="cellIs" dxfId="217" priority="415" operator="equal">
      <formula>1</formula>
    </cfRule>
  </conditionalFormatting>
  <conditionalFormatting sqref="N13">
    <cfRule type="cellIs" dxfId="216" priority="414" operator="equal">
      <formula>1</formula>
    </cfRule>
  </conditionalFormatting>
  <conditionalFormatting sqref="O13">
    <cfRule type="cellIs" dxfId="215" priority="413" operator="equal">
      <formula>1</formula>
    </cfRule>
  </conditionalFormatting>
  <conditionalFormatting sqref="N15">
    <cfRule type="cellIs" dxfId="214" priority="412" operator="equal">
      <formula>1</formula>
    </cfRule>
  </conditionalFormatting>
  <conditionalFormatting sqref="O15">
    <cfRule type="cellIs" dxfId="213" priority="411" operator="equal">
      <formula>1</formula>
    </cfRule>
  </conditionalFormatting>
  <conditionalFormatting sqref="F23">
    <cfRule type="cellIs" dxfId="212" priority="410" operator="equal">
      <formula>1</formula>
    </cfRule>
  </conditionalFormatting>
  <conditionalFormatting sqref="F25">
    <cfRule type="cellIs" dxfId="211" priority="409" operator="equal">
      <formula>1</formula>
    </cfRule>
  </conditionalFormatting>
  <conditionalFormatting sqref="F27">
    <cfRule type="cellIs" dxfId="210" priority="408" operator="equal">
      <formula>1</formula>
    </cfRule>
  </conditionalFormatting>
  <conditionalFormatting sqref="F29">
    <cfRule type="cellIs" dxfId="209" priority="407" operator="equal">
      <formula>1</formula>
    </cfRule>
  </conditionalFormatting>
  <conditionalFormatting sqref="F31">
    <cfRule type="cellIs" dxfId="208" priority="406" operator="equal">
      <formula>1</formula>
    </cfRule>
  </conditionalFormatting>
  <conditionalFormatting sqref="F33">
    <cfRule type="cellIs" dxfId="207" priority="405" operator="equal">
      <formula>1</formula>
    </cfRule>
  </conditionalFormatting>
  <conditionalFormatting sqref="F35">
    <cfRule type="cellIs" dxfId="206" priority="404" operator="equal">
      <formula>1</formula>
    </cfRule>
  </conditionalFormatting>
  <conditionalFormatting sqref="H35">
    <cfRule type="cellIs" dxfId="205" priority="348" operator="equal">
      <formula>1</formula>
    </cfRule>
  </conditionalFormatting>
  <conditionalFormatting sqref="J23">
    <cfRule type="cellIs" dxfId="204" priority="338" operator="equal">
      <formula>1</formula>
    </cfRule>
  </conditionalFormatting>
  <conditionalFormatting sqref="J27">
    <cfRule type="cellIs" dxfId="203" priority="336" operator="equal">
      <formula>1</formula>
    </cfRule>
  </conditionalFormatting>
  <conditionalFormatting sqref="T29">
    <cfRule type="cellIs" dxfId="202" priority="375" operator="equal">
      <formula>1</formula>
    </cfRule>
  </conditionalFormatting>
  <conditionalFormatting sqref="S31">
    <cfRule type="cellIs" dxfId="201" priority="382" operator="equal">
      <formula>1</formula>
    </cfRule>
  </conditionalFormatting>
  <conditionalFormatting sqref="R33">
    <cfRule type="cellIs" dxfId="200" priority="389" operator="equal">
      <formula>1</formula>
    </cfRule>
  </conditionalFormatting>
  <conditionalFormatting sqref="Q21">
    <cfRule type="cellIs" dxfId="199" priority="403" operator="equal">
      <formula>1</formula>
    </cfRule>
  </conditionalFormatting>
  <conditionalFormatting sqref="Q23">
    <cfRule type="cellIs" dxfId="198" priority="402" operator="equal">
      <formula>1</formula>
    </cfRule>
  </conditionalFormatting>
  <conditionalFormatting sqref="Q25">
    <cfRule type="cellIs" dxfId="197" priority="401" operator="equal">
      <formula>1</formula>
    </cfRule>
  </conditionalFormatting>
  <conditionalFormatting sqref="Q27">
    <cfRule type="cellIs" dxfId="196" priority="400" operator="equal">
      <formula>1</formula>
    </cfRule>
  </conditionalFormatting>
  <conditionalFormatting sqref="Q29">
    <cfRule type="cellIs" dxfId="195" priority="399" operator="equal">
      <formula>1</formula>
    </cfRule>
  </conditionalFormatting>
  <conditionalFormatting sqref="Q31">
    <cfRule type="cellIs" dxfId="194" priority="398" operator="equal">
      <formula>1</formula>
    </cfRule>
  </conditionalFormatting>
  <conditionalFormatting sqref="Q33">
    <cfRule type="cellIs" dxfId="193" priority="397" operator="equal">
      <formula>1</formula>
    </cfRule>
  </conditionalFormatting>
  <conditionalFormatting sqref="R21">
    <cfRule type="cellIs" dxfId="192" priority="395" operator="equal">
      <formula>1</formula>
    </cfRule>
  </conditionalFormatting>
  <conditionalFormatting sqref="R23">
    <cfRule type="cellIs" dxfId="191" priority="394" operator="equal">
      <formula>1</formula>
    </cfRule>
  </conditionalFormatting>
  <conditionalFormatting sqref="R25">
    <cfRule type="cellIs" dxfId="190" priority="393" operator="equal">
      <formula>1</formula>
    </cfRule>
  </conditionalFormatting>
  <conditionalFormatting sqref="R27">
    <cfRule type="cellIs" dxfId="189" priority="392" operator="equal">
      <formula>1</formula>
    </cfRule>
  </conditionalFormatting>
  <conditionalFormatting sqref="R29">
    <cfRule type="cellIs" dxfId="188" priority="391" operator="equal">
      <formula>1</formula>
    </cfRule>
  </conditionalFormatting>
  <conditionalFormatting sqref="R31">
    <cfRule type="cellIs" dxfId="187" priority="390" operator="equal">
      <formula>1</formula>
    </cfRule>
  </conditionalFormatting>
  <conditionalFormatting sqref="R35">
    <cfRule type="cellIs" dxfId="186" priority="388" operator="equal">
      <formula>1</formula>
    </cfRule>
  </conditionalFormatting>
  <conditionalFormatting sqref="S21">
    <cfRule type="cellIs" dxfId="185" priority="387" operator="equal">
      <formula>1</formula>
    </cfRule>
  </conditionalFormatting>
  <conditionalFormatting sqref="S23">
    <cfRule type="cellIs" dxfId="184" priority="386" operator="equal">
      <formula>1</formula>
    </cfRule>
  </conditionalFormatting>
  <conditionalFormatting sqref="S25">
    <cfRule type="cellIs" dxfId="183" priority="385" operator="equal">
      <formula>1</formula>
    </cfRule>
  </conditionalFormatting>
  <conditionalFormatting sqref="S27">
    <cfRule type="cellIs" dxfId="182" priority="384" operator="equal">
      <formula>1</formula>
    </cfRule>
  </conditionalFormatting>
  <conditionalFormatting sqref="S29">
    <cfRule type="cellIs" dxfId="181" priority="383" operator="equal">
      <formula>1</formula>
    </cfRule>
  </conditionalFormatting>
  <conditionalFormatting sqref="S33">
    <cfRule type="cellIs" dxfId="180" priority="381" operator="equal">
      <formula>1</formula>
    </cfRule>
  </conditionalFormatting>
  <conditionalFormatting sqref="S35">
    <cfRule type="cellIs" dxfId="179" priority="380" operator="equal">
      <formula>1</formula>
    </cfRule>
  </conditionalFormatting>
  <conditionalFormatting sqref="T21">
    <cfRule type="cellIs" dxfId="178" priority="379" operator="equal">
      <formula>1</formula>
    </cfRule>
  </conditionalFormatting>
  <conditionalFormatting sqref="T23">
    <cfRule type="cellIs" dxfId="177" priority="378" operator="equal">
      <formula>1</formula>
    </cfRule>
  </conditionalFormatting>
  <conditionalFormatting sqref="T25">
    <cfRule type="cellIs" dxfId="176" priority="377" operator="equal">
      <formula>1</formula>
    </cfRule>
  </conditionalFormatting>
  <conditionalFormatting sqref="T27">
    <cfRule type="cellIs" dxfId="175" priority="376" operator="equal">
      <formula>1</formula>
    </cfRule>
  </conditionalFormatting>
  <conditionalFormatting sqref="T31">
    <cfRule type="cellIs" dxfId="174" priority="374" operator="equal">
      <formula>1</formula>
    </cfRule>
  </conditionalFormatting>
  <conditionalFormatting sqref="T33">
    <cfRule type="cellIs" dxfId="173" priority="373" operator="equal">
      <formula>1</formula>
    </cfRule>
  </conditionalFormatting>
  <conditionalFormatting sqref="T35">
    <cfRule type="cellIs" dxfId="172" priority="372" operator="equal">
      <formula>1</formula>
    </cfRule>
  </conditionalFormatting>
  <conditionalFormatting sqref="U21">
    <cfRule type="cellIs" dxfId="171" priority="371" operator="equal">
      <formula>1</formula>
    </cfRule>
  </conditionalFormatting>
  <conditionalFormatting sqref="U23">
    <cfRule type="cellIs" dxfId="170" priority="370" operator="equal">
      <formula>1</formula>
    </cfRule>
  </conditionalFormatting>
  <conditionalFormatting sqref="U25">
    <cfRule type="cellIs" dxfId="169" priority="369" operator="equal">
      <formula>1</formula>
    </cfRule>
  </conditionalFormatting>
  <conditionalFormatting sqref="U27">
    <cfRule type="cellIs" dxfId="168" priority="368" operator="equal">
      <formula>1</formula>
    </cfRule>
  </conditionalFormatting>
  <conditionalFormatting sqref="U29">
    <cfRule type="cellIs" dxfId="167" priority="367" operator="equal">
      <formula>1</formula>
    </cfRule>
  </conditionalFormatting>
  <conditionalFormatting sqref="U31">
    <cfRule type="cellIs" dxfId="166" priority="366" operator="equal">
      <formula>1</formula>
    </cfRule>
  </conditionalFormatting>
  <conditionalFormatting sqref="U33">
    <cfRule type="cellIs" dxfId="165" priority="365" operator="equal">
      <formula>1</formula>
    </cfRule>
  </conditionalFormatting>
  <conditionalFormatting sqref="U35">
    <cfRule type="cellIs" dxfId="164" priority="364" operator="equal">
      <formula>1</formula>
    </cfRule>
  </conditionalFormatting>
  <conditionalFormatting sqref="G21">
    <cfRule type="cellIs" dxfId="163" priority="363" operator="equal">
      <formula>1</formula>
    </cfRule>
  </conditionalFormatting>
  <conditionalFormatting sqref="G23">
    <cfRule type="cellIs" dxfId="162" priority="362" operator="equal">
      <formula>1</formula>
    </cfRule>
  </conditionalFormatting>
  <conditionalFormatting sqref="G25">
    <cfRule type="cellIs" dxfId="161" priority="361" operator="equal">
      <formula>1</formula>
    </cfRule>
  </conditionalFormatting>
  <conditionalFormatting sqref="G27">
    <cfRule type="cellIs" dxfId="160" priority="360" operator="equal">
      <formula>1</formula>
    </cfRule>
  </conditionalFormatting>
  <conditionalFormatting sqref="G29">
    <cfRule type="cellIs" dxfId="159" priority="359" operator="equal">
      <formula>1</formula>
    </cfRule>
  </conditionalFormatting>
  <conditionalFormatting sqref="G31">
    <cfRule type="cellIs" dxfId="158" priority="358" operator="equal">
      <formula>1</formula>
    </cfRule>
  </conditionalFormatting>
  <conditionalFormatting sqref="G33">
    <cfRule type="cellIs" dxfId="157" priority="357" operator="equal">
      <formula>1</formula>
    </cfRule>
  </conditionalFormatting>
  <conditionalFormatting sqref="H21">
    <cfRule type="cellIs" dxfId="156" priority="355" operator="equal">
      <formula>1</formula>
    </cfRule>
  </conditionalFormatting>
  <conditionalFormatting sqref="H25">
    <cfRule type="cellIs" dxfId="155" priority="353" operator="equal">
      <formula>1</formula>
    </cfRule>
  </conditionalFormatting>
  <conditionalFormatting sqref="H29">
    <cfRule type="cellIs" dxfId="154" priority="351" operator="equal">
      <formula>1</formula>
    </cfRule>
  </conditionalFormatting>
  <conditionalFormatting sqref="H33">
    <cfRule type="cellIs" dxfId="153" priority="349" operator="equal">
      <formula>1</formula>
    </cfRule>
  </conditionalFormatting>
  <conditionalFormatting sqref="I21">
    <cfRule type="cellIs" dxfId="152" priority="347" operator="equal">
      <formula>1</formula>
    </cfRule>
  </conditionalFormatting>
  <conditionalFormatting sqref="I25">
    <cfRule type="cellIs" dxfId="151" priority="345" operator="equal">
      <formula>1</formula>
    </cfRule>
  </conditionalFormatting>
  <conditionalFormatting sqref="J25">
    <cfRule type="cellIs" dxfId="150" priority="337" operator="equal">
      <formula>1</formula>
    </cfRule>
  </conditionalFormatting>
  <conditionalFormatting sqref="J31">
    <cfRule type="cellIs" dxfId="149" priority="334" operator="equal">
      <formula>1</formula>
    </cfRule>
  </conditionalFormatting>
  <conditionalFormatting sqref="J33">
    <cfRule type="cellIs" dxfId="148" priority="333" operator="equal">
      <formula>1</formula>
    </cfRule>
  </conditionalFormatting>
  <conditionalFormatting sqref="J35">
    <cfRule type="cellIs" dxfId="147" priority="332" operator="equal">
      <formula>1</formula>
    </cfRule>
  </conditionalFormatting>
  <conditionalFormatting sqref="E2 X2:Y2 D53:W53 Y53 C7 C10 K4:V4 K7:V7 K10:V10 E26:V26 E25:K25 Y16:Y17 Y3:Y12 Y21:Y36 B23 W2:W41 E28:V28 E32:V32 E36:V36 E34:V34 E30:V30 E22:V22 E5:V6 E8:V9 E11:V12 E3:V3 E24:V24 D2:D43 A35:A42 B22:C22 E16:V18 E27:J27 E29:K29 E31:K31 E33:K33 E35:K35 E23:K23 E21:K21 Q21:V21 Q23:V23 Q25:V25 Q27:V27 Q29:V29 Q31:V31 Q33:V33 Q35:V35 X18:Y19 B40:C40 W43:W44 E42:W42">
    <cfRule type="cellIs" dxfId="146" priority="331" operator="equal">
      <formula>0</formula>
    </cfRule>
  </conditionalFormatting>
  <conditionalFormatting sqref="B41:B42">
    <cfRule type="cellIs" dxfId="145" priority="327" operator="equal">
      <formula>0</formula>
    </cfRule>
  </conditionalFormatting>
  <conditionalFormatting sqref="E43">
    <cfRule type="cellIs" dxfId="144" priority="326" operator="equal">
      <formula>0</formula>
    </cfRule>
  </conditionalFormatting>
  <conditionalFormatting sqref="L23">
    <cfRule type="cellIs" dxfId="143" priority="313" operator="equal">
      <formula>0</formula>
    </cfRule>
  </conditionalFormatting>
  <conditionalFormatting sqref="E4">
    <cfRule type="cellIs" dxfId="142" priority="321" operator="equal">
      <formula>0</formula>
    </cfRule>
  </conditionalFormatting>
  <conditionalFormatting sqref="E7">
    <cfRule type="cellIs" dxfId="141" priority="320" operator="equal">
      <formula>0</formula>
    </cfRule>
  </conditionalFormatting>
  <conditionalFormatting sqref="E10">
    <cfRule type="cellIs" dxfId="140" priority="319" operator="equal">
      <formula>0</formula>
    </cfRule>
  </conditionalFormatting>
  <conditionalFormatting sqref="E13">
    <cfRule type="cellIs" dxfId="139" priority="318" operator="equal">
      <formula>0</formula>
    </cfRule>
  </conditionalFormatting>
  <conditionalFormatting sqref="E15">
    <cfRule type="cellIs" dxfId="138" priority="317" operator="equal">
      <formula>0</formula>
    </cfRule>
  </conditionalFormatting>
  <conditionalFormatting sqref="L29">
    <cfRule type="cellIs" dxfId="137" priority="316" operator="equal">
      <formula>0</formula>
    </cfRule>
  </conditionalFormatting>
  <conditionalFormatting sqref="L27">
    <cfRule type="cellIs" dxfId="136" priority="315" operator="equal">
      <formula>0</formula>
    </cfRule>
  </conditionalFormatting>
  <conditionalFormatting sqref="L25">
    <cfRule type="cellIs" dxfId="135" priority="314" operator="equal">
      <formula>0</formula>
    </cfRule>
  </conditionalFormatting>
  <conditionalFormatting sqref="L21">
    <cfRule type="cellIs" dxfId="134" priority="312" operator="equal">
      <formula>0</formula>
    </cfRule>
  </conditionalFormatting>
  <conditionalFormatting sqref="L31">
    <cfRule type="cellIs" dxfId="133" priority="311" operator="equal">
      <formula>0</formula>
    </cfRule>
  </conditionalFormatting>
  <conditionalFormatting sqref="L33">
    <cfRule type="cellIs" dxfId="132" priority="310" operator="equal">
      <formula>0</formula>
    </cfRule>
  </conditionalFormatting>
  <conditionalFormatting sqref="L35">
    <cfRule type="cellIs" dxfId="131" priority="309" operator="equal">
      <formula>0</formula>
    </cfRule>
  </conditionalFormatting>
  <conditionalFormatting sqref="X14:X17">
    <cfRule type="cellIs" dxfId="130" priority="302" operator="equal">
      <formula>0</formula>
    </cfRule>
  </conditionalFormatting>
  <conditionalFormatting sqref="X21:X36 X41 X43:X49">
    <cfRule type="cellIs" dxfId="129" priority="301" operator="equal">
      <formula>0</formula>
    </cfRule>
  </conditionalFormatting>
  <conditionalFormatting sqref="C32">
    <cfRule type="cellIs" dxfId="128" priority="306" operator="equal">
      <formula>0</formula>
    </cfRule>
  </conditionalFormatting>
  <conditionalFormatting sqref="B53">
    <cfRule type="cellIs" dxfId="127" priority="303" operator="equal">
      <formula>0</formula>
    </cfRule>
  </conditionalFormatting>
  <conditionalFormatting sqref="F27">
    <cfRule type="cellIs" dxfId="126" priority="300" operator="equal">
      <formula>1</formula>
    </cfRule>
  </conditionalFormatting>
  <conditionalFormatting sqref="G27">
    <cfRule type="cellIs" dxfId="125" priority="299" operator="equal">
      <formula>1</formula>
    </cfRule>
  </conditionalFormatting>
  <conditionalFormatting sqref="H27">
    <cfRule type="cellIs" dxfId="124" priority="298" operator="equal">
      <formula>1</formula>
    </cfRule>
  </conditionalFormatting>
  <conditionalFormatting sqref="I27">
    <cfRule type="cellIs" dxfId="123" priority="297" operator="equal">
      <formula>1</formula>
    </cfRule>
  </conditionalFormatting>
  <conditionalFormatting sqref="J27">
    <cfRule type="cellIs" dxfId="122" priority="296" operator="equal">
      <formula>1</formula>
    </cfRule>
  </conditionalFormatting>
  <conditionalFormatting sqref="F29">
    <cfRule type="cellIs" dxfId="121" priority="295" operator="equal">
      <formula>1</formula>
    </cfRule>
  </conditionalFormatting>
  <conditionalFormatting sqref="G29">
    <cfRule type="cellIs" dxfId="120" priority="294" operator="equal">
      <formula>1</formula>
    </cfRule>
  </conditionalFormatting>
  <conditionalFormatting sqref="H29">
    <cfRule type="cellIs" dxfId="119" priority="293" operator="equal">
      <formula>1</formula>
    </cfRule>
  </conditionalFormatting>
  <conditionalFormatting sqref="I29">
    <cfRule type="cellIs" dxfId="118" priority="292" operator="equal">
      <formula>1</formula>
    </cfRule>
  </conditionalFormatting>
  <conditionalFormatting sqref="J29">
    <cfRule type="cellIs" dxfId="117" priority="291" operator="equal">
      <formula>1</formula>
    </cfRule>
  </conditionalFormatting>
  <conditionalFormatting sqref="F31">
    <cfRule type="cellIs" dxfId="116" priority="290" operator="equal">
      <formula>1</formula>
    </cfRule>
  </conditionalFormatting>
  <conditionalFormatting sqref="G31">
    <cfRule type="cellIs" dxfId="115" priority="289" operator="equal">
      <formula>1</formula>
    </cfRule>
  </conditionalFormatting>
  <conditionalFormatting sqref="H31">
    <cfRule type="cellIs" dxfId="114" priority="288" operator="equal">
      <formula>1</formula>
    </cfRule>
  </conditionalFormatting>
  <conditionalFormatting sqref="I31">
    <cfRule type="cellIs" dxfId="113" priority="287" operator="equal">
      <formula>1</formula>
    </cfRule>
  </conditionalFormatting>
  <conditionalFormatting sqref="J31">
    <cfRule type="cellIs" dxfId="112" priority="286" operator="equal">
      <formula>1</formula>
    </cfRule>
  </conditionalFormatting>
  <conditionalFormatting sqref="F27">
    <cfRule type="cellIs" dxfId="111" priority="285" operator="equal">
      <formula>1</formula>
    </cfRule>
  </conditionalFormatting>
  <conditionalFormatting sqref="G27">
    <cfRule type="cellIs" dxfId="110" priority="284" operator="equal">
      <formula>1</formula>
    </cfRule>
  </conditionalFormatting>
  <conditionalFormatting sqref="H27">
    <cfRule type="cellIs" dxfId="109" priority="283" operator="equal">
      <formula>1</formula>
    </cfRule>
  </conditionalFormatting>
  <conditionalFormatting sqref="I27">
    <cfRule type="cellIs" dxfId="108" priority="282" operator="equal">
      <formula>1</formula>
    </cfRule>
  </conditionalFormatting>
  <conditionalFormatting sqref="J27">
    <cfRule type="cellIs" dxfId="107" priority="281" operator="equal">
      <formula>1</formula>
    </cfRule>
  </conditionalFormatting>
  <conditionalFormatting sqref="F29">
    <cfRule type="cellIs" dxfId="106" priority="280" operator="equal">
      <formula>1</formula>
    </cfRule>
  </conditionalFormatting>
  <conditionalFormatting sqref="G29">
    <cfRule type="cellIs" dxfId="105" priority="279" operator="equal">
      <formula>1</formula>
    </cfRule>
  </conditionalFormatting>
  <conditionalFormatting sqref="H29">
    <cfRule type="cellIs" dxfId="104" priority="278" operator="equal">
      <formula>1</formula>
    </cfRule>
  </conditionalFormatting>
  <conditionalFormatting sqref="I29">
    <cfRule type="cellIs" dxfId="103" priority="277" operator="equal">
      <formula>1</formula>
    </cfRule>
  </conditionalFormatting>
  <conditionalFormatting sqref="J29">
    <cfRule type="cellIs" dxfId="102" priority="276" operator="equal">
      <formula>1</formula>
    </cfRule>
  </conditionalFormatting>
  <conditionalFormatting sqref="F31">
    <cfRule type="cellIs" dxfId="101" priority="275" operator="equal">
      <formula>1</formula>
    </cfRule>
  </conditionalFormatting>
  <conditionalFormatting sqref="G31">
    <cfRule type="cellIs" dxfId="100" priority="274" operator="equal">
      <formula>1</formula>
    </cfRule>
  </conditionalFormatting>
  <conditionalFormatting sqref="H31">
    <cfRule type="cellIs" dxfId="99" priority="273" operator="equal">
      <formula>1</formula>
    </cfRule>
  </conditionalFormatting>
  <conditionalFormatting sqref="I31">
    <cfRule type="cellIs" dxfId="98" priority="272" operator="equal">
      <formula>1</formula>
    </cfRule>
  </conditionalFormatting>
  <conditionalFormatting sqref="J31">
    <cfRule type="cellIs" dxfId="97" priority="271" operator="equal">
      <formula>1</formula>
    </cfRule>
  </conditionalFormatting>
  <conditionalFormatting sqref="F33">
    <cfRule type="cellIs" dxfId="96" priority="270" operator="equal">
      <formula>1</formula>
    </cfRule>
  </conditionalFormatting>
  <conditionalFormatting sqref="G33">
    <cfRule type="cellIs" dxfId="95" priority="269" operator="equal">
      <formula>1</formula>
    </cfRule>
  </conditionalFormatting>
  <conditionalFormatting sqref="H33">
    <cfRule type="cellIs" dxfId="94" priority="268" operator="equal">
      <formula>1</formula>
    </cfRule>
  </conditionalFormatting>
  <conditionalFormatting sqref="I33">
    <cfRule type="cellIs" dxfId="93" priority="267" operator="equal">
      <formula>1</formula>
    </cfRule>
  </conditionalFormatting>
  <conditionalFormatting sqref="J33">
    <cfRule type="cellIs" dxfId="92" priority="266" operator="equal">
      <formula>1</formula>
    </cfRule>
  </conditionalFormatting>
  <conditionalFormatting sqref="F35">
    <cfRule type="cellIs" dxfId="91" priority="265" operator="equal">
      <formula>1</formula>
    </cfRule>
  </conditionalFormatting>
  <conditionalFormatting sqref="G35">
    <cfRule type="cellIs" dxfId="90" priority="264" operator="equal">
      <formula>1</formula>
    </cfRule>
  </conditionalFormatting>
  <conditionalFormatting sqref="H35">
    <cfRule type="cellIs" dxfId="89" priority="263" operator="equal">
      <formula>1</formula>
    </cfRule>
  </conditionalFormatting>
  <conditionalFormatting sqref="I35">
    <cfRule type="cellIs" dxfId="88" priority="262" operator="equal">
      <formula>1</formula>
    </cfRule>
  </conditionalFormatting>
  <conditionalFormatting sqref="J35">
    <cfRule type="cellIs" dxfId="87" priority="261" operator="equal">
      <formula>1</formula>
    </cfRule>
  </conditionalFormatting>
  <conditionalFormatting sqref="F23">
    <cfRule type="cellIs" dxfId="86" priority="260" operator="equal">
      <formula>1</formula>
    </cfRule>
  </conditionalFormatting>
  <conditionalFormatting sqref="G23">
    <cfRule type="cellIs" dxfId="85" priority="259" operator="equal">
      <formula>1</formula>
    </cfRule>
  </conditionalFormatting>
  <conditionalFormatting sqref="H23">
    <cfRule type="cellIs" dxfId="84" priority="258" operator="equal">
      <formula>1</formula>
    </cfRule>
  </conditionalFormatting>
  <conditionalFormatting sqref="I23">
    <cfRule type="cellIs" dxfId="83" priority="257" operator="equal">
      <formula>1</formula>
    </cfRule>
  </conditionalFormatting>
  <conditionalFormatting sqref="J23">
    <cfRule type="cellIs" dxfId="82" priority="256" operator="equal">
      <formula>1</formula>
    </cfRule>
  </conditionalFormatting>
  <conditionalFormatting sqref="F21">
    <cfRule type="cellIs" dxfId="81" priority="255" operator="equal">
      <formula>1</formula>
    </cfRule>
  </conditionalFormatting>
  <conditionalFormatting sqref="G21">
    <cfRule type="cellIs" dxfId="80" priority="254" operator="equal">
      <formula>1</formula>
    </cfRule>
  </conditionalFormatting>
  <conditionalFormatting sqref="H21">
    <cfRule type="cellIs" dxfId="79" priority="253" operator="equal">
      <formula>1</formula>
    </cfRule>
  </conditionalFormatting>
  <conditionalFormatting sqref="I21">
    <cfRule type="cellIs" dxfId="78" priority="252" operator="equal">
      <formula>1</formula>
    </cfRule>
  </conditionalFormatting>
  <conditionalFormatting sqref="J21">
    <cfRule type="cellIs" dxfId="77" priority="251" operator="equal">
      <formula>1</formula>
    </cfRule>
  </conditionalFormatting>
  <conditionalFormatting sqref="Q21">
    <cfRule type="cellIs" dxfId="76" priority="250" operator="equal">
      <formula>1</formula>
    </cfRule>
  </conditionalFormatting>
  <conditionalFormatting sqref="R21">
    <cfRule type="cellIs" dxfId="75" priority="249" operator="equal">
      <formula>1</formula>
    </cfRule>
  </conditionalFormatting>
  <conditionalFormatting sqref="S21">
    <cfRule type="cellIs" dxfId="74" priority="248" operator="equal">
      <formula>1</formula>
    </cfRule>
  </conditionalFormatting>
  <conditionalFormatting sqref="T21">
    <cfRule type="cellIs" dxfId="73" priority="247" operator="equal">
      <formula>1</formula>
    </cfRule>
  </conditionalFormatting>
  <conditionalFormatting sqref="U21">
    <cfRule type="cellIs" dxfId="72" priority="246" operator="equal">
      <formula>1</formula>
    </cfRule>
  </conditionalFormatting>
  <conditionalFormatting sqref="Q23">
    <cfRule type="cellIs" dxfId="71" priority="245" operator="equal">
      <formula>1</formula>
    </cfRule>
  </conditionalFormatting>
  <conditionalFormatting sqref="R23">
    <cfRule type="cellIs" dxfId="70" priority="244" operator="equal">
      <formula>1</formula>
    </cfRule>
  </conditionalFormatting>
  <conditionalFormatting sqref="S23">
    <cfRule type="cellIs" dxfId="69" priority="243" operator="equal">
      <formula>1</formula>
    </cfRule>
  </conditionalFormatting>
  <conditionalFormatting sqref="T23">
    <cfRule type="cellIs" dxfId="68" priority="242" operator="equal">
      <formula>1</formula>
    </cfRule>
  </conditionalFormatting>
  <conditionalFormatting sqref="U23">
    <cfRule type="cellIs" dxfId="67" priority="241" operator="equal">
      <formula>1</formula>
    </cfRule>
  </conditionalFormatting>
  <conditionalFormatting sqref="Q25">
    <cfRule type="cellIs" dxfId="66" priority="240" operator="equal">
      <formula>1</formula>
    </cfRule>
  </conditionalFormatting>
  <conditionalFormatting sqref="R25">
    <cfRule type="cellIs" dxfId="65" priority="239" operator="equal">
      <formula>1</formula>
    </cfRule>
  </conditionalFormatting>
  <conditionalFormatting sqref="S25">
    <cfRule type="cellIs" dxfId="64" priority="238" operator="equal">
      <formula>1</formula>
    </cfRule>
  </conditionalFormatting>
  <conditionalFormatting sqref="T25">
    <cfRule type="cellIs" dxfId="63" priority="237" operator="equal">
      <formula>1</formula>
    </cfRule>
  </conditionalFormatting>
  <conditionalFormatting sqref="U25">
    <cfRule type="cellIs" dxfId="62" priority="236" operator="equal">
      <formula>1</formula>
    </cfRule>
  </conditionalFormatting>
  <conditionalFormatting sqref="Q27">
    <cfRule type="cellIs" dxfId="61" priority="235" operator="equal">
      <formula>1</formula>
    </cfRule>
  </conditionalFormatting>
  <conditionalFormatting sqref="R27">
    <cfRule type="cellIs" dxfId="60" priority="234" operator="equal">
      <formula>1</formula>
    </cfRule>
  </conditionalFormatting>
  <conditionalFormatting sqref="S27">
    <cfRule type="cellIs" dxfId="59" priority="233" operator="equal">
      <formula>1</formula>
    </cfRule>
  </conditionalFormatting>
  <conditionalFormatting sqref="T27">
    <cfRule type="cellIs" dxfId="58" priority="232" operator="equal">
      <formula>1</formula>
    </cfRule>
  </conditionalFormatting>
  <conditionalFormatting sqref="U27">
    <cfRule type="cellIs" dxfId="57" priority="231" operator="equal">
      <formula>1</formula>
    </cfRule>
  </conditionalFormatting>
  <conditionalFormatting sqref="Q29">
    <cfRule type="cellIs" dxfId="56" priority="230" operator="equal">
      <formula>1</formula>
    </cfRule>
  </conditionalFormatting>
  <conditionalFormatting sqref="R29">
    <cfRule type="cellIs" dxfId="55" priority="229" operator="equal">
      <formula>1</formula>
    </cfRule>
  </conditionalFormatting>
  <conditionalFormatting sqref="S29">
    <cfRule type="cellIs" dxfId="54" priority="228" operator="equal">
      <formula>1</formula>
    </cfRule>
  </conditionalFormatting>
  <conditionalFormatting sqref="T29">
    <cfRule type="cellIs" dxfId="53" priority="227" operator="equal">
      <formula>1</formula>
    </cfRule>
  </conditionalFormatting>
  <conditionalFormatting sqref="U29">
    <cfRule type="cellIs" dxfId="52" priority="226" operator="equal">
      <formula>1</formula>
    </cfRule>
  </conditionalFormatting>
  <conditionalFormatting sqref="Q31">
    <cfRule type="cellIs" dxfId="51" priority="225" operator="equal">
      <formula>1</formula>
    </cfRule>
  </conditionalFormatting>
  <conditionalFormatting sqref="R31">
    <cfRule type="cellIs" dxfId="50" priority="224" operator="equal">
      <formula>1</formula>
    </cfRule>
  </conditionalFormatting>
  <conditionalFormatting sqref="S31">
    <cfRule type="cellIs" dxfId="49" priority="223" operator="equal">
      <formula>1</formula>
    </cfRule>
  </conditionalFormatting>
  <conditionalFormatting sqref="T31">
    <cfRule type="cellIs" dxfId="48" priority="222" operator="equal">
      <formula>1</formula>
    </cfRule>
  </conditionalFormatting>
  <conditionalFormatting sqref="U31">
    <cfRule type="cellIs" dxfId="47" priority="221" operator="equal">
      <formula>1</formula>
    </cfRule>
  </conditionalFormatting>
  <conditionalFormatting sqref="Q33">
    <cfRule type="cellIs" dxfId="46" priority="220" operator="equal">
      <formula>1</formula>
    </cfRule>
  </conditionalFormatting>
  <conditionalFormatting sqref="R33">
    <cfRule type="cellIs" dxfId="45" priority="219" operator="equal">
      <formula>1</formula>
    </cfRule>
  </conditionalFormatting>
  <conditionalFormatting sqref="S33">
    <cfRule type="cellIs" dxfId="44" priority="218" operator="equal">
      <formula>1</formula>
    </cfRule>
  </conditionalFormatting>
  <conditionalFormatting sqref="T33">
    <cfRule type="cellIs" dxfId="43" priority="217" operator="equal">
      <formula>1</formula>
    </cfRule>
  </conditionalFormatting>
  <conditionalFormatting sqref="U33">
    <cfRule type="cellIs" dxfId="42" priority="216" operator="equal">
      <formula>1</formula>
    </cfRule>
  </conditionalFormatting>
  <conditionalFormatting sqref="Q35">
    <cfRule type="cellIs" dxfId="41" priority="215" operator="equal">
      <formula>1</formula>
    </cfRule>
  </conditionalFormatting>
  <conditionalFormatting sqref="R35">
    <cfRule type="cellIs" dxfId="40" priority="214" operator="equal">
      <formula>1</formula>
    </cfRule>
  </conditionalFormatting>
  <conditionalFormatting sqref="S35">
    <cfRule type="cellIs" dxfId="39" priority="213" operator="equal">
      <formula>1</formula>
    </cfRule>
  </conditionalFormatting>
  <conditionalFormatting sqref="T35">
    <cfRule type="cellIs" dxfId="38" priority="212" operator="equal">
      <formula>1</formula>
    </cfRule>
  </conditionalFormatting>
  <conditionalFormatting sqref="U35">
    <cfRule type="cellIs" dxfId="37" priority="211" operator="equal">
      <formula>1</formula>
    </cfRule>
  </conditionalFormatting>
  <conditionalFormatting sqref="C43">
    <cfRule type="cellIs" dxfId="36" priority="210" operator="equal">
      <formula>0</formula>
    </cfRule>
  </conditionalFormatting>
  <conditionalFormatting sqref="Z56:XFD57 A57:B57 A56:Y56">
    <cfRule type="cellIs" dxfId="35" priority="209" operator="equal">
      <formula>0</formula>
    </cfRule>
  </conditionalFormatting>
  <conditionalFormatting sqref="Z90:XFD90">
    <cfRule type="cellIs" dxfId="34" priority="3" operator="equal">
      <formula>0</formula>
    </cfRule>
  </conditionalFormatting>
  <conditionalFormatting sqref="B62:B98">
    <cfRule type="cellIs" dxfId="33" priority="1" operator="equal">
      <formula>"Sorcery"</formula>
    </cfRule>
    <cfRule type="cellIs" dxfId="32" priority="2" operator="equal">
      <formula>"Styles"</formula>
    </cfRule>
  </conditionalFormatting>
  <printOptions gridLines="1"/>
  <pageMargins left="0.7" right="0.7" top="0.75" bottom="0.75" header="0.3" footer="0.3"/>
  <pageSetup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6"/>
  <sheetViews>
    <sheetView workbookViewId="0">
      <selection activeCell="R36" sqref="R36"/>
    </sheetView>
  </sheetViews>
  <sheetFormatPr defaultRowHeight="15"/>
  <cols>
    <col min="15" max="15" width="9.140625" style="174"/>
    <col min="18" max="18" width="9.140625" style="168"/>
    <col min="22" max="22" width="9.140625" style="25"/>
  </cols>
  <sheetData>
    <row r="1" spans="1:23">
      <c r="B1" t="s">
        <v>829</v>
      </c>
      <c r="C1" t="s">
        <v>194</v>
      </c>
      <c r="D1" t="s">
        <v>160</v>
      </c>
      <c r="E1" t="s">
        <v>133</v>
      </c>
      <c r="F1" t="s">
        <v>186</v>
      </c>
    </row>
    <row r="2" spans="1:23">
      <c r="A2">
        <v>1</v>
      </c>
      <c r="B2" s="43" t="e">
        <f>builder!B60</f>
        <v>#N/A</v>
      </c>
      <c r="C2" t="e">
        <f>IF($B2=C$1,COUNTIF($B$2:$B$23,C$1),0)</f>
        <v>#N/A</v>
      </c>
      <c r="D2" s="61" t="e">
        <f t="shared" ref="D2:F2" si="0">IF($B2=D$1,COUNTIF($B$2:$B$23,D$1),0)</f>
        <v>#N/A</v>
      </c>
      <c r="E2" s="61" t="e">
        <f t="shared" si="0"/>
        <v>#N/A</v>
      </c>
      <c r="F2" s="61" t="e">
        <f t="shared" si="0"/>
        <v>#N/A</v>
      </c>
      <c r="G2" s="56" t="e">
        <f>SUM(C2:F2)</f>
        <v>#N/A</v>
      </c>
      <c r="H2" s="134" t="e">
        <f>IF(COUNTIF($C$1:$F$1,B2)&gt;0,"",B2)</f>
        <v>#N/A</v>
      </c>
      <c r="K2" t="e">
        <f>IF(H2&lt;&gt;"",A2,"")</f>
        <v>#N/A</v>
      </c>
      <c r="L2" t="e">
        <f t="shared" ref="L2:L13" si="1">SMALL($K$2:$K$27,A2)</f>
        <v>#N/A</v>
      </c>
      <c r="M2" t="str">
        <f>IF(ISERROR(L2),"",VLOOKUP(L2,$A$2:$B$27,2))</f>
        <v/>
      </c>
      <c r="P2" s="169">
        <v>1</v>
      </c>
      <c r="Q2" s="4" t="str">
        <f>M2</f>
        <v/>
      </c>
      <c r="R2" s="4" t="str">
        <f>print!B54</f>
        <v/>
      </c>
      <c r="S2" s="4" t="str">
        <f t="shared" ref="S2:S33" si="2">IF(Q2&lt;&gt;"",P2,"")</f>
        <v/>
      </c>
      <c r="T2" s="4">
        <f>SMALL($S$2:$S$56,P2)</f>
        <v>27</v>
      </c>
      <c r="U2" s="4" t="str">
        <f>IF(ISERROR(T2),"",VLOOKUP(T2,$P$2:$Q$56,2))</f>
        <v>Styles</v>
      </c>
      <c r="V2" s="170" t="str">
        <f>IF(ISERROR(T2),"",VLOOKUP(T2,$P$2:$R$56,3))</f>
        <v/>
      </c>
      <c r="W2" s="186" t="s">
        <v>101</v>
      </c>
    </row>
    <row r="3" spans="1:23">
      <c r="A3">
        <v>2</v>
      </c>
      <c r="B3" s="44" t="e">
        <f>builder!B61</f>
        <v>#N/A</v>
      </c>
      <c r="C3" s="24" t="e">
        <f>IF(AND($B3=C$1,C2&lt;1),COUNTIF($B$2:$B$23,C$1),0)</f>
        <v>#N/A</v>
      </c>
      <c r="D3" s="61" t="e">
        <f t="shared" ref="D3:F3" si="3">IF(AND($B3=D$1,D2&lt;1),COUNTIF($B$2:$B$23,D$1),0)</f>
        <v>#N/A</v>
      </c>
      <c r="E3" s="61" t="e">
        <f t="shared" si="3"/>
        <v>#N/A</v>
      </c>
      <c r="F3" s="61" t="e">
        <f t="shared" si="3"/>
        <v>#N/A</v>
      </c>
      <c r="G3" s="60" t="e">
        <f t="shared" ref="G3:G24" si="4">SUM(C3:F3)</f>
        <v>#N/A</v>
      </c>
      <c r="H3" s="134" t="e">
        <f t="shared" ref="H3:H23" si="5">IF(COUNTIF($C$1:$F$1,B3)&gt;0,"",B3)</f>
        <v>#N/A</v>
      </c>
      <c r="K3" s="61" t="e">
        <f t="shared" ref="K3:K23" si="6">IF(H3&lt;&gt;"",A3,"")</f>
        <v>#N/A</v>
      </c>
      <c r="L3" s="24" t="e">
        <f t="shared" si="1"/>
        <v>#N/A</v>
      </c>
      <c r="M3" s="61" t="str">
        <f t="shared" ref="M3:M27" si="7">IF(ISERROR(L3),"",VLOOKUP(L3,$A$2:$B$27,2))</f>
        <v/>
      </c>
      <c r="P3" s="6">
        <f>P2+1</f>
        <v>2</v>
      </c>
      <c r="Q3" s="25" t="str">
        <f t="shared" ref="Q3:Q27" si="8">M3</f>
        <v/>
      </c>
      <c r="R3" s="25" t="str">
        <f>print!B57</f>
        <v/>
      </c>
      <c r="S3" s="25" t="str">
        <f t="shared" si="2"/>
        <v/>
      </c>
      <c r="T3" s="25">
        <f t="shared" ref="T3:T56" si="9">SMALL($S$2:$S$56,P3)</f>
        <v>34</v>
      </c>
      <c r="U3" s="25" t="str">
        <f t="shared" ref="U3:U56" si="10">IF(ISERROR(T3),"",VLOOKUP(T3,$P$2:$Q$56,2))</f>
        <v>Sorcery</v>
      </c>
      <c r="V3" s="8" t="str">
        <f t="shared" ref="V3:V56" si="11">IF(ISERROR(T3),"",VLOOKUP(T3,$P$2:$R$56,3))</f>
        <v/>
      </c>
      <c r="W3" s="186" t="s">
        <v>101</v>
      </c>
    </row>
    <row r="4" spans="1:23">
      <c r="A4">
        <v>3</v>
      </c>
      <c r="B4" s="44" t="e">
        <f>builder!B62</f>
        <v>#N/A</v>
      </c>
      <c r="C4" s="24" t="e">
        <f>IF(AND($B4=C$1,SUM(C2:C3)&lt;1),COUNTIF($B$2:$B$23,C$1),0)</f>
        <v>#N/A</v>
      </c>
      <c r="D4" s="61" t="e">
        <f t="shared" ref="D4:F4" si="12">IF(AND($B4=D$1,SUM(D2:D3)&lt;1),COUNTIF($B$2:$B$23,D$1),0)</f>
        <v>#N/A</v>
      </c>
      <c r="E4" s="61" t="e">
        <f t="shared" si="12"/>
        <v>#N/A</v>
      </c>
      <c r="F4" s="61" t="e">
        <f t="shared" si="12"/>
        <v>#N/A</v>
      </c>
      <c r="G4" s="60" t="e">
        <f t="shared" si="4"/>
        <v>#N/A</v>
      </c>
      <c r="H4" s="134" t="e">
        <f t="shared" si="5"/>
        <v>#N/A</v>
      </c>
      <c r="K4" s="61" t="e">
        <f t="shared" si="6"/>
        <v>#N/A</v>
      </c>
      <c r="L4" s="24" t="e">
        <f t="shared" si="1"/>
        <v>#N/A</v>
      </c>
      <c r="M4" s="61" t="str">
        <f t="shared" si="7"/>
        <v/>
      </c>
      <c r="P4" s="6">
        <f t="shared" ref="P4:P56" si="13">P3+1</f>
        <v>3</v>
      </c>
      <c r="Q4" s="25" t="str">
        <f t="shared" si="8"/>
        <v/>
      </c>
      <c r="R4" s="25" t="str">
        <f>print!B60</f>
        <v/>
      </c>
      <c r="S4" s="25" t="str">
        <f t="shared" si="2"/>
        <v/>
      </c>
      <c r="T4" s="25" t="e">
        <f t="shared" si="9"/>
        <v>#NUM!</v>
      </c>
      <c r="U4" s="25" t="str">
        <f t="shared" si="10"/>
        <v/>
      </c>
      <c r="V4" s="8" t="str">
        <f t="shared" si="11"/>
        <v/>
      </c>
      <c r="W4" s="186" t="s">
        <v>101</v>
      </c>
    </row>
    <row r="5" spans="1:23">
      <c r="A5">
        <v>4</v>
      </c>
      <c r="B5" s="44" t="e">
        <f>builder!B63</f>
        <v>#N/A</v>
      </c>
      <c r="C5" s="61" t="e">
        <f>IF(AND($B5=C$1,SUM(C2:C4)&lt;1),COUNTIF($B$2:$B$23,C$1),0)</f>
        <v>#N/A</v>
      </c>
      <c r="D5" s="61" t="e">
        <f t="shared" ref="D5:F5" si="14">IF(AND($B5=D$1,SUM(D2:D4)&lt;1),COUNTIF($B$2:$B$23,D$1),0)</f>
        <v>#N/A</v>
      </c>
      <c r="E5" s="61" t="e">
        <f t="shared" si="14"/>
        <v>#N/A</v>
      </c>
      <c r="F5" s="61" t="e">
        <f t="shared" si="14"/>
        <v>#N/A</v>
      </c>
      <c r="G5" s="60" t="e">
        <f t="shared" si="4"/>
        <v>#N/A</v>
      </c>
      <c r="H5" s="134" t="e">
        <f t="shared" si="5"/>
        <v>#N/A</v>
      </c>
      <c r="K5" s="61" t="e">
        <f t="shared" si="6"/>
        <v>#N/A</v>
      </c>
      <c r="L5" s="24" t="e">
        <f t="shared" si="1"/>
        <v>#N/A</v>
      </c>
      <c r="M5" s="61" t="str">
        <f t="shared" si="7"/>
        <v/>
      </c>
      <c r="P5" s="6">
        <f t="shared" si="13"/>
        <v>4</v>
      </c>
      <c r="Q5" s="25" t="str">
        <f t="shared" si="8"/>
        <v/>
      </c>
      <c r="R5" s="25" t="str">
        <f>print!B63</f>
        <v/>
      </c>
      <c r="S5" s="25" t="str">
        <f t="shared" si="2"/>
        <v/>
      </c>
      <c r="T5" s="25" t="e">
        <f t="shared" si="9"/>
        <v>#NUM!</v>
      </c>
      <c r="U5" s="25" t="str">
        <f t="shared" si="10"/>
        <v/>
      </c>
      <c r="V5" s="8" t="str">
        <f t="shared" si="11"/>
        <v/>
      </c>
      <c r="W5" s="186" t="s">
        <v>101</v>
      </c>
    </row>
    <row r="6" spans="1:23">
      <c r="A6">
        <v>5</v>
      </c>
      <c r="B6" s="44" t="e">
        <f>builder!B64</f>
        <v>#N/A</v>
      </c>
      <c r="C6" s="61" t="e">
        <f>IF(AND($B6=C$1,SUM(C2:C5)&lt;1),COUNTIF($B$2:$B$23,C$1),0)</f>
        <v>#N/A</v>
      </c>
      <c r="D6" s="61" t="e">
        <f t="shared" ref="D6:F6" si="15">IF(AND($B6=D$1,SUM(D2:D5)&lt;1),COUNTIF($B$2:$B$23,D$1),0)</f>
        <v>#N/A</v>
      </c>
      <c r="E6" s="61" t="e">
        <f t="shared" si="15"/>
        <v>#N/A</v>
      </c>
      <c r="F6" s="61" t="e">
        <f t="shared" si="15"/>
        <v>#N/A</v>
      </c>
      <c r="G6" s="60" t="e">
        <f t="shared" si="4"/>
        <v>#N/A</v>
      </c>
      <c r="H6" s="134" t="e">
        <f t="shared" si="5"/>
        <v>#N/A</v>
      </c>
      <c r="K6" s="61" t="e">
        <f t="shared" si="6"/>
        <v>#N/A</v>
      </c>
      <c r="L6" s="24" t="e">
        <f t="shared" si="1"/>
        <v>#N/A</v>
      </c>
      <c r="M6" s="61" t="str">
        <f>IF(ISERROR(L6),"",VLOOKUP(L6,$A$2:$B$27,2))</f>
        <v/>
      </c>
      <c r="P6" s="6">
        <f t="shared" si="13"/>
        <v>5</v>
      </c>
      <c r="Q6" s="25" t="str">
        <f t="shared" si="8"/>
        <v/>
      </c>
      <c r="R6" s="25" t="str">
        <f>print!B66</f>
        <v/>
      </c>
      <c r="S6" s="25" t="str">
        <f>IF(Q6&lt;&gt;"",P6,"")</f>
        <v/>
      </c>
      <c r="T6" s="25" t="e">
        <f>SMALL($S$2:$S$56,P6)</f>
        <v>#NUM!</v>
      </c>
      <c r="U6" s="25" t="str">
        <f t="shared" si="10"/>
        <v/>
      </c>
      <c r="V6" s="8" t="str">
        <f>IF(ISERROR(T6),"",VLOOKUP(T6,$P$2:$R$56,3))</f>
        <v/>
      </c>
      <c r="W6" s="186" t="s">
        <v>101</v>
      </c>
    </row>
    <row r="7" spans="1:23">
      <c r="A7">
        <v>6</v>
      </c>
      <c r="B7" s="44" t="e">
        <f>builder!B65</f>
        <v>#N/A</v>
      </c>
      <c r="C7" s="61" t="e">
        <f>IF(AND($B7=C$1,SUM(C2:C6)&lt;1),COUNTIF($B$2:$B$23,C$1),0)</f>
        <v>#N/A</v>
      </c>
      <c r="D7" s="61" t="e">
        <f t="shared" ref="D7:F7" si="16">IF(AND($B7=D$1,SUM(D2:D6)&lt;1),COUNTIF($B$2:$B$23,D$1),0)</f>
        <v>#N/A</v>
      </c>
      <c r="E7" s="61" t="e">
        <f t="shared" si="16"/>
        <v>#N/A</v>
      </c>
      <c r="F7" s="61" t="e">
        <f t="shared" si="16"/>
        <v>#N/A</v>
      </c>
      <c r="G7" s="60" t="e">
        <f t="shared" si="4"/>
        <v>#N/A</v>
      </c>
      <c r="H7" s="134" t="e">
        <f t="shared" si="5"/>
        <v>#N/A</v>
      </c>
      <c r="J7" s="24"/>
      <c r="K7" s="61" t="e">
        <f t="shared" si="6"/>
        <v>#N/A</v>
      </c>
      <c r="L7" s="24" t="e">
        <f t="shared" si="1"/>
        <v>#N/A</v>
      </c>
      <c r="M7" s="61" t="str">
        <f t="shared" si="7"/>
        <v/>
      </c>
      <c r="P7" s="6">
        <f t="shared" si="13"/>
        <v>6</v>
      </c>
      <c r="Q7" s="25" t="str">
        <f t="shared" si="8"/>
        <v/>
      </c>
      <c r="R7" s="25" t="str">
        <f>print!B69</f>
        <v/>
      </c>
      <c r="S7" s="25" t="str">
        <f t="shared" si="2"/>
        <v/>
      </c>
      <c r="T7" s="25" t="e">
        <f t="shared" si="9"/>
        <v>#NUM!</v>
      </c>
      <c r="U7" s="25" t="str">
        <f t="shared" si="10"/>
        <v/>
      </c>
      <c r="V7" s="8" t="str">
        <f t="shared" si="11"/>
        <v/>
      </c>
      <c r="W7" s="186" t="s">
        <v>101</v>
      </c>
    </row>
    <row r="8" spans="1:23">
      <c r="A8">
        <v>7</v>
      </c>
      <c r="B8" s="45" t="str">
        <f>IF(builder!B67&lt;&gt;"",builder!B67,"")</f>
        <v/>
      </c>
      <c r="C8" s="61" t="e">
        <f>IF(AND($B8=C$1,SUM(C2:C7)&lt;1),COUNTIF($B$2:$B$23,C$1),0)</f>
        <v>#N/A</v>
      </c>
      <c r="D8" s="61" t="e">
        <f t="shared" ref="D8:F8" si="17">IF(AND($B8=D$1,SUM(D2:D7)&lt;1),COUNTIF($B$2:$B$23,D$1),0)</f>
        <v>#N/A</v>
      </c>
      <c r="E8" s="61" t="e">
        <f t="shared" si="17"/>
        <v>#N/A</v>
      </c>
      <c r="F8" s="61" t="e">
        <f t="shared" si="17"/>
        <v>#N/A</v>
      </c>
      <c r="G8" s="60" t="e">
        <f t="shared" si="4"/>
        <v>#N/A</v>
      </c>
      <c r="H8" s="134" t="str">
        <f t="shared" si="5"/>
        <v/>
      </c>
      <c r="J8" s="24"/>
      <c r="K8" s="61" t="str">
        <f t="shared" si="6"/>
        <v/>
      </c>
      <c r="L8" s="24" t="e">
        <f t="shared" si="1"/>
        <v>#N/A</v>
      </c>
      <c r="M8" s="61" t="str">
        <f t="shared" si="7"/>
        <v/>
      </c>
      <c r="P8" s="6">
        <f t="shared" si="13"/>
        <v>7</v>
      </c>
      <c r="Q8" s="25" t="str">
        <f t="shared" si="8"/>
        <v/>
      </c>
      <c r="R8" s="25" t="str">
        <f>print!B72</f>
        <v/>
      </c>
      <c r="S8" s="25" t="str">
        <f t="shared" si="2"/>
        <v/>
      </c>
      <c r="T8" s="25" t="e">
        <f t="shared" si="9"/>
        <v>#NUM!</v>
      </c>
      <c r="U8" s="25" t="str">
        <f t="shared" si="10"/>
        <v/>
      </c>
      <c r="V8" s="8" t="str">
        <f t="shared" si="11"/>
        <v/>
      </c>
      <c r="W8" s="186" t="s">
        <v>101</v>
      </c>
    </row>
    <row r="9" spans="1:23">
      <c r="A9">
        <v>8</v>
      </c>
      <c r="B9" s="45" t="str">
        <f>IF(builder!B68&lt;&gt;"",builder!B68,"")</f>
        <v/>
      </c>
      <c r="C9" s="61" t="e">
        <f>IF(AND($B9=C$1,SUM(C2:C8)&lt;1),COUNTIF($B$2:$B$23,C$1),0)</f>
        <v>#N/A</v>
      </c>
      <c r="D9" s="61" t="e">
        <f t="shared" ref="D9:F9" si="18">IF(AND($B9=D$1,SUM(D2:D8)&lt;1),COUNTIF($B$2:$B$23,D$1),0)</f>
        <v>#N/A</v>
      </c>
      <c r="E9" s="61" t="e">
        <f t="shared" si="18"/>
        <v>#N/A</v>
      </c>
      <c r="F9" s="61" t="e">
        <f t="shared" si="18"/>
        <v>#N/A</v>
      </c>
      <c r="G9" s="60" t="e">
        <f t="shared" si="4"/>
        <v>#N/A</v>
      </c>
      <c r="H9" s="134" t="str">
        <f t="shared" si="5"/>
        <v/>
      </c>
      <c r="J9" s="24"/>
      <c r="K9" s="61" t="str">
        <f t="shared" si="6"/>
        <v/>
      </c>
      <c r="L9" s="24" t="e">
        <f t="shared" si="1"/>
        <v>#N/A</v>
      </c>
      <c r="M9" s="61" t="str">
        <f t="shared" si="7"/>
        <v/>
      </c>
      <c r="P9" s="6">
        <f t="shared" si="13"/>
        <v>8</v>
      </c>
      <c r="Q9" s="25" t="str">
        <f t="shared" si="8"/>
        <v/>
      </c>
      <c r="R9" s="25" t="str">
        <f>print!B77</f>
        <v/>
      </c>
      <c r="S9" s="25" t="str">
        <f t="shared" si="2"/>
        <v/>
      </c>
      <c r="T9" s="25" t="e">
        <f t="shared" si="9"/>
        <v>#NUM!</v>
      </c>
      <c r="U9" s="25" t="str">
        <f t="shared" si="10"/>
        <v/>
      </c>
      <c r="V9" s="8" t="str">
        <f t="shared" si="11"/>
        <v/>
      </c>
      <c r="W9" s="186" t="s">
        <v>101</v>
      </c>
    </row>
    <row r="10" spans="1:23">
      <c r="A10">
        <v>9</v>
      </c>
      <c r="B10" s="45" t="str">
        <f>IF(builder!B69&lt;&gt;"",builder!B69,"")</f>
        <v/>
      </c>
      <c r="C10" s="61" t="e">
        <f>IF(AND($B10=C$1,SUM(C2:C9)&lt;1),COUNTIF($B$2:$B$23,C$1),0)</f>
        <v>#N/A</v>
      </c>
      <c r="D10" s="61" t="e">
        <f t="shared" ref="D10:F10" si="19">IF(AND($B10=D$1,SUM(D2:D9)&lt;1),COUNTIF($B$2:$B$23,D$1),0)</f>
        <v>#N/A</v>
      </c>
      <c r="E10" s="61" t="e">
        <f t="shared" si="19"/>
        <v>#N/A</v>
      </c>
      <c r="F10" s="61" t="e">
        <f t="shared" si="19"/>
        <v>#N/A</v>
      </c>
      <c r="G10" s="60" t="e">
        <f t="shared" si="4"/>
        <v>#N/A</v>
      </c>
      <c r="H10" s="134" t="str">
        <f t="shared" si="5"/>
        <v/>
      </c>
      <c r="J10" s="24"/>
      <c r="K10" s="61" t="str">
        <f t="shared" si="6"/>
        <v/>
      </c>
      <c r="L10" s="24" t="e">
        <f t="shared" si="1"/>
        <v>#N/A</v>
      </c>
      <c r="M10" s="61" t="str">
        <f t="shared" si="7"/>
        <v/>
      </c>
      <c r="P10" s="6">
        <f t="shared" si="13"/>
        <v>9</v>
      </c>
      <c r="Q10" s="25" t="str">
        <f t="shared" si="8"/>
        <v/>
      </c>
      <c r="R10" s="25" t="str">
        <f>print!B80</f>
        <v/>
      </c>
      <c r="S10" s="25" t="str">
        <f t="shared" si="2"/>
        <v/>
      </c>
      <c r="T10" s="25" t="e">
        <f t="shared" si="9"/>
        <v>#NUM!</v>
      </c>
      <c r="U10" s="25" t="str">
        <f t="shared" si="10"/>
        <v/>
      </c>
      <c r="V10" s="8" t="str">
        <f t="shared" si="11"/>
        <v/>
      </c>
      <c r="W10" s="186" t="s">
        <v>101</v>
      </c>
    </row>
    <row r="11" spans="1:23">
      <c r="A11">
        <v>10</v>
      </c>
      <c r="B11" s="45" t="str">
        <f>IF(builder!B70&lt;&gt;"",builder!B70,"")</f>
        <v/>
      </c>
      <c r="C11" s="61" t="e">
        <f>IF(AND($B11=C$1,SUM(C2:C10)&lt;1),COUNTIF($B$2:$B$23,C$1),0)</f>
        <v>#N/A</v>
      </c>
      <c r="D11" s="61" t="e">
        <f t="shared" ref="D11:F11" si="20">IF(AND($B11=D$1,SUM(D2:D10)&lt;1),COUNTIF($B$2:$B$23,D$1),0)</f>
        <v>#N/A</v>
      </c>
      <c r="E11" s="61" t="e">
        <f t="shared" si="20"/>
        <v>#N/A</v>
      </c>
      <c r="F11" s="61" t="e">
        <f t="shared" si="20"/>
        <v>#N/A</v>
      </c>
      <c r="G11" s="60" t="e">
        <f t="shared" si="4"/>
        <v>#N/A</v>
      </c>
      <c r="H11" s="134" t="str">
        <f t="shared" si="5"/>
        <v/>
      </c>
      <c r="J11" s="24"/>
      <c r="K11" s="61" t="str">
        <f t="shared" si="6"/>
        <v/>
      </c>
      <c r="L11" s="24" t="e">
        <f t="shared" si="1"/>
        <v>#N/A</v>
      </c>
      <c r="M11" s="61" t="str">
        <f t="shared" si="7"/>
        <v/>
      </c>
      <c r="P11" s="6">
        <f t="shared" si="13"/>
        <v>10</v>
      </c>
      <c r="Q11" s="25" t="str">
        <f t="shared" si="8"/>
        <v/>
      </c>
      <c r="R11" s="25" t="str">
        <f>print!B83</f>
        <v/>
      </c>
      <c r="S11" s="25" t="str">
        <f t="shared" si="2"/>
        <v/>
      </c>
      <c r="T11" s="25" t="e">
        <f t="shared" si="9"/>
        <v>#NUM!</v>
      </c>
      <c r="U11" s="25" t="str">
        <f t="shared" si="10"/>
        <v/>
      </c>
      <c r="V11" s="8" t="str">
        <f t="shared" si="11"/>
        <v/>
      </c>
      <c r="W11" s="186" t="s">
        <v>101</v>
      </c>
    </row>
    <row r="12" spans="1:23">
      <c r="A12">
        <v>11</v>
      </c>
      <c r="B12" s="45" t="str">
        <f>IF(builder!B71&lt;&gt;"",builder!B71,"")</f>
        <v/>
      </c>
      <c r="C12" s="61" t="e">
        <f>IF(AND($B12=C$1,SUM(C2:C11)&lt;1),COUNTIF($B$2:$B$23,C$1),0)</f>
        <v>#N/A</v>
      </c>
      <c r="D12" s="61" t="e">
        <f t="shared" ref="D12:F12" si="21">IF(AND($B12=D$1,SUM(D2:D11)&lt;1),COUNTIF($B$2:$B$23,D$1),0)</f>
        <v>#N/A</v>
      </c>
      <c r="E12" s="61" t="e">
        <f t="shared" si="21"/>
        <v>#N/A</v>
      </c>
      <c r="F12" s="61" t="e">
        <f t="shared" si="21"/>
        <v>#N/A</v>
      </c>
      <c r="G12" s="60" t="e">
        <f t="shared" si="4"/>
        <v>#N/A</v>
      </c>
      <c r="H12" s="134" t="str">
        <f t="shared" si="5"/>
        <v/>
      </c>
      <c r="J12" s="24"/>
      <c r="K12" s="61" t="str">
        <f t="shared" si="6"/>
        <v/>
      </c>
      <c r="L12" s="24" t="e">
        <f t="shared" si="1"/>
        <v>#N/A</v>
      </c>
      <c r="M12" s="61" t="str">
        <f t="shared" si="7"/>
        <v/>
      </c>
      <c r="P12" s="6">
        <f t="shared" si="13"/>
        <v>11</v>
      </c>
      <c r="Q12" s="25" t="str">
        <f t="shared" si="8"/>
        <v/>
      </c>
      <c r="R12" s="25" t="str">
        <f>print!B86</f>
        <v/>
      </c>
      <c r="S12" s="25" t="str">
        <f t="shared" si="2"/>
        <v/>
      </c>
      <c r="T12" s="25" t="e">
        <f t="shared" si="9"/>
        <v>#NUM!</v>
      </c>
      <c r="U12" s="25" t="str">
        <f t="shared" si="10"/>
        <v/>
      </c>
      <c r="V12" s="8" t="str">
        <f t="shared" si="11"/>
        <v/>
      </c>
      <c r="W12" s="186" t="s">
        <v>101</v>
      </c>
    </row>
    <row r="13" spans="1:23">
      <c r="A13">
        <v>12</v>
      </c>
      <c r="B13" s="45" t="str">
        <f>IF(builder!B72&lt;&gt;"",builder!B72,"")</f>
        <v/>
      </c>
      <c r="C13" s="61" t="e">
        <f>IF(AND($B13=C$1,SUM(C2:C12)&lt;1),COUNTIF($B$2:$B$23,C$1),0)</f>
        <v>#N/A</v>
      </c>
      <c r="D13" s="61" t="e">
        <f t="shared" ref="D13:F13" si="22">IF(AND($B13=D$1,SUM(D2:D12)&lt;1),COUNTIF($B$2:$B$23,D$1),0)</f>
        <v>#N/A</v>
      </c>
      <c r="E13" s="61" t="e">
        <f t="shared" si="22"/>
        <v>#N/A</v>
      </c>
      <c r="F13" s="61" t="e">
        <f t="shared" si="22"/>
        <v>#N/A</v>
      </c>
      <c r="G13" s="60" t="e">
        <f t="shared" si="4"/>
        <v>#N/A</v>
      </c>
      <c r="H13" s="134" t="str">
        <f t="shared" si="5"/>
        <v/>
      </c>
      <c r="J13" s="24"/>
      <c r="K13" s="61" t="str">
        <f t="shared" si="6"/>
        <v/>
      </c>
      <c r="L13" s="24" t="e">
        <f t="shared" si="1"/>
        <v>#N/A</v>
      </c>
      <c r="M13" s="61" t="str">
        <f t="shared" si="7"/>
        <v/>
      </c>
      <c r="P13" s="6">
        <f t="shared" si="13"/>
        <v>12</v>
      </c>
      <c r="Q13" s="25" t="str">
        <f t="shared" si="8"/>
        <v/>
      </c>
      <c r="R13" s="25" t="str">
        <f>print!B89</f>
        <v/>
      </c>
      <c r="S13" s="25" t="str">
        <f t="shared" si="2"/>
        <v/>
      </c>
      <c r="T13" s="25" t="e">
        <f t="shared" si="9"/>
        <v>#NUM!</v>
      </c>
      <c r="U13" s="25" t="str">
        <f t="shared" si="10"/>
        <v/>
      </c>
      <c r="V13" s="8" t="str">
        <f t="shared" si="11"/>
        <v/>
      </c>
      <c r="W13" s="186" t="s">
        <v>101</v>
      </c>
    </row>
    <row r="14" spans="1:23">
      <c r="A14">
        <v>13</v>
      </c>
      <c r="B14" s="45" t="str">
        <f>IF(builder!B73&lt;&gt;"",builder!B73,"")</f>
        <v/>
      </c>
      <c r="C14" s="61" t="e">
        <f>IF(AND($B14=C$1,SUM(C2:C13)&lt;1),COUNTIF($B$2:$B$23,C$1),0)</f>
        <v>#N/A</v>
      </c>
      <c r="D14" s="61" t="e">
        <f t="shared" ref="D14:F14" si="23">IF(AND($B14=D$1,SUM(D2:D13)&lt;1),COUNTIF($B$2:$B$23,D$1),0)</f>
        <v>#N/A</v>
      </c>
      <c r="E14" s="61" t="e">
        <f t="shared" si="23"/>
        <v>#N/A</v>
      </c>
      <c r="F14" s="61" t="e">
        <f t="shared" si="23"/>
        <v>#N/A</v>
      </c>
      <c r="G14" s="60" t="e">
        <f t="shared" si="4"/>
        <v>#N/A</v>
      </c>
      <c r="H14" s="134" t="str">
        <f t="shared" si="5"/>
        <v/>
      </c>
      <c r="J14" s="24"/>
      <c r="K14" s="61" t="str">
        <f t="shared" si="6"/>
        <v/>
      </c>
      <c r="L14" s="61" t="e">
        <f t="shared" ref="L14:L27" si="24">SMALL($K$2:$K$27,A14)</f>
        <v>#N/A</v>
      </c>
      <c r="M14" s="61" t="str">
        <f t="shared" si="7"/>
        <v/>
      </c>
      <c r="P14" s="6">
        <f t="shared" si="13"/>
        <v>13</v>
      </c>
      <c r="Q14" s="25" t="str">
        <f t="shared" si="8"/>
        <v/>
      </c>
      <c r="R14" s="25" t="str">
        <f>print!B92</f>
        <v/>
      </c>
      <c r="S14" s="25" t="str">
        <f t="shared" si="2"/>
        <v/>
      </c>
      <c r="T14" s="25" t="e">
        <f t="shared" si="9"/>
        <v>#NUM!</v>
      </c>
      <c r="U14" s="25" t="str">
        <f t="shared" si="10"/>
        <v/>
      </c>
      <c r="V14" s="8" t="str">
        <f t="shared" si="11"/>
        <v/>
      </c>
      <c r="W14" s="186" t="s">
        <v>101</v>
      </c>
    </row>
    <row r="15" spans="1:23">
      <c r="A15">
        <v>14</v>
      </c>
      <c r="B15" s="46" t="str">
        <f>IF(builder!B74&lt;&gt;"",builder!B74,"")</f>
        <v/>
      </c>
      <c r="C15" s="61" t="e">
        <f>IF(AND($B15=C$1,SUM(C2:C14)&lt;1),COUNTIF($B$2:$B$23,C$1),0)</f>
        <v>#N/A</v>
      </c>
      <c r="D15" s="61" t="e">
        <f t="shared" ref="D15:F15" si="25">IF(AND($B15=D$1,SUM(D2:D14)&lt;1),COUNTIF($B$2:$B$23,D$1),0)</f>
        <v>#N/A</v>
      </c>
      <c r="E15" s="61" t="e">
        <f t="shared" si="25"/>
        <v>#N/A</v>
      </c>
      <c r="F15" s="61" t="e">
        <f t="shared" si="25"/>
        <v>#N/A</v>
      </c>
      <c r="G15" s="60" t="e">
        <f t="shared" si="4"/>
        <v>#N/A</v>
      </c>
      <c r="H15" s="134" t="str">
        <f t="shared" si="5"/>
        <v/>
      </c>
      <c r="J15" s="24"/>
      <c r="K15" s="61" t="str">
        <f t="shared" si="6"/>
        <v/>
      </c>
      <c r="L15" s="61" t="e">
        <f t="shared" si="24"/>
        <v>#N/A</v>
      </c>
      <c r="M15" s="61" t="str">
        <f t="shared" si="7"/>
        <v/>
      </c>
      <c r="P15" s="6">
        <f t="shared" si="13"/>
        <v>14</v>
      </c>
      <c r="Q15" s="25" t="str">
        <f t="shared" si="8"/>
        <v/>
      </c>
      <c r="R15" s="25" t="str">
        <f>print!B95</f>
        <v/>
      </c>
      <c r="S15" s="25" t="str">
        <f t="shared" si="2"/>
        <v/>
      </c>
      <c r="T15" s="25" t="e">
        <f t="shared" si="9"/>
        <v>#NUM!</v>
      </c>
      <c r="U15" s="25" t="str">
        <f t="shared" si="10"/>
        <v/>
      </c>
      <c r="V15" s="8" t="str">
        <f t="shared" si="11"/>
        <v/>
      </c>
      <c r="W15" s="186" t="s">
        <v>101</v>
      </c>
    </row>
    <row r="16" spans="1:23" s="61" customFormat="1">
      <c r="A16" s="61">
        <v>15</v>
      </c>
      <c r="B16" s="152" t="str">
        <f>IF(builder!N67&lt;&gt;"",builder!N67,"")</f>
        <v/>
      </c>
      <c r="C16" s="61" t="e">
        <f>IF(AND($B16=C$1,SUM(C2:C15)&lt;1),COUNTIF($B$2:$B$23,C$1),0)</f>
        <v>#N/A</v>
      </c>
      <c r="D16" s="61" t="e">
        <f t="shared" ref="D16:F16" si="26">IF(AND($B16=D$1,SUM(D2:D15)&lt;1),COUNTIF($B$2:$B$23,D$1),0)</f>
        <v>#N/A</v>
      </c>
      <c r="E16" s="61" t="e">
        <f t="shared" si="26"/>
        <v>#N/A</v>
      </c>
      <c r="F16" s="61" t="e">
        <f t="shared" si="26"/>
        <v>#N/A</v>
      </c>
      <c r="G16" s="60" t="e">
        <f t="shared" si="4"/>
        <v>#N/A</v>
      </c>
      <c r="H16" s="134" t="str">
        <f t="shared" si="5"/>
        <v/>
      </c>
      <c r="K16" s="61" t="str">
        <f t="shared" si="6"/>
        <v/>
      </c>
      <c r="L16" s="61" t="e">
        <f t="shared" si="24"/>
        <v>#N/A</v>
      </c>
      <c r="M16" s="61" t="str">
        <f t="shared" si="7"/>
        <v/>
      </c>
      <c r="O16" s="174"/>
      <c r="P16" s="6">
        <f t="shared" si="13"/>
        <v>15</v>
      </c>
      <c r="Q16" s="25" t="str">
        <f t="shared" si="8"/>
        <v/>
      </c>
      <c r="R16" s="25"/>
      <c r="S16" s="25" t="str">
        <f t="shared" si="2"/>
        <v/>
      </c>
      <c r="T16" s="25" t="e">
        <f t="shared" si="9"/>
        <v>#NUM!</v>
      </c>
      <c r="U16" s="25" t="str">
        <f t="shared" si="10"/>
        <v/>
      </c>
      <c r="V16" s="8" t="str">
        <f t="shared" si="11"/>
        <v/>
      </c>
      <c r="W16" s="186" t="s">
        <v>101</v>
      </c>
    </row>
    <row r="17" spans="1:23" s="61" customFormat="1">
      <c r="A17" s="61">
        <v>16</v>
      </c>
      <c r="B17" s="152" t="str">
        <f>IF(builder!N68&lt;&gt;"",builder!N68,"")</f>
        <v/>
      </c>
      <c r="C17" s="61" t="e">
        <f>IF(AND($B17=C$1,SUM(C2:C16)&lt;1),COUNTIF($B$2:$B$23,C$1),0)</f>
        <v>#N/A</v>
      </c>
      <c r="D17" s="61" t="e">
        <f t="shared" ref="D17:F17" si="27">IF(AND($B17=D$1,SUM(D2:D16)&lt;1),COUNTIF($B$2:$B$23,D$1),0)</f>
        <v>#N/A</v>
      </c>
      <c r="E17" s="61" t="e">
        <f t="shared" si="27"/>
        <v>#N/A</v>
      </c>
      <c r="F17" s="61" t="e">
        <f t="shared" si="27"/>
        <v>#N/A</v>
      </c>
      <c r="G17" s="60" t="e">
        <f t="shared" si="4"/>
        <v>#N/A</v>
      </c>
      <c r="H17" s="134" t="str">
        <f t="shared" si="5"/>
        <v/>
      </c>
      <c r="K17" s="61" t="str">
        <f t="shared" si="6"/>
        <v/>
      </c>
      <c r="L17" s="61" t="e">
        <f t="shared" si="24"/>
        <v>#N/A</v>
      </c>
      <c r="M17" s="61" t="str">
        <f t="shared" si="7"/>
        <v/>
      </c>
      <c r="O17" s="174"/>
      <c r="P17" s="6">
        <f t="shared" si="13"/>
        <v>16</v>
      </c>
      <c r="Q17" s="25" t="str">
        <f t="shared" si="8"/>
        <v/>
      </c>
      <c r="R17" s="25"/>
      <c r="S17" s="25" t="str">
        <f t="shared" si="2"/>
        <v/>
      </c>
      <c r="T17" s="25" t="e">
        <f t="shared" si="9"/>
        <v>#NUM!</v>
      </c>
      <c r="U17" s="25" t="str">
        <f t="shared" si="10"/>
        <v/>
      </c>
      <c r="V17" s="8" t="str">
        <f t="shared" si="11"/>
        <v/>
      </c>
      <c r="W17" s="186" t="s">
        <v>101</v>
      </c>
    </row>
    <row r="18" spans="1:23" s="61" customFormat="1">
      <c r="A18" s="61">
        <v>17</v>
      </c>
      <c r="B18" s="152" t="str">
        <f>IF(builder!N69&lt;&gt;"",builder!N69,"")</f>
        <v/>
      </c>
      <c r="C18" s="61" t="e">
        <f>IF(AND($B18=C$1,SUM(C2:C17)&lt;1),COUNTIF($B$2:$B$23,C$1),0)</f>
        <v>#N/A</v>
      </c>
      <c r="D18" s="61" t="e">
        <f t="shared" ref="D18:F18" si="28">IF(AND($B18=D$1,SUM(D2:D17)&lt;1),COUNTIF($B$2:$B$23,D$1),0)</f>
        <v>#N/A</v>
      </c>
      <c r="E18" s="61" t="e">
        <f t="shared" si="28"/>
        <v>#N/A</v>
      </c>
      <c r="F18" s="61" t="e">
        <f t="shared" si="28"/>
        <v>#N/A</v>
      </c>
      <c r="G18" s="60" t="e">
        <f t="shared" si="4"/>
        <v>#N/A</v>
      </c>
      <c r="H18" s="134" t="str">
        <f t="shared" si="5"/>
        <v/>
      </c>
      <c r="K18" s="61" t="str">
        <f t="shared" si="6"/>
        <v/>
      </c>
      <c r="L18" s="61" t="e">
        <f t="shared" si="24"/>
        <v>#N/A</v>
      </c>
      <c r="M18" s="61" t="str">
        <f t="shared" si="7"/>
        <v/>
      </c>
      <c r="O18" s="174"/>
      <c r="P18" s="6">
        <f t="shared" si="13"/>
        <v>17</v>
      </c>
      <c r="Q18" s="25" t="str">
        <f t="shared" si="8"/>
        <v/>
      </c>
      <c r="R18" s="25"/>
      <c r="S18" s="25" t="str">
        <f t="shared" si="2"/>
        <v/>
      </c>
      <c r="T18" s="25" t="e">
        <f t="shared" si="9"/>
        <v>#NUM!</v>
      </c>
      <c r="U18" s="25" t="str">
        <f t="shared" si="10"/>
        <v/>
      </c>
      <c r="V18" s="8" t="str">
        <f t="shared" si="11"/>
        <v/>
      </c>
      <c r="W18" s="186" t="s">
        <v>101</v>
      </c>
    </row>
    <row r="19" spans="1:23" s="61" customFormat="1">
      <c r="A19" s="61">
        <v>18</v>
      </c>
      <c r="B19" s="152" t="str">
        <f>IF(builder!N70&lt;&gt;"",builder!N70,"")</f>
        <v/>
      </c>
      <c r="C19" s="61" t="e">
        <f>IF(AND($B19=C$1,SUM(C2:C18)&lt;1),COUNTIF($B$2:$B$23,C$1),0)</f>
        <v>#N/A</v>
      </c>
      <c r="D19" s="61" t="e">
        <f t="shared" ref="D19:F19" si="29">IF(AND($B19=D$1,SUM(D2:D18)&lt;1),COUNTIF($B$2:$B$23,D$1),0)</f>
        <v>#N/A</v>
      </c>
      <c r="E19" s="61" t="e">
        <f t="shared" si="29"/>
        <v>#N/A</v>
      </c>
      <c r="F19" s="61" t="e">
        <f t="shared" si="29"/>
        <v>#N/A</v>
      </c>
      <c r="G19" s="60" t="e">
        <f t="shared" si="4"/>
        <v>#N/A</v>
      </c>
      <c r="H19" s="134" t="str">
        <f t="shared" si="5"/>
        <v/>
      </c>
      <c r="K19" s="61" t="str">
        <f t="shared" si="6"/>
        <v/>
      </c>
      <c r="L19" s="61" t="e">
        <f t="shared" si="24"/>
        <v>#N/A</v>
      </c>
      <c r="M19" s="61" t="str">
        <f t="shared" si="7"/>
        <v/>
      </c>
      <c r="O19" s="174"/>
      <c r="P19" s="6">
        <f t="shared" si="13"/>
        <v>18</v>
      </c>
      <c r="Q19" s="25" t="str">
        <f t="shared" si="8"/>
        <v/>
      </c>
      <c r="R19" s="25"/>
      <c r="S19" s="25" t="str">
        <f t="shared" si="2"/>
        <v/>
      </c>
      <c r="T19" s="25" t="e">
        <f t="shared" si="9"/>
        <v>#NUM!</v>
      </c>
      <c r="U19" s="25" t="str">
        <f t="shared" si="10"/>
        <v/>
      </c>
      <c r="V19" s="8" t="str">
        <f t="shared" si="11"/>
        <v/>
      </c>
      <c r="W19" s="186" t="s">
        <v>101</v>
      </c>
    </row>
    <row r="20" spans="1:23" s="61" customFormat="1">
      <c r="A20" s="61">
        <v>19</v>
      </c>
      <c r="B20" s="152" t="str">
        <f>IF(builder!N71&lt;&gt;"",builder!N71,"")</f>
        <v/>
      </c>
      <c r="C20" s="61" t="e">
        <f>IF(AND($B20=C$1,SUM(C2:C19)&lt;1),COUNTIF($B$2:$B$23,C$1),0)</f>
        <v>#N/A</v>
      </c>
      <c r="D20" s="61" t="e">
        <f t="shared" ref="D20:F20" si="30">IF(AND($B20=D$1,SUM(D2:D19)&lt;1),COUNTIF($B$2:$B$23,D$1),0)</f>
        <v>#N/A</v>
      </c>
      <c r="E20" s="61" t="e">
        <f t="shared" si="30"/>
        <v>#N/A</v>
      </c>
      <c r="F20" s="61" t="e">
        <f t="shared" si="30"/>
        <v>#N/A</v>
      </c>
      <c r="G20" s="60" t="e">
        <f t="shared" si="4"/>
        <v>#N/A</v>
      </c>
      <c r="H20" s="134" t="str">
        <f t="shared" si="5"/>
        <v/>
      </c>
      <c r="K20" s="61" t="str">
        <f t="shared" si="6"/>
        <v/>
      </c>
      <c r="L20" s="61" t="e">
        <f t="shared" si="24"/>
        <v>#N/A</v>
      </c>
      <c r="M20" s="61" t="str">
        <f t="shared" si="7"/>
        <v/>
      </c>
      <c r="O20" s="174"/>
      <c r="P20" s="6">
        <f t="shared" si="13"/>
        <v>19</v>
      </c>
      <c r="Q20" s="25" t="str">
        <f t="shared" si="8"/>
        <v/>
      </c>
      <c r="R20" s="25"/>
      <c r="S20" s="25" t="str">
        <f t="shared" si="2"/>
        <v/>
      </c>
      <c r="T20" s="25" t="e">
        <f t="shared" si="9"/>
        <v>#NUM!</v>
      </c>
      <c r="U20" s="25" t="str">
        <f t="shared" si="10"/>
        <v/>
      </c>
      <c r="V20" s="8" t="str">
        <f t="shared" si="11"/>
        <v/>
      </c>
      <c r="W20" s="186" t="s">
        <v>101</v>
      </c>
    </row>
    <row r="21" spans="1:23" s="61" customFormat="1">
      <c r="A21" s="61">
        <v>20</v>
      </c>
      <c r="B21" s="152" t="str">
        <f>IF(builder!N72&lt;&gt;"",builder!N72,"")</f>
        <v/>
      </c>
      <c r="C21" s="61" t="e">
        <f>IF(AND($B21=C$1,SUM(C2:C20)&lt;1),COUNTIF($B$2:$B$23,C$1),0)</f>
        <v>#N/A</v>
      </c>
      <c r="D21" s="61" t="e">
        <f t="shared" ref="D21:F21" si="31">IF(AND($B21=D$1,SUM(D2:D20)&lt;1),COUNTIF($B$2:$B$23,D$1),0)</f>
        <v>#N/A</v>
      </c>
      <c r="E21" s="61" t="e">
        <f t="shared" si="31"/>
        <v>#N/A</v>
      </c>
      <c r="F21" s="61" t="e">
        <f t="shared" si="31"/>
        <v>#N/A</v>
      </c>
      <c r="G21" s="60" t="e">
        <f t="shared" si="4"/>
        <v>#N/A</v>
      </c>
      <c r="H21" s="134" t="str">
        <f t="shared" si="5"/>
        <v/>
      </c>
      <c r="K21" s="61" t="str">
        <f t="shared" si="6"/>
        <v/>
      </c>
      <c r="L21" s="61" t="e">
        <f t="shared" si="24"/>
        <v>#N/A</v>
      </c>
      <c r="M21" s="61" t="str">
        <f t="shared" si="7"/>
        <v/>
      </c>
      <c r="O21" s="174"/>
      <c r="P21" s="6">
        <f t="shared" si="13"/>
        <v>20</v>
      </c>
      <c r="Q21" s="25" t="str">
        <f t="shared" si="8"/>
        <v/>
      </c>
      <c r="R21" s="25"/>
      <c r="S21" s="25" t="str">
        <f t="shared" si="2"/>
        <v/>
      </c>
      <c r="T21" s="25" t="e">
        <f t="shared" si="9"/>
        <v>#NUM!</v>
      </c>
      <c r="U21" s="25" t="str">
        <f t="shared" si="10"/>
        <v/>
      </c>
      <c r="V21" s="8" t="str">
        <f t="shared" si="11"/>
        <v/>
      </c>
      <c r="W21" s="186" t="s">
        <v>101</v>
      </c>
    </row>
    <row r="22" spans="1:23" s="61" customFormat="1">
      <c r="A22" s="61">
        <v>21</v>
      </c>
      <c r="B22" s="152" t="str">
        <f>IF(builder!N73&lt;&gt;"",builder!N73,"")</f>
        <v/>
      </c>
      <c r="C22" s="61" t="e">
        <f>IF(AND($B22=C$1,SUM(C2:C21)&lt;1),COUNTIF($B$2:$B$23,C$1),0)</f>
        <v>#N/A</v>
      </c>
      <c r="D22" s="61" t="e">
        <f t="shared" ref="D22:F22" si="32">IF(AND($B22=D$1,SUM(D2:D21)&lt;1),COUNTIF($B$2:$B$23,D$1),0)</f>
        <v>#N/A</v>
      </c>
      <c r="E22" s="61" t="e">
        <f t="shared" si="32"/>
        <v>#N/A</v>
      </c>
      <c r="F22" s="61" t="e">
        <f t="shared" si="32"/>
        <v>#N/A</v>
      </c>
      <c r="G22" s="60" t="e">
        <f t="shared" si="4"/>
        <v>#N/A</v>
      </c>
      <c r="H22" s="134" t="str">
        <f t="shared" si="5"/>
        <v/>
      </c>
      <c r="K22" s="61" t="str">
        <f t="shared" si="6"/>
        <v/>
      </c>
      <c r="L22" s="61" t="e">
        <f t="shared" si="24"/>
        <v>#N/A</v>
      </c>
      <c r="M22" s="61" t="str">
        <f t="shared" si="7"/>
        <v/>
      </c>
      <c r="O22" s="174"/>
      <c r="P22" s="6">
        <f t="shared" si="13"/>
        <v>21</v>
      </c>
      <c r="Q22" s="25" t="str">
        <f t="shared" si="8"/>
        <v/>
      </c>
      <c r="R22" s="25"/>
      <c r="S22" s="25" t="str">
        <f t="shared" si="2"/>
        <v/>
      </c>
      <c r="T22" s="25" t="e">
        <f t="shared" si="9"/>
        <v>#NUM!</v>
      </c>
      <c r="U22" s="25" t="str">
        <f t="shared" si="10"/>
        <v/>
      </c>
      <c r="V22" s="8" t="str">
        <f t="shared" si="11"/>
        <v/>
      </c>
      <c r="W22" s="186" t="s">
        <v>101</v>
      </c>
    </row>
    <row r="23" spans="1:23" s="61" customFormat="1">
      <c r="A23" s="61">
        <v>22</v>
      </c>
      <c r="B23" s="152" t="str">
        <f>IF(builder!N74&lt;&gt;"",builder!N74,"")</f>
        <v/>
      </c>
      <c r="C23" s="61" t="e">
        <f>IF(AND($B23=C$1,SUM(C2:C22)&lt;1),COUNTIF($B$2:$B$23,C$1),0)</f>
        <v>#N/A</v>
      </c>
      <c r="D23" s="61" t="e">
        <f t="shared" ref="D23:F23" si="33">IF(AND($B23=D$1,SUM(D2:D22)&lt;1),COUNTIF($B$2:$B$23,D$1),0)</f>
        <v>#N/A</v>
      </c>
      <c r="E23" s="61" t="e">
        <f t="shared" si="33"/>
        <v>#N/A</v>
      </c>
      <c r="F23" s="61" t="e">
        <f t="shared" si="33"/>
        <v>#N/A</v>
      </c>
      <c r="G23" s="60" t="e">
        <f t="shared" si="4"/>
        <v>#N/A</v>
      </c>
      <c r="H23" s="134" t="str">
        <f t="shared" si="5"/>
        <v/>
      </c>
      <c r="K23" s="61" t="str">
        <f t="shared" si="6"/>
        <v/>
      </c>
      <c r="L23" s="61" t="e">
        <f t="shared" si="24"/>
        <v>#N/A</v>
      </c>
      <c r="M23" s="61" t="str">
        <f t="shared" si="7"/>
        <v/>
      </c>
      <c r="O23" s="174"/>
      <c r="P23" s="6">
        <f t="shared" si="13"/>
        <v>22</v>
      </c>
      <c r="Q23" s="25" t="str">
        <f t="shared" si="8"/>
        <v/>
      </c>
      <c r="R23" s="25"/>
      <c r="S23" s="25" t="str">
        <f t="shared" si="2"/>
        <v/>
      </c>
      <c r="T23" s="25" t="e">
        <f t="shared" si="9"/>
        <v>#NUM!</v>
      </c>
      <c r="U23" s="25" t="str">
        <f t="shared" si="10"/>
        <v/>
      </c>
      <c r="V23" s="8" t="str">
        <f t="shared" si="11"/>
        <v/>
      </c>
      <c r="W23" s="186" t="s">
        <v>101</v>
      </c>
    </row>
    <row r="24" spans="1:23" s="24" customFormat="1">
      <c r="A24" s="61">
        <v>23</v>
      </c>
      <c r="B24" s="26" t="e">
        <f>IF(E24&lt;&gt;0,CONCATENATE(E1," x ",E24),"")</f>
        <v>#N/A</v>
      </c>
      <c r="C24" s="24" t="e">
        <f>SUM(C2:C23)</f>
        <v>#N/A</v>
      </c>
      <c r="D24" s="61" t="e">
        <f t="shared" ref="D24:F24" si="34">SUM(D2:D23)</f>
        <v>#N/A</v>
      </c>
      <c r="E24" s="61" t="e">
        <f t="shared" si="34"/>
        <v>#N/A</v>
      </c>
      <c r="F24" s="61" t="e">
        <f t="shared" si="34"/>
        <v>#N/A</v>
      </c>
      <c r="G24" s="60" t="e">
        <f t="shared" si="4"/>
        <v>#N/A</v>
      </c>
      <c r="H24" s="56"/>
      <c r="K24" s="24" t="e">
        <f>IF(B24&lt;&gt;"",A24,"")</f>
        <v>#N/A</v>
      </c>
      <c r="L24" s="61" t="e">
        <f t="shared" si="24"/>
        <v>#N/A</v>
      </c>
      <c r="M24" s="61" t="str">
        <f t="shared" si="7"/>
        <v/>
      </c>
      <c r="O24" s="174"/>
      <c r="P24" s="6">
        <f t="shared" si="13"/>
        <v>23</v>
      </c>
      <c r="Q24" s="25" t="str">
        <f t="shared" si="8"/>
        <v/>
      </c>
      <c r="R24" s="25"/>
      <c r="S24" s="25" t="str">
        <f t="shared" si="2"/>
        <v/>
      </c>
      <c r="T24" s="25" t="e">
        <f t="shared" si="9"/>
        <v>#NUM!</v>
      </c>
      <c r="U24" s="25" t="str">
        <f t="shared" si="10"/>
        <v/>
      </c>
      <c r="V24" s="8" t="str">
        <f t="shared" si="11"/>
        <v/>
      </c>
      <c r="W24" s="186" t="s">
        <v>101</v>
      </c>
    </row>
    <row r="25" spans="1:23" s="24" customFormat="1">
      <c r="A25" s="61">
        <v>24</v>
      </c>
      <c r="B25" s="26" t="e">
        <f>IF(F24&lt;&gt;0,CONCATENATE(F1," x ",F24),"")</f>
        <v>#N/A</v>
      </c>
      <c r="K25" s="24" t="e">
        <f t="shared" ref="K25:K26" si="35">IF(B25&lt;&gt;"",A25,"")</f>
        <v>#N/A</v>
      </c>
      <c r="L25" s="61" t="e">
        <f t="shared" si="24"/>
        <v>#N/A</v>
      </c>
      <c r="M25" s="61" t="str">
        <f t="shared" si="7"/>
        <v/>
      </c>
      <c r="O25" s="174"/>
      <c r="P25" s="6">
        <f t="shared" si="13"/>
        <v>24</v>
      </c>
      <c r="Q25" s="25" t="str">
        <f t="shared" si="8"/>
        <v/>
      </c>
      <c r="R25" s="25"/>
      <c r="S25" s="25" t="str">
        <f t="shared" si="2"/>
        <v/>
      </c>
      <c r="T25" s="25" t="e">
        <f t="shared" si="9"/>
        <v>#NUM!</v>
      </c>
      <c r="U25" s="25" t="str">
        <f t="shared" si="10"/>
        <v/>
      </c>
      <c r="V25" s="8" t="str">
        <f t="shared" si="11"/>
        <v/>
      </c>
      <c r="W25" s="186" t="s">
        <v>101</v>
      </c>
    </row>
    <row r="26" spans="1:23" s="24" customFormat="1">
      <c r="A26" s="61">
        <v>25</v>
      </c>
      <c r="B26" s="26" t="e">
        <f>IF(D24&lt;&gt;0,CONCATENATE(D1," x ",D24),"")</f>
        <v>#N/A</v>
      </c>
      <c r="K26" s="24" t="e">
        <f t="shared" si="35"/>
        <v>#N/A</v>
      </c>
      <c r="L26" s="61" t="e">
        <f t="shared" si="24"/>
        <v>#N/A</v>
      </c>
      <c r="M26" s="61" t="str">
        <f t="shared" si="7"/>
        <v/>
      </c>
      <c r="O26" s="174"/>
      <c r="P26" s="6">
        <f t="shared" si="13"/>
        <v>25</v>
      </c>
      <c r="Q26" s="25" t="str">
        <f t="shared" si="8"/>
        <v/>
      </c>
      <c r="R26" s="25"/>
      <c r="S26" s="25" t="str">
        <f t="shared" si="2"/>
        <v/>
      </c>
      <c r="T26" s="25" t="e">
        <f t="shared" si="9"/>
        <v>#NUM!</v>
      </c>
      <c r="U26" s="25" t="str">
        <f t="shared" si="10"/>
        <v/>
      </c>
      <c r="V26" s="8" t="str">
        <f t="shared" si="11"/>
        <v/>
      </c>
      <c r="W26" s="186" t="s">
        <v>101</v>
      </c>
    </row>
    <row r="27" spans="1:23" s="24" customFormat="1">
      <c r="A27" s="61">
        <v>26</v>
      </c>
      <c r="B27" s="26" t="e">
        <f>IF(C24&lt;&gt;0,CONCATENATE(C1," (",builder!B112,") x ",C24),"")</f>
        <v>#N/A</v>
      </c>
      <c r="K27" s="24" t="e">
        <f>IF(B27&lt;&gt;"",A27,"")</f>
        <v>#N/A</v>
      </c>
      <c r="L27" s="61" t="e">
        <f t="shared" si="24"/>
        <v>#N/A</v>
      </c>
      <c r="M27" s="61" t="str">
        <f t="shared" si="7"/>
        <v/>
      </c>
      <c r="O27" s="174"/>
      <c r="P27" s="6">
        <f t="shared" si="13"/>
        <v>26</v>
      </c>
      <c r="Q27" s="25" t="str">
        <f t="shared" si="8"/>
        <v/>
      </c>
      <c r="R27" s="25"/>
      <c r="S27" s="25" t="str">
        <f t="shared" si="2"/>
        <v/>
      </c>
      <c r="T27" s="25" t="e">
        <f t="shared" si="9"/>
        <v>#NUM!</v>
      </c>
      <c r="U27" s="25" t="str">
        <f t="shared" si="10"/>
        <v/>
      </c>
      <c r="V27" s="8" t="str">
        <f t="shared" si="11"/>
        <v/>
      </c>
    </row>
    <row r="28" spans="1:23">
      <c r="B28" s="24"/>
      <c r="G28" s="24"/>
      <c r="H28" s="24"/>
      <c r="I28" s="24"/>
      <c r="J28" s="24"/>
      <c r="K28" s="24"/>
      <c r="L28" s="24"/>
      <c r="M28" s="24"/>
      <c r="P28" s="6">
        <f t="shared" si="13"/>
        <v>27</v>
      </c>
      <c r="Q28" s="25" t="s">
        <v>617</v>
      </c>
      <c r="R28" s="183" t="s">
        <v>101</v>
      </c>
      <c r="S28" s="25">
        <f t="shared" si="2"/>
        <v>27</v>
      </c>
      <c r="T28" s="25" t="e">
        <f t="shared" si="9"/>
        <v>#NUM!</v>
      </c>
      <c r="U28" s="25" t="str">
        <f t="shared" si="10"/>
        <v/>
      </c>
      <c r="V28" s="8" t="str">
        <f t="shared" si="11"/>
        <v/>
      </c>
    </row>
    <row r="29" spans="1:23" s="24" customFormat="1">
      <c r="O29" s="174"/>
      <c r="P29" s="6">
        <f t="shared" si="13"/>
        <v>28</v>
      </c>
      <c r="Q29" s="25" t="str">
        <f>print!B104</f>
        <v/>
      </c>
      <c r="R29" s="25" t="str">
        <f>print!B105</f>
        <v/>
      </c>
      <c r="S29" s="25" t="str">
        <f t="shared" si="2"/>
        <v/>
      </c>
      <c r="T29" s="25" t="e">
        <f t="shared" si="9"/>
        <v>#NUM!</v>
      </c>
      <c r="U29" s="25" t="str">
        <f t="shared" si="10"/>
        <v/>
      </c>
      <c r="V29" s="8" t="str">
        <f t="shared" si="11"/>
        <v/>
      </c>
    </row>
    <row r="30" spans="1:23">
      <c r="B30" s="24" t="s">
        <v>828</v>
      </c>
      <c r="G30" s="24" t="s">
        <v>194</v>
      </c>
      <c r="H30" s="24" t="str">
        <f>builder!B112</f>
        <v/>
      </c>
      <c r="I30" s="24"/>
      <c r="J30" s="24"/>
      <c r="L30" s="24" t="s">
        <v>617</v>
      </c>
      <c r="M30" s="24"/>
      <c r="P30" s="6">
        <f t="shared" si="13"/>
        <v>29</v>
      </c>
      <c r="Q30" s="25" t="str">
        <f>print!B107</f>
        <v/>
      </c>
      <c r="R30" s="25" t="str">
        <f>print!B108</f>
        <v/>
      </c>
      <c r="S30" s="25" t="str">
        <f t="shared" si="2"/>
        <v/>
      </c>
      <c r="T30" s="25" t="e">
        <f t="shared" si="9"/>
        <v>#NUM!</v>
      </c>
      <c r="U30" s="25" t="str">
        <f t="shared" si="10"/>
        <v/>
      </c>
      <c r="V30" s="8" t="str">
        <f t="shared" si="11"/>
        <v/>
      </c>
    </row>
    <row r="31" spans="1:23">
      <c r="A31" s="24">
        <v>1</v>
      </c>
      <c r="B31" s="52" t="str">
        <f>IF(styles!H52&lt;&gt;"",styles!H52,"")</f>
        <v/>
      </c>
      <c r="C31" s="52" t="str">
        <f>IF(B31&lt;&gt;"",A31,"")</f>
        <v/>
      </c>
      <c r="D31" s="52">
        <f>SMALL($C$31:$C$40,A31)</f>
        <v>4</v>
      </c>
      <c r="E31" s="52" t="str">
        <f>IF(ISERROR(D31),"",VLOOKUP(D31,$A$31:$B$40,2))</f>
        <v>Legend</v>
      </c>
      <c r="F31">
        <v>1</v>
      </c>
      <c r="G31" s="52" t="str">
        <f>IF(builder!B118&lt;&gt;"",builder!B118,IF(AND(builder!$B$112=builder!$AM$118,builder!G133&lt;&gt;""),builder!G133,""))</f>
        <v/>
      </c>
      <c r="H31" s="52" t="str">
        <f>IF(G31&lt;&gt;"",F31,"")</f>
        <v/>
      </c>
      <c r="I31" s="52" t="e">
        <f>SMALL($H$31:$H$37,F31)</f>
        <v>#NUM!</v>
      </c>
      <c r="J31" s="52" t="str">
        <f>IF(ISERROR(I31),"",VLOOKUP(I31,$F$31:$G$37,2))</f>
        <v/>
      </c>
      <c r="K31" s="24">
        <v>1</v>
      </c>
      <c r="L31" s="24" t="str">
        <f>IF(builder!B106&lt;&gt;"",builder!B106,"")</f>
        <v/>
      </c>
      <c r="M31" s="52" t="str">
        <f>IF(L31&lt;&gt;"",K31,"")</f>
        <v/>
      </c>
      <c r="N31" s="52" t="e">
        <f>SMALL($M$31:$M$33,K31)</f>
        <v>#NUM!</v>
      </c>
      <c r="O31" s="52" t="str">
        <f>IF(ISERROR(N31),"",VLOOKUP(N31,$K$31:$L$37,2))</f>
        <v/>
      </c>
      <c r="P31" s="6">
        <f t="shared" si="13"/>
        <v>30</v>
      </c>
      <c r="Q31" s="25" t="str">
        <f>print!B110</f>
        <v/>
      </c>
      <c r="R31" s="25" t="str">
        <f>print!B111</f>
        <v/>
      </c>
      <c r="S31" s="25" t="str">
        <f t="shared" si="2"/>
        <v/>
      </c>
      <c r="T31" s="25" t="e">
        <f t="shared" si="9"/>
        <v>#NUM!</v>
      </c>
      <c r="U31" s="25" t="str">
        <f t="shared" si="10"/>
        <v/>
      </c>
      <c r="V31" s="8" t="str">
        <f t="shared" si="11"/>
        <v/>
      </c>
    </row>
    <row r="32" spans="1:23">
      <c r="A32" s="24">
        <v>2</v>
      </c>
      <c r="B32" s="52" t="str">
        <f>IF(styles!H53&lt;&gt;"",styles!H53,"")</f>
        <v/>
      </c>
      <c r="C32" s="52" t="str">
        <f t="shared" ref="C32:C50" si="36">IF(B32&lt;&gt;"",A32,"")</f>
        <v/>
      </c>
      <c r="D32" s="52">
        <f t="shared" ref="D32:D40" si="37">SMALL($C$31:$C$40,A32)</f>
        <v>5</v>
      </c>
      <c r="E32" s="52" t="str">
        <f t="shared" ref="E32:E40" si="38">IF(ISERROR(D32),"",VLOOKUP(D32,$A$31:$B$40,2))</f>
        <v>Mad Luck</v>
      </c>
      <c r="F32">
        <v>2</v>
      </c>
      <c r="G32" s="52" t="str">
        <f>IF(builder!B119&lt;&gt;"",builder!B119,IF(AND(builder!$B$112=builder!$AM$118,builder!G134&lt;&gt;""),builder!G134,""))</f>
        <v/>
      </c>
      <c r="H32" s="52" t="str">
        <f t="shared" ref="H32:H37" si="39">IF(G32&lt;&gt;"",F32,"")</f>
        <v/>
      </c>
      <c r="I32" s="52" t="e">
        <f t="shared" ref="I32:I37" si="40">SMALL($H$31:$H$37,F32)</f>
        <v>#NUM!</v>
      </c>
      <c r="J32" s="52" t="str">
        <f t="shared" ref="J32:J37" si="41">IF(ISERROR(I32),"",VLOOKUP(I32,$F$31:$G$37,2))</f>
        <v/>
      </c>
      <c r="K32" s="24">
        <v>2</v>
      </c>
      <c r="L32" s="174" t="str">
        <f>IF(builder!B107&lt;&gt;"",builder!B107,"")</f>
        <v/>
      </c>
      <c r="M32" s="52" t="str">
        <f t="shared" ref="M32:M33" si="42">IF(L32&lt;&gt;"",K32,"")</f>
        <v/>
      </c>
      <c r="N32" s="52" t="e">
        <f t="shared" ref="N32:N33" si="43">SMALL($M$31:$M$33,K32)</f>
        <v>#NUM!</v>
      </c>
      <c r="O32" s="52" t="str">
        <f t="shared" ref="O32:O33" si="44">IF(ISERROR(N32),"",VLOOKUP(N32,$K$31:$L$37,2))</f>
        <v/>
      </c>
      <c r="P32" s="6">
        <f t="shared" si="13"/>
        <v>31</v>
      </c>
      <c r="Q32" s="25" t="str">
        <f>print!B113</f>
        <v/>
      </c>
      <c r="R32" s="25" t="str">
        <f>print!B114</f>
        <v/>
      </c>
      <c r="S32" s="25" t="str">
        <f t="shared" si="2"/>
        <v/>
      </c>
      <c r="T32" s="25" t="e">
        <f t="shared" si="9"/>
        <v>#NUM!</v>
      </c>
      <c r="U32" s="25" t="str">
        <f t="shared" si="10"/>
        <v/>
      </c>
      <c r="V32" s="8" t="str">
        <f t="shared" si="11"/>
        <v/>
      </c>
    </row>
    <row r="33" spans="1:22">
      <c r="A33" s="24">
        <v>3</v>
      </c>
      <c r="B33" s="52" t="str">
        <f>IF(styles!H54&lt;&gt;"",styles!H54,"")</f>
        <v/>
      </c>
      <c r="C33" s="52" t="str">
        <f t="shared" si="36"/>
        <v/>
      </c>
      <c r="D33" s="52">
        <f t="shared" si="37"/>
        <v>6</v>
      </c>
      <c r="E33" s="52" t="str">
        <f t="shared" si="38"/>
        <v>Mythic</v>
      </c>
      <c r="F33">
        <v>3</v>
      </c>
      <c r="G33" s="52" t="str">
        <f>IF(builder!B120&lt;&gt;"",builder!B120,IF(AND(builder!$B$112=builder!$AM$118,builder!G135&lt;&gt;""),builder!G135,""))</f>
        <v/>
      </c>
      <c r="H33" s="52" t="str">
        <f t="shared" si="39"/>
        <v/>
      </c>
      <c r="I33" s="52" t="e">
        <f t="shared" si="40"/>
        <v>#NUM!</v>
      </c>
      <c r="J33" s="52" t="str">
        <f t="shared" si="41"/>
        <v/>
      </c>
      <c r="K33" s="24">
        <v>3</v>
      </c>
      <c r="L33" s="174" t="str">
        <f>IF(builder!B108&lt;&gt;"",builder!B108,"")</f>
        <v/>
      </c>
      <c r="M33" s="52" t="str">
        <f t="shared" si="42"/>
        <v/>
      </c>
      <c r="N33" s="52" t="e">
        <f t="shared" si="43"/>
        <v>#NUM!</v>
      </c>
      <c r="O33" s="52" t="str">
        <f t="shared" si="44"/>
        <v/>
      </c>
      <c r="P33" s="6">
        <f t="shared" si="13"/>
        <v>32</v>
      </c>
      <c r="Q33" s="25" t="str">
        <f>print!B115</f>
        <v/>
      </c>
      <c r="R33" s="25" t="str">
        <f>print!B116</f>
        <v/>
      </c>
      <c r="S33" s="25" t="str">
        <f t="shared" si="2"/>
        <v/>
      </c>
      <c r="T33" s="25" t="e">
        <f t="shared" si="9"/>
        <v>#NUM!</v>
      </c>
      <c r="U33" s="25" t="str">
        <f t="shared" si="10"/>
        <v/>
      </c>
      <c r="V33" s="8" t="str">
        <f t="shared" si="11"/>
        <v/>
      </c>
    </row>
    <row r="34" spans="1:22">
      <c r="A34" s="24">
        <v>4</v>
      </c>
      <c r="B34" s="52" t="str">
        <f>IF(styles!H55&lt;&gt;"",styles!H55,"")</f>
        <v>Legend</v>
      </c>
      <c r="C34" s="52">
        <f t="shared" si="36"/>
        <v>4</v>
      </c>
      <c r="D34" s="52" t="e">
        <f t="shared" si="37"/>
        <v>#NUM!</v>
      </c>
      <c r="E34" s="52" t="str">
        <f t="shared" si="38"/>
        <v/>
      </c>
      <c r="F34">
        <v>4</v>
      </c>
      <c r="G34" s="52" t="str">
        <f>IF(builder!B121&lt;&gt;"",builder!B121,IF(AND(builder!$B$112=builder!$AM$118,builder!G136&lt;&gt;""),builder!G136,""))</f>
        <v/>
      </c>
      <c r="H34" s="52" t="str">
        <f t="shared" si="39"/>
        <v/>
      </c>
      <c r="I34" s="52" t="e">
        <f t="shared" si="40"/>
        <v>#NUM!</v>
      </c>
      <c r="J34" s="52" t="str">
        <f t="shared" si="41"/>
        <v/>
      </c>
      <c r="K34" s="24"/>
      <c r="L34" s="24"/>
      <c r="M34" s="24"/>
      <c r="P34" s="6">
        <f t="shared" si="13"/>
        <v>33</v>
      </c>
      <c r="Q34" s="25" t="str">
        <f>print!B117</f>
        <v/>
      </c>
      <c r="R34" s="25" t="str">
        <f>print!B118</f>
        <v/>
      </c>
      <c r="S34" s="25" t="str">
        <f t="shared" ref="S34:S56" si="45">IF(Q34&lt;&gt;"",P34,"")</f>
        <v/>
      </c>
      <c r="T34" s="25" t="e">
        <f t="shared" si="9"/>
        <v>#NUM!</v>
      </c>
      <c r="U34" s="25" t="str">
        <f t="shared" si="10"/>
        <v/>
      </c>
      <c r="V34" s="8" t="str">
        <f t="shared" si="11"/>
        <v/>
      </c>
    </row>
    <row r="35" spans="1:22">
      <c r="A35" s="24">
        <v>5</v>
      </c>
      <c r="B35" s="52" t="str">
        <f>IF(styles!H56&lt;&gt;"",styles!H56,"")</f>
        <v>Mad Luck</v>
      </c>
      <c r="C35" s="52">
        <f t="shared" si="36"/>
        <v>5</v>
      </c>
      <c r="D35" s="52" t="e">
        <f t="shared" si="37"/>
        <v>#NUM!</v>
      </c>
      <c r="E35" s="52" t="str">
        <f t="shared" si="38"/>
        <v/>
      </c>
      <c r="F35">
        <v>5</v>
      </c>
      <c r="G35" s="52" t="str">
        <f>IF(builder!B122&lt;&gt;"",builder!B122,IF(AND(builder!$B$112=builder!$AM$118,builder!G137&lt;&gt;""),builder!G137,""))</f>
        <v/>
      </c>
      <c r="H35" s="52" t="str">
        <f t="shared" si="39"/>
        <v/>
      </c>
      <c r="I35" s="52" t="e">
        <f t="shared" si="40"/>
        <v>#NUM!</v>
      </c>
      <c r="J35" s="52" t="str">
        <f t="shared" si="41"/>
        <v/>
      </c>
      <c r="K35" s="24"/>
      <c r="L35" s="24"/>
      <c r="M35" s="24"/>
      <c r="P35" s="6">
        <f t="shared" si="13"/>
        <v>34</v>
      </c>
      <c r="Q35" s="25" t="s">
        <v>194</v>
      </c>
      <c r="R35" s="25" t="str">
        <f>print!B123</f>
        <v/>
      </c>
      <c r="S35" s="25">
        <f t="shared" si="45"/>
        <v>34</v>
      </c>
      <c r="T35" s="25" t="e">
        <f t="shared" si="9"/>
        <v>#NUM!</v>
      </c>
      <c r="U35" s="25" t="str">
        <f t="shared" si="10"/>
        <v/>
      </c>
      <c r="V35" s="8" t="str">
        <f t="shared" si="11"/>
        <v/>
      </c>
    </row>
    <row r="36" spans="1:22">
      <c r="A36" s="24">
        <v>6</v>
      </c>
      <c r="B36" s="52" t="str">
        <f>IF(styles!H57&lt;&gt;"",styles!H57,"")</f>
        <v>Mythic</v>
      </c>
      <c r="C36" s="52">
        <f t="shared" si="36"/>
        <v>6</v>
      </c>
      <c r="D36" s="52" t="e">
        <f t="shared" si="37"/>
        <v>#NUM!</v>
      </c>
      <c r="E36" s="52" t="str">
        <f t="shared" si="38"/>
        <v/>
      </c>
      <c r="F36">
        <v>6</v>
      </c>
      <c r="G36" s="52" t="str">
        <f>IF(builder!B123&lt;&gt;"",builder!B123,IF(AND(builder!$B$112=builder!$AM$118,builder!G138&lt;&gt;""),builder!G138,""))</f>
        <v/>
      </c>
      <c r="H36" s="52" t="str">
        <f t="shared" si="39"/>
        <v/>
      </c>
      <c r="I36" s="52" t="e">
        <f t="shared" si="40"/>
        <v>#NUM!</v>
      </c>
      <c r="J36" s="52" t="str">
        <f t="shared" si="41"/>
        <v/>
      </c>
      <c r="K36" s="24"/>
      <c r="L36" s="24"/>
      <c r="M36" s="24"/>
      <c r="P36" s="6">
        <f t="shared" si="13"/>
        <v>35</v>
      </c>
      <c r="Q36" s="52" t="str">
        <f>J31</f>
        <v/>
      </c>
      <c r="R36" s="52" t="str">
        <f>print!B127</f>
        <v/>
      </c>
      <c r="S36" s="25" t="str">
        <f t="shared" si="45"/>
        <v/>
      </c>
      <c r="T36" s="25" t="e">
        <f t="shared" si="9"/>
        <v>#NUM!</v>
      </c>
      <c r="U36" s="25" t="str">
        <f t="shared" si="10"/>
        <v/>
      </c>
      <c r="V36" s="8" t="str">
        <f t="shared" si="11"/>
        <v/>
      </c>
    </row>
    <row r="37" spans="1:22">
      <c r="A37" s="24">
        <v>7</v>
      </c>
      <c r="B37" s="52" t="str">
        <f>IF(styles!H58&lt;&gt;"",styles!H58,"")</f>
        <v/>
      </c>
      <c r="C37" s="52" t="str">
        <f t="shared" si="36"/>
        <v/>
      </c>
      <c r="D37" s="52" t="e">
        <f t="shared" si="37"/>
        <v>#NUM!</v>
      </c>
      <c r="E37" s="52" t="str">
        <f t="shared" si="38"/>
        <v/>
      </c>
      <c r="F37">
        <v>7</v>
      </c>
      <c r="G37" s="52" t="str">
        <f>IF(builder!B124&lt;&gt;"",builder!B124,IF(AND(builder!$B$112=builder!$AM$118,builder!G139&lt;&gt;""),builder!G139,""))</f>
        <v/>
      </c>
      <c r="H37" s="52" t="str">
        <f t="shared" si="39"/>
        <v/>
      </c>
      <c r="I37" s="52" t="e">
        <f t="shared" si="40"/>
        <v>#NUM!</v>
      </c>
      <c r="J37" s="52" t="str">
        <f t="shared" si="41"/>
        <v/>
      </c>
      <c r="K37" s="24"/>
      <c r="L37" s="24"/>
      <c r="M37" s="24"/>
      <c r="P37" s="6">
        <f t="shared" si="13"/>
        <v>36</v>
      </c>
      <c r="Q37" s="52" t="str">
        <f t="shared" ref="Q37:Q42" si="46">J32</f>
        <v/>
      </c>
      <c r="R37" s="52" t="str">
        <f>print!B129</f>
        <v/>
      </c>
      <c r="S37" s="25" t="str">
        <f t="shared" si="45"/>
        <v/>
      </c>
      <c r="T37" s="25" t="e">
        <f t="shared" si="9"/>
        <v>#NUM!</v>
      </c>
      <c r="U37" s="25" t="str">
        <f t="shared" si="10"/>
        <v/>
      </c>
      <c r="V37" s="8" t="str">
        <f t="shared" si="11"/>
        <v/>
      </c>
    </row>
    <row r="38" spans="1:22">
      <c r="A38" s="24">
        <v>8</v>
      </c>
      <c r="B38" s="52" t="str">
        <f>IF(styles!H59&lt;&gt;"",styles!H59,"")</f>
        <v/>
      </c>
      <c r="C38" s="52" t="str">
        <f t="shared" si="36"/>
        <v/>
      </c>
      <c r="D38" s="52" t="e">
        <f t="shared" si="37"/>
        <v>#NUM!</v>
      </c>
      <c r="E38" s="53" t="str">
        <f t="shared" si="38"/>
        <v/>
      </c>
      <c r="F38">
        <v>1</v>
      </c>
      <c r="G38" s="53" t="str">
        <f>IF(builder!G118&lt;&gt;"",builder!G118,IF(AND(builder!B126&lt;&gt;"",OR(builder!$B$112=builder!$AM$118,builder!$B$112=builder!$AN$118)),builder!B126,""))</f>
        <v/>
      </c>
      <c r="H38" s="53" t="str">
        <f>IF(G38&lt;&gt;"",F38,"")</f>
        <v/>
      </c>
      <c r="I38" s="53" t="e">
        <f>SMALL($H$38:$H$51,F38)</f>
        <v>#NUM!</v>
      </c>
      <c r="J38" s="53" t="str">
        <f>IF(ISERROR(I38),"",VLOOKUP(I38,$F$38:$G$51,2))</f>
        <v/>
      </c>
      <c r="K38" s="24"/>
      <c r="L38" s="24"/>
      <c r="M38" s="24"/>
      <c r="P38" s="6">
        <f t="shared" si="13"/>
        <v>37</v>
      </c>
      <c r="Q38" s="52" t="str">
        <f t="shared" si="46"/>
        <v/>
      </c>
      <c r="R38" s="52" t="str">
        <f>print!B131</f>
        <v/>
      </c>
      <c r="S38" s="25" t="str">
        <f t="shared" si="45"/>
        <v/>
      </c>
      <c r="T38" s="25" t="e">
        <f t="shared" si="9"/>
        <v>#NUM!</v>
      </c>
      <c r="U38" s="25" t="str">
        <f t="shared" si="10"/>
        <v/>
      </c>
      <c r="V38" s="8" t="str">
        <f t="shared" si="11"/>
        <v/>
      </c>
    </row>
    <row r="39" spans="1:22">
      <c r="A39" s="24">
        <v>9</v>
      </c>
      <c r="B39" s="52" t="str">
        <f>IF(styles!H60&lt;&gt;"",styles!H60,"")</f>
        <v/>
      </c>
      <c r="C39" s="52" t="str">
        <f t="shared" si="36"/>
        <v/>
      </c>
      <c r="D39" s="52" t="e">
        <f t="shared" si="37"/>
        <v>#NUM!</v>
      </c>
      <c r="E39" s="53" t="str">
        <f t="shared" si="38"/>
        <v/>
      </c>
      <c r="F39">
        <v>2</v>
      </c>
      <c r="G39" s="53" t="str">
        <f>IF(builder!G119&lt;&gt;"",builder!G119,IF(AND(builder!B127&lt;&gt;"",OR(builder!$B$112=builder!$AM$118,builder!$B$112=builder!$AN$118)),builder!B127,""))</f>
        <v/>
      </c>
      <c r="H39" s="53" t="str">
        <f t="shared" ref="H39:H50" si="47">IF(G39&lt;&gt;"",F39,"")</f>
        <v/>
      </c>
      <c r="I39" s="53" t="e">
        <f t="shared" ref="I39:I51" si="48">SMALL($H$38:$H$51,F39)</f>
        <v>#NUM!</v>
      </c>
      <c r="J39" s="53" t="str">
        <f t="shared" ref="J39:J51" si="49">IF(ISERROR(I39),"",VLOOKUP(I39,$F$38:$G$51,2))</f>
        <v/>
      </c>
      <c r="K39" s="24"/>
      <c r="L39" s="24"/>
      <c r="M39" s="24"/>
      <c r="P39" s="6">
        <f t="shared" si="13"/>
        <v>38</v>
      </c>
      <c r="Q39" s="52" t="str">
        <f t="shared" si="46"/>
        <v/>
      </c>
      <c r="R39" s="52" t="str">
        <f>print!B133</f>
        <v/>
      </c>
      <c r="S39" s="25" t="str">
        <f t="shared" si="45"/>
        <v/>
      </c>
      <c r="T39" s="25" t="e">
        <f t="shared" si="9"/>
        <v>#NUM!</v>
      </c>
      <c r="U39" s="25" t="str">
        <f t="shared" si="10"/>
        <v/>
      </c>
      <c r="V39" s="8" t="str">
        <f t="shared" si="11"/>
        <v/>
      </c>
    </row>
    <row r="40" spans="1:22">
      <c r="A40" s="24">
        <v>10</v>
      </c>
      <c r="B40" s="52" t="str">
        <f>IF(styles!H61&lt;&gt;"",styles!H61,"")</f>
        <v/>
      </c>
      <c r="C40" s="52" t="str">
        <f t="shared" si="36"/>
        <v/>
      </c>
      <c r="D40" s="52" t="e">
        <f t="shared" si="37"/>
        <v>#NUM!</v>
      </c>
      <c r="E40" s="53" t="str">
        <f t="shared" si="38"/>
        <v/>
      </c>
      <c r="F40">
        <v>3</v>
      </c>
      <c r="G40" s="53" t="str">
        <f>IF(builder!G120&lt;&gt;"",builder!G120,IF(AND(builder!B128&lt;&gt;"",OR(builder!$B$112=builder!$AM$118,builder!$B$112=builder!$AN$118)),builder!B128,""))</f>
        <v/>
      </c>
      <c r="H40" s="53" t="str">
        <f t="shared" si="47"/>
        <v/>
      </c>
      <c r="I40" s="53" t="e">
        <f t="shared" si="48"/>
        <v>#NUM!</v>
      </c>
      <c r="J40" s="53" t="str">
        <f>IF(ISERROR(I40),"",VLOOKUP(I40,$F$38:$G$51,2))</f>
        <v/>
      </c>
      <c r="K40" s="24"/>
      <c r="L40" s="24"/>
      <c r="M40" s="24"/>
      <c r="P40" s="6">
        <f t="shared" si="13"/>
        <v>39</v>
      </c>
      <c r="Q40" s="52" t="str">
        <f t="shared" si="46"/>
        <v/>
      </c>
      <c r="R40" s="52" t="str">
        <f>print!B135</f>
        <v/>
      </c>
      <c r="S40" s="25" t="str">
        <f t="shared" si="45"/>
        <v/>
      </c>
      <c r="T40" s="25" t="e">
        <f t="shared" si="9"/>
        <v>#NUM!</v>
      </c>
      <c r="U40" s="25" t="str">
        <f t="shared" si="10"/>
        <v/>
      </c>
      <c r="V40" s="8" t="str">
        <f t="shared" si="11"/>
        <v/>
      </c>
    </row>
    <row r="41" spans="1:22">
      <c r="A41" s="24">
        <v>1</v>
      </c>
      <c r="B41" s="53" t="str">
        <f>IF(styles!M52&lt;&gt;"",styles!M52,"")</f>
        <v/>
      </c>
      <c r="C41" s="53" t="str">
        <f t="shared" si="36"/>
        <v/>
      </c>
      <c r="D41" s="53">
        <f>SMALL($C$41:$C$53,A41)</f>
        <v>3</v>
      </c>
      <c r="E41" s="53" t="str">
        <f>IF(ISERROR(D41),"",VLOOKUP(D41,$A$41:$B$53,2))</f>
        <v>Greater Luck</v>
      </c>
      <c r="F41">
        <v>4</v>
      </c>
      <c r="G41" s="53" t="str">
        <f>IF(builder!G121&lt;&gt;"",builder!G121,IF(AND(builder!B129&lt;&gt;"",OR(builder!$B$112=builder!$AM$118,builder!$B$112=builder!$AN$118)),builder!B129,""))</f>
        <v/>
      </c>
      <c r="H41" s="53" t="str">
        <f t="shared" si="47"/>
        <v/>
      </c>
      <c r="I41" s="53" t="e">
        <f t="shared" si="48"/>
        <v>#NUM!</v>
      </c>
      <c r="J41" s="53" t="str">
        <f t="shared" si="49"/>
        <v/>
      </c>
      <c r="K41" s="24"/>
      <c r="L41" s="24"/>
      <c r="M41" s="24"/>
      <c r="P41" s="6">
        <f t="shared" si="13"/>
        <v>40</v>
      </c>
      <c r="Q41" s="52" t="str">
        <f t="shared" si="46"/>
        <v/>
      </c>
      <c r="R41" s="52" t="str">
        <f>print!B137</f>
        <v/>
      </c>
      <c r="S41" s="25" t="str">
        <f t="shared" si="45"/>
        <v/>
      </c>
      <c r="T41" s="25" t="e">
        <f t="shared" si="9"/>
        <v>#NUM!</v>
      </c>
      <c r="U41" s="25" t="str">
        <f t="shared" si="10"/>
        <v/>
      </c>
      <c r="V41" s="8" t="str">
        <f t="shared" si="11"/>
        <v/>
      </c>
    </row>
    <row r="42" spans="1:22">
      <c r="A42" s="24">
        <v>2</v>
      </c>
      <c r="B42" s="53" t="str">
        <f>IF(styles!M53&lt;&gt;"",styles!M53,"")</f>
        <v/>
      </c>
      <c r="C42" s="53" t="str">
        <f t="shared" si="36"/>
        <v/>
      </c>
      <c r="D42" s="53">
        <f t="shared" ref="D42:D53" si="50">SMALL($C$41:$C$53,A42)</f>
        <v>4</v>
      </c>
      <c r="E42" s="53" t="str">
        <f t="shared" ref="E42:E53" si="51">IF(ISERROR(D42),"",VLOOKUP(D42,$A$41:$B$53,2))</f>
        <v>Heroic</v>
      </c>
      <c r="F42">
        <v>5</v>
      </c>
      <c r="G42" s="53" t="str">
        <f>IF(builder!G122&lt;&gt;"",builder!G122,IF(AND(builder!B130&lt;&gt;"",OR(builder!$B$112=builder!$AM$118,builder!$B$112=builder!$AN$118)),builder!B130,""))</f>
        <v/>
      </c>
      <c r="H42" s="53" t="str">
        <f t="shared" si="47"/>
        <v/>
      </c>
      <c r="I42" s="53" t="e">
        <f t="shared" si="48"/>
        <v>#NUM!</v>
      </c>
      <c r="J42" s="53" t="str">
        <f t="shared" si="49"/>
        <v/>
      </c>
      <c r="K42" s="24"/>
      <c r="L42" s="24"/>
      <c r="M42" s="24"/>
      <c r="P42" s="6">
        <f t="shared" si="13"/>
        <v>41</v>
      </c>
      <c r="Q42" s="52" t="str">
        <f t="shared" si="46"/>
        <v/>
      </c>
      <c r="R42" s="52" t="str">
        <f>print!B139</f>
        <v/>
      </c>
      <c r="S42" s="25" t="str">
        <f t="shared" si="45"/>
        <v/>
      </c>
      <c r="T42" s="25" t="e">
        <f t="shared" si="9"/>
        <v>#NUM!</v>
      </c>
      <c r="U42" s="25" t="str">
        <f t="shared" si="10"/>
        <v/>
      </c>
      <c r="V42" s="8" t="str">
        <f t="shared" si="11"/>
        <v/>
      </c>
    </row>
    <row r="43" spans="1:22">
      <c r="A43" s="24">
        <v>3</v>
      </c>
      <c r="B43" s="53" t="str">
        <f>IF(styles!M54&lt;&gt;"",styles!M54,"")</f>
        <v>Greater Luck</v>
      </c>
      <c r="C43" s="53">
        <f t="shared" si="36"/>
        <v>3</v>
      </c>
      <c r="D43" s="53">
        <f t="shared" si="50"/>
        <v>8</v>
      </c>
      <c r="E43" s="53" t="str">
        <f t="shared" si="51"/>
        <v>Petty Luck</v>
      </c>
      <c r="F43">
        <v>6</v>
      </c>
      <c r="G43" s="53" t="str">
        <f>IF(builder!G123&lt;&gt;"",builder!G123,IF(AND(builder!B131&lt;&gt;"",OR(builder!$B$112=builder!$AM$118,builder!$B$112=builder!$AN$118)),builder!B131,""))</f>
        <v/>
      </c>
      <c r="H43" s="53" t="str">
        <f t="shared" si="47"/>
        <v/>
      </c>
      <c r="I43" s="53" t="e">
        <f t="shared" si="48"/>
        <v>#NUM!</v>
      </c>
      <c r="J43" s="53" t="str">
        <f t="shared" si="49"/>
        <v/>
      </c>
      <c r="K43" s="24"/>
      <c r="L43" s="24"/>
      <c r="M43" s="24"/>
      <c r="P43" s="6">
        <f t="shared" si="13"/>
        <v>42</v>
      </c>
      <c r="Q43" s="53" t="str">
        <f>J38</f>
        <v/>
      </c>
      <c r="R43" s="53" t="str">
        <f>print!B143</f>
        <v/>
      </c>
      <c r="S43" s="25" t="str">
        <f t="shared" si="45"/>
        <v/>
      </c>
      <c r="T43" s="25" t="e">
        <f t="shared" si="9"/>
        <v>#NUM!</v>
      </c>
      <c r="U43" s="25" t="str">
        <f t="shared" si="10"/>
        <v/>
      </c>
      <c r="V43" s="8" t="str">
        <f t="shared" si="11"/>
        <v/>
      </c>
    </row>
    <row r="44" spans="1:22">
      <c r="A44" s="24">
        <v>4</v>
      </c>
      <c r="B44" s="53" t="str">
        <f>IF(styles!M55&lt;&gt;"",styles!M55,"")</f>
        <v>Heroic</v>
      </c>
      <c r="C44" s="53">
        <f t="shared" si="36"/>
        <v>4</v>
      </c>
      <c r="D44" s="53" t="e">
        <f t="shared" si="50"/>
        <v>#NUM!</v>
      </c>
      <c r="E44" s="53" t="str">
        <f t="shared" si="51"/>
        <v/>
      </c>
      <c r="F44">
        <v>7</v>
      </c>
      <c r="G44" s="53" t="str">
        <f>IF(builder!G124&lt;&gt;"",builder!G124,IF(AND(builder!B132&lt;&gt;"",OR(builder!$B$112=builder!$AM$118,builder!$B$112=builder!$AN$118)),builder!B132,""))</f>
        <v/>
      </c>
      <c r="H44" s="53" t="str">
        <f t="shared" si="47"/>
        <v/>
      </c>
      <c r="I44" s="53" t="e">
        <f t="shared" si="48"/>
        <v>#NUM!</v>
      </c>
      <c r="J44" s="53" t="str">
        <f t="shared" si="49"/>
        <v/>
      </c>
      <c r="K44" s="24"/>
      <c r="L44" s="24"/>
      <c r="M44" s="24"/>
      <c r="P44" s="6">
        <f t="shared" si="13"/>
        <v>43</v>
      </c>
      <c r="Q44" s="53" t="str">
        <f t="shared" ref="Q44:Q56" si="52">J39</f>
        <v/>
      </c>
      <c r="R44" s="53" t="str">
        <f>print!B145</f>
        <v/>
      </c>
      <c r="S44" s="25" t="str">
        <f t="shared" si="45"/>
        <v/>
      </c>
      <c r="T44" s="25" t="e">
        <f t="shared" si="9"/>
        <v>#NUM!</v>
      </c>
      <c r="U44" s="25" t="str">
        <f t="shared" si="10"/>
        <v/>
      </c>
      <c r="V44" s="8" t="str">
        <f t="shared" si="11"/>
        <v/>
      </c>
    </row>
    <row r="45" spans="1:22">
      <c r="A45">
        <v>5</v>
      </c>
      <c r="B45" s="53" t="str">
        <f>IF(styles!M56&lt;&gt;"",styles!M56,"")</f>
        <v/>
      </c>
      <c r="C45" s="53" t="str">
        <f t="shared" si="36"/>
        <v/>
      </c>
      <c r="D45" s="53" t="e">
        <f t="shared" si="50"/>
        <v>#NUM!</v>
      </c>
      <c r="E45" s="53" t="str">
        <f t="shared" si="51"/>
        <v/>
      </c>
      <c r="F45">
        <v>8</v>
      </c>
      <c r="G45" s="53" t="str">
        <f>IF(builder!G125&lt;&gt;"",builder!G125,IF(AND(builder!B133&lt;&gt;"",OR(builder!$B$112=builder!$AM$118,builder!$B$112=builder!$AN$118)),builder!B133,""))</f>
        <v/>
      </c>
      <c r="H45" s="53" t="str">
        <f t="shared" si="47"/>
        <v/>
      </c>
      <c r="I45" s="53" t="e">
        <f t="shared" si="48"/>
        <v>#NUM!</v>
      </c>
      <c r="J45" s="53" t="str">
        <f t="shared" si="49"/>
        <v/>
      </c>
      <c r="K45" s="24"/>
      <c r="L45" s="24"/>
      <c r="M45" s="24"/>
      <c r="P45" s="6">
        <f t="shared" si="13"/>
        <v>44</v>
      </c>
      <c r="Q45" s="53" t="str">
        <f t="shared" si="52"/>
        <v/>
      </c>
      <c r="R45" s="53" t="str">
        <f>print!B147</f>
        <v/>
      </c>
      <c r="S45" s="25" t="str">
        <f t="shared" si="45"/>
        <v/>
      </c>
      <c r="T45" s="25" t="e">
        <f t="shared" si="9"/>
        <v>#NUM!</v>
      </c>
      <c r="U45" s="25" t="str">
        <f t="shared" si="10"/>
        <v/>
      </c>
      <c r="V45" s="8" t="str">
        <f t="shared" si="11"/>
        <v/>
      </c>
    </row>
    <row r="46" spans="1:22">
      <c r="A46">
        <v>6</v>
      </c>
      <c r="B46" s="53" t="str">
        <f>IF(styles!M57&lt;&gt;"",styles!M57,"")</f>
        <v/>
      </c>
      <c r="C46" s="53" t="str">
        <f t="shared" si="36"/>
        <v/>
      </c>
      <c r="D46" s="53" t="e">
        <f t="shared" si="50"/>
        <v>#NUM!</v>
      </c>
      <c r="E46" s="53" t="str">
        <f t="shared" si="51"/>
        <v/>
      </c>
      <c r="F46">
        <v>9</v>
      </c>
      <c r="G46" s="53" t="str">
        <f>IF(builder!G126&lt;&gt;"",builder!G126,IF(AND(builder!B134&lt;&gt;"",OR(builder!$B$112=builder!$AM$118,builder!$B$112=builder!$AN$118)),builder!B134,""))</f>
        <v/>
      </c>
      <c r="H46" s="53" t="str">
        <f t="shared" si="47"/>
        <v/>
      </c>
      <c r="I46" s="53" t="e">
        <f t="shared" si="48"/>
        <v>#NUM!</v>
      </c>
      <c r="J46" s="53" t="str">
        <f t="shared" si="49"/>
        <v/>
      </c>
      <c r="K46" s="24"/>
      <c r="L46" s="24"/>
      <c r="M46" s="24"/>
      <c r="P46" s="6">
        <f t="shared" si="13"/>
        <v>45</v>
      </c>
      <c r="Q46" s="53" t="str">
        <f t="shared" si="52"/>
        <v/>
      </c>
      <c r="R46" s="53" t="str">
        <f>print!B149</f>
        <v/>
      </c>
      <c r="S46" s="25" t="str">
        <f t="shared" si="45"/>
        <v/>
      </c>
      <c r="T46" s="25" t="e">
        <f t="shared" si="9"/>
        <v>#NUM!</v>
      </c>
      <c r="U46" s="25" t="str">
        <f t="shared" si="10"/>
        <v/>
      </c>
      <c r="V46" s="8" t="str">
        <f t="shared" si="11"/>
        <v/>
      </c>
    </row>
    <row r="47" spans="1:22">
      <c r="A47">
        <v>7</v>
      </c>
      <c r="B47" s="53" t="str">
        <f>IF(styles!M58&lt;&gt;"",styles!M58,"")</f>
        <v/>
      </c>
      <c r="C47" s="53" t="str">
        <f t="shared" si="36"/>
        <v/>
      </c>
      <c r="D47" s="53" t="e">
        <f t="shared" si="50"/>
        <v>#NUM!</v>
      </c>
      <c r="E47" s="53" t="str">
        <f t="shared" si="51"/>
        <v/>
      </c>
      <c r="F47">
        <v>10</v>
      </c>
      <c r="G47" s="53" t="str">
        <f>IF(builder!G127&lt;&gt;"",builder!G127,IF(AND(builder!B135&lt;&gt;"",OR(builder!$B$112=builder!$AM$118,builder!$B$112=builder!$AN$118)),builder!B135,""))</f>
        <v/>
      </c>
      <c r="H47" s="53" t="str">
        <f t="shared" si="47"/>
        <v/>
      </c>
      <c r="I47" s="53" t="e">
        <f t="shared" si="48"/>
        <v>#NUM!</v>
      </c>
      <c r="J47" s="53" t="str">
        <f t="shared" si="49"/>
        <v/>
      </c>
      <c r="K47" s="24"/>
      <c r="L47" s="24"/>
      <c r="M47" s="24"/>
      <c r="P47" s="6">
        <f t="shared" si="13"/>
        <v>46</v>
      </c>
      <c r="Q47" s="53" t="str">
        <f t="shared" si="52"/>
        <v/>
      </c>
      <c r="R47" s="53" t="str">
        <f>print!B151</f>
        <v/>
      </c>
      <c r="S47" s="25" t="str">
        <f t="shared" si="45"/>
        <v/>
      </c>
      <c r="T47" s="25" t="e">
        <f t="shared" si="9"/>
        <v>#NUM!</v>
      </c>
      <c r="U47" s="25" t="str">
        <f t="shared" si="10"/>
        <v/>
      </c>
      <c r="V47" s="8" t="str">
        <f t="shared" si="11"/>
        <v/>
      </c>
    </row>
    <row r="48" spans="1:22">
      <c r="A48">
        <v>8</v>
      </c>
      <c r="B48" s="53" t="str">
        <f>IF(styles!M59&lt;&gt;"",styles!M59,"")</f>
        <v>Petty Luck</v>
      </c>
      <c r="C48" s="53">
        <f t="shared" si="36"/>
        <v>8</v>
      </c>
      <c r="D48" s="53" t="e">
        <f t="shared" si="50"/>
        <v>#NUM!</v>
      </c>
      <c r="E48" s="53" t="str">
        <f t="shared" si="51"/>
        <v/>
      </c>
      <c r="F48">
        <v>11</v>
      </c>
      <c r="G48" s="53" t="str">
        <f>IF(builder!G128&lt;&gt;"",builder!G128,IF(AND(builder!B136&lt;&gt;"",OR(builder!$B$112=builder!$AM$118,builder!$B$112=builder!$AN$118)),builder!B136,""))</f>
        <v/>
      </c>
      <c r="H48" s="53" t="str">
        <f t="shared" si="47"/>
        <v/>
      </c>
      <c r="I48" s="53" t="e">
        <f t="shared" si="48"/>
        <v>#NUM!</v>
      </c>
      <c r="J48" s="53" t="str">
        <f t="shared" si="49"/>
        <v/>
      </c>
      <c r="K48" s="24"/>
      <c r="L48" s="24"/>
      <c r="P48" s="6">
        <f t="shared" si="13"/>
        <v>47</v>
      </c>
      <c r="Q48" s="53" t="str">
        <f t="shared" si="52"/>
        <v/>
      </c>
      <c r="R48" s="53" t="str">
        <f>print!B153</f>
        <v/>
      </c>
      <c r="S48" s="25" t="str">
        <f t="shared" si="45"/>
        <v/>
      </c>
      <c r="T48" s="25" t="e">
        <f t="shared" si="9"/>
        <v>#NUM!</v>
      </c>
      <c r="U48" s="25" t="str">
        <f t="shared" si="10"/>
        <v/>
      </c>
      <c r="V48" s="8" t="str">
        <f t="shared" si="11"/>
        <v/>
      </c>
    </row>
    <row r="49" spans="1:22">
      <c r="A49">
        <v>9</v>
      </c>
      <c r="B49" s="53" t="str">
        <f>IF(styles!M60&lt;&gt;"",styles!M60,"")</f>
        <v/>
      </c>
      <c r="C49" s="53" t="str">
        <f t="shared" si="36"/>
        <v/>
      </c>
      <c r="D49" s="53" t="e">
        <f t="shared" si="50"/>
        <v>#NUM!</v>
      </c>
      <c r="E49" s="53" t="str">
        <f t="shared" si="51"/>
        <v/>
      </c>
      <c r="F49">
        <v>12</v>
      </c>
      <c r="G49" s="53" t="str">
        <f>IF(builder!G129&lt;&gt;"",builder!G129,IF(AND(builder!B137&lt;&gt;"",OR(builder!$B$112=builder!$AM$118,builder!$B$112=builder!$AN$118)),builder!B137,""))</f>
        <v/>
      </c>
      <c r="H49" s="53" t="str">
        <f t="shared" si="47"/>
        <v/>
      </c>
      <c r="I49" s="53" t="e">
        <f t="shared" si="48"/>
        <v>#NUM!</v>
      </c>
      <c r="J49" s="53" t="str">
        <f t="shared" si="49"/>
        <v/>
      </c>
      <c r="K49" s="24"/>
      <c r="L49" s="24"/>
      <c r="P49" s="6">
        <f t="shared" si="13"/>
        <v>48</v>
      </c>
      <c r="Q49" s="53" t="str">
        <f t="shared" si="52"/>
        <v/>
      </c>
      <c r="R49" s="53" t="str">
        <f>print!B155</f>
        <v/>
      </c>
      <c r="S49" s="25" t="str">
        <f t="shared" si="45"/>
        <v/>
      </c>
      <c r="T49" s="25" t="e">
        <f t="shared" si="9"/>
        <v>#NUM!</v>
      </c>
      <c r="U49" s="25" t="str">
        <f t="shared" si="10"/>
        <v/>
      </c>
      <c r="V49" s="8" t="str">
        <f t="shared" si="11"/>
        <v/>
      </c>
    </row>
    <row r="50" spans="1:22">
      <c r="A50">
        <v>10</v>
      </c>
      <c r="B50" s="53" t="str">
        <f>IF(styles!M61&lt;&gt;"",styles!M61,"")</f>
        <v/>
      </c>
      <c r="C50" s="53" t="str">
        <f t="shared" si="36"/>
        <v/>
      </c>
      <c r="D50" s="53" t="e">
        <f t="shared" si="50"/>
        <v>#NUM!</v>
      </c>
      <c r="E50" s="53" t="str">
        <f t="shared" si="51"/>
        <v/>
      </c>
      <c r="F50">
        <v>13</v>
      </c>
      <c r="G50" s="53" t="str">
        <f>IF(builder!G130&lt;&gt;"",builder!G130,IF(AND(builder!B138&lt;&gt;"",OR(builder!$B$112=builder!$AM$118,builder!$B$112=builder!$AN$118)),builder!B138,""))</f>
        <v/>
      </c>
      <c r="H50" s="53" t="str">
        <f t="shared" si="47"/>
        <v/>
      </c>
      <c r="I50" s="53" t="e">
        <f t="shared" si="48"/>
        <v>#NUM!</v>
      </c>
      <c r="J50" s="53" t="str">
        <f t="shared" si="49"/>
        <v/>
      </c>
      <c r="K50" s="24"/>
      <c r="L50" s="24"/>
      <c r="P50" s="6">
        <f t="shared" si="13"/>
        <v>49</v>
      </c>
      <c r="Q50" s="53" t="str">
        <f t="shared" si="52"/>
        <v/>
      </c>
      <c r="R50" s="53" t="str">
        <f>print!B157</f>
        <v/>
      </c>
      <c r="S50" s="25" t="str">
        <f t="shared" si="45"/>
        <v/>
      </c>
      <c r="T50" s="25" t="e">
        <f t="shared" si="9"/>
        <v>#NUM!</v>
      </c>
      <c r="U50" s="25" t="str">
        <f t="shared" si="10"/>
        <v/>
      </c>
      <c r="V50" s="8" t="str">
        <f t="shared" si="11"/>
        <v/>
      </c>
    </row>
    <row r="51" spans="1:22">
      <c r="A51" s="190">
        <v>11</v>
      </c>
      <c r="B51" s="53" t="str">
        <f>IF(styles!M62&lt;&gt;"",styles!M62,"")</f>
        <v/>
      </c>
      <c r="C51" s="53" t="str">
        <f t="shared" ref="C51:C52" si="53">IF(B51&lt;&gt;"",A51,"")</f>
        <v/>
      </c>
      <c r="D51" s="53" t="e">
        <f t="shared" si="50"/>
        <v>#NUM!</v>
      </c>
      <c r="E51" s="53" t="str">
        <f t="shared" si="51"/>
        <v/>
      </c>
      <c r="F51" s="24">
        <v>14</v>
      </c>
      <c r="G51" s="53" t="str">
        <f>IF(builder!G131&lt;&gt;"",builder!G131,IF(AND(builder!B139&lt;&gt;"",OR(builder!$B$112=builder!$AM$118,builder!$B$112=builder!$AN$118)),builder!B139,""))</f>
        <v/>
      </c>
      <c r="H51" s="53" t="str">
        <f t="shared" ref="H51" si="54">IF(G51&lt;&gt;"",F51,"")</f>
        <v/>
      </c>
      <c r="I51" s="53" t="e">
        <f t="shared" si="48"/>
        <v>#NUM!</v>
      </c>
      <c r="J51" s="53" t="str">
        <f t="shared" si="49"/>
        <v/>
      </c>
      <c r="K51" s="24"/>
      <c r="L51" s="24"/>
      <c r="P51" s="6">
        <f t="shared" si="13"/>
        <v>50</v>
      </c>
      <c r="Q51" s="53" t="str">
        <f t="shared" si="52"/>
        <v/>
      </c>
      <c r="R51" s="53" t="str">
        <f>print!B159</f>
        <v/>
      </c>
      <c r="S51" s="25" t="str">
        <f t="shared" si="45"/>
        <v/>
      </c>
      <c r="T51" s="25" t="e">
        <f t="shared" si="9"/>
        <v>#NUM!</v>
      </c>
      <c r="U51" s="25" t="str">
        <f t="shared" si="10"/>
        <v/>
      </c>
      <c r="V51" s="8" t="str">
        <f t="shared" si="11"/>
        <v/>
      </c>
    </row>
    <row r="52" spans="1:22">
      <c r="A52" s="190">
        <v>12</v>
      </c>
      <c r="B52" s="53" t="str">
        <f>IF(styles!M63&lt;&gt;"",styles!M63,"")</f>
        <v/>
      </c>
      <c r="C52" s="53" t="str">
        <f t="shared" si="53"/>
        <v/>
      </c>
      <c r="D52" s="53" t="e">
        <f t="shared" si="50"/>
        <v>#NUM!</v>
      </c>
      <c r="E52" s="53" t="str">
        <f t="shared" si="51"/>
        <v/>
      </c>
      <c r="G52" s="24"/>
      <c r="H52" s="24"/>
      <c r="I52" s="24"/>
      <c r="J52" s="24"/>
      <c r="K52" s="24"/>
      <c r="L52" s="24"/>
      <c r="P52" s="6">
        <f t="shared" si="13"/>
        <v>51</v>
      </c>
      <c r="Q52" s="53" t="str">
        <f t="shared" si="52"/>
        <v/>
      </c>
      <c r="R52" s="53" t="str">
        <f>print!B161</f>
        <v/>
      </c>
      <c r="S52" s="25" t="str">
        <f t="shared" si="45"/>
        <v/>
      </c>
      <c r="T52" s="25" t="e">
        <f t="shared" si="9"/>
        <v>#NUM!</v>
      </c>
      <c r="U52" s="25" t="str">
        <f t="shared" si="10"/>
        <v/>
      </c>
      <c r="V52" s="8" t="str">
        <f t="shared" si="11"/>
        <v/>
      </c>
    </row>
    <row r="53" spans="1:22">
      <c r="A53" s="190">
        <v>13</v>
      </c>
      <c r="B53" s="53" t="str">
        <f>IF(styles!M64&lt;&gt;"",styles!M64,"")</f>
        <v/>
      </c>
      <c r="C53" s="53" t="str">
        <f>IF(B53&lt;&gt;"",A53,"")</f>
        <v/>
      </c>
      <c r="D53" s="53" t="e">
        <f t="shared" si="50"/>
        <v>#NUM!</v>
      </c>
      <c r="E53" s="53" t="str">
        <f t="shared" si="51"/>
        <v/>
      </c>
      <c r="P53" s="6">
        <f t="shared" si="13"/>
        <v>52</v>
      </c>
      <c r="Q53" s="53" t="str">
        <f t="shared" si="52"/>
        <v/>
      </c>
      <c r="R53" s="53" t="str">
        <f>print!B163</f>
        <v/>
      </c>
      <c r="S53" s="25" t="str">
        <f t="shared" si="45"/>
        <v/>
      </c>
      <c r="T53" s="25" t="e">
        <f t="shared" si="9"/>
        <v>#NUM!</v>
      </c>
      <c r="U53" s="25" t="str">
        <f t="shared" si="10"/>
        <v/>
      </c>
      <c r="V53" s="8" t="str">
        <f t="shared" si="11"/>
        <v/>
      </c>
    </row>
    <row r="54" spans="1:22">
      <c r="P54" s="6">
        <f t="shared" si="13"/>
        <v>53</v>
      </c>
      <c r="Q54" s="53" t="str">
        <f t="shared" si="52"/>
        <v/>
      </c>
      <c r="R54" s="53" t="str">
        <f>print!B165</f>
        <v/>
      </c>
      <c r="S54" s="25" t="str">
        <f t="shared" si="45"/>
        <v/>
      </c>
      <c r="T54" s="25" t="e">
        <f t="shared" si="9"/>
        <v>#NUM!</v>
      </c>
      <c r="U54" s="25" t="str">
        <f t="shared" si="10"/>
        <v/>
      </c>
      <c r="V54" s="8" t="str">
        <f t="shared" si="11"/>
        <v/>
      </c>
    </row>
    <row r="55" spans="1:22">
      <c r="P55" s="6">
        <f t="shared" si="13"/>
        <v>54</v>
      </c>
      <c r="Q55" s="53" t="str">
        <f t="shared" si="52"/>
        <v/>
      </c>
      <c r="R55" s="53" t="str">
        <f>print!B167</f>
        <v/>
      </c>
      <c r="S55" s="25" t="str">
        <f t="shared" si="45"/>
        <v/>
      </c>
      <c r="T55" s="25" t="e">
        <f t="shared" si="9"/>
        <v>#NUM!</v>
      </c>
      <c r="U55" s="25" t="str">
        <f t="shared" si="10"/>
        <v/>
      </c>
      <c r="V55" s="8" t="str">
        <f t="shared" si="11"/>
        <v/>
      </c>
    </row>
    <row r="56" spans="1:22">
      <c r="P56" s="171">
        <f t="shared" si="13"/>
        <v>55</v>
      </c>
      <c r="Q56" s="182" t="str">
        <f t="shared" si="52"/>
        <v/>
      </c>
      <c r="R56" s="182" t="str">
        <f>print!B169</f>
        <v/>
      </c>
      <c r="S56" s="10" t="str">
        <f t="shared" si="45"/>
        <v/>
      </c>
      <c r="T56" s="10" t="e">
        <f t="shared" si="9"/>
        <v>#NUM!</v>
      </c>
      <c r="U56" s="10" t="str">
        <f t="shared" si="10"/>
        <v/>
      </c>
      <c r="V56" s="172" t="str">
        <f t="shared" si="11"/>
        <v/>
      </c>
    </row>
  </sheetData>
  <sortState ref="H10:H24">
    <sortCondition ref="H1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49"/>
  <sheetViews>
    <sheetView topLeftCell="A83" workbookViewId="0">
      <selection activeCell="Q105" sqref="Q105"/>
    </sheetView>
  </sheetViews>
  <sheetFormatPr defaultRowHeight="15"/>
  <cols>
    <col min="3" max="3" width="9.140625" style="24"/>
    <col min="4" max="4" width="10.7109375" customWidth="1"/>
    <col min="7" max="7" width="12.28515625" customWidth="1"/>
  </cols>
  <sheetData>
    <row r="2" spans="2:4" s="24" customFormat="1">
      <c r="B2" s="1" t="s">
        <v>617</v>
      </c>
    </row>
    <row r="3" spans="2:4">
      <c r="B3" t="s">
        <v>582</v>
      </c>
      <c r="C3" s="24" t="s">
        <v>585</v>
      </c>
      <c r="D3" t="s">
        <v>583</v>
      </c>
    </row>
    <row r="4" spans="2:4">
      <c r="B4" t="s">
        <v>584</v>
      </c>
      <c r="C4" s="24" t="s">
        <v>586</v>
      </c>
      <c r="D4" t="s">
        <v>587</v>
      </c>
    </row>
    <row r="5" spans="2:4">
      <c r="B5" t="s">
        <v>607</v>
      </c>
      <c r="C5" t="s">
        <v>588</v>
      </c>
      <c r="D5" s="24" t="s">
        <v>589</v>
      </c>
    </row>
    <row r="6" spans="2:4" s="198" customFormat="1">
      <c r="B6" s="220" t="s">
        <v>1184</v>
      </c>
      <c r="C6" s="198" t="s">
        <v>1232</v>
      </c>
      <c r="D6" s="198" t="s">
        <v>1233</v>
      </c>
    </row>
    <row r="7" spans="2:4">
      <c r="B7" t="s">
        <v>608</v>
      </c>
      <c r="C7" t="s">
        <v>590</v>
      </c>
      <c r="D7" s="24" t="s">
        <v>591</v>
      </c>
    </row>
    <row r="8" spans="2:4">
      <c r="B8" s="24" t="s">
        <v>609</v>
      </c>
      <c r="C8" s="24" t="s">
        <v>592</v>
      </c>
      <c r="D8" t="s">
        <v>818</v>
      </c>
    </row>
    <row r="9" spans="2:4">
      <c r="B9" t="s">
        <v>610</v>
      </c>
      <c r="C9" s="24" t="s">
        <v>593</v>
      </c>
      <c r="D9" t="s">
        <v>594</v>
      </c>
    </row>
    <row r="10" spans="2:4" s="198" customFormat="1">
      <c r="B10" s="221" t="s">
        <v>1185</v>
      </c>
      <c r="C10" s="198" t="s">
        <v>1234</v>
      </c>
      <c r="D10" s="198" t="s">
        <v>1239</v>
      </c>
    </row>
    <row r="11" spans="2:4" s="198" customFormat="1">
      <c r="B11" s="221" t="s">
        <v>1186</v>
      </c>
      <c r="C11" s="198" t="s">
        <v>1235</v>
      </c>
      <c r="D11" s="198" t="e">
        <f>CONCATENATE(C23,VLOOKUP(builder!I109,styles!B24:C26,2))</f>
        <v>#N/A</v>
      </c>
    </row>
    <row r="12" spans="2:4">
      <c r="B12" t="s">
        <v>611</v>
      </c>
      <c r="C12" s="24" t="s">
        <v>595</v>
      </c>
      <c r="D12" t="s">
        <v>596</v>
      </c>
    </row>
    <row r="13" spans="2:4">
      <c r="B13" t="s">
        <v>612</v>
      </c>
      <c r="C13" s="24" t="s">
        <v>597</v>
      </c>
      <c r="D13" t="s">
        <v>598</v>
      </c>
    </row>
    <row r="14" spans="2:4">
      <c r="B14" t="s">
        <v>613</v>
      </c>
      <c r="C14" s="24" t="s">
        <v>600</v>
      </c>
      <c r="D14" t="s">
        <v>599</v>
      </c>
    </row>
    <row r="15" spans="2:4">
      <c r="B15" t="s">
        <v>614</v>
      </c>
      <c r="C15" s="24" t="s">
        <v>601</v>
      </c>
      <c r="D15" t="s">
        <v>602</v>
      </c>
    </row>
    <row r="16" spans="2:4">
      <c r="B16" t="s">
        <v>615</v>
      </c>
      <c r="C16" s="24" t="s">
        <v>604</v>
      </c>
      <c r="D16" t="s">
        <v>603</v>
      </c>
    </row>
    <row r="17" spans="1:5">
      <c r="B17" t="s">
        <v>616</v>
      </c>
      <c r="C17" s="24" t="s">
        <v>606</v>
      </c>
      <c r="D17" t="s">
        <v>605</v>
      </c>
    </row>
    <row r="19" spans="1:5">
      <c r="B19" t="s">
        <v>609</v>
      </c>
      <c r="C19" s="24" t="s">
        <v>814</v>
      </c>
      <c r="D19" t="s">
        <v>819</v>
      </c>
    </row>
    <row r="20" spans="1:5" s="24" customFormat="1">
      <c r="B20" s="24" t="s">
        <v>609</v>
      </c>
      <c r="C20" s="24" t="s">
        <v>815</v>
      </c>
      <c r="D20" t="s">
        <v>817</v>
      </c>
    </row>
    <row r="21" spans="1:5" s="24" customFormat="1">
      <c r="B21" s="24" t="s">
        <v>609</v>
      </c>
      <c r="C21" s="24" t="s">
        <v>816</v>
      </c>
      <c r="D21" t="s">
        <v>820</v>
      </c>
    </row>
    <row r="22" spans="1:5" s="198" customFormat="1"/>
    <row r="23" spans="1:5" s="198" customFormat="1">
      <c r="B23" s="221" t="s">
        <v>1186</v>
      </c>
      <c r="C23" s="198" t="s">
        <v>1244</v>
      </c>
    </row>
    <row r="24" spans="1:5" s="198" customFormat="1">
      <c r="B24" s="24" t="s">
        <v>1238</v>
      </c>
      <c r="C24" s="24" t="s">
        <v>1243</v>
      </c>
    </row>
    <row r="25" spans="1:5" s="24" customFormat="1">
      <c r="B25" s="198" t="s">
        <v>1237</v>
      </c>
      <c r="C25" s="198" t="s">
        <v>1242</v>
      </c>
    </row>
    <row r="26" spans="1:5" s="198" customFormat="1">
      <c r="B26" s="198" t="s">
        <v>1236</v>
      </c>
      <c r="C26" s="198" t="s">
        <v>1241</v>
      </c>
    </row>
    <row r="27" spans="1:5">
      <c r="A27" s="24"/>
    </row>
    <row r="28" spans="1:5">
      <c r="A28" s="38"/>
      <c r="B28" s="1" t="s">
        <v>618</v>
      </c>
    </row>
    <row r="29" spans="1:5">
      <c r="A29" s="38"/>
      <c r="B29" t="s">
        <v>620</v>
      </c>
      <c r="C29" s="24" t="s">
        <v>619</v>
      </c>
      <c r="D29" t="s">
        <v>625</v>
      </c>
      <c r="E29" t="s">
        <v>830</v>
      </c>
    </row>
    <row r="30" spans="1:5">
      <c r="B30" t="s">
        <v>622</v>
      </c>
      <c r="C30" s="24" t="s">
        <v>619</v>
      </c>
      <c r="D30" t="s">
        <v>627</v>
      </c>
      <c r="E30" t="s">
        <v>832</v>
      </c>
    </row>
    <row r="31" spans="1:5">
      <c r="B31" t="s">
        <v>630</v>
      </c>
      <c r="C31" s="24" t="s">
        <v>619</v>
      </c>
      <c r="D31" t="s">
        <v>631</v>
      </c>
      <c r="E31" t="s">
        <v>835</v>
      </c>
    </row>
    <row r="32" spans="1:5">
      <c r="B32" t="s">
        <v>621</v>
      </c>
      <c r="C32" s="24" t="s">
        <v>619</v>
      </c>
      <c r="D32" t="s">
        <v>626</v>
      </c>
      <c r="E32" t="s">
        <v>831</v>
      </c>
    </row>
    <row r="33" spans="1:5">
      <c r="A33" s="50"/>
      <c r="B33" t="s">
        <v>623</v>
      </c>
      <c r="C33" s="24" t="s">
        <v>619</v>
      </c>
      <c r="D33" t="s">
        <v>628</v>
      </c>
      <c r="E33" t="s">
        <v>833</v>
      </c>
    </row>
    <row r="34" spans="1:5">
      <c r="B34" t="s">
        <v>624</v>
      </c>
      <c r="C34" s="24" t="s">
        <v>619</v>
      </c>
      <c r="D34" t="s">
        <v>629</v>
      </c>
      <c r="E34" t="s">
        <v>834</v>
      </c>
    </row>
    <row r="35" spans="1:5">
      <c r="B35" t="s">
        <v>632</v>
      </c>
      <c r="C35" s="24" t="s">
        <v>619</v>
      </c>
      <c r="D35" t="s">
        <v>633</v>
      </c>
      <c r="E35" t="s">
        <v>836</v>
      </c>
    </row>
    <row r="36" spans="1:5">
      <c r="B36" t="s">
        <v>654</v>
      </c>
      <c r="C36" s="24" t="s">
        <v>660</v>
      </c>
      <c r="D36" t="s">
        <v>655</v>
      </c>
      <c r="E36" t="s">
        <v>845</v>
      </c>
    </row>
    <row r="37" spans="1:5">
      <c r="B37" t="s">
        <v>646</v>
      </c>
      <c r="C37" s="24" t="s">
        <v>660</v>
      </c>
      <c r="D37" t="s">
        <v>647</v>
      </c>
      <c r="E37" t="s">
        <v>841</v>
      </c>
    </row>
    <row r="38" spans="1:5">
      <c r="B38" t="s">
        <v>644</v>
      </c>
      <c r="C38" s="24" t="s">
        <v>660</v>
      </c>
      <c r="D38" t="s">
        <v>645</v>
      </c>
      <c r="E38" s="24" t="s">
        <v>840</v>
      </c>
    </row>
    <row r="39" spans="1:5">
      <c r="B39" t="s">
        <v>642</v>
      </c>
      <c r="C39" s="24" t="s">
        <v>660</v>
      </c>
      <c r="D39" t="s">
        <v>643</v>
      </c>
      <c r="E39" t="s">
        <v>839</v>
      </c>
    </row>
    <row r="40" spans="1:5">
      <c r="B40" t="s">
        <v>636</v>
      </c>
      <c r="C40" s="24" t="s">
        <v>660</v>
      </c>
      <c r="D40" t="s">
        <v>637</v>
      </c>
      <c r="E40" t="s">
        <v>848</v>
      </c>
    </row>
    <row r="41" spans="1:5">
      <c r="B41" t="s">
        <v>648</v>
      </c>
      <c r="C41" s="24" t="s">
        <v>660</v>
      </c>
      <c r="D41" t="s">
        <v>649</v>
      </c>
      <c r="E41" t="s">
        <v>842</v>
      </c>
    </row>
    <row r="42" spans="1:5">
      <c r="B42" t="s">
        <v>634</v>
      </c>
      <c r="C42" s="24" t="s">
        <v>660</v>
      </c>
      <c r="D42" t="s">
        <v>635</v>
      </c>
      <c r="E42" t="s">
        <v>837</v>
      </c>
    </row>
    <row r="43" spans="1:5">
      <c r="B43" t="s">
        <v>638</v>
      </c>
      <c r="C43" s="24" t="s">
        <v>660</v>
      </c>
      <c r="D43" t="s">
        <v>639</v>
      </c>
      <c r="E43" t="s">
        <v>849</v>
      </c>
    </row>
    <row r="44" spans="1:5">
      <c r="B44" t="s">
        <v>656</v>
      </c>
      <c r="C44" s="24" t="s">
        <v>660</v>
      </c>
      <c r="D44" t="s">
        <v>657</v>
      </c>
      <c r="E44" t="s">
        <v>846</v>
      </c>
    </row>
    <row r="45" spans="1:5">
      <c r="B45" t="s">
        <v>650</v>
      </c>
      <c r="C45" s="24" t="s">
        <v>660</v>
      </c>
      <c r="D45" t="s">
        <v>651</v>
      </c>
      <c r="E45" t="s">
        <v>843</v>
      </c>
    </row>
    <row r="46" spans="1:5">
      <c r="B46" t="s">
        <v>640</v>
      </c>
      <c r="C46" s="24" t="s">
        <v>660</v>
      </c>
      <c r="D46" t="s">
        <v>641</v>
      </c>
      <c r="E46" t="s">
        <v>838</v>
      </c>
    </row>
    <row r="47" spans="1:5">
      <c r="B47" t="s">
        <v>658</v>
      </c>
      <c r="C47" s="24" t="s">
        <v>660</v>
      </c>
      <c r="D47" t="s">
        <v>659</v>
      </c>
      <c r="E47" t="s">
        <v>847</v>
      </c>
    </row>
    <row r="48" spans="1:5">
      <c r="B48" t="s">
        <v>652</v>
      </c>
      <c r="C48" s="24" t="s">
        <v>660</v>
      </c>
      <c r="D48" t="s">
        <v>653</v>
      </c>
      <c r="E48" t="s">
        <v>844</v>
      </c>
    </row>
    <row r="50" spans="2:18">
      <c r="B50" s="1" t="s">
        <v>263</v>
      </c>
    </row>
    <row r="51" spans="2:18">
      <c r="C51" s="24" t="s">
        <v>619</v>
      </c>
      <c r="D51" t="s">
        <v>660</v>
      </c>
      <c r="F51" s="39" t="s">
        <v>619</v>
      </c>
      <c r="G51" s="4"/>
      <c r="H51" s="40" t="str">
        <f>builder!F115</f>
        <v/>
      </c>
      <c r="I51" s="12"/>
      <c r="K51" s="39" t="s">
        <v>660</v>
      </c>
      <c r="L51" s="4"/>
      <c r="M51" s="40" t="str">
        <f>builder!H115</f>
        <v/>
      </c>
      <c r="N51" s="12"/>
      <c r="O51" s="24"/>
    </row>
    <row r="52" spans="2:18">
      <c r="B52" s="24" t="s">
        <v>661</v>
      </c>
      <c r="C52" s="24" t="s">
        <v>104</v>
      </c>
      <c r="D52" t="s">
        <v>106</v>
      </c>
      <c r="F52" s="6" t="s">
        <v>705</v>
      </c>
      <c r="G52" s="25" t="s">
        <v>105</v>
      </c>
      <c r="H52" s="8" t="str">
        <f>IF($H$51=G52,F52,"")</f>
        <v/>
      </c>
      <c r="I52" s="13" t="s">
        <v>861</v>
      </c>
      <c r="K52" s="6" t="s">
        <v>703</v>
      </c>
      <c r="L52" s="25" t="s">
        <v>105</v>
      </c>
      <c r="M52" s="8" t="str">
        <f>IF($M$51=L52,K52,"")</f>
        <v/>
      </c>
      <c r="N52" s="13" t="s">
        <v>863</v>
      </c>
      <c r="Q52" s="24"/>
      <c r="R52" s="24"/>
    </row>
    <row r="53" spans="2:18">
      <c r="B53" t="s">
        <v>662</v>
      </c>
      <c r="C53" s="24" t="s">
        <v>106</v>
      </c>
      <c r="D53" t="s">
        <v>102</v>
      </c>
      <c r="F53" s="6" t="s">
        <v>701</v>
      </c>
      <c r="G53" s="25" t="s">
        <v>104</v>
      </c>
      <c r="H53" s="8" t="str">
        <f>IF($H$51=G53,F53,"")</f>
        <v/>
      </c>
      <c r="I53" s="13" t="s">
        <v>859</v>
      </c>
      <c r="K53" s="6" t="s">
        <v>692</v>
      </c>
      <c r="L53" s="25" t="s">
        <v>103</v>
      </c>
      <c r="M53" s="8" t="str">
        <f>IF($M$51=L53,K53,"")</f>
        <v/>
      </c>
      <c r="N53" s="13" t="s">
        <v>864</v>
      </c>
      <c r="Q53" s="24"/>
      <c r="R53" s="24"/>
    </row>
    <row r="54" spans="2:18">
      <c r="B54" t="s">
        <v>663</v>
      </c>
      <c r="C54" s="24" t="s">
        <v>103</v>
      </c>
      <c r="D54" t="s">
        <v>105</v>
      </c>
      <c r="F54" s="6" t="s">
        <v>114</v>
      </c>
      <c r="G54" s="25" t="s">
        <v>103</v>
      </c>
      <c r="H54" s="8" t="str">
        <f>IF($H$51=G54,F54,"")</f>
        <v/>
      </c>
      <c r="I54" s="13" t="s">
        <v>855</v>
      </c>
      <c r="K54" s="6" t="s">
        <v>683</v>
      </c>
      <c r="L54" s="25" t="s">
        <v>681</v>
      </c>
      <c r="M54" s="8" t="s">
        <v>683</v>
      </c>
      <c r="N54" s="13" t="s">
        <v>870</v>
      </c>
      <c r="Q54" s="24"/>
      <c r="R54" s="24"/>
    </row>
    <row r="55" spans="2:18">
      <c r="B55" t="s">
        <v>664</v>
      </c>
      <c r="C55" s="24" t="s">
        <v>104</v>
      </c>
      <c r="D55" t="s">
        <v>103</v>
      </c>
      <c r="F55" s="6" t="s">
        <v>687</v>
      </c>
      <c r="G55" s="25" t="s">
        <v>681</v>
      </c>
      <c r="H55" s="8" t="s">
        <v>687</v>
      </c>
      <c r="I55" s="13" t="s">
        <v>852</v>
      </c>
      <c r="K55" s="6" t="s">
        <v>684</v>
      </c>
      <c r="L55" s="25" t="s">
        <v>681</v>
      </c>
      <c r="M55" s="8" t="s">
        <v>684</v>
      </c>
      <c r="N55" s="13" t="s">
        <v>872</v>
      </c>
      <c r="Q55" s="24"/>
      <c r="R55" s="24"/>
    </row>
    <row r="56" spans="2:18">
      <c r="B56" t="s">
        <v>665</v>
      </c>
      <c r="C56" s="24" t="s">
        <v>102</v>
      </c>
      <c r="D56" t="s">
        <v>104</v>
      </c>
      <c r="F56" s="6" t="s">
        <v>686</v>
      </c>
      <c r="G56" s="25" t="s">
        <v>681</v>
      </c>
      <c r="H56" s="8" t="s">
        <v>686</v>
      </c>
      <c r="I56" s="13" t="s">
        <v>851</v>
      </c>
      <c r="K56" s="6" t="s">
        <v>696</v>
      </c>
      <c r="L56" s="25" t="s">
        <v>106</v>
      </c>
      <c r="M56" s="8" t="str">
        <f>IF($M$51=L56,K56,"")</f>
        <v/>
      </c>
      <c r="N56" s="13" t="s">
        <v>866</v>
      </c>
      <c r="Q56" s="24"/>
      <c r="R56" s="24"/>
    </row>
    <row r="57" spans="2:18">
      <c r="B57" t="s">
        <v>666</v>
      </c>
      <c r="C57" s="24" t="s">
        <v>102</v>
      </c>
      <c r="D57" t="s">
        <v>105</v>
      </c>
      <c r="F57" s="6" t="s">
        <v>685</v>
      </c>
      <c r="G57" s="25" t="s">
        <v>681</v>
      </c>
      <c r="H57" s="8" t="s">
        <v>685</v>
      </c>
      <c r="I57" s="13" t="s">
        <v>850</v>
      </c>
      <c r="K57" s="6" t="s">
        <v>700</v>
      </c>
      <c r="L57" s="25" t="s">
        <v>104</v>
      </c>
      <c r="M57" s="8" t="str">
        <f>IF($M$51=L57,K57,"")</f>
        <v/>
      </c>
      <c r="N57" s="13" t="s">
        <v>873</v>
      </c>
      <c r="Q57" s="24"/>
      <c r="R57" s="24"/>
    </row>
    <row r="58" spans="2:18">
      <c r="B58" t="s">
        <v>667</v>
      </c>
      <c r="C58" s="24" t="s">
        <v>106</v>
      </c>
      <c r="D58" t="s">
        <v>105</v>
      </c>
      <c r="F58" s="6" t="s">
        <v>702</v>
      </c>
      <c r="G58" s="25" t="s">
        <v>104</v>
      </c>
      <c r="H58" s="8" t="str">
        <f t="shared" ref="H58:H64" si="0">IF($H$51=G58,F58,"")</f>
        <v/>
      </c>
      <c r="I58" s="13" t="s">
        <v>860</v>
      </c>
      <c r="K58" s="6" t="s">
        <v>699</v>
      </c>
      <c r="L58" s="25" t="s">
        <v>104</v>
      </c>
      <c r="M58" s="8" t="str">
        <f>IF($M$51=L58,K58,"")</f>
        <v/>
      </c>
      <c r="N58" s="13" t="s">
        <v>874</v>
      </c>
      <c r="Q58" s="24"/>
      <c r="R58" s="24"/>
    </row>
    <row r="59" spans="2:18">
      <c r="B59" t="s">
        <v>668</v>
      </c>
      <c r="C59" s="24" t="s">
        <v>105</v>
      </c>
      <c r="D59" t="s">
        <v>103</v>
      </c>
      <c r="F59" s="6" t="s">
        <v>690</v>
      </c>
      <c r="G59" s="25" t="s">
        <v>102</v>
      </c>
      <c r="H59" s="8" t="str">
        <f t="shared" si="0"/>
        <v/>
      </c>
      <c r="I59" s="13" t="s">
        <v>853</v>
      </c>
      <c r="K59" s="6" t="s">
        <v>682</v>
      </c>
      <c r="L59" s="25" t="s">
        <v>681</v>
      </c>
      <c r="M59" s="8" t="s">
        <v>682</v>
      </c>
      <c r="N59" s="13" t="s">
        <v>871</v>
      </c>
      <c r="Q59" s="24"/>
      <c r="R59" s="24"/>
    </row>
    <row r="60" spans="2:18">
      <c r="B60" t="s">
        <v>669</v>
      </c>
      <c r="C60" s="24" t="s">
        <v>105</v>
      </c>
      <c r="D60" t="s">
        <v>104</v>
      </c>
      <c r="F60" s="6" t="s">
        <v>697</v>
      </c>
      <c r="G60" s="25" t="s">
        <v>106</v>
      </c>
      <c r="H60" s="8" t="str">
        <f t="shared" si="0"/>
        <v/>
      </c>
      <c r="I60" s="13" t="s">
        <v>857</v>
      </c>
      <c r="K60" s="6" t="s">
        <v>688</v>
      </c>
      <c r="L60" s="25" t="s">
        <v>102</v>
      </c>
      <c r="M60" s="8" t="str">
        <f>IF($M$51=L60,K60,"")</f>
        <v/>
      </c>
      <c r="N60" s="13" t="s">
        <v>867</v>
      </c>
      <c r="Q60" s="24"/>
      <c r="R60" s="24"/>
    </row>
    <row r="61" spans="2:18">
      <c r="B61" t="s">
        <v>670</v>
      </c>
      <c r="C61" s="24" t="s">
        <v>106</v>
      </c>
      <c r="D61" t="s">
        <v>104</v>
      </c>
      <c r="F61" s="6" t="s">
        <v>706</v>
      </c>
      <c r="G61" s="25" t="s">
        <v>105</v>
      </c>
      <c r="H61" s="8" t="str">
        <f t="shared" si="0"/>
        <v/>
      </c>
      <c r="I61" s="13" t="s">
        <v>862</v>
      </c>
      <c r="K61" s="6" t="s">
        <v>695</v>
      </c>
      <c r="L61" s="25" t="s">
        <v>106</v>
      </c>
      <c r="M61" s="8" t="str">
        <f>IF($M$51=L61,K61,"")</f>
        <v/>
      </c>
      <c r="N61" s="13" t="s">
        <v>869</v>
      </c>
      <c r="Q61" s="24"/>
      <c r="R61" s="24"/>
    </row>
    <row r="62" spans="2:18">
      <c r="B62" t="s">
        <v>671</v>
      </c>
      <c r="C62" s="24" t="s">
        <v>105</v>
      </c>
      <c r="D62" t="s">
        <v>106</v>
      </c>
      <c r="F62" s="6" t="s">
        <v>691</v>
      </c>
      <c r="G62" s="25" t="s">
        <v>102</v>
      </c>
      <c r="H62" s="8" t="str">
        <f t="shared" si="0"/>
        <v/>
      </c>
      <c r="I62" s="13" t="s">
        <v>854</v>
      </c>
      <c r="K62" s="6" t="s">
        <v>689</v>
      </c>
      <c r="L62" s="25" t="s">
        <v>102</v>
      </c>
      <c r="M62" s="8" t="str">
        <f>IF($M$51=L62,K62,"")</f>
        <v/>
      </c>
      <c r="N62" s="13" t="s">
        <v>868</v>
      </c>
      <c r="Q62" s="24"/>
      <c r="R62" s="24"/>
    </row>
    <row r="63" spans="2:18">
      <c r="B63" t="s">
        <v>672</v>
      </c>
      <c r="C63" s="24" t="s">
        <v>103</v>
      </c>
      <c r="D63" t="s">
        <v>102</v>
      </c>
      <c r="F63" s="6" t="s">
        <v>698</v>
      </c>
      <c r="G63" s="25" t="s">
        <v>106</v>
      </c>
      <c r="H63" s="8" t="str">
        <f t="shared" si="0"/>
        <v/>
      </c>
      <c r="I63" s="13" t="s">
        <v>856</v>
      </c>
      <c r="K63" s="6" t="s">
        <v>704</v>
      </c>
      <c r="L63" s="25" t="s">
        <v>105</v>
      </c>
      <c r="M63" s="8" t="str">
        <f>IF($M$51=L63,K63,"")</f>
        <v/>
      </c>
      <c r="N63" s="13" t="s">
        <v>875</v>
      </c>
      <c r="Q63" s="24"/>
      <c r="R63" s="24"/>
    </row>
    <row r="64" spans="2:18">
      <c r="B64" t="s">
        <v>673</v>
      </c>
      <c r="C64" s="24" t="s">
        <v>104</v>
      </c>
      <c r="D64" t="s">
        <v>105</v>
      </c>
      <c r="F64" s="57" t="s">
        <v>694</v>
      </c>
      <c r="G64" s="10" t="s">
        <v>103</v>
      </c>
      <c r="H64" s="58" t="str">
        <f t="shared" si="0"/>
        <v/>
      </c>
      <c r="I64" s="14" t="s">
        <v>858</v>
      </c>
      <c r="K64" s="57" t="s">
        <v>693</v>
      </c>
      <c r="L64" s="10" t="s">
        <v>103</v>
      </c>
      <c r="M64" s="58" t="str">
        <f>IF($M$51=L64,K64,"")</f>
        <v/>
      </c>
      <c r="N64" s="14" t="s">
        <v>865</v>
      </c>
      <c r="Q64" s="24"/>
      <c r="R64" s="24"/>
    </row>
    <row r="65" spans="2:19">
      <c r="B65" t="s">
        <v>674</v>
      </c>
      <c r="C65" s="24" t="s">
        <v>102</v>
      </c>
      <c r="D65" t="s">
        <v>106</v>
      </c>
      <c r="J65" s="24"/>
      <c r="K65" s="24"/>
      <c r="L65" s="24"/>
      <c r="M65" s="24"/>
      <c r="N65" s="24"/>
      <c r="P65" s="24"/>
      <c r="Q65" s="24"/>
      <c r="R65" s="24"/>
      <c r="S65" s="24"/>
    </row>
    <row r="66" spans="2:19">
      <c r="B66" t="s">
        <v>675</v>
      </c>
      <c r="C66" s="24" t="s">
        <v>103</v>
      </c>
      <c r="D66" t="s">
        <v>104</v>
      </c>
      <c r="J66" s="24"/>
      <c r="K66" s="24"/>
      <c r="L66" s="24"/>
      <c r="M66" s="24"/>
      <c r="N66" s="24"/>
      <c r="P66" s="24"/>
      <c r="Q66" s="24"/>
      <c r="R66" s="24"/>
      <c r="S66" s="24"/>
    </row>
    <row r="67" spans="2:19">
      <c r="B67" t="s">
        <v>676</v>
      </c>
      <c r="C67" s="24" t="s">
        <v>103</v>
      </c>
      <c r="D67" t="s">
        <v>106</v>
      </c>
      <c r="J67" s="24"/>
      <c r="K67" s="24"/>
      <c r="L67" s="24"/>
      <c r="M67" s="24"/>
      <c r="N67" s="24"/>
      <c r="P67" s="24"/>
      <c r="Q67" s="24"/>
      <c r="R67" s="24"/>
      <c r="S67" s="24"/>
    </row>
    <row r="68" spans="2:19">
      <c r="B68" t="s">
        <v>677</v>
      </c>
      <c r="C68" s="24" t="s">
        <v>106</v>
      </c>
      <c r="D68" t="s">
        <v>103</v>
      </c>
      <c r="J68" s="24"/>
      <c r="K68" s="24"/>
      <c r="L68" s="24"/>
      <c r="M68" s="24"/>
      <c r="N68" s="24"/>
      <c r="R68" s="24"/>
    </row>
    <row r="69" spans="2:19">
      <c r="B69" t="s">
        <v>678</v>
      </c>
      <c r="C69" s="24" t="s">
        <v>105</v>
      </c>
      <c r="D69" t="s">
        <v>102</v>
      </c>
      <c r="N69" s="24"/>
    </row>
    <row r="70" spans="2:19">
      <c r="B70" t="s">
        <v>679</v>
      </c>
      <c r="C70" s="24" t="s">
        <v>104</v>
      </c>
      <c r="D70" t="s">
        <v>102</v>
      </c>
    </row>
    <row r="71" spans="2:19">
      <c r="B71" t="s">
        <v>680</v>
      </c>
      <c r="C71" s="24" t="s">
        <v>102</v>
      </c>
      <c r="D71" t="s">
        <v>103</v>
      </c>
    </row>
    <row r="72" spans="2:19">
      <c r="I72" s="51" t="s">
        <v>710</v>
      </c>
    </row>
    <row r="74" spans="2:19">
      <c r="B74" s="51" t="s">
        <v>712</v>
      </c>
      <c r="C74" s="24" t="s">
        <v>619</v>
      </c>
      <c r="D74" s="24" t="s">
        <v>660</v>
      </c>
      <c r="E74" s="24" t="s">
        <v>660</v>
      </c>
      <c r="F74" s="24" t="s">
        <v>619</v>
      </c>
      <c r="I74" s="51" t="s">
        <v>711</v>
      </c>
    </row>
    <row r="75" spans="2:19">
      <c r="B75" s="24"/>
      <c r="C75" s="24" t="str">
        <f>IF(COUNTIF(builder!$G$118:$I$130,styles!D75),styles!D75,"")</f>
        <v/>
      </c>
      <c r="D75" s="24" t="s">
        <v>18</v>
      </c>
      <c r="E75" t="s">
        <v>903</v>
      </c>
      <c r="F75" s="24" t="s">
        <v>904</v>
      </c>
      <c r="I75" t="s">
        <v>720</v>
      </c>
    </row>
    <row r="76" spans="2:19">
      <c r="C76" s="24" t="str">
        <f>IF(COUNTIF(builder!$G$118:$I$130,styles!D76),styles!D76,"")</f>
        <v/>
      </c>
      <c r="D76" s="24" t="s">
        <v>716</v>
      </c>
      <c r="E76" t="s">
        <v>905</v>
      </c>
      <c r="F76" s="24" t="s">
        <v>906</v>
      </c>
      <c r="I76" t="s">
        <v>721</v>
      </c>
    </row>
    <row r="77" spans="2:19">
      <c r="C77" s="24" t="str">
        <f>IF(COUNTIF(builder!$G$118:$I$130,styles!D77),styles!D77,"")</f>
        <v/>
      </c>
      <c r="D77" s="24" t="s">
        <v>717</v>
      </c>
      <c r="E77" s="24" t="s">
        <v>907</v>
      </c>
      <c r="F77" s="24" t="s">
        <v>908</v>
      </c>
      <c r="H77" s="24"/>
      <c r="I77" t="s">
        <v>722</v>
      </c>
    </row>
    <row r="78" spans="2:19">
      <c r="C78" s="24" t="str">
        <f>IF(COUNTIF(builder!$G$118:$I$130,styles!D78),styles!D78,"")</f>
        <v/>
      </c>
      <c r="D78" s="24" t="s">
        <v>718</v>
      </c>
      <c r="E78" t="s">
        <v>909</v>
      </c>
      <c r="F78" t="s">
        <v>910</v>
      </c>
      <c r="G78" s="24" t="s">
        <v>911</v>
      </c>
      <c r="H78" s="24"/>
      <c r="I78" t="s">
        <v>723</v>
      </c>
    </row>
    <row r="79" spans="2:19">
      <c r="D79" s="24" t="s">
        <v>719</v>
      </c>
      <c r="E79" t="s">
        <v>902</v>
      </c>
      <c r="H79" s="24"/>
      <c r="I79" t="s">
        <v>724</v>
      </c>
    </row>
    <row r="80" spans="2:19">
      <c r="H80" s="24"/>
      <c r="I80" t="s">
        <v>725</v>
      </c>
    </row>
    <row r="81" spans="2:9">
      <c r="H81" s="24"/>
      <c r="I81" t="s">
        <v>726</v>
      </c>
    </row>
    <row r="82" spans="2:9">
      <c r="H82" s="24"/>
    </row>
    <row r="83" spans="2:9">
      <c r="B83" s="51" t="s">
        <v>727</v>
      </c>
    </row>
    <row r="84" spans="2:9">
      <c r="B84" t="s">
        <v>728</v>
      </c>
      <c r="C84" t="s">
        <v>729</v>
      </c>
      <c r="D84" t="s">
        <v>880</v>
      </c>
    </row>
    <row r="85" spans="2:9">
      <c r="B85" t="s">
        <v>730</v>
      </c>
      <c r="C85" t="s">
        <v>731</v>
      </c>
      <c r="D85" s="24" t="s">
        <v>881</v>
      </c>
    </row>
    <row r="86" spans="2:9">
      <c r="B86" t="s">
        <v>732</v>
      </c>
      <c r="C86" t="s">
        <v>733</v>
      </c>
      <c r="D86" s="24" t="s">
        <v>882</v>
      </c>
    </row>
    <row r="87" spans="2:9">
      <c r="B87" t="s">
        <v>739</v>
      </c>
      <c r="C87" t="s">
        <v>740</v>
      </c>
      <c r="D87" s="24" t="s">
        <v>883</v>
      </c>
    </row>
    <row r="88" spans="2:9" s="216" customFormat="1">
      <c r="B88" s="233" t="s">
        <v>1351</v>
      </c>
      <c r="C88" s="216" t="s">
        <v>1353</v>
      </c>
      <c r="D88" s="216" t="s">
        <v>1354</v>
      </c>
    </row>
    <row r="89" spans="2:9">
      <c r="B89" t="s">
        <v>734</v>
      </c>
      <c r="C89" t="s">
        <v>735</v>
      </c>
      <c r="D89" s="24" t="s">
        <v>884</v>
      </c>
    </row>
    <row r="90" spans="2:9">
      <c r="B90" t="s">
        <v>736</v>
      </c>
      <c r="C90" t="s">
        <v>737</v>
      </c>
      <c r="D90" s="24" t="s">
        <v>885</v>
      </c>
    </row>
    <row r="91" spans="2:9">
      <c r="B91" t="s">
        <v>723</v>
      </c>
      <c r="C91" t="s">
        <v>738</v>
      </c>
      <c r="D91" s="24" t="s">
        <v>738</v>
      </c>
    </row>
    <row r="92" spans="2:9">
      <c r="B92" t="s">
        <v>741</v>
      </c>
      <c r="C92" t="s">
        <v>742</v>
      </c>
      <c r="D92" s="24" t="s">
        <v>886</v>
      </c>
    </row>
    <row r="94" spans="2:9">
      <c r="B94" s="233" t="s">
        <v>1352</v>
      </c>
      <c r="C94" t="s">
        <v>1355</v>
      </c>
      <c r="E94" t="s">
        <v>1356</v>
      </c>
    </row>
    <row r="95" spans="2:9" s="216" customFormat="1">
      <c r="B95" s="216" t="s">
        <v>743</v>
      </c>
      <c r="C95" s="216" t="s">
        <v>744</v>
      </c>
      <c r="D95" s="216" t="s">
        <v>745</v>
      </c>
      <c r="E95" s="216" t="s">
        <v>876</v>
      </c>
    </row>
    <row r="96" spans="2:9">
      <c r="B96" t="s">
        <v>746</v>
      </c>
      <c r="C96" t="s">
        <v>747</v>
      </c>
      <c r="D96" t="s">
        <v>748</v>
      </c>
      <c r="E96" s="24" t="s">
        <v>877</v>
      </c>
    </row>
    <row r="97" spans="2:21">
      <c r="B97" t="s">
        <v>749</v>
      </c>
      <c r="C97" t="s">
        <v>750</v>
      </c>
      <c r="D97" t="s">
        <v>751</v>
      </c>
      <c r="E97" s="24" t="s">
        <v>878</v>
      </c>
    </row>
    <row r="98" spans="2:21">
      <c r="B98" t="s">
        <v>752</v>
      </c>
      <c r="C98" t="s">
        <v>753</v>
      </c>
      <c r="D98" t="s">
        <v>754</v>
      </c>
      <c r="E98" s="24" t="s">
        <v>879</v>
      </c>
    </row>
    <row r="99" spans="2:21">
      <c r="B99" t="s">
        <v>755</v>
      </c>
      <c r="C99" t="s">
        <v>756</v>
      </c>
      <c r="D99" t="s">
        <v>757</v>
      </c>
      <c r="E99" s="24" t="s">
        <v>887</v>
      </c>
    </row>
    <row r="101" spans="2:21">
      <c r="B101" s="356" t="s">
        <v>1181</v>
      </c>
      <c r="C101" s="4"/>
      <c r="D101" s="4"/>
      <c r="E101" s="4"/>
      <c r="F101" s="205"/>
      <c r="G101" s="229"/>
      <c r="H101" t="s">
        <v>1221</v>
      </c>
      <c r="I101" s="356" t="s">
        <v>1182</v>
      </c>
      <c r="J101" s="25"/>
      <c r="K101" s="25" t="s">
        <v>1221</v>
      </c>
      <c r="L101" s="25"/>
      <c r="M101" s="25"/>
      <c r="N101" s="356" t="s">
        <v>1183</v>
      </c>
      <c r="O101" s="4"/>
      <c r="P101" s="203" t="s">
        <v>619</v>
      </c>
      <c r="Q101" s="228" t="s">
        <v>660</v>
      </c>
      <c r="R101" s="25"/>
      <c r="S101" s="25"/>
      <c r="T101" s="25"/>
      <c r="U101" s="25"/>
    </row>
    <row r="102" spans="2:21" s="198" customFormat="1">
      <c r="B102" s="199" t="s">
        <v>1266</v>
      </c>
      <c r="C102" s="25" t="s">
        <v>1188</v>
      </c>
      <c r="D102" s="229" t="s">
        <v>1360</v>
      </c>
      <c r="E102" s="200" t="s">
        <v>1269</v>
      </c>
      <c r="F102" s="8" t="s">
        <v>1376</v>
      </c>
      <c r="G102" s="8" t="s">
        <v>1192</v>
      </c>
      <c r="H102" s="198" t="s">
        <v>1221</v>
      </c>
      <c r="I102" s="204" t="s">
        <v>1228</v>
      </c>
      <c r="J102" s="4" t="s">
        <v>1229</v>
      </c>
      <c r="K102" s="4" t="s">
        <v>1323</v>
      </c>
      <c r="L102" s="205" t="s">
        <v>1393</v>
      </c>
      <c r="M102" s="200" t="s">
        <v>1221</v>
      </c>
      <c r="N102" s="199" t="s">
        <v>1249</v>
      </c>
      <c r="O102" s="25" t="s">
        <v>1254</v>
      </c>
      <c r="P102" s="25" t="s">
        <v>1402</v>
      </c>
      <c r="Q102" s="8" t="s">
        <v>1255</v>
      </c>
      <c r="R102" s="200" t="s">
        <v>1221</v>
      </c>
      <c r="S102" s="25"/>
      <c r="T102" s="25"/>
      <c r="U102" s="25"/>
    </row>
    <row r="103" spans="2:21">
      <c r="B103" s="199" t="s">
        <v>1264</v>
      </c>
      <c r="C103" s="25" t="s">
        <v>1187</v>
      </c>
      <c r="D103" s="229" t="s">
        <v>1368</v>
      </c>
      <c r="E103" s="200" t="s">
        <v>1265</v>
      </c>
      <c r="F103" s="8" t="s">
        <v>1367</v>
      </c>
      <c r="G103" s="8" t="s">
        <v>1189</v>
      </c>
      <c r="H103" s="198" t="s">
        <v>1221</v>
      </c>
      <c r="I103" s="199" t="s">
        <v>1218</v>
      </c>
      <c r="J103" s="25" t="s">
        <v>1219</v>
      </c>
      <c r="K103" s="25" t="s">
        <v>1324</v>
      </c>
      <c r="L103" s="8" t="s">
        <v>1220</v>
      </c>
      <c r="M103" s="200" t="s">
        <v>1221</v>
      </c>
      <c r="N103" s="199" t="s">
        <v>1247</v>
      </c>
      <c r="O103" s="25" t="s">
        <v>1252</v>
      </c>
      <c r="P103" s="25" t="s">
        <v>1401</v>
      </c>
      <c r="Q103" s="8" t="s">
        <v>1405</v>
      </c>
      <c r="R103" s="200" t="s">
        <v>1221</v>
      </c>
      <c r="S103" s="25"/>
      <c r="T103" s="25"/>
      <c r="U103" s="25"/>
    </row>
    <row r="104" spans="2:21">
      <c r="B104" s="6"/>
      <c r="C104" s="25"/>
      <c r="D104" s="229"/>
      <c r="E104" s="200" t="s">
        <v>1267</v>
      </c>
      <c r="F104" s="8" t="s">
        <v>1377</v>
      </c>
      <c r="G104" s="8" t="s">
        <v>1190</v>
      </c>
      <c r="H104" s="198" t="s">
        <v>1221</v>
      </c>
      <c r="I104" s="6" t="s">
        <v>1230</v>
      </c>
      <c r="J104" s="25" t="s">
        <v>1390</v>
      </c>
      <c r="K104" s="25" t="str">
        <f>IF(COUNTIF(builder!$B$118:$D$124,styles!I104)&gt;0,"Hecteba","")</f>
        <v/>
      </c>
      <c r="L104" s="225" t="s">
        <v>1394</v>
      </c>
      <c r="M104" s="200" t="s">
        <v>1221</v>
      </c>
      <c r="N104" s="199" t="s">
        <v>1231</v>
      </c>
      <c r="O104" s="25" t="s">
        <v>1245</v>
      </c>
      <c r="P104" s="25" t="s">
        <v>1403</v>
      </c>
      <c r="Q104" s="8" t="s">
        <v>1246</v>
      </c>
      <c r="R104" s="200" t="s">
        <v>1221</v>
      </c>
      <c r="S104" s="25"/>
      <c r="T104" s="25"/>
      <c r="U104" s="25"/>
    </row>
    <row r="105" spans="2:21">
      <c r="B105" s="6"/>
      <c r="C105" s="25"/>
      <c r="D105" s="229"/>
      <c r="E105" s="200" t="s">
        <v>1268</v>
      </c>
      <c r="F105" s="8" t="s">
        <v>1362</v>
      </c>
      <c r="G105" s="8" t="s">
        <v>1191</v>
      </c>
      <c r="H105" s="198" t="s">
        <v>1221</v>
      </c>
      <c r="I105" s="6" t="s">
        <v>1222</v>
      </c>
      <c r="J105" s="25" t="s">
        <v>1223</v>
      </c>
      <c r="K105" s="25" t="s">
        <v>1322</v>
      </c>
      <c r="L105" s="8" t="s">
        <v>1395</v>
      </c>
      <c r="M105" s="200" t="s">
        <v>1221</v>
      </c>
      <c r="N105" s="199" t="s">
        <v>1251</v>
      </c>
      <c r="O105" s="25" t="s">
        <v>1258</v>
      </c>
      <c r="P105" s="25" t="s">
        <v>1407</v>
      </c>
      <c r="Q105" s="8" t="s">
        <v>1399</v>
      </c>
      <c r="R105" s="200" t="s">
        <v>1221</v>
      </c>
      <c r="S105" s="230"/>
      <c r="T105" s="25"/>
      <c r="U105" s="25"/>
    </row>
    <row r="106" spans="2:21">
      <c r="B106" s="199" t="s">
        <v>1270</v>
      </c>
      <c r="C106" s="25" t="s">
        <v>1193</v>
      </c>
      <c r="D106" s="229" t="s">
        <v>1369</v>
      </c>
      <c r="E106" s="200" t="s">
        <v>1271</v>
      </c>
      <c r="F106" s="8" t="s">
        <v>1378</v>
      </c>
      <c r="G106" s="8" t="s">
        <v>1195</v>
      </c>
      <c r="H106" s="198" t="s">
        <v>1221</v>
      </c>
      <c r="I106" s="6" t="s">
        <v>1225</v>
      </c>
      <c r="J106" s="25" t="s">
        <v>1226</v>
      </c>
      <c r="K106" s="25" t="str">
        <f>IF(COUNTIF(builder!$B$118:$D$124,styles!I106)&gt;0,"Salacio","")</f>
        <v/>
      </c>
      <c r="L106" s="8" t="s">
        <v>1396</v>
      </c>
      <c r="M106" s="200" t="s">
        <v>1221</v>
      </c>
      <c r="N106" s="199" t="s">
        <v>1248</v>
      </c>
      <c r="O106" s="25" t="s">
        <v>1253</v>
      </c>
      <c r="P106" s="25" t="s">
        <v>1406</v>
      </c>
      <c r="Q106" s="8" t="s">
        <v>1400</v>
      </c>
      <c r="R106" s="200" t="s">
        <v>1221</v>
      </c>
      <c r="S106" s="25"/>
      <c r="T106" s="25"/>
      <c r="U106" s="25"/>
    </row>
    <row r="107" spans="2:21">
      <c r="B107" s="199" t="s">
        <v>1272</v>
      </c>
      <c r="C107" s="25" t="s">
        <v>1194</v>
      </c>
      <c r="D107" s="229" t="s">
        <v>1370</v>
      </c>
      <c r="E107" s="200" t="s">
        <v>1274</v>
      </c>
      <c r="F107" s="8" t="s">
        <v>1379</v>
      </c>
      <c r="G107" s="8" t="s">
        <v>1197</v>
      </c>
      <c r="H107" s="198" t="s">
        <v>1221</v>
      </c>
      <c r="I107" s="6" t="s">
        <v>1224</v>
      </c>
      <c r="J107" s="25" t="s">
        <v>1391</v>
      </c>
      <c r="K107" s="25" t="s">
        <v>1325</v>
      </c>
      <c r="L107" s="8" t="s">
        <v>1397</v>
      </c>
      <c r="M107" s="200" t="s">
        <v>1221</v>
      </c>
      <c r="N107" s="201" t="s">
        <v>1250</v>
      </c>
      <c r="O107" s="10" t="s">
        <v>1256</v>
      </c>
      <c r="P107" s="10" t="s">
        <v>1404</v>
      </c>
      <c r="Q107" s="207" t="s">
        <v>1257</v>
      </c>
      <c r="R107" s="200" t="s">
        <v>1221</v>
      </c>
      <c r="S107" s="25"/>
      <c r="T107" s="25"/>
      <c r="U107" s="25"/>
    </row>
    <row r="108" spans="2:21">
      <c r="B108" s="6"/>
      <c r="C108" s="25"/>
      <c r="D108" s="229"/>
      <c r="E108" s="200" t="s">
        <v>1275</v>
      </c>
      <c r="F108" s="8" t="s">
        <v>1380</v>
      </c>
      <c r="G108" s="8" t="s">
        <v>1198</v>
      </c>
      <c r="H108" s="198" t="s">
        <v>1221</v>
      </c>
      <c r="I108" s="206" t="s">
        <v>1227</v>
      </c>
      <c r="J108" s="10" t="s">
        <v>1392</v>
      </c>
      <c r="K108" s="10" t="s">
        <v>1326</v>
      </c>
      <c r="L108" s="207" t="s">
        <v>1398</v>
      </c>
      <c r="M108" s="200" t="s">
        <v>1221</v>
      </c>
      <c r="N108" s="25"/>
      <c r="O108" s="25"/>
      <c r="P108" s="25"/>
      <c r="Q108" s="25"/>
      <c r="R108" s="25"/>
      <c r="S108" s="25"/>
      <c r="T108" s="25"/>
      <c r="U108" s="25"/>
    </row>
    <row r="109" spans="2:21">
      <c r="B109" s="6"/>
      <c r="C109" s="25"/>
      <c r="D109" s="229"/>
      <c r="E109" s="200" t="s">
        <v>1273</v>
      </c>
      <c r="F109" s="8" t="s">
        <v>1381</v>
      </c>
      <c r="G109" s="8" t="s">
        <v>1196</v>
      </c>
      <c r="H109" s="198" t="s">
        <v>1221</v>
      </c>
      <c r="I109" s="25"/>
      <c r="J109" s="25"/>
      <c r="K109" s="25" t="s">
        <v>1221</v>
      </c>
      <c r="L109" s="25"/>
      <c r="M109" s="25"/>
      <c r="N109" s="25"/>
      <c r="O109" s="25"/>
      <c r="P109" s="25"/>
      <c r="Q109" s="25"/>
      <c r="R109" s="25"/>
      <c r="S109" s="25"/>
      <c r="T109" s="25"/>
      <c r="U109" s="25"/>
    </row>
    <row r="110" spans="2:21">
      <c r="B110" s="199" t="s">
        <v>1276</v>
      </c>
      <c r="C110" s="25" t="s">
        <v>1199</v>
      </c>
      <c r="D110" s="229" t="s">
        <v>1361</v>
      </c>
      <c r="E110" s="200" t="s">
        <v>1280</v>
      </c>
      <c r="F110" s="8" t="s">
        <v>1363</v>
      </c>
      <c r="G110" s="8" t="s">
        <v>1203</v>
      </c>
      <c r="H110" s="198" t="s">
        <v>1221</v>
      </c>
      <c r="K110" s="25" t="s">
        <v>1221</v>
      </c>
      <c r="L110" s="25"/>
      <c r="M110" s="25"/>
      <c r="R110" s="25"/>
      <c r="S110" s="25"/>
      <c r="T110" s="25"/>
      <c r="U110" s="25"/>
    </row>
    <row r="111" spans="2:21">
      <c r="B111" s="199" t="s">
        <v>1278</v>
      </c>
      <c r="C111" s="25" t="s">
        <v>1200</v>
      </c>
      <c r="D111" s="229" t="s">
        <v>1371</v>
      </c>
      <c r="E111" s="200" t="s">
        <v>1281</v>
      </c>
      <c r="F111" s="8" t="s">
        <v>1382</v>
      </c>
      <c r="G111" s="8" t="s">
        <v>1204</v>
      </c>
      <c r="H111" s="198" t="s">
        <v>1221</v>
      </c>
      <c r="I111" s="198" t="s">
        <v>1221</v>
      </c>
      <c r="K111" s="25" t="s">
        <v>1221</v>
      </c>
      <c r="R111" s="25"/>
      <c r="S111" s="25"/>
      <c r="T111" s="25"/>
      <c r="U111" s="25"/>
    </row>
    <row r="112" spans="2:21">
      <c r="B112" s="6"/>
      <c r="C112" s="25"/>
      <c r="D112" s="229"/>
      <c r="E112" s="200" t="s">
        <v>1277</v>
      </c>
      <c r="F112" s="8" t="s">
        <v>1364</v>
      </c>
      <c r="G112" s="8" t="s">
        <v>1201</v>
      </c>
      <c r="H112" s="198" t="s">
        <v>1221</v>
      </c>
      <c r="I112" s="25"/>
      <c r="J112" s="25"/>
      <c r="K112" s="25" t="s">
        <v>1221</v>
      </c>
      <c r="R112" s="25"/>
      <c r="S112" s="25"/>
      <c r="T112" s="25"/>
      <c r="U112" s="25"/>
    </row>
    <row r="113" spans="2:20">
      <c r="B113" s="6"/>
      <c r="C113" s="25"/>
      <c r="D113" s="229"/>
      <c r="E113" s="200" t="s">
        <v>1279</v>
      </c>
      <c r="F113" s="8" t="s">
        <v>1365</v>
      </c>
      <c r="G113" s="8" t="s">
        <v>1202</v>
      </c>
      <c r="H113" s="25"/>
      <c r="I113" s="25"/>
      <c r="J113" s="25" t="s">
        <v>1221</v>
      </c>
      <c r="Q113" s="25"/>
      <c r="R113" s="25"/>
      <c r="S113" s="25"/>
      <c r="T113" s="25"/>
    </row>
    <row r="114" spans="2:20">
      <c r="B114" s="199" t="s">
        <v>1283</v>
      </c>
      <c r="C114" s="25" t="s">
        <v>1206</v>
      </c>
      <c r="D114" s="229" t="s">
        <v>1372</v>
      </c>
      <c r="E114" s="200" t="s">
        <v>1284</v>
      </c>
      <c r="F114" s="8" t="s">
        <v>1383</v>
      </c>
      <c r="G114" s="8" t="s">
        <v>1208</v>
      </c>
      <c r="J114" s="25" t="s">
        <v>1221</v>
      </c>
      <c r="Q114" s="25"/>
      <c r="R114" s="25"/>
      <c r="S114" s="25"/>
      <c r="T114" s="25"/>
    </row>
    <row r="115" spans="2:20">
      <c r="B115" s="199" t="s">
        <v>1263</v>
      </c>
      <c r="C115" s="25" t="s">
        <v>1205</v>
      </c>
      <c r="D115" s="229" t="s">
        <v>1373</v>
      </c>
      <c r="E115" s="200" t="s">
        <v>1282</v>
      </c>
      <c r="F115" s="8" t="s">
        <v>1384</v>
      </c>
      <c r="G115" s="8" t="s">
        <v>1207</v>
      </c>
      <c r="H115" s="198" t="s">
        <v>1221</v>
      </c>
      <c r="J115" s="25" t="s">
        <v>1221</v>
      </c>
      <c r="Q115" s="25"/>
      <c r="R115" s="25"/>
      <c r="S115" s="25"/>
      <c r="T115" s="25"/>
    </row>
    <row r="116" spans="2:20">
      <c r="B116" s="6"/>
      <c r="C116" s="25"/>
      <c r="D116" s="229"/>
      <c r="E116" s="200" t="s">
        <v>1286</v>
      </c>
      <c r="F116" s="8" t="s">
        <v>1385</v>
      </c>
      <c r="G116" s="8" t="s">
        <v>1210</v>
      </c>
      <c r="H116" s="25"/>
      <c r="I116" s="25"/>
      <c r="J116" s="25" t="s">
        <v>1221</v>
      </c>
      <c r="M116" s="25"/>
      <c r="N116" s="25"/>
      <c r="O116" s="25"/>
      <c r="P116" s="25"/>
      <c r="Q116" s="25"/>
      <c r="R116" s="25"/>
      <c r="S116" s="25"/>
      <c r="T116" s="25"/>
    </row>
    <row r="117" spans="2:20">
      <c r="B117" s="6"/>
      <c r="C117" s="25"/>
      <c r="D117" s="229"/>
      <c r="E117" s="200" t="s">
        <v>1285</v>
      </c>
      <c r="F117" s="8" t="s">
        <v>1386</v>
      </c>
      <c r="G117" s="8" t="s">
        <v>1209</v>
      </c>
      <c r="H117" s="25"/>
      <c r="I117" s="25"/>
      <c r="J117" s="25" t="s">
        <v>1221</v>
      </c>
      <c r="M117" s="25"/>
      <c r="N117" s="25"/>
      <c r="O117" s="25"/>
      <c r="P117" s="25"/>
      <c r="Q117" s="25"/>
      <c r="R117" s="25"/>
      <c r="S117" s="25"/>
      <c r="T117" s="25"/>
    </row>
    <row r="118" spans="2:20">
      <c r="B118" s="199" t="s">
        <v>1289</v>
      </c>
      <c r="C118" s="25" t="s">
        <v>1212</v>
      </c>
      <c r="D118" s="229" t="s">
        <v>1374</v>
      </c>
      <c r="E118" s="200" t="s">
        <v>1292</v>
      </c>
      <c r="F118" s="8" t="s">
        <v>1366</v>
      </c>
      <c r="G118" s="8" t="s">
        <v>1216</v>
      </c>
      <c r="J118" s="25" t="s">
        <v>1221</v>
      </c>
      <c r="K118" s="25"/>
      <c r="L118" s="25"/>
      <c r="M118" s="25"/>
      <c r="N118" s="25"/>
      <c r="O118" s="25"/>
      <c r="P118" s="25"/>
      <c r="Q118" s="25"/>
      <c r="R118" s="25"/>
      <c r="S118" s="25"/>
      <c r="T118" s="25"/>
    </row>
    <row r="119" spans="2:20">
      <c r="B119" s="199" t="s">
        <v>1287</v>
      </c>
      <c r="C119" s="25" t="s">
        <v>1211</v>
      </c>
      <c r="D119" s="229" t="s">
        <v>1375</v>
      </c>
      <c r="E119" s="200" t="s">
        <v>1291</v>
      </c>
      <c r="F119" s="8" t="s">
        <v>1387</v>
      </c>
      <c r="G119" s="8" t="s">
        <v>1215</v>
      </c>
      <c r="H119" s="198" t="s">
        <v>1221</v>
      </c>
      <c r="J119" s="25" t="s">
        <v>1221</v>
      </c>
      <c r="K119" s="25"/>
      <c r="L119" s="25"/>
      <c r="M119" s="25"/>
      <c r="N119" s="25"/>
      <c r="O119" s="25"/>
      <c r="P119" s="25"/>
      <c r="Q119" s="25"/>
      <c r="R119" s="25"/>
      <c r="S119" s="25"/>
      <c r="T119" s="25"/>
    </row>
    <row r="120" spans="2:20">
      <c r="B120" s="6"/>
      <c r="C120" s="25"/>
      <c r="D120" s="229"/>
      <c r="E120" s="200" t="s">
        <v>1290</v>
      </c>
      <c r="F120" s="8" t="s">
        <v>1389</v>
      </c>
      <c r="G120" s="8" t="s">
        <v>1214</v>
      </c>
      <c r="H120" s="25"/>
      <c r="I120" s="25"/>
      <c r="J120" s="25" t="s">
        <v>1221</v>
      </c>
      <c r="K120" s="25"/>
      <c r="L120" s="25"/>
      <c r="M120" s="25"/>
      <c r="N120" s="25"/>
      <c r="O120" s="25"/>
      <c r="P120" s="25"/>
      <c r="Q120" s="25"/>
      <c r="R120" s="25"/>
      <c r="S120" s="25"/>
      <c r="T120" s="25"/>
    </row>
    <row r="121" spans="2:20">
      <c r="B121" s="206"/>
      <c r="C121" s="10"/>
      <c r="D121" s="10"/>
      <c r="E121" s="202" t="s">
        <v>1288</v>
      </c>
      <c r="F121" s="207" t="s">
        <v>1388</v>
      </c>
      <c r="G121" s="231" t="s">
        <v>1213</v>
      </c>
      <c r="H121" s="25"/>
      <c r="I121" s="25"/>
      <c r="J121" s="25" t="s">
        <v>1221</v>
      </c>
      <c r="K121" s="25"/>
      <c r="L121" s="25"/>
      <c r="M121" s="25"/>
      <c r="N121" s="25"/>
      <c r="O121" s="25"/>
      <c r="P121" s="25"/>
      <c r="Q121" s="25"/>
      <c r="R121" s="25"/>
      <c r="S121" s="25"/>
      <c r="T121" s="25"/>
    </row>
    <row r="122" spans="2:20">
      <c r="B122" s="25"/>
      <c r="C122" s="25"/>
      <c r="D122" s="25"/>
      <c r="E122" s="25"/>
      <c r="F122" s="198" t="s">
        <v>1221</v>
      </c>
      <c r="I122" s="25" t="s">
        <v>1221</v>
      </c>
      <c r="J122" s="25"/>
      <c r="K122" s="25"/>
      <c r="L122" s="25"/>
      <c r="M122" s="25"/>
      <c r="N122" s="25"/>
      <c r="O122" s="25"/>
      <c r="P122" s="25"/>
      <c r="Q122" s="25"/>
      <c r="R122" s="25"/>
      <c r="S122" s="25"/>
    </row>
    <row r="123" spans="2:20">
      <c r="B123" s="25"/>
      <c r="C123" s="25"/>
      <c r="D123" s="25"/>
      <c r="E123" s="25"/>
      <c r="F123" s="198" t="s">
        <v>1221</v>
      </c>
      <c r="G123" s="198" t="s">
        <v>1221</v>
      </c>
      <c r="I123" s="25" t="s">
        <v>1221</v>
      </c>
      <c r="J123" s="25"/>
      <c r="K123" s="25"/>
      <c r="L123" s="25"/>
      <c r="M123" s="25"/>
      <c r="N123" s="25"/>
      <c r="O123" s="25"/>
      <c r="P123" s="25"/>
      <c r="Q123" s="25"/>
      <c r="R123" s="25"/>
      <c r="S123" s="25"/>
    </row>
    <row r="124" spans="2:20">
      <c r="B124" s="25"/>
      <c r="C124" s="25"/>
      <c r="D124" s="25"/>
      <c r="E124" s="25"/>
      <c r="F124" s="198" t="s">
        <v>1221</v>
      </c>
      <c r="G124" s="25"/>
      <c r="H124" s="25"/>
      <c r="I124" s="25" t="s">
        <v>1221</v>
      </c>
      <c r="J124" s="25"/>
      <c r="K124" s="25"/>
      <c r="L124" s="25"/>
      <c r="M124" s="25"/>
      <c r="N124" s="25"/>
      <c r="O124" s="25"/>
      <c r="P124" s="25"/>
      <c r="Q124" s="25"/>
      <c r="R124" s="25"/>
      <c r="S124" s="25"/>
    </row>
    <row r="125" spans="2:20">
      <c r="B125" s="25"/>
      <c r="C125" s="25"/>
      <c r="D125" s="25"/>
      <c r="E125" s="25"/>
      <c r="F125" s="198" t="s">
        <v>1221</v>
      </c>
      <c r="G125" s="25"/>
      <c r="H125" s="25"/>
      <c r="I125" s="25" t="s">
        <v>1221</v>
      </c>
      <c r="J125" s="25"/>
      <c r="K125" s="25"/>
      <c r="L125" s="25"/>
      <c r="M125" s="25"/>
      <c r="N125" s="25"/>
      <c r="O125" s="25"/>
      <c r="P125" s="25"/>
      <c r="Q125" s="25"/>
      <c r="R125" s="25"/>
      <c r="S125" s="25"/>
    </row>
    <row r="126" spans="2:20">
      <c r="B126" s="25"/>
      <c r="C126" s="25"/>
      <c r="D126" s="25"/>
      <c r="E126" s="25"/>
      <c r="F126" s="198" t="s">
        <v>1221</v>
      </c>
      <c r="I126" s="25" t="s">
        <v>1221</v>
      </c>
      <c r="J126" s="200"/>
      <c r="K126" s="25"/>
      <c r="L126" s="25"/>
      <c r="Q126" s="25"/>
    </row>
    <row r="127" spans="2:20">
      <c r="B127" s="25"/>
      <c r="C127" s="25"/>
      <c r="D127" s="25"/>
      <c r="E127" s="25"/>
      <c r="F127" s="198" t="s">
        <v>1221</v>
      </c>
      <c r="G127" s="198" t="s">
        <v>1221</v>
      </c>
      <c r="I127" s="25" t="s">
        <v>1221</v>
      </c>
      <c r="J127" s="200"/>
      <c r="K127" s="25"/>
      <c r="L127" s="25"/>
      <c r="M127" s="198"/>
      <c r="N127" s="198"/>
      <c r="Q127" s="25"/>
    </row>
    <row r="128" spans="2:20">
      <c r="B128" s="25"/>
      <c r="C128" s="25"/>
      <c r="D128" s="25"/>
      <c r="E128" s="25"/>
      <c r="F128" s="198" t="s">
        <v>1221</v>
      </c>
      <c r="G128" s="25"/>
      <c r="H128" s="25"/>
      <c r="I128" s="25" t="s">
        <v>1221</v>
      </c>
      <c r="J128" s="200"/>
      <c r="K128" s="25"/>
      <c r="L128" s="25"/>
      <c r="M128" s="198"/>
      <c r="N128" s="198"/>
      <c r="Q128" s="25"/>
    </row>
    <row r="129" spans="2:14">
      <c r="B129" s="25"/>
      <c r="C129" s="25"/>
      <c r="D129" s="25"/>
      <c r="E129" s="25"/>
      <c r="F129" s="198" t="s">
        <v>1221</v>
      </c>
      <c r="G129" s="25"/>
      <c r="H129" s="25"/>
      <c r="I129" s="25"/>
      <c r="J129" s="200"/>
      <c r="K129" s="25"/>
      <c r="L129" s="25"/>
      <c r="M129" s="198"/>
      <c r="N129" s="198"/>
    </row>
    <row r="130" spans="2:14">
      <c r="B130" s="25"/>
      <c r="C130" s="25"/>
      <c r="D130" s="25"/>
      <c r="E130" s="25"/>
      <c r="F130" s="198" t="s">
        <v>1221</v>
      </c>
      <c r="J130" s="200"/>
      <c r="K130" s="198"/>
      <c r="L130" s="198"/>
      <c r="M130" s="198"/>
      <c r="N130" s="198"/>
    </row>
    <row r="131" spans="2:14">
      <c r="B131" s="25"/>
      <c r="C131" s="25"/>
      <c r="D131" s="25"/>
      <c r="E131" s="25"/>
      <c r="F131" s="198" t="s">
        <v>1221</v>
      </c>
      <c r="H131" s="198"/>
      <c r="J131" s="200"/>
      <c r="K131" s="198"/>
      <c r="L131" s="198"/>
      <c r="M131" s="198"/>
      <c r="N131" s="198"/>
    </row>
    <row r="132" spans="2:14">
      <c r="B132" s="25"/>
      <c r="C132" s="25"/>
      <c r="D132" s="25"/>
      <c r="E132" s="25"/>
      <c r="F132" s="198" t="s">
        <v>1221</v>
      </c>
      <c r="H132" s="198"/>
      <c r="J132" s="200"/>
      <c r="K132" s="198"/>
      <c r="L132" s="198"/>
      <c r="M132" s="198"/>
      <c r="N132" s="198"/>
    </row>
    <row r="133" spans="2:14">
      <c r="B133" s="25"/>
      <c r="C133" s="25"/>
      <c r="D133" s="25"/>
      <c r="E133" s="25"/>
      <c r="F133" s="198" t="s">
        <v>1221</v>
      </c>
      <c r="H133" s="198"/>
      <c r="J133" s="200"/>
      <c r="K133" s="198"/>
      <c r="L133" s="198"/>
      <c r="M133" s="198"/>
      <c r="N133" s="198"/>
    </row>
    <row r="134" spans="2:14">
      <c r="B134" s="25"/>
      <c r="C134" s="25"/>
      <c r="D134" s="25"/>
      <c r="E134" s="25"/>
      <c r="F134" s="198" t="s">
        <v>1221</v>
      </c>
      <c r="J134" s="200"/>
      <c r="K134" s="198"/>
      <c r="L134" s="198"/>
      <c r="M134" s="198"/>
      <c r="N134" s="198"/>
    </row>
    <row r="135" spans="2:14">
      <c r="B135" s="25"/>
      <c r="C135" s="25"/>
      <c r="D135" s="25"/>
      <c r="E135" s="25"/>
      <c r="F135" s="198" t="s">
        <v>1221</v>
      </c>
      <c r="J135" s="200"/>
      <c r="K135" s="198"/>
      <c r="L135" s="198"/>
      <c r="M135" s="198"/>
      <c r="N135" s="198"/>
    </row>
    <row r="136" spans="2:14">
      <c r="B136" s="25"/>
      <c r="C136" s="25"/>
      <c r="D136" s="25"/>
      <c r="E136" s="25"/>
      <c r="F136" s="198" t="s">
        <v>1221</v>
      </c>
      <c r="J136" s="200"/>
      <c r="K136" s="198"/>
      <c r="L136" s="198"/>
      <c r="M136" s="198"/>
      <c r="N136" s="198"/>
    </row>
    <row r="137" spans="2:14">
      <c r="B137" s="25"/>
      <c r="C137" s="25"/>
      <c r="D137" s="25"/>
      <c r="E137" s="25"/>
      <c r="F137" s="198" t="s">
        <v>1221</v>
      </c>
      <c r="J137" s="200"/>
      <c r="K137" s="198"/>
      <c r="L137" s="198"/>
      <c r="M137" s="198"/>
      <c r="N137" s="198"/>
    </row>
    <row r="138" spans="2:14">
      <c r="B138" s="25"/>
      <c r="C138" s="25"/>
      <c r="D138" s="25"/>
      <c r="E138" s="25"/>
      <c r="F138" s="198" t="s">
        <v>1221</v>
      </c>
      <c r="J138" s="200"/>
      <c r="K138" s="198"/>
      <c r="L138" s="198"/>
      <c r="M138" s="198"/>
      <c r="N138" s="198"/>
    </row>
    <row r="139" spans="2:14">
      <c r="B139" s="25"/>
      <c r="C139" s="25"/>
      <c r="D139" s="25"/>
      <c r="E139" s="25"/>
      <c r="F139" s="198" t="s">
        <v>1221</v>
      </c>
      <c r="J139" s="200"/>
      <c r="K139" s="198"/>
      <c r="L139" s="198"/>
      <c r="M139" s="198"/>
      <c r="N139" s="198"/>
    </row>
    <row r="140" spans="2:14">
      <c r="B140" s="25"/>
      <c r="C140" s="25"/>
      <c r="D140" s="25"/>
      <c r="E140" s="25"/>
      <c r="F140" s="198" t="s">
        <v>1221</v>
      </c>
      <c r="J140" s="200"/>
      <c r="K140" s="198"/>
      <c r="L140" s="198"/>
      <c r="M140" s="198"/>
      <c r="N140" s="198"/>
    </row>
    <row r="141" spans="2:14">
      <c r="F141" s="198"/>
      <c r="J141" s="200"/>
      <c r="K141" s="198"/>
      <c r="L141" s="198"/>
      <c r="M141" s="198"/>
      <c r="N141" s="198"/>
    </row>
    <row r="142" spans="2:14">
      <c r="F142" s="198"/>
      <c r="J142" s="200"/>
      <c r="K142" s="198"/>
      <c r="L142" s="198"/>
      <c r="M142" s="198"/>
      <c r="N142" s="198"/>
    </row>
    <row r="143" spans="2:14">
      <c r="J143" s="200"/>
      <c r="K143" s="198"/>
      <c r="L143" s="198"/>
      <c r="M143" s="198"/>
      <c r="N143" s="198"/>
    </row>
    <row r="144" spans="2:14">
      <c r="J144" s="200"/>
      <c r="K144" s="198"/>
      <c r="L144" s="198"/>
      <c r="M144" s="198"/>
      <c r="N144" s="198"/>
    </row>
    <row r="145" spans="10:14">
      <c r="J145" s="200"/>
      <c r="K145" s="198"/>
      <c r="L145" s="198"/>
      <c r="M145" s="198"/>
      <c r="N145" s="198"/>
    </row>
    <row r="146" spans="10:14">
      <c r="J146" s="200"/>
      <c r="K146" s="198"/>
      <c r="L146" s="198"/>
      <c r="M146" s="198"/>
      <c r="N146" s="198"/>
    </row>
    <row r="147" spans="10:14">
      <c r="J147" s="200"/>
      <c r="K147" s="198"/>
      <c r="L147" s="198"/>
      <c r="M147" s="198"/>
      <c r="N147" s="198"/>
    </row>
    <row r="148" spans="10:14">
      <c r="J148" s="200"/>
      <c r="K148" s="198"/>
      <c r="L148" s="198"/>
      <c r="M148" s="198"/>
      <c r="N148" s="198"/>
    </row>
    <row r="149" spans="10:14">
      <c r="J149" s="200"/>
      <c r="K149" s="198"/>
      <c r="L149" s="198"/>
      <c r="M149" s="198"/>
      <c r="N149" s="198"/>
    </row>
  </sheetData>
  <sortState ref="E100:F119">
    <sortCondition ref="E100:E11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Welcome</vt:lpstr>
      <vt:lpstr>builder</vt:lpstr>
      <vt:lpstr>print</vt:lpstr>
      <vt:lpstr>sheet</vt:lpstr>
      <vt:lpstr>adv shuffle</vt:lpstr>
      <vt:lpstr>styles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Anderson</dc:creator>
  <cp:lastModifiedBy>James Anderson</cp:lastModifiedBy>
  <cp:lastPrinted>2016-07-06T18:12:31Z</cp:lastPrinted>
  <dcterms:created xsi:type="dcterms:W3CDTF">2016-06-14T20:11:28Z</dcterms:created>
  <dcterms:modified xsi:type="dcterms:W3CDTF">2017-02-10T22:57:02Z</dcterms:modified>
</cp:coreProperties>
</file>