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ikiti\Documents\HANKE_TUOTEKEHITYS\"/>
    </mc:Choice>
  </mc:AlternateContent>
  <xr:revisionPtr revIDLastSave="0" documentId="13_ncr:1_{071EC216-9A72-4338-868A-B199E6E3451D}" xr6:coauthVersionLast="47" xr6:coauthVersionMax="47" xr10:uidLastSave="{00000000-0000-0000-0000-000000000000}"/>
  <bookViews>
    <workbookView xWindow="-108" yWindow="-108" windowWidth="23256" windowHeight="12576" tabRatio="848" activeTab="6" xr2:uid="{D702A0D6-AB3E-4328-B84A-9BF2760A6FEF}"/>
  </bookViews>
  <sheets>
    <sheet name="Kassavirtalaskelma" sheetId="9" r:id="rId1"/>
    <sheet name="Herkkyysanalyysi" sheetId="10" r:id="rId2"/>
    <sheet name="Tuotekehitys" sheetId="2" r:id="rId3"/>
    <sheet name="Tuotannon aloitus" sheetId="3" r:id="rId4"/>
    <sheet name="Markkinointi" sheetId="4" r:id="rId5"/>
    <sheet name="Tuotetuki" sheetId="8" r:id="rId6"/>
    <sheet name="Tuotanto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5" i="5" l="1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C16" i="10"/>
  <c r="B16" i="10" s="1"/>
  <c r="C7" i="10"/>
  <c r="C5" i="10" s="1"/>
  <c r="B54" i="9"/>
  <c r="C55" i="9"/>
  <c r="C60" i="9"/>
  <c r="B6" i="10"/>
  <c r="B8" i="10" s="1"/>
  <c r="B9" i="10"/>
  <c r="B15" i="10"/>
  <c r="B18" i="10"/>
  <c r="C14" i="10" l="1"/>
  <c r="C18" i="10"/>
  <c r="C15" i="10"/>
  <c r="B7" i="10"/>
  <c r="C8" i="10"/>
  <c r="C9" i="10"/>
  <c r="C6" i="10"/>
  <c r="B17" i="10"/>
  <c r="C17" i="10" s="1"/>
  <c r="H30" i="9" l="1"/>
  <c r="G30" i="9"/>
  <c r="F30" i="9"/>
  <c r="E30" i="9"/>
  <c r="D30" i="9"/>
  <c r="C30" i="9"/>
  <c r="H22" i="9"/>
  <c r="G22" i="9"/>
  <c r="F22" i="9"/>
  <c r="F34" i="9" s="1"/>
  <c r="E22" i="9"/>
  <c r="E34" i="9" s="1"/>
  <c r="D22" i="9"/>
  <c r="C22" i="9"/>
  <c r="C28" i="9" s="1"/>
  <c r="C29" i="9" s="1"/>
  <c r="H14" i="9"/>
  <c r="G14" i="9"/>
  <c r="F14" i="9"/>
  <c r="E14" i="9"/>
  <c r="D14" i="9"/>
  <c r="C14" i="9"/>
  <c r="G9" i="9"/>
  <c r="G15" i="9" s="1"/>
  <c r="G16" i="9" s="1"/>
  <c r="C35" i="9" l="1"/>
  <c r="E28" i="9"/>
  <c r="E29" i="9" s="1"/>
  <c r="F35" i="9"/>
  <c r="F28" i="9"/>
  <c r="F29" i="9" s="1"/>
  <c r="C34" i="9"/>
  <c r="G39" i="9"/>
  <c r="G40" i="9" s="1"/>
  <c r="G28" i="9"/>
  <c r="G29" i="9" s="1"/>
  <c r="G33" i="9"/>
  <c r="G34" i="9"/>
  <c r="G35" i="9"/>
  <c r="C45" i="9"/>
  <c r="D35" i="9"/>
  <c r="D34" i="9"/>
  <c r="D28" i="9"/>
  <c r="D29" i="9" s="1"/>
  <c r="H35" i="9"/>
  <c r="H34" i="9"/>
  <c r="H28" i="9"/>
  <c r="H29" i="9" s="1"/>
  <c r="E35" i="9"/>
  <c r="D5" i="5" l="1"/>
  <c r="E5" i="5"/>
  <c r="F5" i="5"/>
  <c r="C5" i="5"/>
  <c r="T5" i="5"/>
  <c r="T20" i="5" s="1"/>
  <c r="U5" i="5"/>
  <c r="U24" i="5" s="1"/>
  <c r="V5" i="5"/>
  <c r="S5" i="5"/>
  <c r="S20" i="5" s="1"/>
  <c r="R5" i="5"/>
  <c r="Q5" i="5"/>
  <c r="P5" i="5"/>
  <c r="O5" i="5"/>
  <c r="O20" i="5" s="1"/>
  <c r="N5" i="5"/>
  <c r="M5" i="5"/>
  <c r="M20" i="5" s="1"/>
  <c r="L5" i="5"/>
  <c r="L20" i="5" s="1"/>
  <c r="K5" i="5"/>
  <c r="K20" i="5" s="1"/>
  <c r="J5" i="5"/>
  <c r="I5" i="5"/>
  <c r="H5" i="5"/>
  <c r="G5" i="5"/>
  <c r="V20" i="5" l="1"/>
  <c r="Q24" i="5"/>
  <c r="U20" i="5"/>
  <c r="I20" i="5"/>
  <c r="P24" i="5"/>
  <c r="Q20" i="5"/>
  <c r="I24" i="5"/>
  <c r="M24" i="5"/>
  <c r="L24" i="5"/>
  <c r="R20" i="5"/>
  <c r="J20" i="5"/>
  <c r="T24" i="5"/>
  <c r="N20" i="5"/>
  <c r="S24" i="5"/>
  <c r="O24" i="5"/>
  <c r="K24" i="5"/>
  <c r="V24" i="5"/>
  <c r="R24" i="5"/>
  <c r="N24" i="5"/>
  <c r="J24" i="5"/>
  <c r="P20" i="5"/>
  <c r="C14" i="2"/>
  <c r="D14" i="2"/>
  <c r="E14" i="2"/>
  <c r="F14" i="2"/>
  <c r="G14" i="2"/>
  <c r="H14" i="2"/>
  <c r="I14" i="2"/>
  <c r="J14" i="2"/>
  <c r="K14" i="2"/>
  <c r="L14" i="2"/>
  <c r="M14" i="2"/>
  <c r="I7" i="2"/>
  <c r="I8" i="2" s="1"/>
  <c r="F6" i="2"/>
  <c r="F7" i="2" s="1"/>
  <c r="G6" i="2"/>
  <c r="H6" i="2"/>
  <c r="J6" i="2"/>
  <c r="K6" i="2"/>
  <c r="L6" i="2"/>
  <c r="M6" i="2"/>
  <c r="N6" i="2"/>
  <c r="C6" i="2"/>
  <c r="C7" i="2" s="1"/>
  <c r="D6" i="2"/>
  <c r="D7" i="2" s="1"/>
  <c r="E6" i="2"/>
  <c r="G7" i="2"/>
  <c r="N14" i="2"/>
  <c r="K7" i="4"/>
  <c r="K10" i="9" s="1"/>
  <c r="L7" i="4"/>
  <c r="L10" i="9" s="1"/>
  <c r="M7" i="4"/>
  <c r="M10" i="9" s="1"/>
  <c r="N7" i="4"/>
  <c r="N10" i="9" s="1"/>
  <c r="O7" i="4"/>
  <c r="O10" i="9" s="1"/>
  <c r="P7" i="4"/>
  <c r="P10" i="9" s="1"/>
  <c r="Q7" i="4"/>
  <c r="Q10" i="9" s="1"/>
  <c r="R7" i="4"/>
  <c r="R10" i="9" s="1"/>
  <c r="S7" i="4"/>
  <c r="S10" i="9" s="1"/>
  <c r="T7" i="4"/>
  <c r="T10" i="9" s="1"/>
  <c r="U7" i="4"/>
  <c r="U10" i="9" s="1"/>
  <c r="V7" i="4"/>
  <c r="V10" i="9" s="1"/>
  <c r="C16" i="2" l="1"/>
  <c r="C8" i="2"/>
  <c r="F16" i="2"/>
  <c r="F8" i="2"/>
  <c r="G16" i="2"/>
  <c r="G8" i="2"/>
  <c r="D16" i="2"/>
  <c r="D8" i="2"/>
  <c r="I16" i="2"/>
  <c r="L7" i="2"/>
  <c r="K7" i="2"/>
  <c r="N7" i="2"/>
  <c r="J7" i="2"/>
  <c r="M7" i="2"/>
  <c r="H7" i="2"/>
  <c r="C8" i="8"/>
  <c r="N16" i="2" l="1"/>
  <c r="N8" i="2"/>
  <c r="H16" i="2"/>
  <c r="F17" i="2" s="1"/>
  <c r="D8" i="9" s="1"/>
  <c r="D15" i="9" s="1"/>
  <c r="D33" i="9" s="1"/>
  <c r="H8" i="2"/>
  <c r="K16" i="2"/>
  <c r="K8" i="2"/>
  <c r="M16" i="2"/>
  <c r="M8" i="2"/>
  <c r="L16" i="2"/>
  <c r="L8" i="2"/>
  <c r="J16" i="2"/>
  <c r="J8" i="2"/>
  <c r="L17" i="2"/>
  <c r="F8" i="9" s="1"/>
  <c r="F15" i="9" s="1"/>
  <c r="I17" i="2"/>
  <c r="E8" i="9" l="1"/>
  <c r="E15" i="9" s="1"/>
  <c r="E33" i="9" s="1"/>
  <c r="E21" i="2"/>
  <c r="D39" i="9"/>
  <c r="D40" i="9" s="1"/>
  <c r="D16" i="9"/>
  <c r="F39" i="9"/>
  <c r="F40" i="9" s="1"/>
  <c r="F33" i="9"/>
  <c r="F16" i="9"/>
  <c r="H7" i="4"/>
  <c r="H10" i="9" s="1"/>
  <c r="E7" i="2"/>
  <c r="E16" i="9" l="1"/>
  <c r="E39" i="9"/>
  <c r="E40" i="9" s="1"/>
  <c r="E16" i="2"/>
  <c r="C17" i="2" s="1"/>
  <c r="C8" i="9" s="1"/>
  <c r="C15" i="9" s="1"/>
  <c r="C16" i="9" s="1"/>
  <c r="C18" i="9" s="1"/>
  <c r="D18" i="9" s="1"/>
  <c r="E18" i="9" s="1"/>
  <c r="F18" i="9" s="1"/>
  <c r="G18" i="9" s="1"/>
  <c r="E8" i="2"/>
  <c r="I7" i="4"/>
  <c r="I10" i="9" s="1"/>
  <c r="H9" i="9"/>
  <c r="H15" i="9" s="1"/>
  <c r="G3" i="3"/>
  <c r="G7" i="3" s="1"/>
  <c r="C61" i="5"/>
  <c r="C67" i="5" s="1"/>
  <c r="C68" i="5" s="1"/>
  <c r="C39" i="9" l="1"/>
  <c r="C40" i="9" s="1"/>
  <c r="C47" i="9" s="1"/>
  <c r="C17" i="9"/>
  <c r="D17" i="9" s="1"/>
  <c r="E17" i="9" s="1"/>
  <c r="F17" i="9" s="1"/>
  <c r="G17" i="9" s="1"/>
  <c r="H17" i="9" s="1"/>
  <c r="C33" i="9"/>
  <c r="C44" i="9"/>
  <c r="D44" i="9" s="1"/>
  <c r="E44" i="9" s="1"/>
  <c r="F44" i="9" s="1"/>
  <c r="G44" i="9" s="1"/>
  <c r="H44" i="9" s="1"/>
  <c r="H16" i="9"/>
  <c r="H18" i="9" s="1"/>
  <c r="H39" i="9"/>
  <c r="H33" i="9"/>
  <c r="L26" i="5"/>
  <c r="K26" i="5"/>
  <c r="T26" i="5"/>
  <c r="P26" i="5"/>
  <c r="S26" i="5"/>
  <c r="O26" i="5"/>
  <c r="J7" i="4"/>
  <c r="J10" i="9" s="1"/>
  <c r="U26" i="5"/>
  <c r="Q26" i="5"/>
  <c r="M26" i="5"/>
  <c r="I26" i="5"/>
  <c r="V26" i="5"/>
  <c r="R26" i="5"/>
  <c r="N26" i="5"/>
  <c r="J26" i="5"/>
  <c r="C65" i="5"/>
  <c r="C46" i="9" l="1"/>
  <c r="D46" i="9" s="1"/>
  <c r="E46" i="9" s="1"/>
  <c r="F46" i="9" s="1"/>
  <c r="G46" i="9" s="1"/>
  <c r="H46" i="9" s="1"/>
  <c r="C49" i="9"/>
  <c r="D47" i="9"/>
  <c r="H40" i="9"/>
  <c r="C4" i="9" a="1"/>
  <c r="C4" i="9" s="1"/>
  <c r="C43" i="9" s="1"/>
  <c r="J4" i="9" a="1"/>
  <c r="J4" i="9" s="1"/>
  <c r="J13" i="9" s="1"/>
  <c r="J14" i="9" s="1"/>
  <c r="E4" i="9" a="1"/>
  <c r="E4" i="9" s="1"/>
  <c r="H4" i="9" a="1"/>
  <c r="H4" i="9" s="1"/>
  <c r="F4" i="9" a="1"/>
  <c r="F4" i="9" s="1"/>
  <c r="D4" i="9" a="1"/>
  <c r="D4" i="9" s="1"/>
  <c r="G4" i="9" a="1"/>
  <c r="G4" i="9" s="1"/>
  <c r="I4" i="9" a="1"/>
  <c r="I4" i="9" s="1"/>
  <c r="I13" i="9" s="1"/>
  <c r="K4" i="9" l="1" a="1"/>
  <c r="K4" i="9" s="1"/>
  <c r="L4" i="9" s="1" a="1"/>
  <c r="L4" i="9" s="1"/>
  <c r="M4" i="9" s="1" a="1"/>
  <c r="M4" i="9" s="1"/>
  <c r="E47" i="9"/>
  <c r="D49" i="9"/>
  <c r="I12" i="9"/>
  <c r="I15" i="9" s="1"/>
  <c r="I17" i="9" s="1"/>
  <c r="J21" i="9"/>
  <c r="J22" i="9" s="1"/>
  <c r="J28" i="9" s="1"/>
  <c r="J29" i="9" s="1"/>
  <c r="D43" i="9"/>
  <c r="E43" i="9" s="1"/>
  <c r="F43" i="9" s="1"/>
  <c r="G43" i="9" s="1"/>
  <c r="H43" i="9" s="1"/>
  <c r="I43" i="9" s="1"/>
  <c r="J43" i="9" s="1"/>
  <c r="I14" i="9"/>
  <c r="I21" i="9"/>
  <c r="I22" i="9" s="1"/>
  <c r="J12" i="9"/>
  <c r="J15" i="9" s="1"/>
  <c r="J16" i="9" s="1"/>
  <c r="K13" i="9" l="1"/>
  <c r="K14" i="9" s="1"/>
  <c r="K43" i="9"/>
  <c r="L43" i="9" s="1"/>
  <c r="M43" i="9" s="1"/>
  <c r="L21" i="9"/>
  <c r="L22" i="9" s="1"/>
  <c r="L24" i="9" s="1"/>
  <c r="K21" i="9"/>
  <c r="K22" i="9" s="1"/>
  <c r="K24" i="9" s="1"/>
  <c r="L12" i="9"/>
  <c r="K12" i="9"/>
  <c r="L13" i="9"/>
  <c r="F47" i="9"/>
  <c r="E49" i="9"/>
  <c r="I16" i="9"/>
  <c r="I18" i="9" s="1"/>
  <c r="J18" i="9" s="1"/>
  <c r="I44" i="9"/>
  <c r="J24" i="9"/>
  <c r="J30" i="9"/>
  <c r="I35" i="9"/>
  <c r="I39" i="9"/>
  <c r="I45" i="9"/>
  <c r="J45" i="9" s="1"/>
  <c r="I28" i="9"/>
  <c r="I29" i="9" s="1"/>
  <c r="I33" i="9"/>
  <c r="I34" i="9" s="1"/>
  <c r="I23" i="9"/>
  <c r="I24" i="9"/>
  <c r="J17" i="9"/>
  <c r="J39" i="9"/>
  <c r="J40" i="9" s="1"/>
  <c r="J33" i="9"/>
  <c r="J34" i="9" s="1"/>
  <c r="J35" i="9"/>
  <c r="I30" i="9"/>
  <c r="N4" i="9" a="1"/>
  <c r="N4" i="9" s="1"/>
  <c r="M13" i="9"/>
  <c r="M21" i="9"/>
  <c r="M22" i="9" s="1"/>
  <c r="M12" i="9"/>
  <c r="L15" i="9" l="1"/>
  <c r="L16" i="9" s="1"/>
  <c r="L14" i="9"/>
  <c r="L30" i="9"/>
  <c r="K15" i="9"/>
  <c r="K16" i="9" s="1"/>
  <c r="K18" i="9" s="1"/>
  <c r="K30" i="9"/>
  <c r="L28" i="9"/>
  <c r="L29" i="9" s="1"/>
  <c r="K28" i="9"/>
  <c r="K29" i="9" s="1"/>
  <c r="J44" i="9"/>
  <c r="G47" i="9"/>
  <c r="F49" i="9"/>
  <c r="M15" i="9"/>
  <c r="M16" i="9" s="1"/>
  <c r="M24" i="9"/>
  <c r="M28" i="9"/>
  <c r="M29" i="9" s="1"/>
  <c r="I25" i="9"/>
  <c r="J23" i="9"/>
  <c r="I46" i="9"/>
  <c r="J46" i="9" s="1"/>
  <c r="I40" i="9"/>
  <c r="N21" i="9"/>
  <c r="N22" i="9" s="1"/>
  <c r="N13" i="9"/>
  <c r="O4" i="9" a="1"/>
  <c r="O4" i="9" s="1"/>
  <c r="N12" i="9"/>
  <c r="M30" i="9"/>
  <c r="M14" i="9"/>
  <c r="N43" i="9"/>
  <c r="L35" i="9" l="1"/>
  <c r="L39" i="9"/>
  <c r="L40" i="9" s="1"/>
  <c r="L18" i="9"/>
  <c r="M18" i="9" s="1"/>
  <c r="L33" i="9"/>
  <c r="L34" i="9" s="1"/>
  <c r="K44" i="9"/>
  <c r="L44" i="9" s="1"/>
  <c r="M44" i="9" s="1"/>
  <c r="K33" i="9"/>
  <c r="K34" i="9" s="1"/>
  <c r="K17" i="9"/>
  <c r="L17" i="9" s="1"/>
  <c r="M17" i="9" s="1"/>
  <c r="K35" i="9"/>
  <c r="K39" i="9"/>
  <c r="K40" i="9" s="1"/>
  <c r="G49" i="9"/>
  <c r="H47" i="9"/>
  <c r="H49" i="9" s="1"/>
  <c r="M33" i="9"/>
  <c r="M34" i="9" s="1"/>
  <c r="M35" i="9"/>
  <c r="M39" i="9"/>
  <c r="M40" i="9" s="1"/>
  <c r="O12" i="9"/>
  <c r="O21" i="9"/>
  <c r="O22" i="9" s="1"/>
  <c r="P4" i="9" a="1"/>
  <c r="P4" i="9" s="1"/>
  <c r="O13" i="9"/>
  <c r="N30" i="9"/>
  <c r="N14" i="9"/>
  <c r="N24" i="9"/>
  <c r="N28" i="9"/>
  <c r="N29" i="9" s="1"/>
  <c r="J25" i="9"/>
  <c r="K23" i="9"/>
  <c r="O43" i="9"/>
  <c r="N15" i="9"/>
  <c r="N16" i="9" s="1"/>
  <c r="K46" i="9" l="1"/>
  <c r="L46" i="9" s="1"/>
  <c r="M46" i="9" s="1"/>
  <c r="I47" i="9"/>
  <c r="N18" i="9"/>
  <c r="N17" i="9"/>
  <c r="N44" i="9"/>
  <c r="N39" i="9"/>
  <c r="N40" i="9" s="1"/>
  <c r="Q4" i="9" a="1"/>
  <c r="Q4" i="9" s="1"/>
  <c r="P13" i="9"/>
  <c r="P12" i="9"/>
  <c r="P21" i="9"/>
  <c r="P22" i="9" s="1"/>
  <c r="K25" i="9"/>
  <c r="L23" i="9"/>
  <c r="O28" i="9"/>
  <c r="O29" i="9" s="1"/>
  <c r="O24" i="9"/>
  <c r="N35" i="9"/>
  <c r="N33" i="9"/>
  <c r="N34" i="9" s="1"/>
  <c r="O15" i="9"/>
  <c r="O16" i="9" s="1"/>
  <c r="P43" i="9"/>
  <c r="O14" i="9"/>
  <c r="O30" i="9"/>
  <c r="J47" i="9" l="1"/>
  <c r="I49" i="9"/>
  <c r="O18" i="9"/>
  <c r="P15" i="9"/>
  <c r="P16" i="9" s="1"/>
  <c r="N46" i="9"/>
  <c r="Q43" i="9"/>
  <c r="O17" i="9"/>
  <c r="O44" i="9"/>
  <c r="O39" i="9"/>
  <c r="O40" i="9" s="1"/>
  <c r="L25" i="9"/>
  <c r="M23" i="9"/>
  <c r="P14" i="9"/>
  <c r="P30" i="9"/>
  <c r="P24" i="9"/>
  <c r="P28" i="9"/>
  <c r="P29" i="9" s="1"/>
  <c r="O33" i="9"/>
  <c r="O34" i="9" s="1"/>
  <c r="O35" i="9"/>
  <c r="Q13" i="9"/>
  <c r="Q21" i="9"/>
  <c r="Q22" i="9" s="1"/>
  <c r="Q12" i="9"/>
  <c r="R4" i="9" a="1"/>
  <c r="R4" i="9" s="1"/>
  <c r="J49" i="9" l="1"/>
  <c r="K47" i="9"/>
  <c r="P33" i="9"/>
  <c r="P34" i="9" s="1"/>
  <c r="P35" i="9"/>
  <c r="P17" i="9"/>
  <c r="P18" i="9"/>
  <c r="P39" i="9"/>
  <c r="P40" i="9" s="1"/>
  <c r="M25" i="9"/>
  <c r="N23" i="9"/>
  <c r="P44" i="9"/>
  <c r="O46" i="9"/>
  <c r="R13" i="9"/>
  <c r="R12" i="9"/>
  <c r="S4" i="9" a="1"/>
  <c r="S4" i="9" s="1"/>
  <c r="R21" i="9"/>
  <c r="R22" i="9" s="1"/>
  <c r="Q28" i="9"/>
  <c r="Q29" i="9" s="1"/>
  <c r="Q24" i="9"/>
  <c r="Q14" i="9"/>
  <c r="Q30" i="9"/>
  <c r="Q15" i="9"/>
  <c r="Q33" i="9" s="1"/>
  <c r="Q34" i="9" s="1"/>
  <c r="R43" i="9"/>
  <c r="K49" i="9" l="1"/>
  <c r="L47" i="9"/>
  <c r="P46" i="9"/>
  <c r="R15" i="9"/>
  <c r="R16" i="9" s="1"/>
  <c r="R30" i="9"/>
  <c r="R14" i="9"/>
  <c r="O23" i="9"/>
  <c r="N25" i="9"/>
  <c r="Q35" i="9"/>
  <c r="Q44" i="9"/>
  <c r="S43" i="9"/>
  <c r="R24" i="9"/>
  <c r="R28" i="9"/>
  <c r="R29" i="9" s="1"/>
  <c r="Q16" i="9"/>
  <c r="Q18" i="9" s="1"/>
  <c r="Q17" i="9"/>
  <c r="Q39" i="9"/>
  <c r="Q40" i="9" s="1"/>
  <c r="S13" i="9"/>
  <c r="S12" i="9"/>
  <c r="S21" i="9"/>
  <c r="S22" i="9" s="1"/>
  <c r="T4" i="9" a="1"/>
  <c r="T4" i="9" s="1"/>
  <c r="L49" i="9" l="1"/>
  <c r="M47" i="9"/>
  <c r="R39" i="9"/>
  <c r="R40" i="9" s="1"/>
  <c r="R17" i="9"/>
  <c r="R35" i="9"/>
  <c r="R33" i="9"/>
  <c r="R34" i="9" s="1"/>
  <c r="R44" i="9"/>
  <c r="R18" i="9"/>
  <c r="Q46" i="9"/>
  <c r="T43" i="9"/>
  <c r="O25" i="9"/>
  <c r="P23" i="9"/>
  <c r="S30" i="9"/>
  <c r="S14" i="9"/>
  <c r="U4" i="9" a="1"/>
  <c r="U4" i="9" s="1"/>
  <c r="T12" i="9"/>
  <c r="T13" i="9"/>
  <c r="T21" i="9"/>
  <c r="T22" i="9" s="1"/>
  <c r="S28" i="9"/>
  <c r="S29" i="9" s="1"/>
  <c r="S24" i="9"/>
  <c r="S15" i="9"/>
  <c r="S16" i="9" s="1"/>
  <c r="N47" i="9" l="1"/>
  <c r="M49" i="9"/>
  <c r="R46" i="9"/>
  <c r="S18" i="9"/>
  <c r="T15" i="9"/>
  <c r="T16" i="9" s="1"/>
  <c r="P25" i="9"/>
  <c r="Q23" i="9"/>
  <c r="S33" i="9"/>
  <c r="S34" i="9" s="1"/>
  <c r="S39" i="9"/>
  <c r="S44" i="9"/>
  <c r="S35" i="9"/>
  <c r="T24" i="9"/>
  <c r="T28" i="9"/>
  <c r="T29" i="9" s="1"/>
  <c r="U43" i="9"/>
  <c r="U12" i="9"/>
  <c r="U21" i="9"/>
  <c r="U22" i="9" s="1"/>
  <c r="U13" i="9"/>
  <c r="V4" i="9" a="1"/>
  <c r="V4" i="9" s="1"/>
  <c r="S17" i="9"/>
  <c r="T14" i="9"/>
  <c r="T30" i="9"/>
  <c r="N49" i="9" l="1"/>
  <c r="O47" i="9"/>
  <c r="T39" i="9"/>
  <c r="T40" i="9" s="1"/>
  <c r="T18" i="9"/>
  <c r="T44" i="9"/>
  <c r="T17" i="9"/>
  <c r="T33" i="9"/>
  <c r="T34" i="9" s="1"/>
  <c r="T35" i="9"/>
  <c r="V43" i="9"/>
  <c r="U30" i="9"/>
  <c r="U14" i="9"/>
  <c r="V12" i="9"/>
  <c r="V13" i="9"/>
  <c r="V21" i="9"/>
  <c r="V22" i="9" s="1"/>
  <c r="U24" i="9"/>
  <c r="U28" i="9"/>
  <c r="U29" i="9" s="1"/>
  <c r="Q25" i="9"/>
  <c r="R23" i="9"/>
  <c r="U15" i="9"/>
  <c r="U16" i="9" s="1"/>
  <c r="S40" i="9"/>
  <c r="S46" i="9"/>
  <c r="O49" i="9" l="1"/>
  <c r="P47" i="9"/>
  <c r="T46" i="9"/>
  <c r="U18" i="9"/>
  <c r="V15" i="9"/>
  <c r="V16" i="9" s="1"/>
  <c r="U35" i="9"/>
  <c r="U44" i="9"/>
  <c r="V28" i="9"/>
  <c r="V29" i="9" s="1"/>
  <c r="V24" i="9"/>
  <c r="U33" i="9"/>
  <c r="U34" i="9" s="1"/>
  <c r="U17" i="9"/>
  <c r="S23" i="9"/>
  <c r="R25" i="9"/>
  <c r="U39" i="9"/>
  <c r="U40" i="9" s="1"/>
  <c r="V14" i="9"/>
  <c r="V30" i="9"/>
  <c r="P49" i="9" l="1"/>
  <c r="Q47" i="9"/>
  <c r="V17" i="9"/>
  <c r="V39" i="9"/>
  <c r="V40" i="9" s="1"/>
  <c r="V18" i="9"/>
  <c r="V33" i="9"/>
  <c r="V34" i="9" s="1"/>
  <c r="V35" i="9"/>
  <c r="V44" i="9"/>
  <c r="B65" i="9" s="1"/>
  <c r="U46" i="9"/>
  <c r="T23" i="9"/>
  <c r="S25" i="9"/>
  <c r="B61" i="9"/>
  <c r="B58" i="9"/>
  <c r="Q49" i="9" l="1"/>
  <c r="R47" i="9"/>
  <c r="V46" i="9"/>
  <c r="T25" i="9"/>
  <c r="U23" i="9"/>
  <c r="D4" i="10"/>
  <c r="B62" i="9"/>
  <c r="R49" i="9" l="1"/>
  <c r="S47" i="9"/>
  <c r="E4" i="10"/>
  <c r="V23" i="9"/>
  <c r="V25" i="9" s="1"/>
  <c r="U25" i="9"/>
  <c r="T47" i="9" l="1"/>
  <c r="S49" i="9"/>
  <c r="U47" i="9" l="1"/>
  <c r="T49" i="9"/>
  <c r="V47" i="9" l="1"/>
  <c r="B67" i="9" s="1"/>
  <c r="U49" i="9"/>
  <c r="B64" i="9" l="1"/>
  <c r="V49" i="9"/>
  <c r="F4" i="10" l="1"/>
  <c r="D13" i="10"/>
  <c r="B66" i="9"/>
  <c r="B68" i="9"/>
  <c r="H4" i="10"/>
  <c r="F13" i="10"/>
  <c r="G4" i="10" l="1"/>
  <c r="E1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<sst xmlns="http://schemas.openxmlformats.org/spreadsheetml/2006/main" count="330" uniqueCount="108">
  <si>
    <t>Tuotantomäärä</t>
  </si>
  <si>
    <t>Yksikkökustannus</t>
  </si>
  <si>
    <t>Ostokomponentit</t>
  </si>
  <si>
    <t>Kokoonpano</t>
  </si>
  <si>
    <t>Pintakäsittely</t>
  </si>
  <si>
    <t>Toteuma</t>
  </si>
  <si>
    <t>€/kpl</t>
  </si>
  <si>
    <t>Materiaali</t>
  </si>
  <si>
    <t>Osavalmistus</t>
  </si>
  <si>
    <t>Budjetti</t>
  </si>
  <si>
    <t>Myyntimäärä</t>
  </si>
  <si>
    <t>Myyntikate</t>
  </si>
  <si>
    <t>Myyntikate %</t>
  </si>
  <si>
    <t>%</t>
  </si>
  <si>
    <t>Myyntihinta</t>
  </si>
  <si>
    <t>Tavoitekate</t>
  </si>
  <si>
    <t>Tavoitemyyntihinta</t>
  </si>
  <si>
    <t>kpl/Q</t>
  </si>
  <si>
    <t>Q1</t>
  </si>
  <si>
    <t>Q2</t>
  </si>
  <si>
    <t>Q3</t>
  </si>
  <si>
    <t>Q4</t>
  </si>
  <si>
    <t>Palkka</t>
  </si>
  <si>
    <t>€/h</t>
  </si>
  <si>
    <t>h/kpl</t>
  </si>
  <si>
    <t>Osavalmistus yht.</t>
  </si>
  <si>
    <t>Pintakäsittely yht.</t>
  </si>
  <si>
    <t>Kokoonpano yht.</t>
  </si>
  <si>
    <t>kpl</t>
  </si>
  <si>
    <t>€</t>
  </si>
  <si>
    <t>t€</t>
  </si>
  <si>
    <t>Ostopalvelut</t>
  </si>
  <si>
    <t>Muut ostot</t>
  </si>
  <si>
    <t>Tuotekehitys yht.</t>
  </si>
  <si>
    <t>h</t>
  </si>
  <si>
    <t>Tunnit</t>
  </si>
  <si>
    <t>Tuotannon aloitus yht.</t>
  </si>
  <si>
    <t>Markkinointi yht.</t>
  </si>
  <si>
    <t>Myynti</t>
  </si>
  <si>
    <t>Myyntitulo</t>
  </si>
  <si>
    <t>Kassavirta</t>
  </si>
  <si>
    <t>Nykyarvo Q1</t>
  </si>
  <si>
    <t>Kumulatiivinen nykyarvo Q1</t>
  </si>
  <si>
    <t>Takaisinmaksuaika</t>
  </si>
  <si>
    <t>Q</t>
  </si>
  <si>
    <t>v</t>
  </si>
  <si>
    <t>Kate</t>
  </si>
  <si>
    <t>Kustannukset</t>
  </si>
  <si>
    <t>Kustannukset yht</t>
  </si>
  <si>
    <t>Myyntikate/kpl</t>
  </si>
  <si>
    <t>Kumulatiivinen kassavirta</t>
  </si>
  <si>
    <t>Tavoitemyyntikate</t>
  </si>
  <si>
    <t>Kumulatiiviset kustannukset</t>
  </si>
  <si>
    <t>PV, kustannukset, kumul.</t>
  </si>
  <si>
    <t>PV, kustannukset</t>
  </si>
  <si>
    <t>Kumulatiiviset tulot</t>
  </si>
  <si>
    <t>PV, myyntitulo</t>
  </si>
  <si>
    <t>PV, myyntitulo, kumul</t>
  </si>
  <si>
    <t>Tuotannon ylösajo</t>
  </si>
  <si>
    <t>Tuotanto täysimääräinen, Q</t>
  </si>
  <si>
    <t>Materiaalit</t>
  </si>
  <si>
    <t>Tuotetuki yht.</t>
  </si>
  <si>
    <t>Tuotetukitarve</t>
  </si>
  <si>
    <t>Ostot</t>
  </si>
  <si>
    <t>Standardit</t>
  </si>
  <si>
    <t xml:space="preserve">Ostot yht. </t>
  </si>
  <si>
    <t>Suunnittelu</t>
  </si>
  <si>
    <t>Tunnit yht</t>
  </si>
  <si>
    <t>Palaverit</t>
  </si>
  <si>
    <t>kk</t>
  </si>
  <si>
    <t>€/kk</t>
  </si>
  <si>
    <t>€/Q</t>
  </si>
  <si>
    <t>Vuosikorotus</t>
  </si>
  <si>
    <t>Vuosikorkovaatimus</t>
  </si>
  <si>
    <t>Kumulatiivinen tuotantomäärä</t>
  </si>
  <si>
    <t xml:space="preserve">Kumulatiiviset </t>
  </si>
  <si>
    <t>Tulos</t>
  </si>
  <si>
    <t>Tuottoaste</t>
  </si>
  <si>
    <t>Projektin menot</t>
  </si>
  <si>
    <t>Muutos</t>
  </si>
  <si>
    <t>Projektin tuotto</t>
  </si>
  <si>
    <t>Tiettyä takaisinmaksuaikaa voi hakea Tiedot-välilehden Entä jos -analyysin Tavoitteen haku -työkalulla:</t>
  </si>
  <si>
    <t>Esimerkiksi tavoitteeksi takaisinmaksuajalle, muuttamalla myyntihintaa, voi asettaa 14 kvartaalia näin:</t>
  </si>
  <si>
    <t>Herkkyysanalyysin avulla voi nopeasti havainnoida eri tekijöiden</t>
  </si>
  <si>
    <t>vaikutusta esimerkiksi katteesen ja takaisinmaksuaikaan.</t>
  </si>
  <si>
    <t>Taulukot on luotu Entä jos -analyysin Arvotaulukoiden avulla.</t>
  </si>
  <si>
    <t>Myyntihintaa ja tuotantomäärää voi muuttaa nopeasti oranssien solujen</t>
  </si>
  <si>
    <t xml:space="preserve">arvoja muuttamalla. </t>
  </si>
  <si>
    <t>Projektin tuotekehityskustannukset</t>
  </si>
  <si>
    <t>Kiinteät</t>
  </si>
  <si>
    <t>Muuttuvat</t>
  </si>
  <si>
    <t xml:space="preserve">   Tuotetuki</t>
  </si>
  <si>
    <t xml:space="preserve">   Tuotanto</t>
  </si>
  <si>
    <t xml:space="preserve">   Tuotekehitys</t>
  </si>
  <si>
    <t xml:space="preserve">   Tuotannon aloitus</t>
  </si>
  <si>
    <t xml:space="preserve">   Markkinointi</t>
  </si>
  <si>
    <t>hth/kk</t>
  </si>
  <si>
    <t>Myyntikate, projektin tuotto ja takaisinmaksuaika myyntihinnan perusteella</t>
  </si>
  <si>
    <t>Projektin tuotto ja takaisinmaksuaika tuotantomäärän perusteella</t>
  </si>
  <si>
    <t>Työmäärä</t>
  </si>
  <si>
    <t>Palkkakulu/h (keskim.?)</t>
  </si>
  <si>
    <t>Aika kaikki tt yht.</t>
  </si>
  <si>
    <t>.+Konetuntikulut?</t>
  </si>
  <si>
    <t>.+Konetuntikulut? (keskim.?)</t>
  </si>
  <si>
    <t>(Sijoitetun pääoman tuottovaatimus)</t>
  </si>
  <si>
    <t>Q (kvartaalia)</t>
  </si>
  <si>
    <t>Palkka 2022 (sis.sosiaalikulut)</t>
  </si>
  <si>
    <t>Tuotantomäärä/kvartaali (normaali)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</si>
</sst>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\ %"/>
    <numFmt numFmtId="166" formatCode="#,##0\ &quot;€&quot;"/>
    <numFmt numFmtId="167" formatCode="&quot;€/kpl&quot;"/>
    <numFmt numFmtId="168" formatCode="&quot;%&quot;"/>
    <numFmt numFmtId="169" formatCode="&quot;t€&quot;"/>
    <numFmt numFmtId="170" formatCode="&quot;Q&quot;"/>
    <numFmt numFmtId="171" formatCode="&quot;kpl/Q&quot;"/>
    <numFmt numFmtId="172" formatCode="_-* #,##0\ [$€-1]_-;\-* #,##0\ [$€-1]_-;_-* &quot;-&quot;??\ [$€-1]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1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/>
      <diagonal/>
    </border>
    <border>
      <left style="hair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rgb="FF7F7F7F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7F7F7F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9" fontId="5" fillId="0" borderId="0" applyFont="0" applyFill="0" applyBorder="0" applyAlignment="0" applyProtection="0"/>
    <xf numFmtId="0" fontId="5" fillId="8" borderId="112" applyNumberFormat="0" applyFont="0" applyAlignment="0" applyProtection="0"/>
    <xf numFmtId="0" fontId="7" fillId="3" borderId="1" applyNumberFormat="0" applyAlignment="0" applyProtection="0"/>
  </cellStyleXfs>
  <cellXfs count="379">
    <xf numFmtId="0" fontId="0" fillId="0" borderId="0" xfId="0"/>
    <xf numFmtId="0" fontId="3" fillId="2" borderId="1" xfId="1"/>
    <xf numFmtId="0" fontId="4" fillId="3" borderId="2" xfId="2"/>
    <xf numFmtId="1" fontId="4" fillId="3" borderId="2" xfId="2" applyNumberFormat="1"/>
    <xf numFmtId="165" fontId="3" fillId="2" borderId="1" xfId="1" applyNumberFormat="1"/>
    <xf numFmtId="0" fontId="1" fillId="4" borderId="41" xfId="0" applyFont="1" applyFill="1" applyBorder="1"/>
    <xf numFmtId="0" fontId="0" fillId="4" borderId="42" xfId="0" applyFill="1" applyBorder="1"/>
    <xf numFmtId="0" fontId="0" fillId="4" borderId="35" xfId="0" applyFill="1" applyBorder="1" applyAlignment="1">
      <alignment horizontal="right"/>
    </xf>
    <xf numFmtId="0" fontId="0" fillId="4" borderId="36" xfId="0" applyFill="1" applyBorder="1" applyAlignment="1">
      <alignment horizontal="right"/>
    </xf>
    <xf numFmtId="0" fontId="0" fillId="4" borderId="37" xfId="0" applyFill="1" applyBorder="1" applyAlignment="1">
      <alignment horizontal="right"/>
    </xf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 applyAlignment="1">
      <alignment horizontal="right"/>
    </xf>
    <xf numFmtId="0" fontId="0" fillId="4" borderId="22" xfId="0" applyFill="1" applyBorder="1" applyAlignment="1">
      <alignment horizontal="right"/>
    </xf>
    <xf numFmtId="0" fontId="0" fillId="4" borderId="23" xfId="0" applyFill="1" applyBorder="1" applyAlignment="1">
      <alignment horizontal="right"/>
    </xf>
    <xf numFmtId="0" fontId="1" fillId="4" borderId="19" xfId="0" applyFont="1" applyFill="1" applyBorder="1"/>
    <xf numFmtId="0" fontId="1" fillId="4" borderId="25" xfId="0" applyFont="1" applyFill="1" applyBorder="1"/>
    <xf numFmtId="0" fontId="1" fillId="4" borderId="26" xfId="0" applyFont="1" applyFill="1" applyBorder="1"/>
    <xf numFmtId="0" fontId="0" fillId="4" borderId="39" xfId="0" applyFill="1" applyBorder="1"/>
    <xf numFmtId="0" fontId="0" fillId="4" borderId="40" xfId="0" applyFill="1" applyBorder="1"/>
    <xf numFmtId="0" fontId="0" fillId="4" borderId="31" xfId="0" applyFill="1" applyBorder="1" applyAlignment="1">
      <alignment horizontal="right"/>
    </xf>
    <xf numFmtId="0" fontId="0" fillId="4" borderId="32" xfId="0" applyFill="1" applyBorder="1" applyAlignment="1">
      <alignment horizontal="right"/>
    </xf>
    <xf numFmtId="0" fontId="0" fillId="4" borderId="33" xfId="0" applyFill="1" applyBorder="1" applyAlignment="1">
      <alignment horizontal="right"/>
    </xf>
    <xf numFmtId="0" fontId="0" fillId="4" borderId="41" xfId="0" applyFill="1" applyBorder="1"/>
    <xf numFmtId="0" fontId="1" fillId="4" borderId="42" xfId="0" applyFont="1" applyFill="1" applyBorder="1"/>
    <xf numFmtId="0" fontId="1" fillId="4" borderId="35" xfId="0" applyFont="1" applyFill="1" applyBorder="1" applyAlignment="1">
      <alignment horizontal="right"/>
    </xf>
    <xf numFmtId="0" fontId="1" fillId="4" borderId="36" xfId="0" applyFont="1" applyFill="1" applyBorder="1" applyAlignment="1">
      <alignment horizontal="right"/>
    </xf>
    <xf numFmtId="0" fontId="1" fillId="4" borderId="37" xfId="0" applyFont="1" applyFill="1" applyBorder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1" fillId="6" borderId="0" xfId="0" applyFont="1" applyFill="1"/>
    <xf numFmtId="0" fontId="1" fillId="6" borderId="35" xfId="0" applyFont="1" applyFill="1" applyBorder="1"/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0" fillId="6" borderId="39" xfId="0" applyFill="1" applyBorder="1"/>
    <xf numFmtId="0" fontId="0" fillId="6" borderId="40" xfId="0" applyFill="1" applyBorder="1"/>
    <xf numFmtId="0" fontId="0" fillId="6" borderId="31" xfId="0" applyFill="1" applyBorder="1" applyAlignment="1">
      <alignment horizontal="right"/>
    </xf>
    <xf numFmtId="0" fontId="0" fillId="6" borderId="32" xfId="0" applyFill="1" applyBorder="1" applyAlignment="1">
      <alignment horizontal="right"/>
    </xf>
    <xf numFmtId="0" fontId="0" fillId="6" borderId="33" xfId="0" applyFill="1" applyBorder="1" applyAlignment="1">
      <alignment horizontal="right"/>
    </xf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 applyAlignment="1">
      <alignment horizontal="right"/>
    </xf>
    <xf numFmtId="0" fontId="0" fillId="6" borderId="22" xfId="0" applyFill="1" applyBorder="1" applyAlignment="1">
      <alignment horizontal="right"/>
    </xf>
    <xf numFmtId="0" fontId="0" fillId="6" borderId="23" xfId="0" applyFill="1" applyBorder="1" applyAlignment="1">
      <alignment horizontal="right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0" xfId="0" applyFill="1" applyBorder="1"/>
    <xf numFmtId="0" fontId="0" fillId="6" borderId="0" xfId="0" applyFont="1" applyFill="1"/>
    <xf numFmtId="1" fontId="0" fillId="6" borderId="0" xfId="0" applyNumberFormat="1" applyFill="1"/>
    <xf numFmtId="0" fontId="0" fillId="6" borderId="0" xfId="0" applyFont="1" applyFill="1" applyBorder="1"/>
    <xf numFmtId="0" fontId="0" fillId="6" borderId="20" xfId="0" applyFill="1" applyBorder="1" applyAlignment="1">
      <alignment horizontal="center"/>
    </xf>
    <xf numFmtId="1" fontId="0" fillId="6" borderId="21" xfId="0" applyNumberFormat="1" applyFill="1" applyBorder="1"/>
    <xf numFmtId="1" fontId="0" fillId="6" borderId="22" xfId="0" applyNumberFormat="1" applyFill="1" applyBorder="1"/>
    <xf numFmtId="1" fontId="0" fillId="6" borderId="23" xfId="0" applyNumberFormat="1" applyFill="1" applyBorder="1"/>
    <xf numFmtId="1" fontId="0" fillId="6" borderId="24" xfId="0" applyNumberFormat="1" applyFill="1" applyBorder="1"/>
    <xf numFmtId="0" fontId="1" fillId="6" borderId="19" xfId="0" applyFont="1" applyFill="1" applyBorder="1"/>
    <xf numFmtId="0" fontId="1" fillId="6" borderId="20" xfId="0" applyFont="1" applyFill="1" applyBorder="1" applyAlignment="1">
      <alignment horizontal="center"/>
    </xf>
    <xf numFmtId="1" fontId="1" fillId="6" borderId="21" xfId="0" applyNumberFormat="1" applyFont="1" applyFill="1" applyBorder="1"/>
    <xf numFmtId="1" fontId="1" fillId="6" borderId="22" xfId="0" applyNumberFormat="1" applyFont="1" applyFill="1" applyBorder="1"/>
    <xf numFmtId="1" fontId="1" fillId="6" borderId="23" xfId="0" applyNumberFormat="1" applyFont="1" applyFill="1" applyBorder="1"/>
    <xf numFmtId="1" fontId="1" fillId="6" borderId="24" xfId="0" applyNumberFormat="1" applyFont="1" applyFill="1" applyBorder="1"/>
    <xf numFmtId="0" fontId="0" fillId="6" borderId="13" xfId="0" applyFill="1" applyBorder="1"/>
    <xf numFmtId="0" fontId="0" fillId="6" borderId="14" xfId="0" applyFill="1" applyBorder="1" applyAlignment="1">
      <alignment horizontal="center"/>
    </xf>
    <xf numFmtId="1" fontId="0" fillId="6" borderId="15" xfId="0" applyNumberFormat="1" applyFill="1" applyBorder="1" applyAlignment="1">
      <alignment horizontal="center"/>
    </xf>
    <xf numFmtId="1" fontId="0" fillId="6" borderId="16" xfId="0" applyNumberFormat="1" applyFill="1" applyBorder="1" applyAlignment="1">
      <alignment horizontal="center"/>
    </xf>
    <xf numFmtId="1" fontId="0" fillId="6" borderId="17" xfId="0" applyNumberFormat="1" applyFill="1" applyBorder="1" applyAlignment="1">
      <alignment horizontal="center"/>
    </xf>
    <xf numFmtId="1" fontId="0" fillId="6" borderId="18" xfId="0" applyNumberForma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11" xfId="0" applyFont="1" applyFill="1" applyBorder="1"/>
    <xf numFmtId="0" fontId="1" fillId="6" borderId="0" xfId="0" applyFont="1" applyFill="1" applyBorder="1" applyAlignment="1">
      <alignment horizontal="center"/>
    </xf>
    <xf numFmtId="0" fontId="1" fillId="6" borderId="6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6" borderId="11" xfId="0" applyFill="1" applyBorder="1"/>
    <xf numFmtId="0" fontId="0" fillId="6" borderId="43" xfId="0" applyFill="1" applyBorder="1" applyAlignment="1">
      <alignment horizontal="center"/>
    </xf>
    <xf numFmtId="0" fontId="0" fillId="6" borderId="50" xfId="0" applyFill="1" applyBorder="1" applyAlignment="1">
      <alignment horizontal="center"/>
    </xf>
    <xf numFmtId="0" fontId="0" fillId="6" borderId="61" xfId="0" applyFill="1" applyBorder="1"/>
    <xf numFmtId="0" fontId="0" fillId="6" borderId="62" xfId="0" applyFill="1" applyBorder="1"/>
    <xf numFmtId="0" fontId="0" fillId="6" borderId="63" xfId="0" applyFill="1" applyBorder="1"/>
    <xf numFmtId="0" fontId="0" fillId="6" borderId="64" xfId="0" applyFill="1" applyBorder="1"/>
    <xf numFmtId="0" fontId="0" fillId="6" borderId="65" xfId="0" applyFill="1" applyBorder="1"/>
    <xf numFmtId="0" fontId="0" fillId="6" borderId="66" xfId="0" applyFill="1" applyBorder="1"/>
    <xf numFmtId="0" fontId="0" fillId="6" borderId="67" xfId="0" applyFill="1" applyBorder="1"/>
    <xf numFmtId="0" fontId="0" fillId="6" borderId="68" xfId="0" applyFill="1" applyBorder="1"/>
    <xf numFmtId="0" fontId="0" fillId="6" borderId="46" xfId="0" applyFill="1" applyBorder="1"/>
    <xf numFmtId="0" fontId="0" fillId="6" borderId="7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60" xfId="0" applyFill="1" applyBorder="1"/>
    <xf numFmtId="0" fontId="0" fillId="4" borderId="45" xfId="0" applyFill="1" applyBorder="1"/>
    <xf numFmtId="0" fontId="0" fillId="4" borderId="24" xfId="0" applyFill="1" applyBorder="1"/>
    <xf numFmtId="0" fontId="0" fillId="6" borderId="0" xfId="0" applyFill="1" applyAlignment="1"/>
    <xf numFmtId="164" fontId="1" fillId="6" borderId="0" xfId="0" applyNumberFormat="1" applyFont="1" applyFill="1"/>
    <xf numFmtId="0" fontId="0" fillId="6" borderId="15" xfId="0" applyFill="1" applyBorder="1" applyAlignment="1"/>
    <xf numFmtId="0" fontId="0" fillId="6" borderId="16" xfId="0" applyFill="1" applyBorder="1" applyAlignment="1"/>
    <xf numFmtId="0" fontId="0" fillId="6" borderId="17" xfId="0" applyFill="1" applyBorder="1" applyAlignment="1"/>
    <xf numFmtId="0" fontId="0" fillId="6" borderId="71" xfId="0" applyFill="1" applyBorder="1"/>
    <xf numFmtId="0" fontId="0" fillId="6" borderId="16" xfId="0" applyFill="1" applyBorder="1"/>
    <xf numFmtId="0" fontId="0" fillId="6" borderId="44" xfId="0" applyFill="1" applyBorder="1"/>
    <xf numFmtId="0" fontId="0" fillId="6" borderId="15" xfId="0" applyFill="1" applyBorder="1"/>
    <xf numFmtId="0" fontId="0" fillId="6" borderId="17" xfId="0" applyFill="1" applyBorder="1"/>
    <xf numFmtId="0" fontId="0" fillId="6" borderId="18" xfId="0" applyFill="1" applyBorder="1"/>
    <xf numFmtId="9" fontId="3" fillId="2" borderId="1" xfId="1" applyNumberFormat="1"/>
    <xf numFmtId="0" fontId="0" fillId="4" borderId="35" xfId="0" applyFill="1" applyBorder="1"/>
    <xf numFmtId="0" fontId="0" fillId="4" borderId="36" xfId="0" applyFill="1" applyBorder="1"/>
    <xf numFmtId="0" fontId="0" fillId="4" borderId="47" xfId="0" applyFill="1" applyBorder="1"/>
    <xf numFmtId="0" fontId="0" fillId="4" borderId="37" xfId="0" applyFill="1" applyBorder="1"/>
    <xf numFmtId="0" fontId="0" fillId="4" borderId="59" xfId="0" applyFill="1" applyBorder="1"/>
    <xf numFmtId="0" fontId="0" fillId="4" borderId="38" xfId="0" applyFill="1" applyBorder="1"/>
    <xf numFmtId="0" fontId="1" fillId="5" borderId="13" xfId="0" applyFont="1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1" fontId="1" fillId="4" borderId="25" xfId="0" applyNumberFormat="1" applyFont="1" applyFill="1" applyBorder="1"/>
    <xf numFmtId="1" fontId="1" fillId="4" borderId="26" xfId="0" applyNumberFormat="1" applyFont="1" applyFill="1" applyBorder="1"/>
    <xf numFmtId="1" fontId="1" fillId="4" borderId="27" xfId="0" applyNumberFormat="1" applyFont="1" applyFill="1" applyBorder="1"/>
    <xf numFmtId="1" fontId="1" fillId="4" borderId="28" xfId="0" applyNumberFormat="1" applyFont="1" applyFill="1" applyBorder="1"/>
    <xf numFmtId="1" fontId="1" fillId="4" borderId="29" xfId="0" applyNumberFormat="1" applyFont="1" applyFill="1" applyBorder="1"/>
    <xf numFmtId="1" fontId="1" fillId="4" borderId="69" xfId="0" applyNumberFormat="1" applyFont="1" applyFill="1" applyBorder="1"/>
    <xf numFmtId="1" fontId="1" fillId="4" borderId="48" xfId="0" applyNumberFormat="1" applyFont="1" applyFill="1" applyBorder="1"/>
    <xf numFmtId="1" fontId="1" fillId="4" borderId="30" xfId="0" applyNumberFormat="1" applyFont="1" applyFill="1" applyBorder="1"/>
    <xf numFmtId="1" fontId="1" fillId="6" borderId="0" xfId="0" applyNumberFormat="1" applyFont="1" applyFill="1"/>
    <xf numFmtId="1" fontId="0" fillId="5" borderId="15" xfId="0" applyNumberFormat="1" applyFill="1" applyBorder="1" applyAlignment="1"/>
    <xf numFmtId="1" fontId="0" fillId="5" borderId="16" xfId="0" applyNumberFormat="1" applyFill="1" applyBorder="1" applyAlignment="1"/>
    <xf numFmtId="1" fontId="0" fillId="5" borderId="17" xfId="0" applyNumberFormat="1" applyFill="1" applyBorder="1" applyAlignment="1"/>
    <xf numFmtId="1" fontId="0" fillId="5" borderId="71" xfId="0" applyNumberFormat="1" applyFill="1" applyBorder="1"/>
    <xf numFmtId="1" fontId="0" fillId="5" borderId="16" xfId="0" applyNumberFormat="1" applyFill="1" applyBorder="1"/>
    <xf numFmtId="1" fontId="0" fillId="5" borderId="44" xfId="0" applyNumberFormat="1" applyFill="1" applyBorder="1"/>
    <xf numFmtId="1" fontId="0" fillId="5" borderId="15" xfId="0" applyNumberFormat="1" applyFill="1" applyBorder="1"/>
    <xf numFmtId="1" fontId="0" fillId="5" borderId="17" xfId="0" applyNumberFormat="1" applyFill="1" applyBorder="1"/>
    <xf numFmtId="1" fontId="0" fillId="5" borderId="18" xfId="0" applyNumberFormat="1" applyFill="1" applyBorder="1"/>
    <xf numFmtId="1" fontId="0" fillId="6" borderId="60" xfId="0" applyNumberFormat="1" applyFill="1" applyBorder="1"/>
    <xf numFmtId="1" fontId="0" fillId="6" borderId="45" xfId="0" applyNumberFormat="1" applyFill="1" applyBorder="1"/>
    <xf numFmtId="1" fontId="0" fillId="4" borderId="21" xfId="0" applyNumberFormat="1" applyFill="1" applyBorder="1"/>
    <xf numFmtId="1" fontId="0" fillId="4" borderId="22" xfId="0" applyNumberFormat="1" applyFill="1" applyBorder="1"/>
    <xf numFmtId="1" fontId="0" fillId="4" borderId="23" xfId="0" applyNumberFormat="1" applyFill="1" applyBorder="1"/>
    <xf numFmtId="1" fontId="0" fillId="4" borderId="60" xfId="0" applyNumberFormat="1" applyFill="1" applyBorder="1"/>
    <xf numFmtId="1" fontId="0" fillId="4" borderId="45" xfId="0" applyNumberFormat="1" applyFill="1" applyBorder="1"/>
    <xf numFmtId="1" fontId="0" fillId="4" borderId="24" xfId="0" applyNumberFormat="1" applyFill="1" applyBorder="1"/>
    <xf numFmtId="1" fontId="0" fillId="6" borderId="31" xfId="0" applyNumberFormat="1" applyFill="1" applyBorder="1"/>
    <xf numFmtId="1" fontId="0" fillId="6" borderId="32" xfId="0" applyNumberFormat="1" applyFill="1" applyBorder="1"/>
    <xf numFmtId="1" fontId="0" fillId="6" borderId="33" xfId="0" applyNumberFormat="1" applyFill="1" applyBorder="1"/>
    <xf numFmtId="1" fontId="0" fillId="6" borderId="70" xfId="0" applyNumberFormat="1" applyFill="1" applyBorder="1"/>
    <xf numFmtId="1" fontId="0" fillId="6" borderId="46" xfId="0" applyNumberFormat="1" applyFill="1" applyBorder="1"/>
    <xf numFmtId="1" fontId="0" fillId="6" borderId="34" xfId="0" applyNumberFormat="1" applyFill="1" applyBorder="1"/>
    <xf numFmtId="0" fontId="1" fillId="6" borderId="7" xfId="0" applyFont="1" applyFill="1" applyBorder="1" applyAlignment="1">
      <alignment horizontal="center"/>
    </xf>
    <xf numFmtId="0" fontId="1" fillId="7" borderId="19" xfId="0" applyFont="1" applyFill="1" applyBorder="1"/>
    <xf numFmtId="0" fontId="0" fillId="7" borderId="20" xfId="0" applyFill="1" applyBorder="1" applyAlignment="1">
      <alignment horizontal="center"/>
    </xf>
    <xf numFmtId="1" fontId="0" fillId="7" borderId="21" xfId="0" applyNumberFormat="1" applyFill="1" applyBorder="1"/>
    <xf numFmtId="1" fontId="0" fillId="7" borderId="22" xfId="0" applyNumberFormat="1" applyFill="1" applyBorder="1"/>
    <xf numFmtId="1" fontId="0" fillId="7" borderId="23" xfId="0" applyNumberFormat="1" applyFill="1" applyBorder="1"/>
    <xf numFmtId="1" fontId="0" fillId="7" borderId="24" xfId="0" applyNumberFormat="1" applyFill="1" applyBorder="1"/>
    <xf numFmtId="0" fontId="0" fillId="7" borderId="39" xfId="0" applyFill="1" applyBorder="1"/>
    <xf numFmtId="0" fontId="0" fillId="7" borderId="40" xfId="0" applyFill="1" applyBorder="1" applyAlignment="1">
      <alignment horizontal="center"/>
    </xf>
    <xf numFmtId="1" fontId="0" fillId="7" borderId="31" xfId="0" applyNumberFormat="1" applyFill="1" applyBorder="1"/>
    <xf numFmtId="1" fontId="0" fillId="7" borderId="32" xfId="0" applyNumberFormat="1" applyFill="1" applyBorder="1"/>
    <xf numFmtId="1" fontId="0" fillId="7" borderId="33" xfId="0" applyNumberFormat="1" applyFill="1" applyBorder="1"/>
    <xf numFmtId="1" fontId="0" fillId="7" borderId="34" xfId="0" applyNumberFormat="1" applyFill="1" applyBorder="1"/>
    <xf numFmtId="0" fontId="1" fillId="7" borderId="41" xfId="0" applyFont="1" applyFill="1" applyBorder="1"/>
    <xf numFmtId="0" fontId="1" fillId="7" borderId="42" xfId="0" applyFont="1" applyFill="1" applyBorder="1" applyAlignment="1">
      <alignment horizontal="center"/>
    </xf>
    <xf numFmtId="1" fontId="1" fillId="7" borderId="35" xfId="0" applyNumberFormat="1" applyFont="1" applyFill="1" applyBorder="1"/>
    <xf numFmtId="1" fontId="1" fillId="7" borderId="36" xfId="0" applyNumberFormat="1" applyFont="1" applyFill="1" applyBorder="1"/>
    <xf numFmtId="1" fontId="1" fillId="7" borderId="37" xfId="0" applyNumberFormat="1" applyFont="1" applyFill="1" applyBorder="1"/>
    <xf numFmtId="1" fontId="1" fillId="7" borderId="38" xfId="0" applyNumberFormat="1" applyFont="1" applyFill="1" applyBorder="1"/>
    <xf numFmtId="0" fontId="1" fillId="7" borderId="20" xfId="0" applyFont="1" applyFill="1" applyBorder="1" applyAlignment="1">
      <alignment horizontal="center"/>
    </xf>
    <xf numFmtId="1" fontId="1" fillId="7" borderId="21" xfId="0" applyNumberFormat="1" applyFont="1" applyFill="1" applyBorder="1"/>
    <xf numFmtId="1" fontId="1" fillId="7" borderId="22" xfId="0" applyNumberFormat="1" applyFont="1" applyFill="1" applyBorder="1"/>
    <xf numFmtId="1" fontId="1" fillId="7" borderId="23" xfId="0" applyNumberFormat="1" applyFont="1" applyFill="1" applyBorder="1"/>
    <xf numFmtId="1" fontId="1" fillId="7" borderId="24" xfId="0" applyNumberFormat="1" applyFont="1" applyFill="1" applyBorder="1"/>
    <xf numFmtId="0" fontId="0" fillId="7" borderId="20" xfId="0" applyFill="1" applyBorder="1"/>
    <xf numFmtId="0" fontId="0" fillId="7" borderId="21" xfId="0" applyFill="1" applyBorder="1" applyAlignment="1">
      <alignment horizontal="right"/>
    </xf>
    <xf numFmtId="0" fontId="0" fillId="7" borderId="22" xfId="0" applyFill="1" applyBorder="1" applyAlignment="1">
      <alignment horizontal="right"/>
    </xf>
    <xf numFmtId="0" fontId="0" fillId="7" borderId="23" xfId="0" applyFill="1" applyBorder="1" applyAlignment="1">
      <alignment horizontal="right"/>
    </xf>
    <xf numFmtId="0" fontId="0" fillId="7" borderId="19" xfId="0" applyFill="1" applyBorder="1"/>
    <xf numFmtId="0" fontId="0" fillId="7" borderId="40" xfId="0" applyFill="1" applyBorder="1"/>
    <xf numFmtId="0" fontId="0" fillId="7" borderId="31" xfId="0" applyFill="1" applyBorder="1" applyAlignment="1">
      <alignment horizontal="right"/>
    </xf>
    <xf numFmtId="0" fontId="0" fillId="7" borderId="32" xfId="0" applyFill="1" applyBorder="1" applyAlignment="1">
      <alignment horizontal="right"/>
    </xf>
    <xf numFmtId="0" fontId="0" fillId="7" borderId="33" xfId="0" applyFill="1" applyBorder="1" applyAlignment="1">
      <alignment horizontal="right"/>
    </xf>
    <xf numFmtId="0" fontId="0" fillId="7" borderId="41" xfId="0" applyFill="1" applyBorder="1"/>
    <xf numFmtId="0" fontId="0" fillId="7" borderId="42" xfId="0" applyFill="1" applyBorder="1"/>
    <xf numFmtId="0" fontId="0" fillId="7" borderId="35" xfId="0" applyFill="1" applyBorder="1" applyAlignment="1">
      <alignment horizontal="right"/>
    </xf>
    <xf numFmtId="0" fontId="0" fillId="7" borderId="36" xfId="0" applyFill="1" applyBorder="1" applyAlignment="1">
      <alignment horizontal="right"/>
    </xf>
    <xf numFmtId="0" fontId="0" fillId="7" borderId="37" xfId="0" applyFill="1" applyBorder="1" applyAlignment="1">
      <alignment horizontal="right"/>
    </xf>
    <xf numFmtId="1" fontId="0" fillId="7" borderId="60" xfId="0" applyNumberFormat="1" applyFill="1" applyBorder="1"/>
    <xf numFmtId="1" fontId="0" fillId="7" borderId="45" xfId="0" applyNumberFormat="1" applyFill="1" applyBorder="1"/>
    <xf numFmtId="0" fontId="1" fillId="7" borderId="51" xfId="0" applyFont="1" applyFill="1" applyBorder="1"/>
    <xf numFmtId="0" fontId="1" fillId="7" borderId="52" xfId="0" applyFont="1" applyFill="1" applyBorder="1"/>
    <xf numFmtId="0" fontId="1" fillId="7" borderId="53" xfId="0" applyFont="1" applyFill="1" applyBorder="1"/>
    <xf numFmtId="0" fontId="1" fillId="7" borderId="54" xfId="0" applyFont="1" applyFill="1" applyBorder="1"/>
    <xf numFmtId="0" fontId="1" fillId="7" borderId="55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7" borderId="58" xfId="0" applyFont="1" applyFill="1" applyBorder="1"/>
    <xf numFmtId="0" fontId="1" fillId="6" borderId="39" xfId="0" applyFont="1" applyFill="1" applyBorder="1"/>
    <xf numFmtId="0" fontId="1" fillId="6" borderId="40" xfId="0" applyFont="1" applyFill="1" applyBorder="1" applyAlignment="1">
      <alignment horizontal="center"/>
    </xf>
    <xf numFmtId="1" fontId="1" fillId="6" borderId="31" xfId="0" applyNumberFormat="1" applyFont="1" applyFill="1" applyBorder="1"/>
    <xf numFmtId="1" fontId="1" fillId="6" borderId="32" xfId="0" applyNumberFormat="1" applyFont="1" applyFill="1" applyBorder="1"/>
    <xf numFmtId="1" fontId="1" fillId="6" borderId="33" xfId="0" applyNumberFormat="1" applyFont="1" applyFill="1" applyBorder="1"/>
    <xf numFmtId="1" fontId="1" fillId="6" borderId="34" xfId="0" applyNumberFormat="1" applyFont="1" applyFill="1" applyBorder="1"/>
    <xf numFmtId="0" fontId="1" fillId="4" borderId="20" xfId="0" applyFont="1" applyFill="1" applyBorder="1" applyAlignment="1">
      <alignment horizontal="center"/>
    </xf>
    <xf numFmtId="1" fontId="1" fillId="4" borderId="21" xfId="0" applyNumberFormat="1" applyFont="1" applyFill="1" applyBorder="1"/>
    <xf numFmtId="1" fontId="1" fillId="4" borderId="22" xfId="0" applyNumberFormat="1" applyFont="1" applyFill="1" applyBorder="1"/>
    <xf numFmtId="1" fontId="1" fillId="4" borderId="23" xfId="0" applyNumberFormat="1" applyFont="1" applyFill="1" applyBorder="1"/>
    <xf numFmtId="1" fontId="1" fillId="4" borderId="24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 applyAlignment="1">
      <alignment horizontal="center"/>
    </xf>
    <xf numFmtId="1" fontId="0" fillId="4" borderId="21" xfId="0" applyNumberFormat="1" applyFont="1" applyFill="1" applyBorder="1"/>
    <xf numFmtId="1" fontId="0" fillId="4" borderId="22" xfId="0" applyNumberFormat="1" applyFont="1" applyFill="1" applyBorder="1"/>
    <xf numFmtId="1" fontId="0" fillId="4" borderId="23" xfId="0" applyNumberFormat="1" applyFont="1" applyFill="1" applyBorder="1"/>
    <xf numFmtId="1" fontId="0" fillId="4" borderId="24" xfId="0" applyNumberFormat="1" applyFont="1" applyFill="1" applyBorder="1"/>
    <xf numFmtId="0" fontId="0" fillId="4" borderId="20" xfId="0" applyFill="1" applyBorder="1" applyAlignment="1">
      <alignment horizontal="center"/>
    </xf>
    <xf numFmtId="1" fontId="0" fillId="4" borderId="21" xfId="0" applyNumberFormat="1" applyFill="1" applyBorder="1" applyAlignment="1">
      <alignment horizontal="center"/>
    </xf>
    <xf numFmtId="1" fontId="0" fillId="4" borderId="22" xfId="0" applyNumberFormat="1" applyFill="1" applyBorder="1" applyAlignment="1">
      <alignment horizontal="center"/>
    </xf>
    <xf numFmtId="1" fontId="0" fillId="4" borderId="23" xfId="0" applyNumberFormat="1" applyFill="1" applyBorder="1" applyAlignment="1">
      <alignment horizontal="center"/>
    </xf>
    <xf numFmtId="1" fontId="0" fillId="4" borderId="24" xfId="0" applyNumberFormat="1" applyFill="1" applyBorder="1" applyAlignment="1">
      <alignment horizontal="center"/>
    </xf>
    <xf numFmtId="164" fontId="0" fillId="4" borderId="22" xfId="0" applyNumberFormat="1" applyFill="1" applyBorder="1"/>
    <xf numFmtId="164" fontId="0" fillId="4" borderId="23" xfId="0" applyNumberFormat="1" applyFill="1" applyBorder="1"/>
    <xf numFmtId="164" fontId="0" fillId="4" borderId="21" xfId="0" applyNumberFormat="1" applyFill="1" applyBorder="1"/>
    <xf numFmtId="164" fontId="0" fillId="4" borderId="24" xfId="0" applyNumberFormat="1" applyFill="1" applyBorder="1"/>
    <xf numFmtId="0" fontId="0" fillId="4" borderId="40" xfId="0" applyFont="1" applyFill="1" applyBorder="1" applyAlignment="1">
      <alignment horizontal="center"/>
    </xf>
    <xf numFmtId="1" fontId="0" fillId="4" borderId="31" xfId="0" applyNumberFormat="1" applyFill="1" applyBorder="1"/>
    <xf numFmtId="1" fontId="0" fillId="4" borderId="32" xfId="0" applyNumberFormat="1" applyFill="1" applyBorder="1"/>
    <xf numFmtId="1" fontId="0" fillId="4" borderId="33" xfId="0" applyNumberFormat="1" applyFill="1" applyBorder="1"/>
    <xf numFmtId="1" fontId="0" fillId="4" borderId="34" xfId="0" applyNumberFormat="1" applyFill="1" applyBorder="1"/>
    <xf numFmtId="0" fontId="1" fillId="4" borderId="42" xfId="0" applyFont="1" applyFill="1" applyBorder="1" applyAlignment="1">
      <alignment horizontal="center"/>
    </xf>
    <xf numFmtId="1" fontId="1" fillId="4" borderId="35" xfId="0" applyNumberFormat="1" applyFont="1" applyFill="1" applyBorder="1"/>
    <xf numFmtId="1" fontId="1" fillId="4" borderId="36" xfId="0" applyNumberFormat="1" applyFont="1" applyFill="1" applyBorder="1"/>
    <xf numFmtId="1" fontId="1" fillId="4" borderId="37" xfId="0" applyNumberFormat="1" applyFont="1" applyFill="1" applyBorder="1"/>
    <xf numFmtId="1" fontId="1" fillId="4" borderId="38" xfId="0" applyNumberFormat="1" applyFont="1" applyFill="1" applyBorder="1"/>
    <xf numFmtId="0" fontId="0" fillId="4" borderId="11" xfId="0" applyFont="1" applyFill="1" applyBorder="1"/>
    <xf numFmtId="0" fontId="0" fillId="4" borderId="0" xfId="0" applyFont="1" applyFill="1" applyBorder="1" applyAlignment="1">
      <alignment horizontal="center"/>
    </xf>
    <xf numFmtId="1" fontId="0" fillId="4" borderId="3" xfId="0" applyNumberFormat="1" applyFont="1" applyFill="1" applyBorder="1"/>
    <xf numFmtId="1" fontId="0" fillId="4" borderId="4" xfId="0" applyNumberFormat="1" applyFont="1" applyFill="1" applyBorder="1"/>
    <xf numFmtId="1" fontId="0" fillId="4" borderId="5" xfId="0" applyNumberFormat="1" applyFont="1" applyFill="1" applyBorder="1"/>
    <xf numFmtId="1" fontId="0" fillId="4" borderId="12" xfId="0" applyNumberFormat="1" applyFont="1" applyFill="1" applyBorder="1"/>
    <xf numFmtId="0" fontId="4" fillId="3" borderId="2" xfId="2" applyAlignment="1">
      <alignment horizontal="right"/>
    </xf>
    <xf numFmtId="0" fontId="1" fillId="6" borderId="0" xfId="0" applyFont="1" applyFill="1" applyBorder="1"/>
    <xf numFmtId="0" fontId="1" fillId="6" borderId="13" xfId="0" applyFont="1" applyFill="1" applyBorder="1"/>
    <xf numFmtId="0" fontId="1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6" borderId="18" xfId="0" applyFont="1" applyFill="1" applyBorder="1" applyAlignment="1">
      <alignment horizontal="center"/>
    </xf>
    <xf numFmtId="0" fontId="1" fillId="4" borderId="39" xfId="0" applyFont="1" applyFill="1" applyBorder="1"/>
    <xf numFmtId="0" fontId="1" fillId="4" borderId="40" xfId="0" applyFont="1" applyFill="1" applyBorder="1" applyAlignment="1">
      <alignment horizontal="center"/>
    </xf>
    <xf numFmtId="1" fontId="1" fillId="4" borderId="31" xfId="0" applyNumberFormat="1" applyFont="1" applyFill="1" applyBorder="1"/>
    <xf numFmtId="1" fontId="1" fillId="4" borderId="32" xfId="0" applyNumberFormat="1" applyFont="1" applyFill="1" applyBorder="1"/>
    <xf numFmtId="1" fontId="1" fillId="4" borderId="33" xfId="0" applyNumberFormat="1" applyFont="1" applyFill="1" applyBorder="1"/>
    <xf numFmtId="1" fontId="1" fillId="4" borderId="34" xfId="0" applyNumberFormat="1" applyFont="1" applyFill="1" applyBorder="1"/>
    <xf numFmtId="0" fontId="1" fillId="7" borderId="25" xfId="0" applyFont="1" applyFill="1" applyBorder="1"/>
    <xf numFmtId="0" fontId="0" fillId="7" borderId="26" xfId="0" applyFill="1" applyBorder="1" applyAlignment="1">
      <alignment horizontal="center"/>
    </xf>
    <xf numFmtId="1" fontId="0" fillId="7" borderId="27" xfId="0" applyNumberFormat="1" applyFill="1" applyBorder="1"/>
    <xf numFmtId="1" fontId="0" fillId="7" borderId="28" xfId="0" applyNumberFormat="1" applyFill="1" applyBorder="1"/>
    <xf numFmtId="1" fontId="0" fillId="7" borderId="29" xfId="0" applyNumberFormat="1" applyFill="1" applyBorder="1"/>
    <xf numFmtId="1" fontId="0" fillId="7" borderId="30" xfId="0" applyNumberFormat="1" applyFill="1" applyBorder="1"/>
    <xf numFmtId="9" fontId="4" fillId="3" borderId="2" xfId="3" applyFont="1" applyFill="1" applyBorder="1"/>
    <xf numFmtId="0" fontId="0" fillId="6" borderId="7" xfId="0" applyFill="1" applyBorder="1" applyAlignment="1"/>
    <xf numFmtId="0" fontId="0" fillId="6" borderId="76" xfId="0" applyFill="1" applyBorder="1" applyAlignment="1"/>
    <xf numFmtId="0" fontId="0" fillId="6" borderId="77" xfId="0" applyFill="1" applyBorder="1" applyAlignment="1">
      <alignment horizontal="right"/>
    </xf>
    <xf numFmtId="168" fontId="0" fillId="6" borderId="80" xfId="3" applyNumberFormat="1" applyFont="1" applyFill="1" applyBorder="1" applyAlignment="1">
      <alignment horizontal="right"/>
    </xf>
    <xf numFmtId="169" fontId="0" fillId="6" borderId="78" xfId="0" applyNumberFormat="1" applyFill="1" applyBorder="1" applyAlignment="1">
      <alignment horizontal="right"/>
    </xf>
    <xf numFmtId="170" fontId="0" fillId="6" borderId="81" xfId="0" applyNumberFormat="1" applyFill="1" applyBorder="1" applyAlignment="1">
      <alignment horizontal="right"/>
    </xf>
    <xf numFmtId="0" fontId="0" fillId="6" borderId="82" xfId="0" applyFill="1" applyBorder="1" applyAlignment="1">
      <alignment horizontal="right"/>
    </xf>
    <xf numFmtId="167" fontId="0" fillId="6" borderId="83" xfId="0" applyNumberFormat="1" applyFill="1" applyBorder="1" applyAlignment="1">
      <alignment horizontal="right"/>
    </xf>
    <xf numFmtId="167" fontId="6" fillId="6" borderId="84" xfId="1" applyNumberFormat="1" applyFont="1" applyFill="1" applyBorder="1" applyAlignment="1">
      <alignment horizontal="left"/>
    </xf>
    <xf numFmtId="9" fontId="3" fillId="2" borderId="85" xfId="1" applyNumberFormat="1" applyBorder="1" applyAlignment="1">
      <alignment horizontal="right"/>
    </xf>
    <xf numFmtId="0" fontId="0" fillId="6" borderId="86" xfId="0" applyFill="1" applyBorder="1" applyAlignment="1">
      <alignment horizontal="right"/>
    </xf>
    <xf numFmtId="166" fontId="0" fillId="6" borderId="87" xfId="0" applyNumberFormat="1" applyFill="1" applyBorder="1" applyAlignment="1">
      <alignment horizontal="right"/>
    </xf>
    <xf numFmtId="9" fontId="0" fillId="6" borderId="88" xfId="3" applyFont="1" applyFill="1" applyBorder="1" applyAlignment="1">
      <alignment horizontal="right"/>
    </xf>
    <xf numFmtId="1" fontId="0" fillId="6" borderId="89" xfId="0" applyNumberFormat="1" applyFill="1" applyBorder="1" applyAlignment="1">
      <alignment horizontal="right"/>
    </xf>
    <xf numFmtId="0" fontId="0" fillId="6" borderId="90" xfId="0" applyFill="1" applyBorder="1" applyAlignment="1">
      <alignment horizontal="right"/>
    </xf>
    <xf numFmtId="9" fontId="0" fillId="6" borderId="91" xfId="0" applyNumberFormat="1" applyFill="1" applyBorder="1" applyAlignment="1">
      <alignment horizontal="right"/>
    </xf>
    <xf numFmtId="0" fontId="0" fillId="6" borderId="92" xfId="0" applyFill="1" applyBorder="1" applyAlignment="1">
      <alignment horizontal="right"/>
    </xf>
    <xf numFmtId="166" fontId="0" fillId="6" borderId="93" xfId="0" applyNumberFormat="1" applyFill="1" applyBorder="1" applyAlignment="1">
      <alignment horizontal="right"/>
    </xf>
    <xf numFmtId="9" fontId="0" fillId="6" borderId="94" xfId="3" applyFont="1" applyFill="1" applyBorder="1" applyAlignment="1">
      <alignment horizontal="right"/>
    </xf>
    <xf numFmtId="1" fontId="0" fillId="6" borderId="95" xfId="0" applyNumberFormat="1" applyFill="1" applyBorder="1" applyAlignment="1">
      <alignment horizontal="right"/>
    </xf>
    <xf numFmtId="0" fontId="0" fillId="6" borderId="96" xfId="0" applyFill="1" applyBorder="1" applyAlignment="1">
      <alignment horizontal="right"/>
    </xf>
    <xf numFmtId="0" fontId="3" fillId="2" borderId="97" xfId="1" applyBorder="1" applyAlignment="1">
      <alignment horizontal="right"/>
    </xf>
    <xf numFmtId="166" fontId="0" fillId="6" borderId="93" xfId="3" applyNumberFormat="1" applyFont="1" applyFill="1" applyBorder="1" applyAlignment="1">
      <alignment horizontal="right"/>
    </xf>
    <xf numFmtId="9" fontId="0" fillId="6" borderId="98" xfId="0" applyNumberFormat="1" applyFill="1" applyBorder="1" applyAlignment="1">
      <alignment horizontal="right"/>
    </xf>
    <xf numFmtId="0" fontId="0" fillId="6" borderId="99" xfId="0" applyFill="1" applyBorder="1" applyAlignment="1">
      <alignment horizontal="right"/>
    </xf>
    <xf numFmtId="166" fontId="0" fillId="6" borderId="100" xfId="3" applyNumberFormat="1" applyFont="1" applyFill="1" applyBorder="1" applyAlignment="1">
      <alignment horizontal="right"/>
    </xf>
    <xf numFmtId="9" fontId="0" fillId="6" borderId="101" xfId="3" applyFont="1" applyFill="1" applyBorder="1" applyAlignment="1">
      <alignment horizontal="right"/>
    </xf>
    <xf numFmtId="1" fontId="0" fillId="6" borderId="102" xfId="0" applyNumberFormat="1" applyFill="1" applyBorder="1" applyAlignment="1">
      <alignment horizontal="right"/>
    </xf>
    <xf numFmtId="0" fontId="0" fillId="6" borderId="103" xfId="0" applyFill="1" applyBorder="1" applyAlignment="1">
      <alignment horizontal="right"/>
    </xf>
    <xf numFmtId="171" fontId="6" fillId="6" borderId="84" xfId="1" applyNumberFormat="1" applyFont="1" applyFill="1" applyBorder="1" applyAlignment="1">
      <alignment horizontal="left"/>
    </xf>
    <xf numFmtId="0" fontId="3" fillId="2" borderId="104" xfId="1" applyBorder="1" applyAlignment="1">
      <alignment horizontal="right"/>
    </xf>
    <xf numFmtId="0" fontId="0" fillId="6" borderId="8" xfId="0" applyFill="1" applyBorder="1" applyAlignment="1"/>
    <xf numFmtId="169" fontId="0" fillId="6" borderId="79" xfId="0" applyNumberFormat="1" applyFill="1" applyBorder="1" applyAlignment="1">
      <alignment horizontal="right"/>
    </xf>
    <xf numFmtId="1" fontId="0" fillId="6" borderId="105" xfId="0" applyNumberFormat="1" applyFill="1" applyBorder="1" applyAlignment="1">
      <alignment horizontal="right"/>
    </xf>
    <xf numFmtId="1" fontId="0" fillId="6" borderId="106" xfId="0" applyNumberFormat="1" applyFill="1" applyBorder="1" applyAlignment="1">
      <alignment horizontal="right"/>
    </xf>
    <xf numFmtId="1" fontId="0" fillId="6" borderId="107" xfId="0" applyNumberFormat="1" applyFill="1" applyBorder="1" applyAlignment="1">
      <alignment horizontal="right"/>
    </xf>
    <xf numFmtId="168" fontId="0" fillId="6" borderId="108" xfId="0" applyNumberFormat="1" applyFill="1" applyBorder="1" applyAlignment="1">
      <alignment horizontal="right"/>
    </xf>
    <xf numFmtId="1" fontId="0" fillId="6" borderId="109" xfId="0" applyNumberFormat="1" applyFill="1" applyBorder="1" applyAlignment="1">
      <alignment horizontal="right"/>
    </xf>
    <xf numFmtId="1" fontId="0" fillId="6" borderId="110" xfId="0" applyNumberFormat="1" applyFill="1" applyBorder="1" applyAlignment="1">
      <alignment horizontal="right"/>
    </xf>
    <xf numFmtId="1" fontId="0" fillId="6" borderId="111" xfId="0" applyNumberFormat="1" applyFill="1" applyBorder="1" applyAlignment="1">
      <alignment horizontal="right"/>
    </xf>
    <xf numFmtId="0" fontId="0" fillId="8" borderId="0" xfId="4" applyFont="1" applyBorder="1"/>
    <xf numFmtId="0" fontId="0" fillId="8" borderId="0" xfId="4" applyFont="1" applyBorder="1" applyAlignment="1"/>
    <xf numFmtId="0" fontId="1" fillId="8" borderId="0" xfId="4" applyFont="1" applyBorder="1"/>
    <xf numFmtId="171" fontId="0" fillId="8" borderId="0" xfId="4" applyNumberFormat="1" applyFont="1" applyBorder="1" applyAlignment="1">
      <alignment horizontal="left"/>
    </xf>
    <xf numFmtId="1" fontId="0" fillId="8" borderId="0" xfId="4" applyNumberFormat="1" applyFont="1" applyBorder="1"/>
    <xf numFmtId="9" fontId="0" fillId="8" borderId="0" xfId="4" applyNumberFormat="1" applyFont="1" applyBorder="1"/>
    <xf numFmtId="166" fontId="0" fillId="8" borderId="0" xfId="4" applyNumberFormat="1" applyFont="1" applyBorder="1"/>
    <xf numFmtId="166" fontId="0" fillId="8" borderId="0" xfId="4" applyNumberFormat="1" applyFont="1" applyBorder="1" applyAlignment="1">
      <alignment horizontal="right"/>
    </xf>
    <xf numFmtId="9" fontId="0" fillId="8" borderId="0" xfId="4" applyNumberFormat="1" applyFont="1" applyBorder="1" applyAlignment="1">
      <alignment horizontal="right"/>
    </xf>
    <xf numFmtId="0" fontId="0" fillId="8" borderId="0" xfId="4" applyFont="1" applyBorder="1" applyAlignment="1">
      <alignment horizontal="right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1" fontId="4" fillId="3" borderId="2" xfId="2" applyNumberFormat="1" applyFont="1"/>
    <xf numFmtId="0" fontId="4" fillId="3" borderId="2" xfId="2" applyFont="1" applyAlignment="1">
      <alignment horizontal="right"/>
    </xf>
    <xf numFmtId="1" fontId="7" fillId="3" borderId="1" xfId="5" applyNumberFormat="1"/>
    <xf numFmtId="1" fontId="7" fillId="3" borderId="1" xfId="5" applyNumberFormat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8" borderId="0" xfId="4" applyFont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72" fontId="4" fillId="3" borderId="2" xfId="2" applyNumberFormat="1" applyAlignment="1">
      <alignment horizontal="center"/>
    </xf>
    <xf numFmtId="0" fontId="1" fillId="6" borderId="73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74" xfId="0" applyFont="1" applyFill="1" applyBorder="1" applyAlignment="1">
      <alignment horizontal="center"/>
    </xf>
    <xf numFmtId="0" fontId="1" fillId="6" borderId="75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2" xfId="0" applyFill="1" applyBorder="1" applyAlignment="1">
      <alignment horizontal="center" vertical="center"/>
    </xf>
  </cellXfs>
  <cellStyles count="6">
    <cellStyle name="Calculation" xfId="5" builtinId="22"/>
    <cellStyle name="Input" xfId="1" builtinId="20"/>
    <cellStyle name="Normal" xfId="0" builtinId="0"/>
    <cellStyle name="Note" xfId="4" builtinId="10"/>
    <cellStyle name="Output" xfId="2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328240</xdr:colOff>
      <xdr:row>55</xdr:row>
      <xdr:rowOff>132677</xdr:rowOff>
    </xdr:from>
    <xdr:to>
      <xdr:col>20</xdr:col>
      <xdr:colOff>39730</xdr:colOff>
      <xdr:row>61</xdr:row>
      <xdr:rowOff>136774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82DD42BD-A5CA-3C4A-87F0-3E5E8867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2240" y="7762202"/>
          <a:ext cx="1616490" cy="1149637"/>
        </a:xfrm>
        <a:prstGeom prst="rect">
          <a:avLst/>
        </a:prstGeom>
      </xdr:spPr>
    </xdr:pic>
    <xdr:clientData/>
  </xdr:twoCellAnchor>
  <xdr:twoCellAnchor editAs="oneCell">
    <xdr:from>
      <xdr:col>16</xdr:col>
      <xdr:colOff>13832</xdr:colOff>
      <xdr:row>63</xdr:row>
      <xdr:rowOff>47073</xdr:rowOff>
    </xdr:from>
    <xdr:to>
      <xdr:col>20</xdr:col>
      <xdr:colOff>367500</xdr:colOff>
      <xdr:row>72</xdr:row>
      <xdr:rowOff>25482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A19A5EC7-9A04-844A-AAB5-5B072C836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57832" y="9200598"/>
          <a:ext cx="2254858" cy="1701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B5BC-13DF-453C-8129-A427D26AB5F3}">
  <dimension ref="A1:Y73"/>
  <sheetViews>
    <sheetView zoomScale="85" zoomScaleNormal="85" workbookViewId="0">
      <pane ySplit="3" topLeftCell="A41" activePane="bottomLeft" state="frozen"/>
      <selection pane="bottomLeft" activeCell="B60" sqref="B60"/>
    </sheetView>
  </sheetViews>
  <sheetFormatPr defaultColWidth="9.21875" defaultRowHeight="14.4" x14ac:dyDescent="0.3"/>
  <cols>
    <col min="1" max="1" width="31.44140625" style="28" customWidth="1"/>
    <col min="2" max="2" width="6.77734375" style="28" bestFit="1" customWidth="1"/>
    <col min="3" max="22" width="7.21875" style="28" customWidth="1"/>
    <col min="23" max="16384" width="9.21875" style="28"/>
  </cols>
  <sheetData>
    <row r="1" spans="1:25" s="271" customFormat="1" x14ac:dyDescent="0.3">
      <c r="A1" s="103"/>
      <c r="B1" s="180"/>
      <c r="C1" s="350">
        <v>2022</v>
      </c>
      <c r="D1" s="351"/>
      <c r="E1" s="351"/>
      <c r="F1" s="354"/>
      <c r="G1" s="350">
        <v>2023</v>
      </c>
      <c r="H1" s="351"/>
      <c r="I1" s="351"/>
      <c r="J1" s="354"/>
      <c r="K1" s="350">
        <v>2024</v>
      </c>
      <c r="L1" s="351"/>
      <c r="M1" s="351"/>
      <c r="N1" s="354"/>
      <c r="O1" s="350">
        <v>2025</v>
      </c>
      <c r="P1" s="351"/>
      <c r="Q1" s="351"/>
      <c r="R1" s="354"/>
      <c r="S1" s="350">
        <v>2026</v>
      </c>
      <c r="T1" s="351"/>
      <c r="U1" s="351"/>
      <c r="V1" s="352"/>
    </row>
    <row r="2" spans="1:25" s="271" customFormat="1" x14ac:dyDescent="0.3">
      <c r="A2" s="101"/>
      <c r="B2" s="102"/>
      <c r="C2" s="104" t="s">
        <v>18</v>
      </c>
      <c r="D2" s="105" t="s">
        <v>19</v>
      </c>
      <c r="E2" s="105" t="s">
        <v>20</v>
      </c>
      <c r="F2" s="106" t="s">
        <v>21</v>
      </c>
      <c r="G2" s="104" t="s">
        <v>18</v>
      </c>
      <c r="H2" s="105" t="s">
        <v>19</v>
      </c>
      <c r="I2" s="105" t="s">
        <v>20</v>
      </c>
      <c r="J2" s="106" t="s">
        <v>21</v>
      </c>
      <c r="K2" s="104" t="s">
        <v>18</v>
      </c>
      <c r="L2" s="105" t="s">
        <v>19</v>
      </c>
      <c r="M2" s="105" t="s">
        <v>20</v>
      </c>
      <c r="N2" s="106" t="s">
        <v>21</v>
      </c>
      <c r="O2" s="104" t="s">
        <v>18</v>
      </c>
      <c r="P2" s="105" t="s">
        <v>19</v>
      </c>
      <c r="Q2" s="105" t="s">
        <v>20</v>
      </c>
      <c r="R2" s="106" t="s">
        <v>21</v>
      </c>
      <c r="S2" s="104" t="s">
        <v>18</v>
      </c>
      <c r="T2" s="105" t="s">
        <v>19</v>
      </c>
      <c r="U2" s="105" t="s">
        <v>20</v>
      </c>
      <c r="V2" s="107" t="s">
        <v>21</v>
      </c>
    </row>
    <row r="3" spans="1:25" s="271" customFormat="1" x14ac:dyDescent="0.3">
      <c r="A3" s="272"/>
      <c r="B3" s="273"/>
      <c r="C3" s="274">
        <v>1</v>
      </c>
      <c r="D3" s="275">
        <v>2</v>
      </c>
      <c r="E3" s="275">
        <v>3</v>
      </c>
      <c r="F3" s="276">
        <v>4</v>
      </c>
      <c r="G3" s="274">
        <v>5</v>
      </c>
      <c r="H3" s="275">
        <v>6</v>
      </c>
      <c r="I3" s="275">
        <v>7</v>
      </c>
      <c r="J3" s="276">
        <v>8</v>
      </c>
      <c r="K3" s="274">
        <v>9</v>
      </c>
      <c r="L3" s="275">
        <v>10</v>
      </c>
      <c r="M3" s="275">
        <v>11</v>
      </c>
      <c r="N3" s="276">
        <v>12</v>
      </c>
      <c r="O3" s="274">
        <v>13</v>
      </c>
      <c r="P3" s="275">
        <v>14</v>
      </c>
      <c r="Q3" s="275">
        <v>15</v>
      </c>
      <c r="R3" s="276">
        <v>16</v>
      </c>
      <c r="S3" s="274">
        <v>17</v>
      </c>
      <c r="T3" s="275">
        <v>18</v>
      </c>
      <c r="U3" s="275">
        <v>19</v>
      </c>
      <c r="V3" s="277">
        <v>20</v>
      </c>
    </row>
    <row r="4" spans="1:25" s="31" customFormat="1" x14ac:dyDescent="0.3">
      <c r="A4" s="101" t="s">
        <v>0</v>
      </c>
      <c r="B4" s="102" t="s">
        <v>28</v>
      </c>
      <c r="C4" s="348" cm="1">
        <f t="array" ref="C4">_xlfn.IFS(C3&gt;$B$54,B4,C3=$B$54,$C$55,C3&gt;=($B$54-$B$53),$C$55/($B$54-C3+1),TRUE,0)</f>
        <v>0</v>
      </c>
      <c r="D4" s="348" cm="1">
        <f t="array" ref="D4">_xlfn.IFS(D3&gt;$B$54,C4,D3=$B$54,$C$55,D3&gt;=($B$54-$B$53),$C$55/($B$54-D3+1),TRUE,0)</f>
        <v>0</v>
      </c>
      <c r="E4" s="348" cm="1">
        <f t="array" ref="E4">_xlfn.IFS(E3&gt;$B$54,D4,E3=$B$54,$C$55,E3&gt;=($B$54-$B$53),$C$55/($B$54-E3+1),TRUE,0)</f>
        <v>0</v>
      </c>
      <c r="F4" s="348" cm="1">
        <f t="array" ref="F4">_xlfn.IFS(F3&gt;$B$54,E4,F3=$B$54,$C$55,F3&gt;=($B$54-$B$53),$C$55/($B$54-F3+1),TRUE,0)</f>
        <v>0</v>
      </c>
      <c r="G4" s="348" cm="1">
        <f t="array" ref="G4">_xlfn.IFS(G3&gt;$B$54,F4,G3=$B$54,$C$55,G3&gt;=($B$54-$B$53),$C$55/($B$54-G3+1),TRUE,0)</f>
        <v>0</v>
      </c>
      <c r="H4" s="348" cm="1">
        <f t="array" ref="H4">_xlfn.IFS(H3&gt;$B$54,G4,H3=$B$54,$C$55,H3&gt;=($B$54-$B$53),$C$55/($B$54-H3+1),TRUE,0)</f>
        <v>0</v>
      </c>
      <c r="I4" s="349" cm="1">
        <f t="array" ref="I4">_xlfn.IFS(I3&gt;$B$54,H4,I3=$B$54,$C$55,I3&gt;=($B$54-$B$53),$C$55/($B$54-I3+1),TRUE,0)</f>
        <v>10</v>
      </c>
      <c r="J4" s="349" cm="1">
        <f t="array" ref="J4">_xlfn.IFS(J3&gt;$B$54,I4,J3=$B$54,$C$55,J3&gt;=($B$54-$B$53),$C$55/($B$54-J3+1),TRUE,0)</f>
        <v>15</v>
      </c>
      <c r="K4" s="349" cm="1">
        <f t="array" ref="K4">_xlfn.IFS(K3&gt;$B$54,J4,K3=$B$54,$C$55,K3&gt;=($B$54-$B$53),$C$55/($B$54-K3+1),TRUE,0)</f>
        <v>30</v>
      </c>
      <c r="L4" s="349" cm="1">
        <f t="array" ref="L4">_xlfn.IFS(L3&gt;$B$54,K4,L3=$B$54,$C$55,L3&gt;=($B$54-$B$53),$C$55/($B$54-L3+1),TRUE,0)</f>
        <v>30</v>
      </c>
      <c r="M4" s="349" cm="1">
        <f t="array" ref="M4">_xlfn.IFS(M3&gt;$B$54,L4,M3=$B$54,$C$55,M3&gt;=($B$54-$B$53),$C$55/($B$54-M3+1),TRUE,0)</f>
        <v>30</v>
      </c>
      <c r="N4" s="349" cm="1">
        <f t="array" ref="N4">_xlfn.IFS(N3&gt;$B$54,M4,N3=$B$54,$C$55,N3&gt;=($B$54-$B$53),$C$55/($B$54-N3+1),TRUE,0)</f>
        <v>30</v>
      </c>
      <c r="O4" s="349" cm="1">
        <f t="array" ref="O4">_xlfn.IFS(O3&gt;$B$54,N4,O3=$B$54,$C$55,O3&gt;=($B$54-$B$53),$C$55/($B$54-O3+1),TRUE,0)</f>
        <v>30</v>
      </c>
      <c r="P4" s="349" cm="1">
        <f t="array" ref="P4">_xlfn.IFS(P3&gt;$B$54,O4,P3=$B$54,$C$55,P3&gt;=($B$54-$B$53),$C$55/($B$54-P3+1),TRUE,0)</f>
        <v>30</v>
      </c>
      <c r="Q4" s="349" cm="1">
        <f t="array" ref="Q4">_xlfn.IFS(Q3&gt;$B$54,P4,Q3=$B$54,$C$55,Q3&gt;=($B$54-$B$53),$C$55/($B$54-Q3+1),TRUE,0)</f>
        <v>30</v>
      </c>
      <c r="R4" s="349" cm="1">
        <f t="array" ref="R4">_xlfn.IFS(R3&gt;$B$54,Q4,R3=$B$54,$C$55,R3&gt;=($B$54-$B$53),$C$55/($B$54-R3+1),TRUE,0)</f>
        <v>30</v>
      </c>
      <c r="S4" s="349" cm="1">
        <f t="array" ref="S4">_xlfn.IFS(S3&gt;$B$54,R4,S3=$B$54,$C$55,S3&gt;=($B$54-$B$53),$C$55/($B$54-S3+1),TRUE,0)</f>
        <v>30</v>
      </c>
      <c r="T4" s="349" cm="1">
        <f t="array" ref="T4">_xlfn.IFS(T3&gt;$B$54,S4,T3=$B$54,$C$55,T3&gt;=($B$54-$B$53),$C$55/($B$54-T3+1),TRUE,0)</f>
        <v>30</v>
      </c>
      <c r="U4" s="349" cm="1">
        <f t="array" ref="U4">_xlfn.IFS(U3&gt;$B$54,T4,U3=$B$54,$C$55,U3&gt;=($B$54-$B$53),$C$55/($B$54-U3+1),TRUE,0)</f>
        <v>30</v>
      </c>
      <c r="V4" s="349" cm="1">
        <f t="array" ref="V4">_xlfn.IFS(V3&gt;$B$54,U4,V3=$B$54,$C$55,V3&gt;=($B$54-$B$53),$C$55/($B$54-V3+1),TRUE,0)</f>
        <v>30</v>
      </c>
      <c r="W4" s="99"/>
      <c r="X4" s="100"/>
      <c r="Y4" s="99"/>
    </row>
    <row r="5" spans="1:25" x14ac:dyDescent="0.3">
      <c r="A5" s="93"/>
      <c r="B5" s="94"/>
      <c r="C5" s="95"/>
      <c r="D5" s="96"/>
      <c r="E5" s="96"/>
      <c r="F5" s="97"/>
      <c r="G5" s="95"/>
      <c r="H5" s="96"/>
      <c r="I5" s="96"/>
      <c r="J5" s="97"/>
      <c r="K5" s="95"/>
      <c r="L5" s="96"/>
      <c r="M5" s="96"/>
      <c r="N5" s="97"/>
      <c r="O5" s="95"/>
      <c r="P5" s="96"/>
      <c r="Q5" s="96"/>
      <c r="R5" s="97"/>
      <c r="S5" s="95"/>
      <c r="T5" s="96"/>
      <c r="U5" s="96"/>
      <c r="V5" s="98"/>
    </row>
    <row r="6" spans="1:25" x14ac:dyDescent="0.3">
      <c r="A6" s="15" t="s">
        <v>47</v>
      </c>
      <c r="B6" s="245"/>
      <c r="C6" s="246"/>
      <c r="D6" s="247"/>
      <c r="E6" s="247"/>
      <c r="F6" s="248"/>
      <c r="G6" s="246"/>
      <c r="H6" s="247"/>
      <c r="I6" s="247"/>
      <c r="J6" s="248"/>
      <c r="K6" s="246"/>
      <c r="L6" s="247"/>
      <c r="M6" s="247"/>
      <c r="N6" s="248"/>
      <c r="O6" s="246"/>
      <c r="P6" s="247"/>
      <c r="Q6" s="247"/>
      <c r="R6" s="248"/>
      <c r="S6" s="246"/>
      <c r="T6" s="247"/>
      <c r="U6" s="247"/>
      <c r="V6" s="249"/>
    </row>
    <row r="7" spans="1:25" x14ac:dyDescent="0.3">
      <c r="A7" s="239" t="s">
        <v>89</v>
      </c>
      <c r="B7" s="245"/>
      <c r="C7" s="246"/>
      <c r="D7" s="247"/>
      <c r="E7" s="247"/>
      <c r="F7" s="248"/>
      <c r="G7" s="246"/>
      <c r="H7" s="247"/>
      <c r="I7" s="247"/>
      <c r="J7" s="248"/>
      <c r="K7" s="246"/>
      <c r="L7" s="247"/>
      <c r="M7" s="247"/>
      <c r="N7" s="248"/>
      <c r="O7" s="246"/>
      <c r="P7" s="247"/>
      <c r="Q7" s="247"/>
      <c r="R7" s="248"/>
      <c r="S7" s="246"/>
      <c r="T7" s="247"/>
      <c r="U7" s="247"/>
      <c r="V7" s="249"/>
    </row>
    <row r="8" spans="1:25" x14ac:dyDescent="0.3">
      <c r="A8" s="10" t="s">
        <v>93</v>
      </c>
      <c r="B8" s="240" t="s">
        <v>30</v>
      </c>
      <c r="C8" s="168">
        <f>IF(ISBLANK(Tuotekehitys!C17),,-Tuotekehitys!C17/1000)</f>
        <v>-40.619999999999997</v>
      </c>
      <c r="D8" s="169">
        <f>IF(ISBLANK(Tuotekehitys!F17),,-Tuotekehitys!F17/1000)</f>
        <v>-42.7</v>
      </c>
      <c r="E8" s="169">
        <f>IF(ISBLANK(Tuotekehitys!I17),,-Tuotekehitys!I17/1000)</f>
        <v>-35.479999999999997</v>
      </c>
      <c r="F8" s="170">
        <f>IF(ISBLANK(Tuotekehitys!L17),,-Tuotekehitys!L17/1000)</f>
        <v>-41.77</v>
      </c>
      <c r="G8" s="168"/>
      <c r="H8" s="169"/>
      <c r="I8" s="169"/>
      <c r="J8" s="170"/>
      <c r="K8" s="168"/>
      <c r="L8" s="169"/>
      <c r="M8" s="169"/>
      <c r="N8" s="170"/>
      <c r="O8" s="168"/>
      <c r="P8" s="169"/>
      <c r="Q8" s="169"/>
      <c r="R8" s="170"/>
      <c r="S8" s="168"/>
      <c r="T8" s="169"/>
      <c r="U8" s="169"/>
      <c r="V8" s="173"/>
    </row>
    <row r="9" spans="1:25" x14ac:dyDescent="0.3">
      <c r="A9" s="10" t="s">
        <v>94</v>
      </c>
      <c r="B9" s="240" t="s">
        <v>30</v>
      </c>
      <c r="C9" s="168"/>
      <c r="D9" s="169"/>
      <c r="E9" s="169"/>
      <c r="F9" s="170"/>
      <c r="G9" s="168">
        <f>-'Tuotannon aloitus'!G7/1000</f>
        <v>-57</v>
      </c>
      <c r="H9" s="169">
        <f>-'Tuotannon aloitus'!H7/1000</f>
        <v>0</v>
      </c>
      <c r="I9" s="169"/>
      <c r="J9" s="170"/>
      <c r="K9" s="168"/>
      <c r="L9" s="169"/>
      <c r="M9" s="169"/>
      <c r="N9" s="170"/>
      <c r="O9" s="168"/>
      <c r="P9" s="169"/>
      <c r="Q9" s="169"/>
      <c r="R9" s="170"/>
      <c r="S9" s="168"/>
      <c r="T9" s="169"/>
      <c r="U9" s="169"/>
      <c r="V9" s="173"/>
    </row>
    <row r="10" spans="1:25" x14ac:dyDescent="0.3">
      <c r="A10" s="10" t="s">
        <v>95</v>
      </c>
      <c r="B10" s="240" t="s">
        <v>30</v>
      </c>
      <c r="C10" s="168"/>
      <c r="D10" s="169"/>
      <c r="E10" s="169"/>
      <c r="F10" s="170"/>
      <c r="G10" s="168"/>
      <c r="H10" s="169">
        <f>-Markkinointi!H7/1000</f>
        <v>-8</v>
      </c>
      <c r="I10" s="169">
        <f>-Markkinointi!I7/1000</f>
        <v>-7</v>
      </c>
      <c r="J10" s="170">
        <f>-Markkinointi!J7/1000</f>
        <v>-1.4</v>
      </c>
      <c r="K10" s="168">
        <f>-Markkinointi!K7/1000</f>
        <v>-1.4</v>
      </c>
      <c r="L10" s="169">
        <f>-Markkinointi!L7/1000</f>
        <v>0</v>
      </c>
      <c r="M10" s="169">
        <f>-Markkinointi!M7/1000</f>
        <v>-1.4</v>
      </c>
      <c r="N10" s="170">
        <f>-Markkinointi!N7/1000</f>
        <v>0</v>
      </c>
      <c r="O10" s="168">
        <f>-Markkinointi!O7/1000</f>
        <v>-1.4</v>
      </c>
      <c r="P10" s="169">
        <f>-Markkinointi!P7/1000</f>
        <v>0</v>
      </c>
      <c r="Q10" s="169">
        <f>-Markkinointi!Q7/1000</f>
        <v>-1.4</v>
      </c>
      <c r="R10" s="170">
        <f>-Markkinointi!R7/1000</f>
        <v>0</v>
      </c>
      <c r="S10" s="168">
        <f>-Markkinointi!S7/1000</f>
        <v>-1.4</v>
      </c>
      <c r="T10" s="169">
        <f>-Markkinointi!T7/1000</f>
        <v>0</v>
      </c>
      <c r="U10" s="169">
        <f>-Markkinointi!U7/1000</f>
        <v>-1.4</v>
      </c>
      <c r="V10" s="173">
        <f>-Markkinointi!V7/1000</f>
        <v>0</v>
      </c>
    </row>
    <row r="11" spans="1:25" x14ac:dyDescent="0.3">
      <c r="A11" s="10" t="s">
        <v>90</v>
      </c>
      <c r="B11" s="245"/>
      <c r="C11" s="168"/>
      <c r="D11" s="169"/>
      <c r="E11" s="169"/>
      <c r="F11" s="170"/>
      <c r="G11" s="168"/>
      <c r="H11" s="169"/>
      <c r="I11" s="169"/>
      <c r="J11" s="170"/>
      <c r="K11" s="168"/>
      <c r="L11" s="169"/>
      <c r="M11" s="169"/>
      <c r="N11" s="170"/>
      <c r="O11" s="168"/>
      <c r="P11" s="169"/>
      <c r="Q11" s="169"/>
      <c r="R11" s="170"/>
      <c r="S11" s="168"/>
      <c r="T11" s="169"/>
      <c r="U11" s="169"/>
      <c r="V11" s="173"/>
    </row>
    <row r="12" spans="1:25" x14ac:dyDescent="0.3">
      <c r="A12" s="10" t="s">
        <v>91</v>
      </c>
      <c r="B12" s="240" t="s">
        <v>30</v>
      </c>
      <c r="C12" s="168"/>
      <c r="D12" s="169"/>
      <c r="E12" s="169"/>
      <c r="F12" s="170"/>
      <c r="G12" s="168"/>
      <c r="H12" s="169"/>
      <c r="I12" s="250">
        <f>I4*Tuotetuki!$C$10*Tuotetuki!$C$8/1000</f>
        <v>1.4999999999999999E-2</v>
      </c>
      <c r="J12" s="251">
        <f>J4*Tuotetuki!$C$10*Tuotetuki!$C$8/1000</f>
        <v>2.2499999999999999E-2</v>
      </c>
      <c r="K12" s="252">
        <f>K4*Tuotetuki!$C$10*Tuotetuki!$C$8/1000</f>
        <v>4.4999999999999998E-2</v>
      </c>
      <c r="L12" s="250">
        <f>L4*Tuotetuki!$C$10*Tuotetuki!$C$8/1000</f>
        <v>4.4999999999999998E-2</v>
      </c>
      <c r="M12" s="250">
        <f>M4*Tuotetuki!$C$10*Tuotetuki!$C$8/1000</f>
        <v>4.4999999999999998E-2</v>
      </c>
      <c r="N12" s="251">
        <f>N4*Tuotetuki!$C$10*Tuotetuki!$C$8/1000</f>
        <v>4.4999999999999998E-2</v>
      </c>
      <c r="O12" s="252">
        <f>O4*Tuotetuki!$C$10*Tuotetuki!$C$8/1000</f>
        <v>4.4999999999999998E-2</v>
      </c>
      <c r="P12" s="250">
        <f>P4*Tuotetuki!$C$10*Tuotetuki!$C$8/1000</f>
        <v>4.4999999999999998E-2</v>
      </c>
      <c r="Q12" s="250">
        <f>Q4*Tuotetuki!$C$10*Tuotetuki!$C$8/1000</f>
        <v>4.4999999999999998E-2</v>
      </c>
      <c r="R12" s="251">
        <f>R4*Tuotetuki!$C$10*Tuotetuki!$C$8/1000</f>
        <v>4.4999999999999998E-2</v>
      </c>
      <c r="S12" s="252">
        <f>S4*Tuotetuki!$C$10*Tuotetuki!$C$8/1000</f>
        <v>4.4999999999999998E-2</v>
      </c>
      <c r="T12" s="250">
        <f>T4*Tuotetuki!$C$10*Tuotetuki!$C$8/1000</f>
        <v>4.4999999999999998E-2</v>
      </c>
      <c r="U12" s="250">
        <f>U4*Tuotetuki!$C$10*Tuotetuki!$C$8/1000</f>
        <v>4.4999999999999998E-2</v>
      </c>
      <c r="V12" s="253">
        <f>V4*Tuotetuki!$C$10*Tuotetuki!$C$8/1000</f>
        <v>4.4999999999999998E-2</v>
      </c>
    </row>
    <row r="13" spans="1:25" x14ac:dyDescent="0.3">
      <c r="A13" s="10" t="s">
        <v>92</v>
      </c>
      <c r="B13" s="240" t="s">
        <v>30</v>
      </c>
      <c r="C13" s="168"/>
      <c r="D13" s="169"/>
      <c r="E13" s="169"/>
      <c r="F13" s="170"/>
      <c r="G13" s="168"/>
      <c r="H13" s="169"/>
      <c r="I13" s="169">
        <f>-I4*Tuotanto!I26/1000</f>
        <v>-62.895000000000003</v>
      </c>
      <c r="J13" s="170">
        <f>-J4*Tuotanto!J26/1000</f>
        <v>-81.007499999999993</v>
      </c>
      <c r="K13" s="168">
        <f>-K4*Tuotanto!K26/1000</f>
        <v>-161.25</v>
      </c>
      <c r="L13" s="169">
        <f>-L4*Tuotanto!L26/1000</f>
        <v>-161.25</v>
      </c>
      <c r="M13" s="169">
        <f>-M4*Tuotanto!M26/1000</f>
        <v>-161.25</v>
      </c>
      <c r="N13" s="170">
        <f>-N4*Tuotanto!N26/1000</f>
        <v>-161.25</v>
      </c>
      <c r="O13" s="168">
        <f>-O4*Tuotanto!O26/1000</f>
        <v>-162.375</v>
      </c>
      <c r="P13" s="169">
        <f>-P4*Tuotanto!P26/1000</f>
        <v>-162.375</v>
      </c>
      <c r="Q13" s="169">
        <f>-Q4*Tuotanto!Q26/1000</f>
        <v>-162.375</v>
      </c>
      <c r="R13" s="170">
        <f>-R4*Tuotanto!R26/1000</f>
        <v>-162.375</v>
      </c>
      <c r="S13" s="168">
        <f>-S4*Tuotanto!S26/1000</f>
        <v>-163.5</v>
      </c>
      <c r="T13" s="169">
        <f>-T4*Tuotanto!T26/1000</f>
        <v>-163.5</v>
      </c>
      <c r="U13" s="169">
        <f>-U4*Tuotanto!U26/1000</f>
        <v>-163.5</v>
      </c>
      <c r="V13" s="173">
        <f>-V4*Tuotanto!V26/1000</f>
        <v>-163.5</v>
      </c>
    </row>
    <row r="14" spans="1:25" x14ac:dyDescent="0.3">
      <c r="A14" s="18" t="s">
        <v>92</v>
      </c>
      <c r="B14" s="254" t="s">
        <v>6</v>
      </c>
      <c r="C14" s="255" t="str">
        <f t="shared" ref="C14:V14" si="0">IF(ISNUMBER(C13),C13*1000/C4,"")</f>
        <v/>
      </c>
      <c r="D14" s="256" t="str">
        <f t="shared" si="0"/>
        <v/>
      </c>
      <c r="E14" s="256" t="str">
        <f t="shared" si="0"/>
        <v/>
      </c>
      <c r="F14" s="257" t="str">
        <f t="shared" si="0"/>
        <v/>
      </c>
      <c r="G14" s="255" t="str">
        <f t="shared" si="0"/>
        <v/>
      </c>
      <c r="H14" s="256" t="str">
        <f t="shared" si="0"/>
        <v/>
      </c>
      <c r="I14" s="256">
        <f t="shared" si="0"/>
        <v>-6289.5</v>
      </c>
      <c r="J14" s="257">
        <f t="shared" si="0"/>
        <v>-5400.5</v>
      </c>
      <c r="K14" s="255">
        <f t="shared" si="0"/>
        <v>-5375</v>
      </c>
      <c r="L14" s="256">
        <f t="shared" si="0"/>
        <v>-5375</v>
      </c>
      <c r="M14" s="256">
        <f t="shared" si="0"/>
        <v>-5375</v>
      </c>
      <c r="N14" s="257">
        <f t="shared" si="0"/>
        <v>-5375</v>
      </c>
      <c r="O14" s="255">
        <f t="shared" si="0"/>
        <v>-5412.5</v>
      </c>
      <c r="P14" s="256">
        <f t="shared" si="0"/>
        <v>-5412.5</v>
      </c>
      <c r="Q14" s="256">
        <f t="shared" si="0"/>
        <v>-5412.5</v>
      </c>
      <c r="R14" s="257">
        <f t="shared" si="0"/>
        <v>-5412.5</v>
      </c>
      <c r="S14" s="255">
        <f t="shared" si="0"/>
        <v>-5450</v>
      </c>
      <c r="T14" s="256">
        <f t="shared" si="0"/>
        <v>-5450</v>
      </c>
      <c r="U14" s="256">
        <f t="shared" si="0"/>
        <v>-5450</v>
      </c>
      <c r="V14" s="258">
        <f t="shared" si="0"/>
        <v>-5450</v>
      </c>
    </row>
    <row r="15" spans="1:25" s="31" customFormat="1" x14ac:dyDescent="0.3">
      <c r="A15" s="5" t="s">
        <v>48</v>
      </c>
      <c r="B15" s="259" t="s">
        <v>30</v>
      </c>
      <c r="C15" s="260">
        <f t="shared" ref="C15:V15" si="1">SUM(C6:C13)</f>
        <v>-40.619999999999997</v>
      </c>
      <c r="D15" s="261">
        <f t="shared" si="1"/>
        <v>-42.7</v>
      </c>
      <c r="E15" s="261">
        <f t="shared" si="1"/>
        <v>-35.479999999999997</v>
      </c>
      <c r="F15" s="262">
        <f t="shared" si="1"/>
        <v>-41.77</v>
      </c>
      <c r="G15" s="260">
        <f t="shared" si="1"/>
        <v>-57</v>
      </c>
      <c r="H15" s="261">
        <f t="shared" si="1"/>
        <v>-8</v>
      </c>
      <c r="I15" s="261">
        <f t="shared" si="1"/>
        <v>-69.88000000000001</v>
      </c>
      <c r="J15" s="262">
        <f t="shared" si="1"/>
        <v>-82.384999999999991</v>
      </c>
      <c r="K15" s="260">
        <f t="shared" si="1"/>
        <v>-162.60499999999999</v>
      </c>
      <c r="L15" s="261">
        <f t="shared" si="1"/>
        <v>-161.20500000000001</v>
      </c>
      <c r="M15" s="261">
        <f t="shared" si="1"/>
        <v>-162.60499999999999</v>
      </c>
      <c r="N15" s="262">
        <f t="shared" si="1"/>
        <v>-161.20500000000001</v>
      </c>
      <c r="O15" s="260">
        <f t="shared" si="1"/>
        <v>-163.72999999999999</v>
      </c>
      <c r="P15" s="261">
        <f t="shared" si="1"/>
        <v>-162.33000000000001</v>
      </c>
      <c r="Q15" s="261">
        <f t="shared" si="1"/>
        <v>-163.72999999999999</v>
      </c>
      <c r="R15" s="262">
        <f t="shared" si="1"/>
        <v>-162.33000000000001</v>
      </c>
      <c r="S15" s="260">
        <f t="shared" si="1"/>
        <v>-164.85499999999999</v>
      </c>
      <c r="T15" s="261">
        <f t="shared" si="1"/>
        <v>-163.45500000000001</v>
      </c>
      <c r="U15" s="261">
        <f t="shared" si="1"/>
        <v>-164.85499999999999</v>
      </c>
      <c r="V15" s="263">
        <f t="shared" si="1"/>
        <v>-163.45500000000001</v>
      </c>
    </row>
    <row r="16" spans="1:25" s="31" customFormat="1" hidden="1" x14ac:dyDescent="0.3">
      <c r="A16" s="87" t="s">
        <v>54</v>
      </c>
      <c r="B16" s="88" t="s">
        <v>30</v>
      </c>
      <c r="C16" s="89">
        <f t="shared" ref="C16:V16" si="2">C15/(1+$B$51/100)^((C3-1)/4)</f>
        <v>-40.619999999999997</v>
      </c>
      <c r="D16" s="90">
        <f t="shared" si="2"/>
        <v>-40.797407227126463</v>
      </c>
      <c r="E16" s="90">
        <f t="shared" si="2"/>
        <v>-32.388660567138821</v>
      </c>
      <c r="F16" s="91">
        <f t="shared" si="2"/>
        <v>-36.43162481034021</v>
      </c>
      <c r="G16" s="89">
        <f t="shared" si="2"/>
        <v>-47.5</v>
      </c>
      <c r="H16" s="90">
        <f t="shared" si="2"/>
        <v>-6.3696186146957796</v>
      </c>
      <c r="I16" s="90">
        <f t="shared" si="2"/>
        <v>-53.159517108973631</v>
      </c>
      <c r="J16" s="91">
        <f t="shared" si="2"/>
        <v>-59.879886082512925</v>
      </c>
      <c r="K16" s="89">
        <f t="shared" si="2"/>
        <v>-112.92013888888889</v>
      </c>
      <c r="L16" s="90">
        <f t="shared" si="2"/>
        <v>-106.95983008146179</v>
      </c>
      <c r="M16" s="90">
        <f t="shared" si="2"/>
        <v>-103.08151211010131</v>
      </c>
      <c r="N16" s="91">
        <f t="shared" si="2"/>
        <v>-97.64051947089375</v>
      </c>
      <c r="O16" s="89">
        <f t="shared" si="2"/>
        <v>-94.751157407407405</v>
      </c>
      <c r="P16" s="90">
        <f t="shared" si="2"/>
        <v>-89.755224802392874</v>
      </c>
      <c r="Q16" s="90">
        <f t="shared" si="2"/>
        <v>-86.495577102932927</v>
      </c>
      <c r="R16" s="91">
        <f t="shared" si="2"/>
        <v>-81.934935463696235</v>
      </c>
      <c r="S16" s="89">
        <f t="shared" si="2"/>
        <v>-79.501832561728392</v>
      </c>
      <c r="T16" s="90">
        <f t="shared" si="2"/>
        <v>-75.314381558528552</v>
      </c>
      <c r="U16" s="90">
        <f t="shared" si="2"/>
        <v>-72.57491176176228</v>
      </c>
      <c r="V16" s="92">
        <f t="shared" si="2"/>
        <v>-68.75230947359529</v>
      </c>
    </row>
    <row r="17" spans="1:23" s="31" customFormat="1" hidden="1" x14ac:dyDescent="0.3">
      <c r="A17" s="87" t="s">
        <v>52</v>
      </c>
      <c r="B17" s="88" t="s">
        <v>30</v>
      </c>
      <c r="C17" s="89">
        <f>C15</f>
        <v>-40.619999999999997</v>
      </c>
      <c r="D17" s="90">
        <f t="shared" ref="D17:V18" si="3">C17+D15</f>
        <v>-83.32</v>
      </c>
      <c r="E17" s="90">
        <f t="shared" si="3"/>
        <v>-118.79999999999998</v>
      </c>
      <c r="F17" s="91">
        <f t="shared" si="3"/>
        <v>-160.57</v>
      </c>
      <c r="G17" s="89">
        <f t="shared" si="3"/>
        <v>-217.57</v>
      </c>
      <c r="H17" s="90">
        <f t="shared" si="3"/>
        <v>-225.57</v>
      </c>
      <c r="I17" s="90">
        <f t="shared" si="3"/>
        <v>-295.45</v>
      </c>
      <c r="J17" s="91">
        <f t="shared" si="3"/>
        <v>-377.83499999999998</v>
      </c>
      <c r="K17" s="89">
        <f t="shared" si="3"/>
        <v>-540.43999999999994</v>
      </c>
      <c r="L17" s="90">
        <f t="shared" si="3"/>
        <v>-701.64499999999998</v>
      </c>
      <c r="M17" s="90">
        <f t="shared" si="3"/>
        <v>-864.25</v>
      </c>
      <c r="N17" s="91">
        <f t="shared" si="3"/>
        <v>-1025.4549999999999</v>
      </c>
      <c r="O17" s="89">
        <f t="shared" si="3"/>
        <v>-1189.1849999999999</v>
      </c>
      <c r="P17" s="90">
        <f t="shared" si="3"/>
        <v>-1351.5149999999999</v>
      </c>
      <c r="Q17" s="90">
        <f t="shared" si="3"/>
        <v>-1515.2449999999999</v>
      </c>
      <c r="R17" s="91">
        <f t="shared" si="3"/>
        <v>-1677.5749999999998</v>
      </c>
      <c r="S17" s="89">
        <f t="shared" si="3"/>
        <v>-1842.4299999999998</v>
      </c>
      <c r="T17" s="90">
        <f t="shared" si="3"/>
        <v>-2005.8849999999998</v>
      </c>
      <c r="U17" s="90">
        <f t="shared" si="3"/>
        <v>-2170.7399999999998</v>
      </c>
      <c r="V17" s="92">
        <f t="shared" si="3"/>
        <v>-2334.1949999999997</v>
      </c>
    </row>
    <row r="18" spans="1:23" s="31" customFormat="1" hidden="1" x14ac:dyDescent="0.3">
      <c r="A18" s="87" t="s">
        <v>53</v>
      </c>
      <c r="B18" s="88" t="s">
        <v>30</v>
      </c>
      <c r="C18" s="89">
        <f>C16</f>
        <v>-40.619999999999997</v>
      </c>
      <c r="D18" s="90">
        <f t="shared" si="3"/>
        <v>-81.417407227126461</v>
      </c>
      <c r="E18" s="90">
        <f t="shared" si="3"/>
        <v>-113.80606779426529</v>
      </c>
      <c r="F18" s="91">
        <f t="shared" si="3"/>
        <v>-150.23769260460551</v>
      </c>
      <c r="G18" s="89">
        <f t="shared" si="3"/>
        <v>-197.73769260460551</v>
      </c>
      <c r="H18" s="90">
        <f t="shared" si="3"/>
        <v>-204.10731121930129</v>
      </c>
      <c r="I18" s="90">
        <f t="shared" si="3"/>
        <v>-257.26682832827493</v>
      </c>
      <c r="J18" s="91">
        <f t="shared" si="3"/>
        <v>-317.14671441078787</v>
      </c>
      <c r="K18" s="89">
        <f t="shared" si="3"/>
        <v>-430.06685329967672</v>
      </c>
      <c r="L18" s="90">
        <f t="shared" si="3"/>
        <v>-537.02668338113847</v>
      </c>
      <c r="M18" s="90">
        <f t="shared" si="3"/>
        <v>-640.10819549123983</v>
      </c>
      <c r="N18" s="91">
        <f t="shared" si="3"/>
        <v>-737.74871496213359</v>
      </c>
      <c r="O18" s="89">
        <f t="shared" si="3"/>
        <v>-832.49987236954098</v>
      </c>
      <c r="P18" s="90">
        <f t="shared" si="3"/>
        <v>-922.25509717193381</v>
      </c>
      <c r="Q18" s="90">
        <f t="shared" si="3"/>
        <v>-1008.7506742748667</v>
      </c>
      <c r="R18" s="91">
        <f t="shared" si="3"/>
        <v>-1090.685609738563</v>
      </c>
      <c r="S18" s="89">
        <f t="shared" si="3"/>
        <v>-1170.1874423002914</v>
      </c>
      <c r="T18" s="90">
        <f t="shared" si="3"/>
        <v>-1245.50182385882</v>
      </c>
      <c r="U18" s="90">
        <f t="shared" si="3"/>
        <v>-1318.0767356205822</v>
      </c>
      <c r="V18" s="92">
        <f t="shared" si="3"/>
        <v>-1386.8290450941774</v>
      </c>
    </row>
    <row r="19" spans="1:23" x14ac:dyDescent="0.3">
      <c r="A19" s="53"/>
      <c r="B19" s="82"/>
      <c r="C19" s="83"/>
      <c r="D19" s="84"/>
      <c r="E19" s="84"/>
      <c r="F19" s="85"/>
      <c r="G19" s="83"/>
      <c r="H19" s="84"/>
      <c r="I19" s="84"/>
      <c r="J19" s="85"/>
      <c r="K19" s="83"/>
      <c r="L19" s="84"/>
      <c r="M19" s="84"/>
      <c r="N19" s="85"/>
      <c r="O19" s="83"/>
      <c r="P19" s="84"/>
      <c r="Q19" s="84"/>
      <c r="R19" s="85"/>
      <c r="S19" s="83"/>
      <c r="T19" s="84"/>
      <c r="U19" s="84"/>
      <c r="V19" s="86"/>
    </row>
    <row r="20" spans="1:23" x14ac:dyDescent="0.3">
      <c r="A20" s="181" t="s">
        <v>38</v>
      </c>
      <c r="B20" s="182"/>
      <c r="C20" s="183"/>
      <c r="D20" s="184"/>
      <c r="E20" s="184"/>
      <c r="F20" s="185"/>
      <c r="G20" s="183"/>
      <c r="H20" s="184"/>
      <c r="I20" s="184"/>
      <c r="J20" s="185"/>
      <c r="K20" s="183"/>
      <c r="L20" s="184"/>
      <c r="M20" s="184"/>
      <c r="N20" s="185"/>
      <c r="O20" s="183"/>
      <c r="P20" s="184"/>
      <c r="Q20" s="184"/>
      <c r="R20" s="185"/>
      <c r="S20" s="183"/>
      <c r="T20" s="184"/>
      <c r="U20" s="184"/>
      <c r="V20" s="186"/>
    </row>
    <row r="21" spans="1:23" x14ac:dyDescent="0.3">
      <c r="A21" s="187" t="s">
        <v>10</v>
      </c>
      <c r="B21" s="188" t="s">
        <v>28</v>
      </c>
      <c r="C21" s="189"/>
      <c r="D21" s="190"/>
      <c r="E21" s="190"/>
      <c r="F21" s="191"/>
      <c r="G21" s="189"/>
      <c r="H21" s="190"/>
      <c r="I21" s="190">
        <f t="shared" ref="I21:V21" si="4">I4</f>
        <v>10</v>
      </c>
      <c r="J21" s="191">
        <f t="shared" si="4"/>
        <v>15</v>
      </c>
      <c r="K21" s="189">
        <f t="shared" si="4"/>
        <v>30</v>
      </c>
      <c r="L21" s="190">
        <f t="shared" si="4"/>
        <v>30</v>
      </c>
      <c r="M21" s="190">
        <f t="shared" si="4"/>
        <v>30</v>
      </c>
      <c r="N21" s="191">
        <f t="shared" si="4"/>
        <v>30</v>
      </c>
      <c r="O21" s="189">
        <f t="shared" si="4"/>
        <v>30</v>
      </c>
      <c r="P21" s="190">
        <f t="shared" si="4"/>
        <v>30</v>
      </c>
      <c r="Q21" s="190">
        <f t="shared" si="4"/>
        <v>30</v>
      </c>
      <c r="R21" s="191">
        <f t="shared" si="4"/>
        <v>30</v>
      </c>
      <c r="S21" s="189">
        <f t="shared" si="4"/>
        <v>30</v>
      </c>
      <c r="T21" s="190">
        <f t="shared" si="4"/>
        <v>30</v>
      </c>
      <c r="U21" s="190">
        <f t="shared" si="4"/>
        <v>30</v>
      </c>
      <c r="V21" s="192">
        <f t="shared" si="4"/>
        <v>30</v>
      </c>
    </row>
    <row r="22" spans="1:23" s="31" customFormat="1" x14ac:dyDescent="0.3">
      <c r="A22" s="193" t="s">
        <v>39</v>
      </c>
      <c r="B22" s="194" t="s">
        <v>30</v>
      </c>
      <c r="C22" s="195" t="str">
        <f t="shared" ref="C22:V22" si="5">IF(ISNUMBER(C21),$C$60*C21/1000,"")</f>
        <v/>
      </c>
      <c r="D22" s="196" t="str">
        <f t="shared" si="5"/>
        <v/>
      </c>
      <c r="E22" s="196" t="str">
        <f t="shared" si="5"/>
        <v/>
      </c>
      <c r="F22" s="197" t="str">
        <f t="shared" si="5"/>
        <v/>
      </c>
      <c r="G22" s="195" t="str">
        <f t="shared" si="5"/>
        <v/>
      </c>
      <c r="H22" s="196" t="str">
        <f t="shared" si="5"/>
        <v/>
      </c>
      <c r="I22" s="196">
        <f t="shared" si="5"/>
        <v>70.678931399999996</v>
      </c>
      <c r="J22" s="197">
        <f t="shared" si="5"/>
        <v>106.0183971</v>
      </c>
      <c r="K22" s="195">
        <f t="shared" si="5"/>
        <v>212.0367942</v>
      </c>
      <c r="L22" s="196">
        <f t="shared" si="5"/>
        <v>212.0367942</v>
      </c>
      <c r="M22" s="196">
        <f t="shared" si="5"/>
        <v>212.0367942</v>
      </c>
      <c r="N22" s="197">
        <f t="shared" si="5"/>
        <v>212.0367942</v>
      </c>
      <c r="O22" s="195">
        <f t="shared" si="5"/>
        <v>212.0367942</v>
      </c>
      <c r="P22" s="196">
        <f t="shared" si="5"/>
        <v>212.0367942</v>
      </c>
      <c r="Q22" s="196">
        <f t="shared" si="5"/>
        <v>212.0367942</v>
      </c>
      <c r="R22" s="197">
        <f t="shared" si="5"/>
        <v>212.0367942</v>
      </c>
      <c r="S22" s="195">
        <f t="shared" si="5"/>
        <v>212.0367942</v>
      </c>
      <c r="T22" s="196">
        <f t="shared" si="5"/>
        <v>212.0367942</v>
      </c>
      <c r="U22" s="196">
        <f t="shared" si="5"/>
        <v>212.0367942</v>
      </c>
      <c r="V22" s="198">
        <f t="shared" si="5"/>
        <v>212.0367942</v>
      </c>
      <c r="W22" s="156"/>
    </row>
    <row r="23" spans="1:23" s="31" customFormat="1" hidden="1" x14ac:dyDescent="0.3">
      <c r="A23" s="87" t="s">
        <v>55</v>
      </c>
      <c r="B23" s="88" t="s">
        <v>30</v>
      </c>
      <c r="C23" s="89"/>
      <c r="D23" s="90"/>
      <c r="E23" s="90"/>
      <c r="F23" s="91"/>
      <c r="G23" s="89"/>
      <c r="H23" s="90"/>
      <c r="I23" s="90">
        <f>I22</f>
        <v>70.678931399999996</v>
      </c>
      <c r="J23" s="91">
        <f>I23+J22</f>
        <v>176.6973285</v>
      </c>
      <c r="K23" s="89">
        <f t="shared" ref="K23:V23" si="6">J23+K22</f>
        <v>388.7341227</v>
      </c>
      <c r="L23" s="90">
        <f t="shared" si="6"/>
        <v>600.77091689999997</v>
      </c>
      <c r="M23" s="90">
        <f t="shared" si="6"/>
        <v>812.80771110000001</v>
      </c>
      <c r="N23" s="91">
        <f t="shared" si="6"/>
        <v>1024.8445053</v>
      </c>
      <c r="O23" s="89">
        <f t="shared" si="6"/>
        <v>1236.8812995000001</v>
      </c>
      <c r="P23" s="90">
        <f t="shared" si="6"/>
        <v>1448.9180937000001</v>
      </c>
      <c r="Q23" s="90">
        <f t="shared" si="6"/>
        <v>1660.9548879000001</v>
      </c>
      <c r="R23" s="91">
        <f t="shared" si="6"/>
        <v>1872.9916821000002</v>
      </c>
      <c r="S23" s="89">
        <f t="shared" si="6"/>
        <v>2085.0284763</v>
      </c>
      <c r="T23" s="90">
        <f t="shared" si="6"/>
        <v>2297.0652704999998</v>
      </c>
      <c r="U23" s="90">
        <f t="shared" si="6"/>
        <v>2509.1020646999996</v>
      </c>
      <c r="V23" s="92">
        <f t="shared" si="6"/>
        <v>2721.1388588999994</v>
      </c>
    </row>
    <row r="24" spans="1:23" s="31" customFormat="1" hidden="1" x14ac:dyDescent="0.3">
      <c r="A24" s="87" t="s">
        <v>56</v>
      </c>
      <c r="B24" s="88" t="s">
        <v>30</v>
      </c>
      <c r="C24" s="89"/>
      <c r="D24" s="90"/>
      <c r="E24" s="90"/>
      <c r="F24" s="91"/>
      <c r="G24" s="89"/>
      <c r="H24" s="90"/>
      <c r="I24" s="90">
        <f t="shared" ref="I24:V24" si="7">I22/(1+$B$51/100)^((I3-1)/4)</f>
        <v>53.76728481686137</v>
      </c>
      <c r="J24" s="91">
        <f t="shared" si="7"/>
        <v>77.057347102004243</v>
      </c>
      <c r="K24" s="89">
        <f t="shared" si="7"/>
        <v>147.24777374999999</v>
      </c>
      <c r="L24" s="90">
        <f t="shared" si="7"/>
        <v>140.68682409757687</v>
      </c>
      <c r="M24" s="90">
        <f t="shared" si="7"/>
        <v>134.41821204215347</v>
      </c>
      <c r="N24" s="91">
        <f t="shared" si="7"/>
        <v>128.42891183667373</v>
      </c>
      <c r="O24" s="89">
        <f t="shared" si="7"/>
        <v>122.706478125</v>
      </c>
      <c r="P24" s="90">
        <f t="shared" si="7"/>
        <v>117.23902008131407</v>
      </c>
      <c r="Q24" s="90">
        <f t="shared" si="7"/>
        <v>112.01517670179454</v>
      </c>
      <c r="R24" s="91">
        <f t="shared" si="7"/>
        <v>107.02409319722811</v>
      </c>
      <c r="S24" s="89">
        <f t="shared" si="7"/>
        <v>102.25539843750001</v>
      </c>
      <c r="T24" s="90">
        <f t="shared" si="7"/>
        <v>97.699183401095056</v>
      </c>
      <c r="U24" s="90">
        <f t="shared" si="7"/>
        <v>93.345980584828794</v>
      </c>
      <c r="V24" s="92">
        <f t="shared" si="7"/>
        <v>89.186744331023434</v>
      </c>
    </row>
    <row r="25" spans="1:23" s="31" customFormat="1" hidden="1" x14ac:dyDescent="0.3">
      <c r="A25" s="87" t="s">
        <v>57</v>
      </c>
      <c r="B25" s="88" t="s">
        <v>30</v>
      </c>
      <c r="C25" s="89"/>
      <c r="D25" s="90"/>
      <c r="E25" s="90"/>
      <c r="F25" s="91"/>
      <c r="G25" s="89"/>
      <c r="H25" s="90"/>
      <c r="I25" s="90">
        <f t="shared" ref="I25:V25" si="8">I23/(1+$B$51/100)^((I3-1)/4)</f>
        <v>53.76728481686137</v>
      </c>
      <c r="J25" s="91">
        <f t="shared" si="8"/>
        <v>128.42891183667373</v>
      </c>
      <c r="K25" s="89">
        <f t="shared" si="8"/>
        <v>269.95425187500001</v>
      </c>
      <c r="L25" s="90">
        <f t="shared" si="8"/>
        <v>398.61266827646779</v>
      </c>
      <c r="M25" s="90">
        <f t="shared" si="8"/>
        <v>515.26981282825489</v>
      </c>
      <c r="N25" s="91">
        <f t="shared" si="8"/>
        <v>620.73974054392306</v>
      </c>
      <c r="O25" s="89">
        <f t="shared" si="8"/>
        <v>715.7877890625</v>
      </c>
      <c r="P25" s="90">
        <f t="shared" si="8"/>
        <v>801.13330388897953</v>
      </c>
      <c r="Q25" s="90">
        <f t="shared" si="8"/>
        <v>877.45221749739073</v>
      </c>
      <c r="R25" s="91">
        <f t="shared" si="8"/>
        <v>945.37948990884843</v>
      </c>
      <c r="S25" s="89">
        <f t="shared" si="8"/>
        <v>1005.51141796875</v>
      </c>
      <c r="T25" s="90">
        <f t="shared" si="8"/>
        <v>1058.4078201785296</v>
      </c>
      <c r="U25" s="90">
        <f t="shared" si="8"/>
        <v>1104.5941035871406</v>
      </c>
      <c r="V25" s="92">
        <f t="shared" si="8"/>
        <v>1144.5632189148005</v>
      </c>
    </row>
    <row r="26" spans="1:23" s="31" customFormat="1" x14ac:dyDescent="0.3">
      <c r="A26" s="87"/>
      <c r="B26" s="88"/>
      <c r="C26" s="89"/>
      <c r="D26" s="90"/>
      <c r="E26" s="90"/>
      <c r="F26" s="91"/>
      <c r="G26" s="89"/>
      <c r="H26" s="90"/>
      <c r="I26" s="90"/>
      <c r="J26" s="91"/>
      <c r="K26" s="89"/>
      <c r="L26" s="90"/>
      <c r="M26" s="90"/>
      <c r="N26" s="91"/>
      <c r="O26" s="89"/>
      <c r="P26" s="90"/>
      <c r="Q26" s="90"/>
      <c r="R26" s="91"/>
      <c r="S26" s="89"/>
      <c r="T26" s="90"/>
      <c r="U26" s="90"/>
      <c r="V26" s="92"/>
    </row>
    <row r="27" spans="1:23" s="31" customFormat="1" x14ac:dyDescent="0.3">
      <c r="A27" s="15" t="s">
        <v>46</v>
      </c>
      <c r="B27" s="234"/>
      <c r="C27" s="235"/>
      <c r="D27" s="236"/>
      <c r="E27" s="236"/>
      <c r="F27" s="237"/>
      <c r="G27" s="235"/>
      <c r="H27" s="236"/>
      <c r="I27" s="236"/>
      <c r="J27" s="237"/>
      <c r="K27" s="235"/>
      <c r="L27" s="236"/>
      <c r="M27" s="236"/>
      <c r="N27" s="237"/>
      <c r="O27" s="235"/>
      <c r="P27" s="236"/>
      <c r="Q27" s="236"/>
      <c r="R27" s="237"/>
      <c r="S27" s="235"/>
      <c r="T27" s="236"/>
      <c r="U27" s="236"/>
      <c r="V27" s="238"/>
    </row>
    <row r="28" spans="1:23" s="79" customFormat="1" x14ac:dyDescent="0.3">
      <c r="A28" s="239" t="s">
        <v>11</v>
      </c>
      <c r="B28" s="240" t="s">
        <v>30</v>
      </c>
      <c r="C28" s="241" t="str">
        <f t="shared" ref="C28:V28" si="9">IF(ISNUMBER(C22),C22+C13,"")</f>
        <v/>
      </c>
      <c r="D28" s="242" t="str">
        <f t="shared" si="9"/>
        <v/>
      </c>
      <c r="E28" s="242" t="str">
        <f t="shared" si="9"/>
        <v/>
      </c>
      <c r="F28" s="243" t="str">
        <f t="shared" si="9"/>
        <v/>
      </c>
      <c r="G28" s="241" t="str">
        <f t="shared" si="9"/>
        <v/>
      </c>
      <c r="H28" s="242" t="str">
        <f t="shared" si="9"/>
        <v/>
      </c>
      <c r="I28" s="242">
        <f t="shared" si="9"/>
        <v>7.7839313999999931</v>
      </c>
      <c r="J28" s="243">
        <f t="shared" si="9"/>
        <v>25.010897100000008</v>
      </c>
      <c r="K28" s="241">
        <f t="shared" si="9"/>
        <v>50.786794200000003</v>
      </c>
      <c r="L28" s="242">
        <f t="shared" si="9"/>
        <v>50.786794200000003</v>
      </c>
      <c r="M28" s="242">
        <f t="shared" si="9"/>
        <v>50.786794200000003</v>
      </c>
      <c r="N28" s="243">
        <f t="shared" si="9"/>
        <v>50.786794200000003</v>
      </c>
      <c r="O28" s="241">
        <f t="shared" si="9"/>
        <v>49.661794200000003</v>
      </c>
      <c r="P28" s="242">
        <f t="shared" si="9"/>
        <v>49.661794200000003</v>
      </c>
      <c r="Q28" s="242">
        <f t="shared" si="9"/>
        <v>49.661794200000003</v>
      </c>
      <c r="R28" s="243">
        <f t="shared" si="9"/>
        <v>49.661794200000003</v>
      </c>
      <c r="S28" s="241">
        <f t="shared" si="9"/>
        <v>48.536794200000003</v>
      </c>
      <c r="T28" s="242">
        <f t="shared" si="9"/>
        <v>48.536794200000003</v>
      </c>
      <c r="U28" s="242">
        <f t="shared" si="9"/>
        <v>48.536794200000003</v>
      </c>
      <c r="V28" s="244">
        <f t="shared" si="9"/>
        <v>48.536794200000003</v>
      </c>
    </row>
    <row r="29" spans="1:23" s="79" customFormat="1" x14ac:dyDescent="0.3">
      <c r="A29" s="239" t="s">
        <v>49</v>
      </c>
      <c r="B29" s="240" t="s">
        <v>29</v>
      </c>
      <c r="C29" s="241" t="str">
        <f t="shared" ref="C29:V29" si="10">IF(ISNUMBER(C28),IF(C28&gt;0,C28*1000/C21,),"")</f>
        <v/>
      </c>
      <c r="D29" s="242" t="str">
        <f t="shared" si="10"/>
        <v/>
      </c>
      <c r="E29" s="242" t="str">
        <f t="shared" si="10"/>
        <v/>
      </c>
      <c r="F29" s="243" t="str">
        <f t="shared" si="10"/>
        <v/>
      </c>
      <c r="G29" s="241" t="str">
        <f t="shared" si="10"/>
        <v/>
      </c>
      <c r="H29" s="242" t="str">
        <f t="shared" si="10"/>
        <v/>
      </c>
      <c r="I29" s="242">
        <f t="shared" si="10"/>
        <v>778.39313999999933</v>
      </c>
      <c r="J29" s="243">
        <f t="shared" si="10"/>
        <v>1667.3931400000006</v>
      </c>
      <c r="K29" s="241">
        <f t="shared" si="10"/>
        <v>1692.8931400000001</v>
      </c>
      <c r="L29" s="242">
        <f t="shared" si="10"/>
        <v>1692.8931400000001</v>
      </c>
      <c r="M29" s="242">
        <f t="shared" si="10"/>
        <v>1692.8931400000001</v>
      </c>
      <c r="N29" s="243">
        <f t="shared" si="10"/>
        <v>1692.8931400000001</v>
      </c>
      <c r="O29" s="241">
        <f t="shared" si="10"/>
        <v>1655.3931400000001</v>
      </c>
      <c r="P29" s="242">
        <f t="shared" si="10"/>
        <v>1655.3931400000001</v>
      </c>
      <c r="Q29" s="242">
        <f t="shared" si="10"/>
        <v>1655.3931400000001</v>
      </c>
      <c r="R29" s="243">
        <f t="shared" si="10"/>
        <v>1655.3931400000001</v>
      </c>
      <c r="S29" s="241">
        <f t="shared" si="10"/>
        <v>1617.8931400000001</v>
      </c>
      <c r="T29" s="242">
        <f t="shared" si="10"/>
        <v>1617.8931400000001</v>
      </c>
      <c r="U29" s="242">
        <f t="shared" si="10"/>
        <v>1617.8931400000001</v>
      </c>
      <c r="V29" s="244">
        <f t="shared" si="10"/>
        <v>1617.8931400000001</v>
      </c>
    </row>
    <row r="30" spans="1:23" s="79" customFormat="1" x14ac:dyDescent="0.3">
      <c r="A30" s="239" t="s">
        <v>11</v>
      </c>
      <c r="B30" s="240" t="s">
        <v>13</v>
      </c>
      <c r="C30" s="241" t="str">
        <f t="shared" ref="C30:V30" si="11">IF(ISNUMBER(C13),(1+C13/C22)*100,"")</f>
        <v/>
      </c>
      <c r="D30" s="242" t="str">
        <f t="shared" si="11"/>
        <v/>
      </c>
      <c r="E30" s="242" t="str">
        <f t="shared" si="11"/>
        <v/>
      </c>
      <c r="F30" s="243" t="str">
        <f t="shared" si="11"/>
        <v/>
      </c>
      <c r="G30" s="241" t="str">
        <f t="shared" si="11"/>
        <v/>
      </c>
      <c r="H30" s="242" t="str">
        <f t="shared" si="11"/>
        <v/>
      </c>
      <c r="I30" s="242">
        <f t="shared" si="11"/>
        <v>11.013085859982308</v>
      </c>
      <c r="J30" s="243">
        <f t="shared" si="11"/>
        <v>23.591091531414989</v>
      </c>
      <c r="K30" s="241">
        <f t="shared" si="11"/>
        <v>23.951877970809278</v>
      </c>
      <c r="L30" s="242">
        <f t="shared" si="11"/>
        <v>23.951877970809278</v>
      </c>
      <c r="M30" s="242">
        <f t="shared" si="11"/>
        <v>23.951877970809278</v>
      </c>
      <c r="N30" s="243">
        <f t="shared" si="11"/>
        <v>23.951877970809278</v>
      </c>
      <c r="O30" s="241">
        <f t="shared" si="11"/>
        <v>23.421309677582368</v>
      </c>
      <c r="P30" s="242">
        <f t="shared" si="11"/>
        <v>23.421309677582368</v>
      </c>
      <c r="Q30" s="242">
        <f t="shared" si="11"/>
        <v>23.421309677582368</v>
      </c>
      <c r="R30" s="243">
        <f t="shared" si="11"/>
        <v>23.421309677582368</v>
      </c>
      <c r="S30" s="241">
        <f t="shared" si="11"/>
        <v>22.890741384355451</v>
      </c>
      <c r="T30" s="242">
        <f t="shared" si="11"/>
        <v>22.890741384355451</v>
      </c>
      <c r="U30" s="242">
        <f t="shared" si="11"/>
        <v>22.890741384355451</v>
      </c>
      <c r="V30" s="244">
        <f t="shared" si="11"/>
        <v>22.890741384355451</v>
      </c>
    </row>
    <row r="31" spans="1:23" x14ac:dyDescent="0.3">
      <c r="A31" s="53"/>
      <c r="B31" s="82"/>
      <c r="C31" s="83"/>
      <c r="D31" s="84"/>
      <c r="E31" s="84"/>
      <c r="F31" s="85"/>
      <c r="G31" s="83"/>
      <c r="H31" s="84"/>
      <c r="I31" s="84"/>
      <c r="J31" s="85"/>
      <c r="K31" s="83"/>
      <c r="L31" s="84"/>
      <c r="M31" s="84"/>
      <c r="N31" s="85"/>
      <c r="O31" s="83"/>
      <c r="P31" s="84"/>
      <c r="Q31" s="84"/>
      <c r="R31" s="85"/>
      <c r="S31" s="83"/>
      <c r="T31" s="84"/>
      <c r="U31" s="84"/>
      <c r="V31" s="86"/>
    </row>
    <row r="32" spans="1:23" hidden="1" x14ac:dyDescent="0.3">
      <c r="A32" s="208" t="s">
        <v>76</v>
      </c>
      <c r="B32" s="182"/>
      <c r="C32" s="183"/>
      <c r="D32" s="184"/>
      <c r="E32" s="184"/>
      <c r="F32" s="185"/>
      <c r="G32" s="183"/>
      <c r="H32" s="184"/>
      <c r="I32" s="184"/>
      <c r="J32" s="185"/>
      <c r="K32" s="183"/>
      <c r="L32" s="184"/>
      <c r="M32" s="184"/>
      <c r="N32" s="185"/>
      <c r="O32" s="183"/>
      <c r="P32" s="184"/>
      <c r="Q32" s="184"/>
      <c r="R32" s="185"/>
      <c r="S32" s="183"/>
      <c r="T32" s="184"/>
      <c r="U32" s="184"/>
      <c r="V32" s="186"/>
    </row>
    <row r="33" spans="1:25" hidden="1" x14ac:dyDescent="0.3">
      <c r="A33" s="208" t="s">
        <v>76</v>
      </c>
      <c r="B33" s="182" t="s">
        <v>30</v>
      </c>
      <c r="C33" s="183">
        <f t="shared" ref="C33:V33" si="12">IF(ISNUMBER(C22),C15+C22,C15)</f>
        <v>-40.619999999999997</v>
      </c>
      <c r="D33" s="184">
        <f t="shared" si="12"/>
        <v>-42.7</v>
      </c>
      <c r="E33" s="184">
        <f t="shared" si="12"/>
        <v>-35.479999999999997</v>
      </c>
      <c r="F33" s="185">
        <f t="shared" si="12"/>
        <v>-41.77</v>
      </c>
      <c r="G33" s="183">
        <f t="shared" si="12"/>
        <v>-57</v>
      </c>
      <c r="H33" s="184">
        <f t="shared" si="12"/>
        <v>-8</v>
      </c>
      <c r="I33" s="184">
        <f t="shared" si="12"/>
        <v>0.79893139999998652</v>
      </c>
      <c r="J33" s="185">
        <f t="shared" si="12"/>
        <v>23.63339710000001</v>
      </c>
      <c r="K33" s="183">
        <f t="shared" si="12"/>
        <v>49.431794200000013</v>
      </c>
      <c r="L33" s="184">
        <f t="shared" si="12"/>
        <v>50.83179419999999</v>
      </c>
      <c r="M33" s="184">
        <f t="shared" si="12"/>
        <v>49.431794200000013</v>
      </c>
      <c r="N33" s="185">
        <f t="shared" si="12"/>
        <v>50.83179419999999</v>
      </c>
      <c r="O33" s="183">
        <f t="shared" si="12"/>
        <v>48.306794200000013</v>
      </c>
      <c r="P33" s="184">
        <f t="shared" si="12"/>
        <v>49.70679419999999</v>
      </c>
      <c r="Q33" s="184">
        <f t="shared" si="12"/>
        <v>48.306794200000013</v>
      </c>
      <c r="R33" s="185">
        <f t="shared" si="12"/>
        <v>49.70679419999999</v>
      </c>
      <c r="S33" s="183">
        <f t="shared" si="12"/>
        <v>47.181794200000013</v>
      </c>
      <c r="T33" s="184">
        <f t="shared" si="12"/>
        <v>48.58179419999999</v>
      </c>
      <c r="U33" s="184">
        <f t="shared" si="12"/>
        <v>47.181794200000013</v>
      </c>
      <c r="V33" s="186">
        <f t="shared" si="12"/>
        <v>48.58179419999999</v>
      </c>
    </row>
    <row r="34" spans="1:25" hidden="1" x14ac:dyDescent="0.3">
      <c r="A34" s="53" t="s">
        <v>76</v>
      </c>
      <c r="B34" s="82" t="s">
        <v>13</v>
      </c>
      <c r="C34" s="83">
        <f t="shared" ref="C34:V34" si="13">IF(ISNUMBER(C22),100*C33/C15,0)</f>
        <v>0</v>
      </c>
      <c r="D34" s="84">
        <f t="shared" si="13"/>
        <v>0</v>
      </c>
      <c r="E34" s="84">
        <f t="shared" si="13"/>
        <v>0</v>
      </c>
      <c r="F34" s="85">
        <f t="shared" si="13"/>
        <v>0</v>
      </c>
      <c r="G34" s="83">
        <f t="shared" si="13"/>
        <v>0</v>
      </c>
      <c r="H34" s="84">
        <f t="shared" si="13"/>
        <v>0</v>
      </c>
      <c r="I34" s="84">
        <f t="shared" si="13"/>
        <v>-1.1432904979965461</v>
      </c>
      <c r="J34" s="85">
        <f t="shared" si="13"/>
        <v>-28.686529222552664</v>
      </c>
      <c r="K34" s="83">
        <f t="shared" si="13"/>
        <v>-30.399922634605343</v>
      </c>
      <c r="L34" s="84">
        <f t="shared" si="13"/>
        <v>-31.532393039918105</v>
      </c>
      <c r="M34" s="84">
        <f t="shared" si="13"/>
        <v>-30.399922634605343</v>
      </c>
      <c r="N34" s="85">
        <f t="shared" si="13"/>
        <v>-31.532393039918105</v>
      </c>
      <c r="O34" s="83">
        <f t="shared" si="13"/>
        <v>-29.503935870029938</v>
      </c>
      <c r="P34" s="84">
        <f t="shared" si="13"/>
        <v>-30.620830530401022</v>
      </c>
      <c r="Q34" s="84">
        <f t="shared" si="13"/>
        <v>-29.503935870029938</v>
      </c>
      <c r="R34" s="85">
        <f t="shared" si="13"/>
        <v>-30.620830530401022</v>
      </c>
      <c r="S34" s="83">
        <f t="shared" si="13"/>
        <v>-28.620177853265002</v>
      </c>
      <c r="T34" s="84">
        <f t="shared" si="13"/>
        <v>-29.721815912636494</v>
      </c>
      <c r="U34" s="84">
        <f t="shared" si="13"/>
        <v>-28.620177853265002</v>
      </c>
      <c r="V34" s="86">
        <f t="shared" si="13"/>
        <v>-29.721815912636494</v>
      </c>
    </row>
    <row r="35" spans="1:25" hidden="1" x14ac:dyDescent="0.3">
      <c r="A35" s="53" t="s">
        <v>76</v>
      </c>
      <c r="B35" s="82" t="s">
        <v>13</v>
      </c>
      <c r="C35" s="83">
        <f t="shared" ref="C35:V35" si="14">IF(ISNUMBER(C22),(1+C15/C22)*100,0)</f>
        <v>0</v>
      </c>
      <c r="D35" s="84">
        <f t="shared" si="14"/>
        <v>0</v>
      </c>
      <c r="E35" s="84">
        <f t="shared" si="14"/>
        <v>0</v>
      </c>
      <c r="F35" s="85">
        <f t="shared" si="14"/>
        <v>0</v>
      </c>
      <c r="G35" s="83">
        <f t="shared" si="14"/>
        <v>0</v>
      </c>
      <c r="H35" s="84">
        <f t="shared" si="14"/>
        <v>0</v>
      </c>
      <c r="I35" s="84">
        <f t="shared" si="14"/>
        <v>1.1303671181423502</v>
      </c>
      <c r="J35" s="85">
        <f t="shared" si="14"/>
        <v>22.291788733334862</v>
      </c>
      <c r="K35" s="83">
        <f t="shared" si="14"/>
        <v>23.312837937633756</v>
      </c>
      <c r="L35" s="84">
        <f t="shared" si="14"/>
        <v>23.973100702538353</v>
      </c>
      <c r="M35" s="84">
        <f t="shared" si="14"/>
        <v>23.312837937633756</v>
      </c>
      <c r="N35" s="85">
        <f t="shared" si="14"/>
        <v>23.973100702538353</v>
      </c>
      <c r="O35" s="83">
        <f t="shared" si="14"/>
        <v>22.782269644406849</v>
      </c>
      <c r="P35" s="84">
        <f t="shared" si="14"/>
        <v>23.442532409311433</v>
      </c>
      <c r="Q35" s="84">
        <f t="shared" si="14"/>
        <v>22.782269644406849</v>
      </c>
      <c r="R35" s="85">
        <f t="shared" si="14"/>
        <v>23.442532409311433</v>
      </c>
      <c r="S35" s="83">
        <f t="shared" si="14"/>
        <v>22.251701351179932</v>
      </c>
      <c r="T35" s="84">
        <f t="shared" si="14"/>
        <v>22.911964116084526</v>
      </c>
      <c r="U35" s="84">
        <f t="shared" si="14"/>
        <v>22.251701351179932</v>
      </c>
      <c r="V35" s="86">
        <f t="shared" si="14"/>
        <v>22.911964116084526</v>
      </c>
    </row>
    <row r="36" spans="1:25" hidden="1" x14ac:dyDescent="0.3">
      <c r="A36" s="53"/>
      <c r="B36" s="82"/>
      <c r="C36" s="83"/>
      <c r="D36" s="84"/>
      <c r="E36" s="84"/>
      <c r="F36" s="85"/>
      <c r="G36" s="83"/>
      <c r="H36" s="84"/>
      <c r="I36" s="84"/>
      <c r="J36" s="85"/>
      <c r="K36" s="83"/>
      <c r="L36" s="84"/>
      <c r="M36" s="84"/>
      <c r="N36" s="85"/>
      <c r="O36" s="83"/>
      <c r="P36" s="84"/>
      <c r="Q36" s="84"/>
      <c r="R36" s="85"/>
      <c r="S36" s="83"/>
      <c r="T36" s="84"/>
      <c r="U36" s="84"/>
      <c r="V36" s="86"/>
    </row>
    <row r="37" spans="1:25" hidden="1" x14ac:dyDescent="0.3">
      <c r="A37" s="208"/>
      <c r="B37" s="182"/>
      <c r="C37" s="183"/>
      <c r="D37" s="184"/>
      <c r="E37" s="184"/>
      <c r="F37" s="185"/>
      <c r="G37" s="183"/>
      <c r="H37" s="184"/>
      <c r="I37" s="184"/>
      <c r="J37" s="185"/>
      <c r="K37" s="183"/>
      <c r="L37" s="184"/>
      <c r="M37" s="184"/>
      <c r="N37" s="185"/>
      <c r="O37" s="183"/>
      <c r="P37" s="184"/>
      <c r="Q37" s="184"/>
      <c r="R37" s="185"/>
      <c r="S37" s="183"/>
      <c r="T37" s="184"/>
      <c r="U37" s="184"/>
      <c r="V37" s="186"/>
    </row>
    <row r="38" spans="1:25" hidden="1" x14ac:dyDescent="0.3">
      <c r="A38" s="53"/>
      <c r="B38" s="82"/>
      <c r="C38" s="83"/>
      <c r="D38" s="84"/>
      <c r="E38" s="84"/>
      <c r="F38" s="85"/>
      <c r="G38" s="83"/>
      <c r="H38" s="84"/>
      <c r="I38" s="84"/>
      <c r="J38" s="85"/>
      <c r="K38" s="83"/>
      <c r="L38" s="84"/>
      <c r="M38" s="84"/>
      <c r="N38" s="85"/>
      <c r="O38" s="83"/>
      <c r="P38" s="84"/>
      <c r="Q38" s="84"/>
      <c r="R38" s="85"/>
      <c r="S38" s="83"/>
      <c r="T38" s="84"/>
      <c r="U38" s="84"/>
      <c r="V38" s="86"/>
    </row>
    <row r="39" spans="1:25" s="31" customFormat="1" x14ac:dyDescent="0.3">
      <c r="A39" s="181" t="s">
        <v>40</v>
      </c>
      <c r="B39" s="199" t="s">
        <v>30</v>
      </c>
      <c r="C39" s="200">
        <f t="shared" ref="C39:V39" si="15">IF(ISNUMBER(C22),C22+C15,C15)</f>
        <v>-40.619999999999997</v>
      </c>
      <c r="D39" s="201">
        <f t="shared" si="15"/>
        <v>-42.7</v>
      </c>
      <c r="E39" s="201">
        <f t="shared" si="15"/>
        <v>-35.479999999999997</v>
      </c>
      <c r="F39" s="202">
        <f t="shared" si="15"/>
        <v>-41.77</v>
      </c>
      <c r="G39" s="200">
        <f t="shared" si="15"/>
        <v>-57</v>
      </c>
      <c r="H39" s="201">
        <f t="shared" si="15"/>
        <v>-8</v>
      </c>
      <c r="I39" s="201">
        <f t="shared" si="15"/>
        <v>0.79893139999998652</v>
      </c>
      <c r="J39" s="202">
        <f t="shared" si="15"/>
        <v>23.63339710000001</v>
      </c>
      <c r="K39" s="200">
        <f t="shared" si="15"/>
        <v>49.431794200000013</v>
      </c>
      <c r="L39" s="201">
        <f t="shared" si="15"/>
        <v>50.83179419999999</v>
      </c>
      <c r="M39" s="201">
        <f t="shared" si="15"/>
        <v>49.431794200000013</v>
      </c>
      <c r="N39" s="202">
        <f t="shared" si="15"/>
        <v>50.83179419999999</v>
      </c>
      <c r="O39" s="200">
        <f t="shared" si="15"/>
        <v>48.306794200000013</v>
      </c>
      <c r="P39" s="201">
        <f t="shared" si="15"/>
        <v>49.70679419999999</v>
      </c>
      <c r="Q39" s="201">
        <f t="shared" si="15"/>
        <v>48.306794200000013</v>
      </c>
      <c r="R39" s="202">
        <f t="shared" si="15"/>
        <v>49.70679419999999</v>
      </c>
      <c r="S39" s="200">
        <f t="shared" si="15"/>
        <v>47.181794200000013</v>
      </c>
      <c r="T39" s="201">
        <f t="shared" si="15"/>
        <v>48.58179419999999</v>
      </c>
      <c r="U39" s="201">
        <f t="shared" si="15"/>
        <v>47.181794200000013</v>
      </c>
      <c r="V39" s="203">
        <f t="shared" si="15"/>
        <v>48.58179419999999</v>
      </c>
    </row>
    <row r="40" spans="1:25" s="31" customFormat="1" x14ac:dyDescent="0.3">
      <c r="A40" s="181" t="s">
        <v>41</v>
      </c>
      <c r="B40" s="199" t="s">
        <v>30</v>
      </c>
      <c r="C40" s="200">
        <f t="shared" ref="C40:V40" si="16">C39/(1+$B$51/100)^((C3-1)/4)</f>
        <v>-40.619999999999997</v>
      </c>
      <c r="D40" s="201">
        <f t="shared" si="16"/>
        <v>-40.797407227126463</v>
      </c>
      <c r="E40" s="201">
        <f t="shared" si="16"/>
        <v>-32.388660567138821</v>
      </c>
      <c r="F40" s="202">
        <f t="shared" si="16"/>
        <v>-36.43162481034021</v>
      </c>
      <c r="G40" s="200">
        <f t="shared" si="16"/>
        <v>-47.5</v>
      </c>
      <c r="H40" s="201">
        <f t="shared" si="16"/>
        <v>-6.3696186146957796</v>
      </c>
      <c r="I40" s="201">
        <f t="shared" si="16"/>
        <v>0.6077677078877437</v>
      </c>
      <c r="J40" s="202">
        <f t="shared" si="16"/>
        <v>17.177461019491314</v>
      </c>
      <c r="K40" s="200">
        <f t="shared" si="16"/>
        <v>34.327634861111122</v>
      </c>
      <c r="L40" s="201">
        <f t="shared" si="16"/>
        <v>33.726994016115093</v>
      </c>
      <c r="M40" s="201">
        <f t="shared" si="16"/>
        <v>31.336699932052138</v>
      </c>
      <c r="N40" s="202">
        <f t="shared" si="16"/>
        <v>30.788392365779988</v>
      </c>
      <c r="O40" s="200">
        <f t="shared" si="16"/>
        <v>27.955320717592599</v>
      </c>
      <c r="P40" s="201">
        <f t="shared" si="16"/>
        <v>27.483795278921193</v>
      </c>
      <c r="Q40" s="201">
        <f t="shared" si="16"/>
        <v>25.519599598861628</v>
      </c>
      <c r="R40" s="202">
        <f t="shared" si="16"/>
        <v>25.089157733531877</v>
      </c>
      <c r="S40" s="200">
        <f t="shared" si="16"/>
        <v>22.753565875771613</v>
      </c>
      <c r="T40" s="201">
        <f t="shared" si="16"/>
        <v>22.384801842566507</v>
      </c>
      <c r="U40" s="201">
        <f t="shared" si="16"/>
        <v>20.771068823066507</v>
      </c>
      <c r="V40" s="203">
        <f t="shared" si="16"/>
        <v>20.434434857428137</v>
      </c>
    </row>
    <row r="41" spans="1:25" s="31" customFormat="1" x14ac:dyDescent="0.3">
      <c r="A41" s="228"/>
      <c r="B41" s="229"/>
      <c r="C41" s="230"/>
      <c r="D41" s="231"/>
      <c r="E41" s="231"/>
      <c r="F41" s="232"/>
      <c r="G41" s="230"/>
      <c r="H41" s="231"/>
      <c r="I41" s="231"/>
      <c r="J41" s="232"/>
      <c r="K41" s="230"/>
      <c r="L41" s="231"/>
      <c r="M41" s="231"/>
      <c r="N41" s="232"/>
      <c r="O41" s="230"/>
      <c r="P41" s="231"/>
      <c r="Q41" s="231"/>
      <c r="R41" s="232"/>
      <c r="S41" s="230"/>
      <c r="T41" s="231"/>
      <c r="U41" s="231"/>
      <c r="V41" s="233"/>
    </row>
    <row r="42" spans="1:25" s="31" customFormat="1" x14ac:dyDescent="0.3">
      <c r="A42" s="15" t="s">
        <v>75</v>
      </c>
      <c r="B42" s="234"/>
      <c r="C42" s="235"/>
      <c r="D42" s="236"/>
      <c r="E42" s="236"/>
      <c r="F42" s="237"/>
      <c r="G42" s="235"/>
      <c r="H42" s="236"/>
      <c r="I42" s="236"/>
      <c r="J42" s="237"/>
      <c r="K42" s="235"/>
      <c r="L42" s="236"/>
      <c r="M42" s="236"/>
      <c r="N42" s="237"/>
      <c r="O42" s="235"/>
      <c r="P42" s="236"/>
      <c r="Q42" s="236"/>
      <c r="R42" s="237"/>
      <c r="S42" s="235"/>
      <c r="T42" s="236"/>
      <c r="U42" s="236"/>
      <c r="V42" s="238"/>
    </row>
    <row r="43" spans="1:25" s="31" customFormat="1" x14ac:dyDescent="0.3">
      <c r="A43" s="264" t="s">
        <v>74</v>
      </c>
      <c r="B43" s="265" t="s">
        <v>28</v>
      </c>
      <c r="C43" s="266">
        <f>C4</f>
        <v>0</v>
      </c>
      <c r="D43" s="267">
        <f t="shared" ref="D43:V43" si="17">C43+D4</f>
        <v>0</v>
      </c>
      <c r="E43" s="267">
        <f t="shared" si="17"/>
        <v>0</v>
      </c>
      <c r="F43" s="268">
        <f t="shared" si="17"/>
        <v>0</v>
      </c>
      <c r="G43" s="266">
        <f t="shared" si="17"/>
        <v>0</v>
      </c>
      <c r="H43" s="267">
        <f t="shared" si="17"/>
        <v>0</v>
      </c>
      <c r="I43" s="267">
        <f t="shared" si="17"/>
        <v>10</v>
      </c>
      <c r="J43" s="268">
        <f t="shared" si="17"/>
        <v>25</v>
      </c>
      <c r="K43" s="266">
        <f t="shared" si="17"/>
        <v>55</v>
      </c>
      <c r="L43" s="267">
        <f t="shared" si="17"/>
        <v>85</v>
      </c>
      <c r="M43" s="267">
        <f t="shared" si="17"/>
        <v>115</v>
      </c>
      <c r="N43" s="268">
        <f t="shared" si="17"/>
        <v>145</v>
      </c>
      <c r="O43" s="266">
        <f t="shared" si="17"/>
        <v>175</v>
      </c>
      <c r="P43" s="267">
        <f t="shared" si="17"/>
        <v>205</v>
      </c>
      <c r="Q43" s="267">
        <f t="shared" si="17"/>
        <v>235</v>
      </c>
      <c r="R43" s="268">
        <f t="shared" si="17"/>
        <v>265</v>
      </c>
      <c r="S43" s="266">
        <f t="shared" si="17"/>
        <v>295</v>
      </c>
      <c r="T43" s="267">
        <f t="shared" si="17"/>
        <v>325</v>
      </c>
      <c r="U43" s="267">
        <f t="shared" si="17"/>
        <v>355</v>
      </c>
      <c r="V43" s="269">
        <f t="shared" si="17"/>
        <v>385</v>
      </c>
      <c r="W43" s="99"/>
      <c r="X43" s="99"/>
      <c r="Y43" s="99"/>
    </row>
    <row r="44" spans="1:25" s="31" customFormat="1" x14ac:dyDescent="0.3">
      <c r="A44" s="239" t="s">
        <v>52</v>
      </c>
      <c r="B44" s="240" t="s">
        <v>30</v>
      </c>
      <c r="C44" s="241">
        <f>C15</f>
        <v>-40.619999999999997</v>
      </c>
      <c r="D44" s="242">
        <f t="shared" ref="D44:V44" si="18">C44+D15</f>
        <v>-83.32</v>
      </c>
      <c r="E44" s="242">
        <f t="shared" si="18"/>
        <v>-118.79999999999998</v>
      </c>
      <c r="F44" s="243">
        <f t="shared" si="18"/>
        <v>-160.57</v>
      </c>
      <c r="G44" s="241">
        <f t="shared" si="18"/>
        <v>-217.57</v>
      </c>
      <c r="H44" s="242">
        <f t="shared" si="18"/>
        <v>-225.57</v>
      </c>
      <c r="I44" s="242">
        <f t="shared" si="18"/>
        <v>-295.45</v>
      </c>
      <c r="J44" s="243">
        <f t="shared" si="18"/>
        <v>-377.83499999999998</v>
      </c>
      <c r="K44" s="241">
        <f t="shared" si="18"/>
        <v>-540.43999999999994</v>
      </c>
      <c r="L44" s="242">
        <f t="shared" si="18"/>
        <v>-701.64499999999998</v>
      </c>
      <c r="M44" s="242">
        <f t="shared" si="18"/>
        <v>-864.25</v>
      </c>
      <c r="N44" s="243">
        <f t="shared" si="18"/>
        <v>-1025.4549999999999</v>
      </c>
      <c r="O44" s="241">
        <f t="shared" si="18"/>
        <v>-1189.1849999999999</v>
      </c>
      <c r="P44" s="242">
        <f t="shared" si="18"/>
        <v>-1351.5149999999999</v>
      </c>
      <c r="Q44" s="242">
        <f t="shared" si="18"/>
        <v>-1515.2449999999999</v>
      </c>
      <c r="R44" s="243">
        <f t="shared" si="18"/>
        <v>-1677.5749999999998</v>
      </c>
      <c r="S44" s="241">
        <f t="shared" si="18"/>
        <v>-1842.4299999999998</v>
      </c>
      <c r="T44" s="242">
        <f t="shared" si="18"/>
        <v>-2005.8849999999998</v>
      </c>
      <c r="U44" s="242">
        <f t="shared" si="18"/>
        <v>-2170.7399999999998</v>
      </c>
      <c r="V44" s="244">
        <f t="shared" si="18"/>
        <v>-2334.1949999999997</v>
      </c>
    </row>
    <row r="45" spans="1:25" s="31" customFormat="1" hidden="1" x14ac:dyDescent="0.3">
      <c r="A45" s="239" t="s">
        <v>50</v>
      </c>
      <c r="B45" s="240" t="s">
        <v>30</v>
      </c>
      <c r="C45" s="241" t="str">
        <f>C22</f>
        <v/>
      </c>
      <c r="D45" s="242"/>
      <c r="E45" s="242"/>
      <c r="F45" s="243"/>
      <c r="G45" s="241"/>
      <c r="H45" s="242"/>
      <c r="I45" s="242">
        <f>I22</f>
        <v>70.678931399999996</v>
      </c>
      <c r="J45" s="243">
        <f>I45+J22</f>
        <v>176.6973285</v>
      </c>
      <c r="K45" s="241"/>
      <c r="L45" s="242"/>
      <c r="M45" s="242"/>
      <c r="N45" s="243"/>
      <c r="O45" s="241"/>
      <c r="P45" s="242"/>
      <c r="Q45" s="242"/>
      <c r="R45" s="243"/>
      <c r="S45" s="241"/>
      <c r="T45" s="242"/>
      <c r="U45" s="242"/>
      <c r="V45" s="244"/>
    </row>
    <row r="46" spans="1:25" s="31" customFormat="1" x14ac:dyDescent="0.3">
      <c r="A46" s="239" t="s">
        <v>50</v>
      </c>
      <c r="B46" s="240" t="s">
        <v>30</v>
      </c>
      <c r="C46" s="241">
        <f>C39</f>
        <v>-40.619999999999997</v>
      </c>
      <c r="D46" s="242">
        <f t="shared" ref="D46:V46" si="19">C46+D39</f>
        <v>-83.32</v>
      </c>
      <c r="E46" s="242">
        <f t="shared" si="19"/>
        <v>-118.79999999999998</v>
      </c>
      <c r="F46" s="243">
        <f t="shared" si="19"/>
        <v>-160.57</v>
      </c>
      <c r="G46" s="241">
        <f t="shared" si="19"/>
        <v>-217.57</v>
      </c>
      <c r="H46" s="242">
        <f t="shared" si="19"/>
        <v>-225.57</v>
      </c>
      <c r="I46" s="242">
        <f t="shared" si="19"/>
        <v>-224.77106860000001</v>
      </c>
      <c r="J46" s="243">
        <f t="shared" si="19"/>
        <v>-201.13767150000001</v>
      </c>
      <c r="K46" s="241">
        <f t="shared" si="19"/>
        <v>-151.7058773</v>
      </c>
      <c r="L46" s="242">
        <f t="shared" si="19"/>
        <v>-100.87408310000001</v>
      </c>
      <c r="M46" s="242">
        <f t="shared" si="19"/>
        <v>-51.442288899999994</v>
      </c>
      <c r="N46" s="243">
        <f t="shared" si="19"/>
        <v>-0.61049470000000383</v>
      </c>
      <c r="O46" s="241">
        <f t="shared" si="19"/>
        <v>47.696299500000009</v>
      </c>
      <c r="P46" s="242">
        <f t="shared" si="19"/>
        <v>97.403093699999999</v>
      </c>
      <c r="Q46" s="242">
        <f t="shared" si="19"/>
        <v>145.70988790000001</v>
      </c>
      <c r="R46" s="243">
        <f t="shared" si="19"/>
        <v>195.4166821</v>
      </c>
      <c r="S46" s="241">
        <f t="shared" si="19"/>
        <v>242.59847630000002</v>
      </c>
      <c r="T46" s="242">
        <f t="shared" si="19"/>
        <v>291.18027050000001</v>
      </c>
      <c r="U46" s="242">
        <f t="shared" si="19"/>
        <v>338.36206470000002</v>
      </c>
      <c r="V46" s="244">
        <f t="shared" si="19"/>
        <v>386.94385890000001</v>
      </c>
    </row>
    <row r="47" spans="1:25" s="31" customFormat="1" x14ac:dyDescent="0.3">
      <c r="A47" s="278" t="s">
        <v>42</v>
      </c>
      <c r="B47" s="279" t="s">
        <v>30</v>
      </c>
      <c r="C47" s="280">
        <f>C40</f>
        <v>-40.619999999999997</v>
      </c>
      <c r="D47" s="281">
        <f t="shared" ref="D47:V47" si="20">C47+D40</f>
        <v>-81.417407227126461</v>
      </c>
      <c r="E47" s="281">
        <f t="shared" si="20"/>
        <v>-113.80606779426529</v>
      </c>
      <c r="F47" s="282">
        <f t="shared" si="20"/>
        <v>-150.23769260460551</v>
      </c>
      <c r="G47" s="280">
        <f t="shared" si="20"/>
        <v>-197.73769260460551</v>
      </c>
      <c r="H47" s="281">
        <f t="shared" si="20"/>
        <v>-204.10731121930129</v>
      </c>
      <c r="I47" s="281">
        <f t="shared" si="20"/>
        <v>-203.49954351141355</v>
      </c>
      <c r="J47" s="282">
        <f t="shared" si="20"/>
        <v>-186.32208249192223</v>
      </c>
      <c r="K47" s="280">
        <f t="shared" si="20"/>
        <v>-151.99444763081112</v>
      </c>
      <c r="L47" s="281">
        <f t="shared" si="20"/>
        <v>-118.26745361469602</v>
      </c>
      <c r="M47" s="281">
        <f t="shared" si="20"/>
        <v>-86.930753682643882</v>
      </c>
      <c r="N47" s="282">
        <f t="shared" si="20"/>
        <v>-56.142361316863898</v>
      </c>
      <c r="O47" s="280">
        <f t="shared" si="20"/>
        <v>-28.187040599271299</v>
      </c>
      <c r="P47" s="281">
        <f t="shared" si="20"/>
        <v>-0.70324532035010634</v>
      </c>
      <c r="Q47" s="281">
        <f t="shared" si="20"/>
        <v>24.816354278511522</v>
      </c>
      <c r="R47" s="282">
        <f t="shared" si="20"/>
        <v>49.905512012043403</v>
      </c>
      <c r="S47" s="280">
        <f t="shared" si="20"/>
        <v>72.659077887815016</v>
      </c>
      <c r="T47" s="281">
        <f t="shared" si="20"/>
        <v>95.043879730381519</v>
      </c>
      <c r="U47" s="281">
        <f t="shared" si="20"/>
        <v>115.81494855344803</v>
      </c>
      <c r="V47" s="283">
        <f t="shared" si="20"/>
        <v>136.24938341087616</v>
      </c>
    </row>
    <row r="48" spans="1:25" s="31" customFormat="1" x14ac:dyDescent="0.3">
      <c r="A48" s="53"/>
      <c r="B48" s="82"/>
      <c r="C48" s="83"/>
      <c r="D48" s="84"/>
      <c r="E48" s="84"/>
      <c r="F48" s="85"/>
      <c r="G48" s="83"/>
      <c r="H48" s="84"/>
      <c r="I48" s="84"/>
      <c r="J48" s="85"/>
      <c r="K48" s="83"/>
      <c r="L48" s="84"/>
      <c r="M48" s="84"/>
      <c r="N48" s="85"/>
      <c r="O48" s="83"/>
      <c r="P48" s="84"/>
      <c r="Q48" s="84"/>
      <c r="R48" s="85"/>
      <c r="S48" s="83"/>
      <c r="T48" s="84"/>
      <c r="U48" s="84"/>
      <c r="V48" s="86"/>
    </row>
    <row r="49" spans="1:22" s="31" customFormat="1" ht="15" thickBot="1" x14ac:dyDescent="0.35">
      <c r="A49" s="284" t="s">
        <v>77</v>
      </c>
      <c r="B49" s="285" t="s">
        <v>13</v>
      </c>
      <c r="C49" s="286">
        <f t="shared" ref="C49:U49" si="21">C47/-C44*100</f>
        <v>-100</v>
      </c>
      <c r="D49" s="287">
        <f t="shared" si="21"/>
        <v>-97.716523316282363</v>
      </c>
      <c r="E49" s="287">
        <f t="shared" si="21"/>
        <v>-95.796353362176177</v>
      </c>
      <c r="F49" s="288">
        <f t="shared" si="21"/>
        <v>-93.565231739805384</v>
      </c>
      <c r="G49" s="286">
        <f t="shared" si="21"/>
        <v>-90.884631431082184</v>
      </c>
      <c r="H49" s="287">
        <f t="shared" si="21"/>
        <v>-90.485131542005277</v>
      </c>
      <c r="I49" s="287">
        <f t="shared" si="21"/>
        <v>-68.877828231989696</v>
      </c>
      <c r="J49" s="288">
        <f t="shared" si="21"/>
        <v>-49.313081766358927</v>
      </c>
      <c r="K49" s="286">
        <f t="shared" si="21"/>
        <v>-28.124203913627994</v>
      </c>
      <c r="L49" s="287">
        <f t="shared" si="21"/>
        <v>-16.855739528493189</v>
      </c>
      <c r="M49" s="287">
        <f t="shared" si="21"/>
        <v>-10.058519373172564</v>
      </c>
      <c r="N49" s="288">
        <f t="shared" si="21"/>
        <v>-5.474873233526961</v>
      </c>
      <c r="O49" s="286">
        <f t="shared" si="21"/>
        <v>-2.3702822184329015</v>
      </c>
      <c r="P49" s="287">
        <f t="shared" si="21"/>
        <v>-5.2033852406381469E-2</v>
      </c>
      <c r="Q49" s="287">
        <f t="shared" si="21"/>
        <v>1.6377783314587095</v>
      </c>
      <c r="R49" s="288">
        <f t="shared" si="21"/>
        <v>2.9748602603188177</v>
      </c>
      <c r="S49" s="286">
        <f t="shared" si="21"/>
        <v>3.9436547324899736</v>
      </c>
      <c r="T49" s="287">
        <f t="shared" si="21"/>
        <v>4.7382516809478874</v>
      </c>
      <c r="U49" s="287">
        <f t="shared" si="21"/>
        <v>5.3352750008498502</v>
      </c>
      <c r="V49" s="289">
        <f>V47/-V44*100</f>
        <v>5.837103730017251</v>
      </c>
    </row>
    <row r="51" spans="1:22" x14ac:dyDescent="0.3">
      <c r="A51" s="28" t="s">
        <v>73</v>
      </c>
      <c r="B51" s="1">
        <v>20</v>
      </c>
      <c r="C51" s="28" t="s">
        <v>13</v>
      </c>
      <c r="D51" s="28" t="s">
        <v>104</v>
      </c>
    </row>
    <row r="53" spans="1:22" x14ac:dyDescent="0.3">
      <c r="A53" s="81" t="s">
        <v>58</v>
      </c>
      <c r="B53" s="1">
        <v>2</v>
      </c>
      <c r="C53" s="81" t="s">
        <v>105</v>
      </c>
    </row>
    <row r="54" spans="1:22" x14ac:dyDescent="0.3">
      <c r="A54" s="28" t="s">
        <v>59</v>
      </c>
      <c r="B54" s="2">
        <f>B53+7</f>
        <v>9</v>
      </c>
      <c r="E54" s="331"/>
      <c r="F54" s="331"/>
      <c r="G54" s="331"/>
      <c r="H54" s="331"/>
      <c r="I54" s="353"/>
      <c r="J54" s="353"/>
      <c r="K54" s="332"/>
      <c r="L54" s="332"/>
      <c r="M54" s="331"/>
      <c r="N54" s="331"/>
      <c r="O54" s="331"/>
      <c r="P54" s="331"/>
      <c r="Q54" s="331"/>
      <c r="R54" s="331"/>
      <c r="S54" s="331"/>
      <c r="T54" s="331"/>
      <c r="U54" s="331"/>
      <c r="V54" s="331"/>
    </row>
    <row r="55" spans="1:22" x14ac:dyDescent="0.3">
      <c r="A55" s="28" t="s">
        <v>107</v>
      </c>
      <c r="B55" s="1">
        <v>30</v>
      </c>
      <c r="C55" s="320">
        <f>IF(ISNUMBER(Herkkyysanalyysi!B12),Herkkyysanalyysi!B12,Kassavirtalaskelma!B55)</f>
        <v>30</v>
      </c>
      <c r="E55" s="331"/>
      <c r="F55" s="331" t="s">
        <v>81</v>
      </c>
      <c r="G55" s="333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</row>
    <row r="56" spans="1:22" x14ac:dyDescent="0.3">
      <c r="E56" s="334"/>
      <c r="F56" s="331"/>
      <c r="G56" s="331"/>
      <c r="H56" s="331"/>
      <c r="I56" s="335"/>
      <c r="J56" s="336"/>
      <c r="K56" s="335"/>
      <c r="L56" s="331"/>
      <c r="M56" s="331"/>
      <c r="N56" s="331"/>
      <c r="O56" s="331"/>
      <c r="P56" s="331"/>
      <c r="Q56" s="331"/>
      <c r="R56" s="331"/>
      <c r="S56" s="331"/>
      <c r="T56" s="331"/>
      <c r="U56" s="331"/>
      <c r="V56" s="331"/>
    </row>
    <row r="57" spans="1:22" x14ac:dyDescent="0.3">
      <c r="A57" s="79" t="s">
        <v>51</v>
      </c>
      <c r="B57" s="1">
        <v>30</v>
      </c>
      <c r="C57" s="79" t="s">
        <v>13</v>
      </c>
      <c r="E57" s="331"/>
      <c r="F57" s="335"/>
      <c r="G57" s="336"/>
      <c r="H57" s="331"/>
      <c r="I57" s="337"/>
      <c r="J57" s="336"/>
      <c r="K57" s="331"/>
      <c r="L57" s="331"/>
      <c r="M57" s="331"/>
      <c r="N57" s="331"/>
      <c r="O57" s="331"/>
      <c r="P57" s="331"/>
      <c r="Q57" s="331"/>
      <c r="R57" s="331"/>
      <c r="S57" s="331"/>
      <c r="T57" s="331"/>
      <c r="U57" s="331"/>
      <c r="V57" s="331"/>
    </row>
    <row r="58" spans="1:22" x14ac:dyDescent="0.3">
      <c r="A58" s="79" t="s">
        <v>16</v>
      </c>
      <c r="B58" s="3">
        <f>-AVERAGE(C14:V14)/(1-B57/100)</f>
        <v>7820.4081632653069</v>
      </c>
      <c r="C58" s="79" t="s">
        <v>6</v>
      </c>
      <c r="E58" s="331"/>
      <c r="F58" s="335"/>
      <c r="G58" s="336"/>
      <c r="H58" s="331"/>
      <c r="I58" s="338"/>
      <c r="J58" s="339"/>
      <c r="K58" s="340"/>
      <c r="L58" s="331"/>
      <c r="M58" s="340"/>
      <c r="N58" s="340"/>
      <c r="O58" s="340"/>
      <c r="P58" s="331"/>
      <c r="Q58" s="331"/>
      <c r="R58" s="331"/>
      <c r="S58" s="331"/>
      <c r="T58" s="331"/>
      <c r="U58" s="331"/>
      <c r="V58" s="331"/>
    </row>
    <row r="59" spans="1:22" x14ac:dyDescent="0.3">
      <c r="A59" s="79"/>
      <c r="C59" s="79"/>
      <c r="E59" s="331"/>
      <c r="F59" s="335"/>
      <c r="G59" s="336"/>
      <c r="H59" s="331"/>
      <c r="I59" s="337"/>
      <c r="J59" s="336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V59" s="331"/>
    </row>
    <row r="60" spans="1:22" x14ac:dyDescent="0.3">
      <c r="A60" s="79" t="s">
        <v>14</v>
      </c>
      <c r="B60" s="1">
        <v>7067.8931400000001</v>
      </c>
      <c r="C60" s="299">
        <f>IF(ISNUMBER(Herkkyysanalyysi!B3),Herkkyysanalyysi!B3,Kassavirtalaskelma!B60)</f>
        <v>7067.8931400000001</v>
      </c>
      <c r="E60" s="331"/>
      <c r="F60" s="335"/>
      <c r="G60" s="336"/>
      <c r="H60" s="331"/>
      <c r="I60" s="337"/>
      <c r="J60" s="336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</row>
    <row r="61" spans="1:22" x14ac:dyDescent="0.3">
      <c r="A61" s="79" t="s">
        <v>11</v>
      </c>
      <c r="B61" s="3">
        <f>C60+AVERAGE(C14:V14)</f>
        <v>1593.6074257142855</v>
      </c>
      <c r="C61" s="79" t="s">
        <v>6</v>
      </c>
      <c r="E61" s="331"/>
      <c r="F61" s="331"/>
      <c r="G61" s="336"/>
      <c r="H61" s="331"/>
      <c r="I61" s="337"/>
      <c r="J61" s="336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V61" s="331"/>
    </row>
    <row r="62" spans="1:22" x14ac:dyDescent="0.3">
      <c r="A62" s="79" t="s">
        <v>12</v>
      </c>
      <c r="B62" s="290">
        <f>B61/C60</f>
        <v>0.22547135251598971</v>
      </c>
      <c r="C62" s="79"/>
      <c r="E62" s="331"/>
      <c r="F62" s="331"/>
      <c r="G62" s="331"/>
      <c r="H62" s="331"/>
      <c r="I62" s="336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</row>
    <row r="63" spans="1:22" x14ac:dyDescent="0.3">
      <c r="E63" s="331"/>
      <c r="F63" s="335" t="s">
        <v>82</v>
      </c>
      <c r="G63" s="331"/>
      <c r="H63" s="331"/>
      <c r="I63" s="336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</row>
    <row r="64" spans="1:22" x14ac:dyDescent="0.3">
      <c r="A64" s="31" t="s">
        <v>80</v>
      </c>
      <c r="B64" s="346">
        <f>V47</f>
        <v>136.24938341087616</v>
      </c>
      <c r="C64" s="271" t="s">
        <v>30</v>
      </c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V64" s="331"/>
    </row>
    <row r="65" spans="1:22" x14ac:dyDescent="0.3">
      <c r="A65" s="79" t="s">
        <v>78</v>
      </c>
      <c r="B65" s="3">
        <f>-V44</f>
        <v>2334.1949999999997</v>
      </c>
      <c r="C65" s="81" t="s">
        <v>30</v>
      </c>
      <c r="E65" s="331"/>
      <c r="F65" s="331"/>
      <c r="G65" s="331"/>
      <c r="H65" s="331"/>
      <c r="I65" s="335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V65" s="331"/>
    </row>
    <row r="66" spans="1:22" x14ac:dyDescent="0.3">
      <c r="A66" s="31" t="s">
        <v>77</v>
      </c>
      <c r="B66" s="346">
        <f>B64/B65*100</f>
        <v>5.837103730017251</v>
      </c>
      <c r="C66" s="271" t="s">
        <v>13</v>
      </c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</row>
    <row r="67" spans="1:22" x14ac:dyDescent="0.3">
      <c r="A67" s="31" t="s">
        <v>43</v>
      </c>
      <c r="B67" s="347">
        <f>IF(ISNUMBER(_xlfn.XMATCH(0,C47:V47,1)),_xlfn.XMATCH(0,C47:V47,1),"-")</f>
        <v>15</v>
      </c>
      <c r="C67" s="271" t="s">
        <v>44</v>
      </c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V67" s="331"/>
    </row>
    <row r="68" spans="1:22" x14ac:dyDescent="0.3">
      <c r="A68" s="79" t="s">
        <v>43</v>
      </c>
      <c r="B68" s="270">
        <f>IF(ISNUMBER(B67),B67/4,"-")</f>
        <v>3.75</v>
      </c>
      <c r="C68" s="81" t="s">
        <v>45</v>
      </c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V68" s="331"/>
    </row>
    <row r="69" spans="1:22" x14ac:dyDescent="0.3">
      <c r="A69" s="79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V69" s="331"/>
    </row>
    <row r="70" spans="1:22" x14ac:dyDescent="0.3">
      <c r="E70" s="331"/>
      <c r="F70" s="331"/>
      <c r="G70" s="331"/>
      <c r="H70" s="331"/>
      <c r="I70" s="340"/>
      <c r="J70" s="340"/>
      <c r="K70" s="340"/>
      <c r="L70" s="331"/>
      <c r="M70" s="340"/>
      <c r="N70" s="340"/>
      <c r="O70" s="340"/>
      <c r="P70" s="331"/>
      <c r="Q70" s="331"/>
      <c r="R70" s="331"/>
      <c r="S70" s="331"/>
      <c r="T70" s="331"/>
      <c r="U70" s="331"/>
      <c r="V70" s="331"/>
    </row>
    <row r="71" spans="1:22" x14ac:dyDescent="0.3">
      <c r="E71" s="331"/>
      <c r="F71" s="331"/>
      <c r="G71" s="331"/>
      <c r="H71" s="331"/>
      <c r="I71" s="336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331"/>
    </row>
    <row r="72" spans="1:22" x14ac:dyDescent="0.3">
      <c r="E72" s="331"/>
      <c r="F72" s="331"/>
      <c r="G72" s="331"/>
      <c r="H72" s="331"/>
      <c r="I72" s="336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V72" s="331"/>
    </row>
    <row r="73" spans="1:22" x14ac:dyDescent="0.3">
      <c r="E73" s="331"/>
      <c r="F73" s="331"/>
      <c r="G73" s="331"/>
      <c r="H73" s="331"/>
      <c r="I73" s="336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V73" s="331"/>
    </row>
  </sheetData>
  <scenarios current="0" show="0">
    <scenario name="Ensimmäinen testi" locked="1" count="2" user="Heikki Järvi" comment="Created by Heikki Järvi on 1.4.2021_x000a_Modified by Heikki Järvi on 1.4.2021">
      <inputCells r="C60" val="600"/>
      <inputCells r="C55" val="400"/>
    </scenario>
  </scenarios>
  <mergeCells count="6">
    <mergeCell ref="S1:V1"/>
    <mergeCell ref="I54:J54"/>
    <mergeCell ref="C1:F1"/>
    <mergeCell ref="G1:J1"/>
    <mergeCell ref="K1:N1"/>
    <mergeCell ref="O1:R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24424F4-0A27-432F-876E-9E8BAFC889A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1000000000000</xm:f>
              </x14:cfvo>
              <x14:cfIcon iconSet="3TrafficLights1" iconId="0"/>
              <x14:cfIcon iconSet="3TrafficLights1" iconId="2"/>
              <x14:cfIcon iconSet="NoIcons" iconId="0"/>
            </x14:iconSet>
          </x14:cfRule>
          <xm:sqref>C47:V47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8DCC-7482-479C-8F85-6C606751B060}">
  <dimension ref="B2:P18"/>
  <sheetViews>
    <sheetView zoomScale="115" zoomScaleNormal="115" workbookViewId="0">
      <selection activeCell="C7" sqref="C7"/>
    </sheetView>
  </sheetViews>
  <sheetFormatPr defaultColWidth="9.21875" defaultRowHeight="14.4" x14ac:dyDescent="0.3"/>
  <cols>
    <col min="1" max="1" width="9.21875" style="28"/>
    <col min="2" max="2" width="8" style="28" customWidth="1"/>
    <col min="3" max="3" width="6.44140625" style="28" customWidth="1"/>
    <col min="4" max="4" width="9.21875" style="28" customWidth="1"/>
    <col min="5" max="5" width="6.77734375" style="28" bestFit="1" customWidth="1"/>
    <col min="6" max="6" width="17.77734375" style="28" bestFit="1" customWidth="1"/>
    <col min="7" max="7" width="4.77734375" style="28" customWidth="1"/>
    <col min="8" max="8" width="17.77734375" style="28" bestFit="1" customWidth="1"/>
    <col min="9" max="16384" width="9.21875" style="28"/>
  </cols>
  <sheetData>
    <row r="2" spans="2:16" ht="15" thickBot="1" x14ac:dyDescent="0.35">
      <c r="B2" s="28" t="s">
        <v>97</v>
      </c>
    </row>
    <row r="3" spans="2:16" x14ac:dyDescent="0.3">
      <c r="B3" s="357" t="s">
        <v>14</v>
      </c>
      <c r="C3" s="358"/>
      <c r="D3" s="355" t="s">
        <v>11</v>
      </c>
      <c r="E3" s="356"/>
      <c r="F3" s="355" t="s">
        <v>80</v>
      </c>
      <c r="G3" s="356"/>
      <c r="H3" s="292" t="s">
        <v>43</v>
      </c>
      <c r="J3" s="331" t="s">
        <v>83</v>
      </c>
      <c r="K3" s="331"/>
      <c r="L3" s="331"/>
      <c r="M3" s="331"/>
      <c r="N3" s="331"/>
      <c r="O3" s="331"/>
      <c r="P3" s="331"/>
    </row>
    <row r="4" spans="2:16" x14ac:dyDescent="0.3">
      <c r="B4" s="293" t="s">
        <v>79</v>
      </c>
      <c r="C4" s="297" t="s">
        <v>6</v>
      </c>
      <c r="D4" s="298">
        <f>Kassavirtalaskelma!$B$61</f>
        <v>1593.6074257142855</v>
      </c>
      <c r="E4" s="294">
        <f>Kassavirtalaskelma!$B$62</f>
        <v>0.22547135251598971</v>
      </c>
      <c r="F4" s="295">
        <f>Kassavirtalaskelma!$B$64</f>
        <v>136.24938341087616</v>
      </c>
      <c r="G4" s="327">
        <f>Kassavirtalaskelma!$B$66</f>
        <v>5.837103730017251</v>
      </c>
      <c r="H4" s="296">
        <f>Kassavirtalaskelma!$B$67</f>
        <v>15</v>
      </c>
      <c r="J4" s="331" t="s">
        <v>84</v>
      </c>
      <c r="K4" s="331"/>
      <c r="L4" s="331"/>
      <c r="M4" s="331"/>
      <c r="N4" s="331"/>
      <c r="O4" s="331"/>
      <c r="P4" s="331"/>
    </row>
    <row r="5" spans="2:16" x14ac:dyDescent="0.3">
      <c r="B5" s="300">
        <v>0.1</v>
      </c>
      <c r="C5" s="301">
        <f>$C$7*(1+B5)</f>
        <v>7774.6824540000007</v>
      </c>
      <c r="D5" s="302">
        <f t="dataTable" ref="D5:H9" dt2D="0" dtr="0" r1="B3"/>
        <v>2300.396739714286</v>
      </c>
      <c r="E5" s="303">
        <v>0.2958830477418089</v>
      </c>
      <c r="F5" s="304">
        <v>288.5572262613818</v>
      </c>
      <c r="G5" s="328">
        <v>12.362173094423639</v>
      </c>
      <c r="H5" s="305">
        <v>12</v>
      </c>
      <c r="J5" s="331"/>
      <c r="K5" s="331"/>
      <c r="L5" s="331"/>
      <c r="M5" s="331"/>
      <c r="N5" s="331"/>
      <c r="O5" s="331"/>
      <c r="P5" s="331"/>
    </row>
    <row r="6" spans="2:16" x14ac:dyDescent="0.3">
      <c r="B6" s="306">
        <f>B5/2</f>
        <v>0.05</v>
      </c>
      <c r="C6" s="307">
        <f>$C$7*(1+B6)</f>
        <v>7421.2877970000009</v>
      </c>
      <c r="D6" s="308">
        <v>1947.0020827142862</v>
      </c>
      <c r="E6" s="309">
        <v>0.26235366906284741</v>
      </c>
      <c r="F6" s="310">
        <v>212.40330483612911</v>
      </c>
      <c r="G6" s="329">
        <v>9.0996384122204503</v>
      </c>
      <c r="H6" s="311">
        <v>13</v>
      </c>
      <c r="J6" s="331" t="s">
        <v>85</v>
      </c>
      <c r="K6" s="331"/>
      <c r="L6" s="331"/>
      <c r="M6" s="331"/>
      <c r="N6" s="331"/>
      <c r="O6" s="331"/>
      <c r="P6" s="331"/>
    </row>
    <row r="7" spans="2:16" x14ac:dyDescent="0.3">
      <c r="B7" s="306">
        <f>C7/$C$7-1</f>
        <v>0</v>
      </c>
      <c r="C7" s="312">
        <f>Kassavirtalaskelma!B60</f>
        <v>7067.8931400000001</v>
      </c>
      <c r="D7" s="313">
        <v>1593.6074257142855</v>
      </c>
      <c r="E7" s="309">
        <v>0.22547135251598971</v>
      </c>
      <c r="F7" s="310">
        <v>136.24938341087616</v>
      </c>
      <c r="G7" s="329">
        <v>5.837103730017251</v>
      </c>
      <c r="H7" s="311">
        <v>15</v>
      </c>
      <c r="J7" s="331"/>
      <c r="K7" s="331"/>
      <c r="L7" s="331"/>
      <c r="M7" s="331"/>
      <c r="N7" s="331"/>
      <c r="O7" s="331"/>
      <c r="P7" s="331"/>
    </row>
    <row r="8" spans="2:16" x14ac:dyDescent="0.3">
      <c r="B8" s="306">
        <f>-B6</f>
        <v>-0.05</v>
      </c>
      <c r="C8" s="307">
        <f>$C$7*(1+B8)</f>
        <v>6714.4984829999994</v>
      </c>
      <c r="D8" s="313">
        <v>1240.2127687142847</v>
      </c>
      <c r="E8" s="309">
        <v>0.18470668685893646</v>
      </c>
      <c r="F8" s="310">
        <v>60.095461985623245</v>
      </c>
      <c r="G8" s="329">
        <v>2.5745690478140539</v>
      </c>
      <c r="H8" s="311">
        <v>17</v>
      </c>
      <c r="J8" s="331" t="s">
        <v>86</v>
      </c>
      <c r="K8" s="331"/>
      <c r="L8" s="331"/>
      <c r="M8" s="331"/>
      <c r="N8" s="331"/>
      <c r="O8" s="331"/>
      <c r="P8" s="331"/>
    </row>
    <row r="9" spans="2:16" ht="15" thickBot="1" x14ac:dyDescent="0.35">
      <c r="B9" s="314">
        <f>-B5</f>
        <v>-0.1</v>
      </c>
      <c r="C9" s="315">
        <f>$C$7*(1+B9)</f>
        <v>6361.1038260000005</v>
      </c>
      <c r="D9" s="316">
        <v>886.81811171428581</v>
      </c>
      <c r="E9" s="317">
        <v>0.1394126139066553</v>
      </c>
      <c r="F9" s="318">
        <v>-16.058459439629125</v>
      </c>
      <c r="G9" s="330">
        <v>-0.68796563438912028</v>
      </c>
      <c r="H9" s="319" t="str">
        <v>-</v>
      </c>
      <c r="J9" s="331" t="s">
        <v>87</v>
      </c>
      <c r="K9" s="331"/>
      <c r="L9" s="331"/>
      <c r="M9" s="331"/>
      <c r="N9" s="331"/>
      <c r="O9" s="331"/>
      <c r="P9" s="331"/>
    </row>
    <row r="10" spans="2:16" x14ac:dyDescent="0.3">
      <c r="J10" s="331"/>
      <c r="K10" s="331"/>
      <c r="L10" s="331"/>
      <c r="M10" s="331"/>
      <c r="N10" s="331"/>
      <c r="O10" s="331"/>
      <c r="P10" s="331"/>
    </row>
    <row r="11" spans="2:16" ht="15" thickBot="1" x14ac:dyDescent="0.35">
      <c r="B11" s="28" t="s">
        <v>98</v>
      </c>
      <c r="J11" s="331"/>
      <c r="K11" s="331"/>
      <c r="L11" s="331"/>
      <c r="M11" s="331"/>
      <c r="N11" s="331"/>
      <c r="O11" s="331"/>
      <c r="P11" s="331"/>
    </row>
    <row r="12" spans="2:16" x14ac:dyDescent="0.3">
      <c r="B12" s="357" t="s">
        <v>0</v>
      </c>
      <c r="C12" s="359"/>
      <c r="D12" s="322" t="s">
        <v>80</v>
      </c>
      <c r="E12" s="291"/>
      <c r="F12" s="292" t="s">
        <v>43</v>
      </c>
    </row>
    <row r="13" spans="2:16" x14ac:dyDescent="0.3">
      <c r="B13" s="293" t="s">
        <v>79</v>
      </c>
      <c r="C13" s="297" t="s">
        <v>17</v>
      </c>
      <c r="D13" s="323">
        <f>Kassavirtalaskelma!$B$64</f>
        <v>136.24938341087616</v>
      </c>
      <c r="E13" s="327">
        <f>Kassavirtalaskelma!$B$66</f>
        <v>5.837103730017251</v>
      </c>
      <c r="F13" s="296">
        <f>Kassavirtalaskelma!$B$67</f>
        <v>15</v>
      </c>
    </row>
    <row r="14" spans="2:16" x14ac:dyDescent="0.3">
      <c r="B14" s="300">
        <v>0.4</v>
      </c>
      <c r="C14" s="301">
        <f>$C$16*(1+B14)</f>
        <v>42</v>
      </c>
      <c r="D14" s="324">
        <f t="dataTable" ref="D14:F18" dt2D="0" dtr="0" r1="B12" ca="1"/>
        <v>276.8095175622135</v>
      </c>
      <c r="E14" s="328">
        <v>8.7296141524070574</v>
      </c>
      <c r="F14" s="305">
        <v>12</v>
      </c>
    </row>
    <row r="15" spans="2:16" x14ac:dyDescent="0.3">
      <c r="B15" s="306">
        <f>B14/2</f>
        <v>0.2</v>
      </c>
      <c r="C15" s="307">
        <f>$C$16*(1+B15)</f>
        <v>36</v>
      </c>
      <c r="D15" s="325">
        <v>206.52945048654482</v>
      </c>
      <c r="E15" s="329">
        <v>7.5031770601383734</v>
      </c>
      <c r="F15" s="311">
        <v>13</v>
      </c>
    </row>
    <row r="16" spans="2:16" x14ac:dyDescent="0.3">
      <c r="B16" s="306">
        <f>C16/$C$16-1</f>
        <v>0</v>
      </c>
      <c r="C16" s="321">
        <f>Kassavirtalaskelma!B55</f>
        <v>30</v>
      </c>
      <c r="D16" s="325">
        <v>136.24938341087616</v>
      </c>
      <c r="E16" s="329">
        <v>5.837103730017251</v>
      </c>
      <c r="F16" s="311">
        <v>15</v>
      </c>
    </row>
    <row r="17" spans="2:6" x14ac:dyDescent="0.3">
      <c r="B17" s="306">
        <f>-B15</f>
        <v>-0.2</v>
      </c>
      <c r="C17" s="307">
        <f>$C$16*(1+B17)</f>
        <v>24</v>
      </c>
      <c r="D17" s="325">
        <v>65.969316335207566</v>
      </c>
      <c r="E17" s="329">
        <v>3.4433804844483893</v>
      </c>
      <c r="F17" s="311">
        <v>17</v>
      </c>
    </row>
    <row r="18" spans="2:6" ht="15" thickBot="1" x14ac:dyDescent="0.35">
      <c r="B18" s="314">
        <f>-B14</f>
        <v>-0.4</v>
      </c>
      <c r="C18" s="315">
        <f>$C$16*(1+B18)</f>
        <v>18</v>
      </c>
      <c r="D18" s="326">
        <v>-4.3107507404610139</v>
      </c>
      <c r="E18" s="330">
        <v>-0.28786988279933179</v>
      </c>
      <c r="F18" s="319" t="str">
        <v>-</v>
      </c>
    </row>
  </sheetData>
  <mergeCells count="4">
    <mergeCell ref="F3:G3"/>
    <mergeCell ref="D3:E3"/>
    <mergeCell ref="B3:C3"/>
    <mergeCell ref="B12:C12"/>
  </mergeCells>
  <pageMargins left="0.7" right="0.7" top="0.75" bottom="0.75" header="0.3" footer="0.3"/>
  <pageSetup paperSize="9" orientation="portrait" r:id="rId1"/>
  <ignoredErrors>
    <ignoredError sqref="C7 C1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A4B9-42AF-452A-BC9B-DE783C8DFED0}">
  <dimension ref="A1:AD21"/>
  <sheetViews>
    <sheetView topLeftCell="A7" zoomScale="130" zoomScaleNormal="130" workbookViewId="0">
      <selection activeCell="E21" sqref="E21:F21"/>
    </sheetView>
  </sheetViews>
  <sheetFormatPr defaultColWidth="9.21875" defaultRowHeight="14.4" x14ac:dyDescent="0.3"/>
  <cols>
    <col min="1" max="1" width="16.44140625" style="28" bestFit="1" customWidth="1"/>
    <col min="2" max="2" width="6.77734375" style="28" bestFit="1" customWidth="1"/>
    <col min="3" max="14" width="7" style="29" customWidth="1"/>
    <col min="15" max="30" width="3.44140625" style="28" bestFit="1" customWidth="1"/>
    <col min="31" max="16384" width="9.21875" style="28"/>
  </cols>
  <sheetData>
    <row r="1" spans="1:30" x14ac:dyDescent="0.3">
      <c r="A1" s="70"/>
      <c r="B1" s="71"/>
      <c r="C1" s="355">
        <v>2022</v>
      </c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56"/>
      <c r="O1" s="360">
        <v>2023</v>
      </c>
      <c r="P1" s="360"/>
      <c r="Q1" s="360"/>
      <c r="R1" s="360"/>
      <c r="S1" s="355">
        <v>2024</v>
      </c>
      <c r="T1" s="360"/>
      <c r="U1" s="360"/>
      <c r="V1" s="356"/>
      <c r="W1" s="360">
        <v>2025</v>
      </c>
      <c r="X1" s="360"/>
      <c r="Y1" s="360"/>
      <c r="Z1" s="360"/>
      <c r="AA1" s="355">
        <v>2026</v>
      </c>
      <c r="AB1" s="360"/>
      <c r="AC1" s="360"/>
      <c r="AD1" s="361"/>
    </row>
    <row r="2" spans="1:30" s="30" customFormat="1" x14ac:dyDescent="0.3">
      <c r="A2" s="72"/>
      <c r="B2" s="73" t="s">
        <v>44</v>
      </c>
      <c r="C2" s="362" t="s">
        <v>18</v>
      </c>
      <c r="D2" s="363"/>
      <c r="E2" s="363"/>
      <c r="F2" s="363" t="s">
        <v>19</v>
      </c>
      <c r="G2" s="363"/>
      <c r="H2" s="363"/>
      <c r="I2" s="363" t="s">
        <v>20</v>
      </c>
      <c r="J2" s="363"/>
      <c r="K2" s="363"/>
      <c r="L2" s="363" t="s">
        <v>21</v>
      </c>
      <c r="M2" s="363"/>
      <c r="N2" s="364"/>
      <c r="O2" s="74" t="s">
        <v>18</v>
      </c>
      <c r="P2" s="75" t="s">
        <v>19</v>
      </c>
      <c r="Q2" s="75" t="s">
        <v>20</v>
      </c>
      <c r="R2" s="76" t="s">
        <v>21</v>
      </c>
      <c r="S2" s="74" t="s">
        <v>18</v>
      </c>
      <c r="T2" s="75" t="s">
        <v>19</v>
      </c>
      <c r="U2" s="75" t="s">
        <v>20</v>
      </c>
      <c r="V2" s="76" t="s">
        <v>21</v>
      </c>
      <c r="W2" s="74" t="s">
        <v>18</v>
      </c>
      <c r="X2" s="75" t="s">
        <v>19</v>
      </c>
      <c r="Y2" s="75" t="s">
        <v>20</v>
      </c>
      <c r="Z2" s="76" t="s">
        <v>21</v>
      </c>
      <c r="AA2" s="74" t="s">
        <v>18</v>
      </c>
      <c r="AB2" s="75" t="s">
        <v>19</v>
      </c>
      <c r="AC2" s="75" t="s">
        <v>20</v>
      </c>
      <c r="AD2" s="77" t="s">
        <v>21</v>
      </c>
    </row>
    <row r="3" spans="1:30" s="30" customFormat="1" x14ac:dyDescent="0.3">
      <c r="A3" s="72"/>
      <c r="B3" s="73" t="s">
        <v>69</v>
      </c>
      <c r="C3" s="74">
        <v>1</v>
      </c>
      <c r="D3" s="75">
        <v>2</v>
      </c>
      <c r="E3" s="75">
        <v>3</v>
      </c>
      <c r="F3" s="75">
        <v>4</v>
      </c>
      <c r="G3" s="75">
        <v>5</v>
      </c>
      <c r="H3" s="75">
        <v>6</v>
      </c>
      <c r="I3" s="75">
        <v>7</v>
      </c>
      <c r="J3" s="75">
        <v>8</v>
      </c>
      <c r="K3" s="75">
        <v>9</v>
      </c>
      <c r="L3" s="75">
        <v>10</v>
      </c>
      <c r="M3" s="75">
        <v>11</v>
      </c>
      <c r="N3" s="76">
        <v>12</v>
      </c>
      <c r="O3" s="74"/>
      <c r="P3" s="75"/>
      <c r="Q3" s="75"/>
      <c r="R3" s="76"/>
      <c r="S3" s="74"/>
      <c r="T3" s="75"/>
      <c r="U3" s="75"/>
      <c r="V3" s="76"/>
      <c r="W3" s="74"/>
      <c r="X3" s="75"/>
      <c r="Y3" s="75"/>
      <c r="Z3" s="76"/>
      <c r="AA3" s="74"/>
      <c r="AB3" s="75"/>
      <c r="AC3" s="75"/>
      <c r="AD3" s="77"/>
    </row>
    <row r="4" spans="1:30" x14ac:dyDescent="0.3">
      <c r="A4" s="5" t="s">
        <v>35</v>
      </c>
      <c r="B4" s="6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58"/>
      <c r="P4" s="59"/>
      <c r="Q4" s="59"/>
      <c r="R4" s="60"/>
      <c r="S4" s="58"/>
      <c r="T4" s="59"/>
      <c r="U4" s="59"/>
      <c r="V4" s="60"/>
      <c r="W4" s="58"/>
      <c r="X4" s="59"/>
      <c r="Y4" s="59"/>
      <c r="Z4" s="60"/>
      <c r="AA4" s="58"/>
      <c r="AB4" s="59"/>
      <c r="AC4" s="59"/>
      <c r="AD4" s="61"/>
    </row>
    <row r="5" spans="1:30" x14ac:dyDescent="0.3">
      <c r="A5" s="10" t="s">
        <v>66</v>
      </c>
      <c r="B5" s="11" t="s">
        <v>96</v>
      </c>
      <c r="C5" s="12">
        <v>160</v>
      </c>
      <c r="D5" s="13">
        <v>160</v>
      </c>
      <c r="E5" s="13">
        <v>160</v>
      </c>
      <c r="F5" s="13">
        <v>160</v>
      </c>
      <c r="G5" s="13">
        <v>160</v>
      </c>
      <c r="H5" s="13">
        <v>160</v>
      </c>
      <c r="I5" s="13">
        <v>80</v>
      </c>
      <c r="J5" s="13">
        <v>160</v>
      </c>
      <c r="K5" s="13">
        <v>160</v>
      </c>
      <c r="L5" s="13">
        <v>160</v>
      </c>
      <c r="M5" s="13">
        <v>160</v>
      </c>
      <c r="N5" s="14">
        <v>160</v>
      </c>
      <c r="O5" s="62"/>
      <c r="P5" s="63"/>
      <c r="Q5" s="63"/>
      <c r="R5" s="64"/>
      <c r="S5" s="62"/>
      <c r="T5" s="63"/>
      <c r="U5" s="63"/>
      <c r="V5" s="64"/>
      <c r="W5" s="62"/>
      <c r="X5" s="63"/>
      <c r="Y5" s="63"/>
      <c r="Z5" s="64"/>
      <c r="AA5" s="62"/>
      <c r="AB5" s="63"/>
      <c r="AC5" s="63"/>
      <c r="AD5" s="65"/>
    </row>
    <row r="6" spans="1:30" x14ac:dyDescent="0.3">
      <c r="A6" s="18" t="s">
        <v>68</v>
      </c>
      <c r="B6" s="19" t="s">
        <v>96</v>
      </c>
      <c r="C6" s="20">
        <f t="shared" ref="C6:N6" si="0">3*13</f>
        <v>39</v>
      </c>
      <c r="D6" s="21">
        <f t="shared" si="0"/>
        <v>39</v>
      </c>
      <c r="E6" s="21">
        <f>3*13</f>
        <v>39</v>
      </c>
      <c r="F6" s="21">
        <f t="shared" si="0"/>
        <v>39</v>
      </c>
      <c r="G6" s="21">
        <f t="shared" si="0"/>
        <v>39</v>
      </c>
      <c r="H6" s="21">
        <f t="shared" si="0"/>
        <v>39</v>
      </c>
      <c r="I6" s="21">
        <v>0</v>
      </c>
      <c r="J6" s="21">
        <f t="shared" si="0"/>
        <v>39</v>
      </c>
      <c r="K6" s="21">
        <f t="shared" si="0"/>
        <v>39</v>
      </c>
      <c r="L6" s="21">
        <f t="shared" si="0"/>
        <v>39</v>
      </c>
      <c r="M6" s="21">
        <f t="shared" si="0"/>
        <v>39</v>
      </c>
      <c r="N6" s="22">
        <f t="shared" si="0"/>
        <v>39</v>
      </c>
      <c r="O6" s="66"/>
      <c r="P6" s="67"/>
      <c r="Q6" s="67"/>
      <c r="R6" s="68"/>
      <c r="S6" s="66"/>
      <c r="T6" s="67"/>
      <c r="U6" s="67"/>
      <c r="V6" s="68"/>
      <c r="W6" s="66"/>
      <c r="X6" s="67"/>
      <c r="Y6" s="67"/>
      <c r="Z6" s="68"/>
      <c r="AA6" s="66"/>
      <c r="AB6" s="67"/>
      <c r="AC6" s="67"/>
      <c r="AD6" s="69"/>
    </row>
    <row r="7" spans="1:30" x14ac:dyDescent="0.3">
      <c r="A7" s="23" t="s">
        <v>67</v>
      </c>
      <c r="B7" s="6" t="s">
        <v>96</v>
      </c>
      <c r="C7" s="7">
        <f t="shared" ref="C7:D7" si="1">SUM(C5:C6)</f>
        <v>199</v>
      </c>
      <c r="D7" s="8">
        <f t="shared" si="1"/>
        <v>199</v>
      </c>
      <c r="E7" s="8">
        <f>SUM(E5:E6)</f>
        <v>199</v>
      </c>
      <c r="F7" s="8">
        <f t="shared" ref="F7" si="2">SUM(F5:F6)</f>
        <v>199</v>
      </c>
      <c r="G7" s="8">
        <f t="shared" ref="G7:H7" si="3">SUM(G5:G6)</f>
        <v>199</v>
      </c>
      <c r="H7" s="8">
        <f t="shared" si="3"/>
        <v>199</v>
      </c>
      <c r="I7" s="8">
        <f t="shared" ref="I7" si="4">SUM(I5:I6)</f>
        <v>80</v>
      </c>
      <c r="J7" s="8">
        <f t="shared" ref="J7:K7" si="5">SUM(J5:J6)</f>
        <v>199</v>
      </c>
      <c r="K7" s="8">
        <f t="shared" si="5"/>
        <v>199</v>
      </c>
      <c r="L7" s="8">
        <f t="shared" ref="L7" si="6">SUM(L5:L6)</f>
        <v>199</v>
      </c>
      <c r="M7" s="8">
        <f t="shared" ref="M7:N7" si="7">SUM(M5:M6)</f>
        <v>199</v>
      </c>
      <c r="N7" s="9">
        <f t="shared" si="7"/>
        <v>199</v>
      </c>
      <c r="O7" s="49"/>
      <c r="P7" s="50"/>
      <c r="Q7" s="50"/>
      <c r="R7" s="51"/>
      <c r="S7" s="49"/>
      <c r="T7" s="50"/>
      <c r="U7" s="50"/>
      <c r="V7" s="51"/>
      <c r="W7" s="49"/>
      <c r="X7" s="50"/>
      <c r="Y7" s="50"/>
      <c r="Z7" s="51"/>
      <c r="AA7" s="49"/>
      <c r="AB7" s="50"/>
      <c r="AC7" s="50"/>
      <c r="AD7" s="52"/>
    </row>
    <row r="8" spans="1:30" x14ac:dyDescent="0.3">
      <c r="A8" s="341" t="s">
        <v>67</v>
      </c>
      <c r="B8" s="342" t="s">
        <v>70</v>
      </c>
      <c r="C8" s="343">
        <f>C7*$B$19</f>
        <v>11940</v>
      </c>
      <c r="D8" s="344">
        <f t="shared" ref="D8:N8" si="8">D7*$B$19</f>
        <v>11940</v>
      </c>
      <c r="E8" s="344">
        <f t="shared" si="8"/>
        <v>11940</v>
      </c>
      <c r="F8" s="344">
        <f t="shared" si="8"/>
        <v>11940</v>
      </c>
      <c r="G8" s="344">
        <f t="shared" si="8"/>
        <v>11940</v>
      </c>
      <c r="H8" s="344">
        <f t="shared" si="8"/>
        <v>11940</v>
      </c>
      <c r="I8" s="344">
        <f t="shared" si="8"/>
        <v>4800</v>
      </c>
      <c r="J8" s="344">
        <f t="shared" si="8"/>
        <v>11940</v>
      </c>
      <c r="K8" s="344">
        <f t="shared" si="8"/>
        <v>11940</v>
      </c>
      <c r="L8" s="344">
        <f t="shared" si="8"/>
        <v>11940</v>
      </c>
      <c r="M8" s="344">
        <f t="shared" si="8"/>
        <v>11940</v>
      </c>
      <c r="N8" s="345">
        <f t="shared" si="8"/>
        <v>11940</v>
      </c>
      <c r="O8" s="135"/>
      <c r="P8" s="133"/>
      <c r="Q8" s="133"/>
      <c r="R8" s="136"/>
      <c r="S8" s="135"/>
      <c r="T8" s="133"/>
      <c r="U8" s="133"/>
      <c r="V8" s="136"/>
      <c r="W8" s="135"/>
      <c r="X8" s="133"/>
      <c r="Y8" s="133"/>
      <c r="Z8" s="136"/>
      <c r="AA8" s="135"/>
      <c r="AB8" s="133"/>
      <c r="AC8" s="133"/>
      <c r="AD8" s="137"/>
    </row>
    <row r="9" spans="1:30" x14ac:dyDescent="0.3">
      <c r="A9" s="53"/>
      <c r="B9" s="54"/>
      <c r="C9" s="55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45"/>
      <c r="P9" s="46"/>
      <c r="Q9" s="46"/>
      <c r="R9" s="47"/>
      <c r="S9" s="45"/>
      <c r="T9" s="46"/>
      <c r="U9" s="46"/>
      <c r="V9" s="47"/>
      <c r="W9" s="45"/>
      <c r="X9" s="46"/>
      <c r="Y9" s="46"/>
      <c r="Z9" s="47"/>
      <c r="AA9" s="45"/>
      <c r="AB9" s="46"/>
      <c r="AC9" s="46"/>
      <c r="AD9" s="48"/>
    </row>
    <row r="10" spans="1:30" x14ac:dyDescent="0.3">
      <c r="A10" s="181" t="s">
        <v>63</v>
      </c>
      <c r="B10" s="204"/>
      <c r="C10" s="205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7"/>
      <c r="O10" s="45"/>
      <c r="P10" s="46"/>
      <c r="Q10" s="46"/>
      <c r="R10" s="47"/>
      <c r="S10" s="45"/>
      <c r="T10" s="46"/>
      <c r="U10" s="46"/>
      <c r="V10" s="47"/>
      <c r="W10" s="45"/>
      <c r="X10" s="46"/>
      <c r="Y10" s="46"/>
      <c r="Z10" s="47"/>
      <c r="AA10" s="45"/>
      <c r="AB10" s="46"/>
      <c r="AC10" s="46"/>
      <c r="AD10" s="48"/>
    </row>
    <row r="11" spans="1:30" x14ac:dyDescent="0.3">
      <c r="A11" s="208" t="s">
        <v>31</v>
      </c>
      <c r="B11" s="204" t="s">
        <v>70</v>
      </c>
      <c r="C11" s="205">
        <v>500</v>
      </c>
      <c r="D11" s="206">
        <v>1000</v>
      </c>
      <c r="E11" s="206">
        <v>1500</v>
      </c>
      <c r="F11" s="206">
        <v>1500</v>
      </c>
      <c r="G11" s="206">
        <v>1000</v>
      </c>
      <c r="H11" s="206">
        <v>1000</v>
      </c>
      <c r="I11" s="206">
        <v>500</v>
      </c>
      <c r="J11" s="206">
        <v>1500</v>
      </c>
      <c r="K11" s="206">
        <v>1500</v>
      </c>
      <c r="L11" s="206">
        <v>1500</v>
      </c>
      <c r="M11" s="206">
        <v>2500</v>
      </c>
      <c r="N11" s="207">
        <v>1500</v>
      </c>
      <c r="O11" s="45"/>
      <c r="P11" s="46"/>
      <c r="Q11" s="46"/>
      <c r="R11" s="47"/>
      <c r="S11" s="45"/>
      <c r="T11" s="46"/>
      <c r="U11" s="46"/>
      <c r="V11" s="47"/>
      <c r="W11" s="45"/>
      <c r="X11" s="46"/>
      <c r="Y11" s="46"/>
      <c r="Z11" s="47"/>
      <c r="AA11" s="45"/>
      <c r="AB11" s="46"/>
      <c r="AC11" s="46"/>
      <c r="AD11" s="48"/>
    </row>
    <row r="12" spans="1:30" x14ac:dyDescent="0.3">
      <c r="A12" s="208" t="s">
        <v>64</v>
      </c>
      <c r="B12" s="204" t="s">
        <v>70</v>
      </c>
      <c r="C12" s="205">
        <v>400</v>
      </c>
      <c r="D12" s="206">
        <v>200</v>
      </c>
      <c r="E12" s="206">
        <v>300</v>
      </c>
      <c r="F12" s="206">
        <v>0</v>
      </c>
      <c r="G12" s="206">
        <v>80</v>
      </c>
      <c r="H12" s="206">
        <v>0</v>
      </c>
      <c r="I12" s="206">
        <v>0</v>
      </c>
      <c r="J12" s="206">
        <v>100</v>
      </c>
      <c r="K12" s="206">
        <v>0</v>
      </c>
      <c r="L12" s="206">
        <v>200</v>
      </c>
      <c r="M12" s="206">
        <v>0</v>
      </c>
      <c r="N12" s="207">
        <v>0</v>
      </c>
      <c r="O12" s="45"/>
      <c r="P12" s="46"/>
      <c r="Q12" s="46"/>
      <c r="R12" s="47"/>
      <c r="S12" s="45"/>
      <c r="T12" s="46"/>
      <c r="U12" s="46"/>
      <c r="V12" s="47"/>
      <c r="W12" s="45"/>
      <c r="X12" s="46"/>
      <c r="Y12" s="46"/>
      <c r="Z12" s="47"/>
      <c r="AA12" s="45"/>
      <c r="AB12" s="46"/>
      <c r="AC12" s="46"/>
      <c r="AD12" s="48"/>
    </row>
    <row r="13" spans="1:30" x14ac:dyDescent="0.3">
      <c r="A13" s="187" t="s">
        <v>32</v>
      </c>
      <c r="B13" s="209" t="s">
        <v>70</v>
      </c>
      <c r="C13" s="210">
        <v>0</v>
      </c>
      <c r="D13" s="211">
        <v>200</v>
      </c>
      <c r="E13" s="211">
        <v>700</v>
      </c>
      <c r="F13" s="211">
        <v>2000</v>
      </c>
      <c r="G13" s="211">
        <v>1000</v>
      </c>
      <c r="H13" s="211">
        <v>300</v>
      </c>
      <c r="I13" s="211">
        <v>0</v>
      </c>
      <c r="J13" s="211">
        <v>2500</v>
      </c>
      <c r="K13" s="211">
        <v>700</v>
      </c>
      <c r="L13" s="211">
        <v>250</v>
      </c>
      <c r="M13" s="211">
        <v>0</v>
      </c>
      <c r="N13" s="212">
        <v>0</v>
      </c>
      <c r="O13" s="41"/>
      <c r="P13" s="42"/>
      <c r="Q13" s="42"/>
      <c r="R13" s="43"/>
      <c r="S13" s="41"/>
      <c r="T13" s="42"/>
      <c r="U13" s="42"/>
      <c r="V13" s="43"/>
      <c r="W13" s="41"/>
      <c r="X13" s="42"/>
      <c r="Y13" s="42"/>
      <c r="Z13" s="43"/>
      <c r="AA13" s="41"/>
      <c r="AB13" s="42"/>
      <c r="AC13" s="42"/>
      <c r="AD13" s="44"/>
    </row>
    <row r="14" spans="1:30" x14ac:dyDescent="0.3">
      <c r="A14" s="213" t="s">
        <v>65</v>
      </c>
      <c r="B14" s="214" t="s">
        <v>70</v>
      </c>
      <c r="C14" s="215">
        <f t="shared" ref="C14" si="9">SUM(C11:C13)</f>
        <v>900</v>
      </c>
      <c r="D14" s="216">
        <f t="shared" ref="D14" si="10">SUM(D11:D13)</f>
        <v>1400</v>
      </c>
      <c r="E14" s="216">
        <f t="shared" ref="E14" si="11">SUM(E11:E13)</f>
        <v>2500</v>
      </c>
      <c r="F14" s="216">
        <f t="shared" ref="F14" si="12">SUM(F11:F13)</f>
        <v>3500</v>
      </c>
      <c r="G14" s="216">
        <f t="shared" ref="G14" si="13">SUM(G11:G13)</f>
        <v>2080</v>
      </c>
      <c r="H14" s="216">
        <f t="shared" ref="H14" si="14">SUM(H11:H13)</f>
        <v>1300</v>
      </c>
      <c r="I14" s="216">
        <f t="shared" ref="I14" si="15">SUM(I11:I13)</f>
        <v>500</v>
      </c>
      <c r="J14" s="216">
        <f t="shared" ref="J14" si="16">SUM(J11:J13)</f>
        <v>4100</v>
      </c>
      <c r="K14" s="216">
        <f t="shared" ref="K14" si="17">SUM(K11:K13)</f>
        <v>2200</v>
      </c>
      <c r="L14" s="216">
        <f t="shared" ref="L14" si="18">SUM(L11:L13)</f>
        <v>1950</v>
      </c>
      <c r="M14" s="216">
        <f t="shared" ref="M14" si="19">SUM(M11:M13)</f>
        <v>2500</v>
      </c>
      <c r="N14" s="217">
        <f t="shared" ref="N14" si="20">SUM(N11:N13)</f>
        <v>1500</v>
      </c>
      <c r="O14" s="49"/>
      <c r="P14" s="50"/>
      <c r="Q14" s="50"/>
      <c r="R14" s="51"/>
      <c r="S14" s="49"/>
      <c r="T14" s="50"/>
      <c r="U14" s="50"/>
      <c r="V14" s="51"/>
      <c r="W14" s="49"/>
      <c r="X14" s="50"/>
      <c r="Y14" s="50"/>
      <c r="Z14" s="51"/>
      <c r="AA14" s="49"/>
      <c r="AB14" s="50"/>
      <c r="AC14" s="50"/>
      <c r="AD14" s="52"/>
    </row>
    <row r="15" spans="1:30" x14ac:dyDescent="0.3">
      <c r="A15" s="36"/>
      <c r="B15" s="37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  <c r="O15" s="41"/>
      <c r="P15" s="42"/>
      <c r="Q15" s="42"/>
      <c r="R15" s="43"/>
      <c r="S15" s="41"/>
      <c r="T15" s="42"/>
      <c r="U15" s="42"/>
      <c r="V15" s="43"/>
      <c r="W15" s="41"/>
      <c r="X15" s="42"/>
      <c r="Y15" s="42"/>
      <c r="Z15" s="43"/>
      <c r="AA15" s="41"/>
      <c r="AB15" s="42"/>
      <c r="AC15" s="42"/>
      <c r="AD15" s="44"/>
    </row>
    <row r="16" spans="1:30" s="31" customFormat="1" x14ac:dyDescent="0.3">
      <c r="A16" s="5" t="s">
        <v>33</v>
      </c>
      <c r="B16" s="24" t="s">
        <v>70</v>
      </c>
      <c r="C16" s="25">
        <f t="shared" ref="C16:N16" si="21">$B$19*C7+C14</f>
        <v>12840</v>
      </c>
      <c r="D16" s="26">
        <f t="shared" si="21"/>
        <v>13340</v>
      </c>
      <c r="E16" s="26">
        <f>$B$19*E7+E14</f>
        <v>14440</v>
      </c>
      <c r="F16" s="26">
        <f t="shared" si="21"/>
        <v>15440</v>
      </c>
      <c r="G16" s="26">
        <f t="shared" si="21"/>
        <v>14020</v>
      </c>
      <c r="H16" s="26">
        <f t="shared" si="21"/>
        <v>13240</v>
      </c>
      <c r="I16" s="26">
        <f t="shared" si="21"/>
        <v>5300</v>
      </c>
      <c r="J16" s="26">
        <f t="shared" si="21"/>
        <v>16040</v>
      </c>
      <c r="K16" s="26">
        <f t="shared" si="21"/>
        <v>14140</v>
      </c>
      <c r="L16" s="26">
        <f t="shared" si="21"/>
        <v>13890</v>
      </c>
      <c r="M16" s="26">
        <f t="shared" si="21"/>
        <v>14440</v>
      </c>
      <c r="N16" s="27">
        <f t="shared" si="21"/>
        <v>13440</v>
      </c>
      <c r="O16" s="32"/>
      <c r="P16" s="33"/>
      <c r="Q16" s="33"/>
      <c r="R16" s="34"/>
      <c r="S16" s="32"/>
      <c r="T16" s="33"/>
      <c r="U16" s="33"/>
      <c r="V16" s="34"/>
      <c r="W16" s="32"/>
      <c r="X16" s="33"/>
      <c r="Y16" s="33"/>
      <c r="Z16" s="34"/>
      <c r="AA16" s="32"/>
      <c r="AB16" s="33"/>
      <c r="AC16" s="33"/>
      <c r="AD16" s="35"/>
    </row>
    <row r="17" spans="1:30" s="31" customFormat="1" ht="15" thickBot="1" x14ac:dyDescent="0.35">
      <c r="A17" s="16" t="s">
        <v>33</v>
      </c>
      <c r="B17" s="17" t="s">
        <v>71</v>
      </c>
      <c r="C17" s="370">
        <f>SUM(C16:E16)</f>
        <v>40620</v>
      </c>
      <c r="D17" s="371"/>
      <c r="E17" s="371"/>
      <c r="F17" s="371">
        <f t="shared" ref="F17" si="22">SUM(F16:H16)</f>
        <v>42700</v>
      </c>
      <c r="G17" s="371"/>
      <c r="H17" s="371"/>
      <c r="I17" s="371">
        <f t="shared" ref="I17" si="23">SUM(I16:K16)</f>
        <v>35480</v>
      </c>
      <c r="J17" s="371"/>
      <c r="K17" s="371"/>
      <c r="L17" s="371">
        <f t="shared" ref="L17" si="24">SUM(L16:N16)</f>
        <v>41770</v>
      </c>
      <c r="M17" s="371"/>
      <c r="N17" s="372"/>
      <c r="O17" s="366"/>
      <c r="P17" s="367"/>
      <c r="Q17" s="367"/>
      <c r="R17" s="368"/>
      <c r="S17" s="366"/>
      <c r="T17" s="367"/>
      <c r="U17" s="367"/>
      <c r="V17" s="368"/>
      <c r="W17" s="366"/>
      <c r="X17" s="367"/>
      <c r="Y17" s="367"/>
      <c r="Z17" s="368"/>
      <c r="AA17" s="366"/>
      <c r="AB17" s="367"/>
      <c r="AC17" s="367"/>
      <c r="AD17" s="369"/>
    </row>
    <row r="19" spans="1:30" x14ac:dyDescent="0.3">
      <c r="A19" s="28" t="s">
        <v>22</v>
      </c>
      <c r="B19" s="1">
        <v>60</v>
      </c>
      <c r="C19" s="29" t="s">
        <v>23</v>
      </c>
    </row>
    <row r="21" spans="1:30" x14ac:dyDescent="0.3">
      <c r="A21" s="2" t="s">
        <v>88</v>
      </c>
      <c r="B21" s="2"/>
      <c r="C21" s="270"/>
      <c r="D21" s="270"/>
      <c r="E21" s="365">
        <f>SUM(C17:N17)</f>
        <v>160570</v>
      </c>
      <c r="F21" s="365"/>
    </row>
  </sheetData>
  <mergeCells count="18">
    <mergeCell ref="E21:F21"/>
    <mergeCell ref="O17:R17"/>
    <mergeCell ref="S17:V17"/>
    <mergeCell ref="W17:Z17"/>
    <mergeCell ref="AA17:AD17"/>
    <mergeCell ref="C17:E17"/>
    <mergeCell ref="F17:H17"/>
    <mergeCell ref="I17:K17"/>
    <mergeCell ref="L17:N17"/>
    <mergeCell ref="O1:R1"/>
    <mergeCell ref="S1:V1"/>
    <mergeCell ref="W1:Z1"/>
    <mergeCell ref="AA1:AD1"/>
    <mergeCell ref="C2:E2"/>
    <mergeCell ref="F2:H2"/>
    <mergeCell ref="I2:K2"/>
    <mergeCell ref="L2:N2"/>
    <mergeCell ref="C1:N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AEEF-338E-4FED-8591-CE3678AD8528}">
  <dimension ref="A1:V9"/>
  <sheetViews>
    <sheetView zoomScale="160" zoomScaleNormal="160" workbookViewId="0">
      <selection activeCell="G3" sqref="G3"/>
    </sheetView>
  </sheetViews>
  <sheetFormatPr defaultColWidth="9.21875" defaultRowHeight="14.4" x14ac:dyDescent="0.3"/>
  <cols>
    <col min="1" max="1" width="21.21875" style="28" bestFit="1" customWidth="1"/>
    <col min="2" max="3" width="4.21875" style="28" bestFit="1" customWidth="1"/>
    <col min="4" max="6" width="3.44140625" style="28" bestFit="1" customWidth="1"/>
    <col min="7" max="8" width="6.77734375" style="28" bestFit="1" customWidth="1"/>
    <col min="9" max="22" width="3.44140625" style="28" bestFit="1" customWidth="1"/>
    <col min="23" max="16384" width="9.21875" style="28"/>
  </cols>
  <sheetData>
    <row r="1" spans="1:22" x14ac:dyDescent="0.3">
      <c r="A1" s="70"/>
      <c r="B1" s="71"/>
      <c r="C1" s="355">
        <v>2022</v>
      </c>
      <c r="D1" s="360"/>
      <c r="E1" s="360"/>
      <c r="F1" s="360"/>
      <c r="G1" s="355">
        <v>2023</v>
      </c>
      <c r="H1" s="360"/>
      <c r="I1" s="360"/>
      <c r="J1" s="356"/>
      <c r="K1" s="360">
        <v>2024</v>
      </c>
      <c r="L1" s="360"/>
      <c r="M1" s="360"/>
      <c r="N1" s="360"/>
      <c r="O1" s="355">
        <v>2025</v>
      </c>
      <c r="P1" s="360"/>
      <c r="Q1" s="360"/>
      <c r="R1" s="356"/>
      <c r="S1" s="360">
        <v>2026</v>
      </c>
      <c r="T1" s="360"/>
      <c r="U1" s="360"/>
      <c r="V1" s="361"/>
    </row>
    <row r="2" spans="1:22" x14ac:dyDescent="0.3">
      <c r="A2" s="108"/>
      <c r="B2" s="78"/>
      <c r="C2" s="74" t="s">
        <v>18</v>
      </c>
      <c r="D2" s="75" t="s">
        <v>19</v>
      </c>
      <c r="E2" s="75" t="s">
        <v>20</v>
      </c>
      <c r="F2" s="109" t="s">
        <v>21</v>
      </c>
      <c r="G2" s="74" t="s">
        <v>18</v>
      </c>
      <c r="H2" s="75" t="s">
        <v>19</v>
      </c>
      <c r="I2" s="75" t="s">
        <v>20</v>
      </c>
      <c r="J2" s="76" t="s">
        <v>21</v>
      </c>
      <c r="K2" s="110" t="s">
        <v>18</v>
      </c>
      <c r="L2" s="75" t="s">
        <v>19</v>
      </c>
      <c r="M2" s="75" t="s">
        <v>20</v>
      </c>
      <c r="N2" s="109" t="s">
        <v>21</v>
      </c>
      <c r="O2" s="74" t="s">
        <v>18</v>
      </c>
      <c r="P2" s="75" t="s">
        <v>19</v>
      </c>
      <c r="Q2" s="75" t="s">
        <v>20</v>
      </c>
      <c r="R2" s="76" t="s">
        <v>21</v>
      </c>
      <c r="S2" s="110" t="s">
        <v>18</v>
      </c>
      <c r="T2" s="75" t="s">
        <v>19</v>
      </c>
      <c r="U2" s="75" t="s">
        <v>20</v>
      </c>
      <c r="V2" s="77" t="s">
        <v>21</v>
      </c>
    </row>
    <row r="3" spans="1:22" x14ac:dyDescent="0.3">
      <c r="A3" s="23" t="s">
        <v>35</v>
      </c>
      <c r="B3" s="6" t="s">
        <v>34</v>
      </c>
      <c r="C3" s="139"/>
      <c r="D3" s="140"/>
      <c r="E3" s="140"/>
      <c r="F3" s="141"/>
      <c r="G3" s="139">
        <f>2*3*150</f>
        <v>900</v>
      </c>
      <c r="H3" s="140"/>
      <c r="I3" s="140"/>
      <c r="J3" s="142"/>
      <c r="K3" s="143"/>
      <c r="L3" s="140"/>
      <c r="M3" s="140"/>
      <c r="N3" s="141"/>
      <c r="O3" s="139"/>
      <c r="P3" s="140"/>
      <c r="Q3" s="140"/>
      <c r="R3" s="142"/>
      <c r="S3" s="143"/>
      <c r="T3" s="140"/>
      <c r="U3" s="140"/>
      <c r="V3" s="144"/>
    </row>
    <row r="4" spans="1:22" x14ac:dyDescent="0.3">
      <c r="A4" s="10" t="s">
        <v>31</v>
      </c>
      <c r="B4" s="11" t="s">
        <v>29</v>
      </c>
      <c r="C4" s="121"/>
      <c r="D4" s="122"/>
      <c r="E4" s="122"/>
      <c r="F4" s="125"/>
      <c r="G4" s="121">
        <v>5000</v>
      </c>
      <c r="H4" s="122"/>
      <c r="I4" s="122"/>
      <c r="J4" s="123"/>
      <c r="K4" s="124"/>
      <c r="L4" s="122"/>
      <c r="M4" s="122"/>
      <c r="N4" s="125"/>
      <c r="O4" s="121"/>
      <c r="P4" s="122"/>
      <c r="Q4" s="122"/>
      <c r="R4" s="123"/>
      <c r="S4" s="124"/>
      <c r="T4" s="122"/>
      <c r="U4" s="122"/>
      <c r="V4" s="126"/>
    </row>
    <row r="5" spans="1:22" x14ac:dyDescent="0.3">
      <c r="A5" s="10" t="s">
        <v>32</v>
      </c>
      <c r="B5" s="11" t="s">
        <v>29</v>
      </c>
      <c r="C5" s="121"/>
      <c r="D5" s="122"/>
      <c r="E5" s="122"/>
      <c r="F5" s="125"/>
      <c r="G5" s="121">
        <v>25000</v>
      </c>
      <c r="H5" s="122"/>
      <c r="I5" s="122"/>
      <c r="J5" s="123"/>
      <c r="K5" s="124"/>
      <c r="L5" s="122"/>
      <c r="M5" s="122"/>
      <c r="N5" s="125"/>
      <c r="O5" s="121"/>
      <c r="P5" s="122"/>
      <c r="Q5" s="122"/>
      <c r="R5" s="123"/>
      <c r="S5" s="124"/>
      <c r="T5" s="122"/>
      <c r="U5" s="122"/>
      <c r="V5" s="126"/>
    </row>
    <row r="6" spans="1:22" x14ac:dyDescent="0.3">
      <c r="A6" s="111"/>
      <c r="B6" s="112"/>
      <c r="C6" s="113"/>
      <c r="D6" s="114"/>
      <c r="E6" s="114"/>
      <c r="F6" s="115"/>
      <c r="G6" s="113"/>
      <c r="H6" s="114"/>
      <c r="I6" s="114"/>
      <c r="J6" s="116"/>
      <c r="K6" s="117"/>
      <c r="L6" s="114"/>
      <c r="M6" s="114"/>
      <c r="N6" s="115"/>
      <c r="O6" s="113"/>
      <c r="P6" s="114"/>
      <c r="Q6" s="114"/>
      <c r="R6" s="116"/>
      <c r="S6" s="117"/>
      <c r="T6" s="114"/>
      <c r="U6" s="114"/>
      <c r="V6" s="118"/>
    </row>
    <row r="7" spans="1:22" ht="15" thickBot="1" x14ac:dyDescent="0.35">
      <c r="A7" s="220" t="s">
        <v>36</v>
      </c>
      <c r="B7" s="221" t="s">
        <v>29</v>
      </c>
      <c r="C7" s="222"/>
      <c r="D7" s="223"/>
      <c r="E7" s="223"/>
      <c r="F7" s="224"/>
      <c r="G7" s="222">
        <f>$B$9*G3+G4+G5</f>
        <v>57000</v>
      </c>
      <c r="H7" s="223"/>
      <c r="I7" s="223"/>
      <c r="J7" s="225"/>
      <c r="K7" s="226"/>
      <c r="L7" s="223"/>
      <c r="M7" s="223"/>
      <c r="N7" s="224"/>
      <c r="O7" s="222"/>
      <c r="P7" s="223"/>
      <c r="Q7" s="223"/>
      <c r="R7" s="225"/>
      <c r="S7" s="226"/>
      <c r="T7" s="223"/>
      <c r="U7" s="223"/>
      <c r="V7" s="227"/>
    </row>
    <row r="9" spans="1:22" x14ac:dyDescent="0.3">
      <c r="A9" s="28" t="s">
        <v>22</v>
      </c>
      <c r="B9" s="1">
        <v>30</v>
      </c>
      <c r="C9" s="28" t="s">
        <v>23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DA28-9294-43BB-ACD9-C5EA3805C51E}">
  <dimension ref="A1:V9"/>
  <sheetViews>
    <sheetView zoomScale="115" zoomScaleNormal="115" workbookViewId="0">
      <selection activeCell="H7" sqref="H7"/>
    </sheetView>
  </sheetViews>
  <sheetFormatPr defaultColWidth="9.21875" defaultRowHeight="14.4" x14ac:dyDescent="0.3"/>
  <cols>
    <col min="1" max="1" width="16.21875" style="28" bestFit="1" customWidth="1"/>
    <col min="2" max="3" width="4.21875" style="28" bestFit="1" customWidth="1"/>
    <col min="4" max="7" width="3.44140625" style="28" bestFit="1" customWidth="1"/>
    <col min="8" max="9" width="6.77734375" style="28" bestFit="1" customWidth="1"/>
    <col min="10" max="22" width="5.44140625" style="28" bestFit="1" customWidth="1"/>
    <col min="23" max="16384" width="9.21875" style="28"/>
  </cols>
  <sheetData>
    <row r="1" spans="1:22" x14ac:dyDescent="0.3">
      <c r="A1" s="70"/>
      <c r="B1" s="71"/>
      <c r="C1" s="355">
        <v>2022</v>
      </c>
      <c r="D1" s="360"/>
      <c r="E1" s="360"/>
      <c r="F1" s="360"/>
      <c r="G1" s="355">
        <v>2023</v>
      </c>
      <c r="H1" s="360"/>
      <c r="I1" s="360"/>
      <c r="J1" s="356"/>
      <c r="K1" s="360">
        <v>2024</v>
      </c>
      <c r="L1" s="360"/>
      <c r="M1" s="360"/>
      <c r="N1" s="360"/>
      <c r="O1" s="355">
        <v>2025</v>
      </c>
      <c r="P1" s="360"/>
      <c r="Q1" s="360"/>
      <c r="R1" s="356"/>
      <c r="S1" s="360">
        <v>2026</v>
      </c>
      <c r="T1" s="360"/>
      <c r="U1" s="360"/>
      <c r="V1" s="361"/>
    </row>
    <row r="2" spans="1:22" x14ac:dyDescent="0.3">
      <c r="A2" s="108"/>
      <c r="B2" s="78"/>
      <c r="C2" s="74" t="s">
        <v>18</v>
      </c>
      <c r="D2" s="75" t="s">
        <v>19</v>
      </c>
      <c r="E2" s="75" t="s">
        <v>20</v>
      </c>
      <c r="F2" s="109" t="s">
        <v>21</v>
      </c>
      <c r="G2" s="74" t="s">
        <v>18</v>
      </c>
      <c r="H2" s="75" t="s">
        <v>19</v>
      </c>
      <c r="I2" s="75" t="s">
        <v>20</v>
      </c>
      <c r="J2" s="76" t="s">
        <v>21</v>
      </c>
      <c r="K2" s="110" t="s">
        <v>18</v>
      </c>
      <c r="L2" s="75" t="s">
        <v>19</v>
      </c>
      <c r="M2" s="75" t="s">
        <v>20</v>
      </c>
      <c r="N2" s="109" t="s">
        <v>21</v>
      </c>
      <c r="O2" s="74" t="s">
        <v>18</v>
      </c>
      <c r="P2" s="75" t="s">
        <v>19</v>
      </c>
      <c r="Q2" s="75" t="s">
        <v>20</v>
      </c>
      <c r="R2" s="76" t="s">
        <v>21</v>
      </c>
      <c r="S2" s="110" t="s">
        <v>18</v>
      </c>
      <c r="T2" s="75" t="s">
        <v>19</v>
      </c>
      <c r="U2" s="75" t="s">
        <v>20</v>
      </c>
      <c r="V2" s="77" t="s">
        <v>21</v>
      </c>
    </row>
    <row r="3" spans="1:22" x14ac:dyDescent="0.3">
      <c r="A3" s="23" t="s">
        <v>35</v>
      </c>
      <c r="B3" s="6" t="s">
        <v>34</v>
      </c>
      <c r="C3" s="139"/>
      <c r="D3" s="140"/>
      <c r="E3" s="140"/>
      <c r="F3" s="141"/>
      <c r="G3" s="139"/>
      <c r="H3" s="140">
        <v>50</v>
      </c>
      <c r="I3" s="140">
        <v>50</v>
      </c>
      <c r="J3" s="142">
        <v>10</v>
      </c>
      <c r="K3" s="143">
        <v>10</v>
      </c>
      <c r="L3" s="140"/>
      <c r="M3" s="140">
        <v>10</v>
      </c>
      <c r="N3" s="141"/>
      <c r="O3" s="139">
        <v>10</v>
      </c>
      <c r="P3" s="140"/>
      <c r="Q3" s="140">
        <v>10</v>
      </c>
      <c r="R3" s="142"/>
      <c r="S3" s="143">
        <v>10</v>
      </c>
      <c r="T3" s="140"/>
      <c r="U3" s="140">
        <v>10</v>
      </c>
      <c r="V3" s="144"/>
    </row>
    <row r="4" spans="1:22" x14ac:dyDescent="0.3">
      <c r="A4" s="10" t="s">
        <v>31</v>
      </c>
      <c r="B4" s="11" t="s">
        <v>29</v>
      </c>
      <c r="C4" s="121"/>
      <c r="D4" s="122"/>
      <c r="E4" s="122"/>
      <c r="F4" s="125"/>
      <c r="G4" s="121"/>
      <c r="H4" s="122">
        <v>2000</v>
      </c>
      <c r="I4" s="122">
        <v>1000</v>
      </c>
      <c r="J4" s="123"/>
      <c r="K4" s="124"/>
      <c r="L4" s="122"/>
      <c r="M4" s="122"/>
      <c r="N4" s="125"/>
      <c r="O4" s="121"/>
      <c r="P4" s="122"/>
      <c r="Q4" s="122"/>
      <c r="R4" s="123"/>
      <c r="S4" s="124"/>
      <c r="T4" s="122"/>
      <c r="U4" s="122"/>
      <c r="V4" s="126"/>
    </row>
    <row r="5" spans="1:22" x14ac:dyDescent="0.3">
      <c r="A5" s="10" t="s">
        <v>32</v>
      </c>
      <c r="B5" s="11" t="s">
        <v>29</v>
      </c>
      <c r="C5" s="121"/>
      <c r="D5" s="122"/>
      <c r="E5" s="122"/>
      <c r="F5" s="125"/>
      <c r="G5" s="121"/>
      <c r="H5" s="122">
        <v>4000</v>
      </c>
      <c r="I5" s="122">
        <v>4000</v>
      </c>
      <c r="J5" s="123">
        <v>1000</v>
      </c>
      <c r="K5" s="123">
        <v>1000</v>
      </c>
      <c r="L5" s="122"/>
      <c r="M5" s="123">
        <v>1000</v>
      </c>
      <c r="N5" s="125"/>
      <c r="O5" s="123">
        <v>1000</v>
      </c>
      <c r="P5" s="122"/>
      <c r="Q5" s="123">
        <v>1000</v>
      </c>
      <c r="R5" s="123"/>
      <c r="S5" s="123">
        <v>1000</v>
      </c>
      <c r="T5" s="122"/>
      <c r="U5" s="123">
        <v>1000</v>
      </c>
      <c r="V5" s="126"/>
    </row>
    <row r="6" spans="1:22" x14ac:dyDescent="0.3">
      <c r="A6" s="36"/>
      <c r="B6" s="37"/>
      <c r="C6" s="41"/>
      <c r="D6" s="42"/>
      <c r="E6" s="42"/>
      <c r="F6" s="119"/>
      <c r="G6" s="41"/>
      <c r="H6" s="42"/>
      <c r="I6" s="42"/>
      <c r="J6" s="43"/>
      <c r="K6" s="120"/>
      <c r="L6" s="42"/>
      <c r="M6" s="42"/>
      <c r="N6" s="119"/>
      <c r="O6" s="41"/>
      <c r="P6" s="42"/>
      <c r="Q6" s="42"/>
      <c r="R6" s="43"/>
      <c r="S6" s="120"/>
      <c r="T6" s="42"/>
      <c r="U6" s="42"/>
      <c r="V6" s="44"/>
    </row>
    <row r="7" spans="1:22" ht="15" thickBot="1" x14ac:dyDescent="0.35">
      <c r="A7" s="220" t="s">
        <v>37</v>
      </c>
      <c r="B7" s="221" t="s">
        <v>29</v>
      </c>
      <c r="C7" s="222"/>
      <c r="D7" s="223"/>
      <c r="E7" s="223"/>
      <c r="F7" s="224"/>
      <c r="G7" s="222"/>
      <c r="H7" s="223">
        <f t="shared" ref="H7:V7" si="0">$B$9*H3+H4+H5</f>
        <v>8000</v>
      </c>
      <c r="I7" s="223">
        <f t="shared" si="0"/>
        <v>7000</v>
      </c>
      <c r="J7" s="225">
        <f t="shared" si="0"/>
        <v>1400</v>
      </c>
      <c r="K7" s="226">
        <f t="shared" si="0"/>
        <v>1400</v>
      </c>
      <c r="L7" s="223">
        <f t="shared" si="0"/>
        <v>0</v>
      </c>
      <c r="M7" s="223">
        <f t="shared" si="0"/>
        <v>1400</v>
      </c>
      <c r="N7" s="224">
        <f t="shared" si="0"/>
        <v>0</v>
      </c>
      <c r="O7" s="222">
        <f t="shared" si="0"/>
        <v>1400</v>
      </c>
      <c r="P7" s="223">
        <f t="shared" si="0"/>
        <v>0</v>
      </c>
      <c r="Q7" s="223">
        <f t="shared" si="0"/>
        <v>1400</v>
      </c>
      <c r="R7" s="225">
        <f t="shared" si="0"/>
        <v>0</v>
      </c>
      <c r="S7" s="226">
        <f t="shared" si="0"/>
        <v>1400</v>
      </c>
      <c r="T7" s="223">
        <f t="shared" si="0"/>
        <v>0</v>
      </c>
      <c r="U7" s="223">
        <f t="shared" si="0"/>
        <v>1400</v>
      </c>
      <c r="V7" s="227">
        <f t="shared" si="0"/>
        <v>0</v>
      </c>
    </row>
    <row r="9" spans="1:22" x14ac:dyDescent="0.3">
      <c r="A9" s="28" t="s">
        <v>22</v>
      </c>
      <c r="B9" s="1">
        <v>40</v>
      </c>
      <c r="C9" s="28" t="s">
        <v>23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D05D-D7F5-4791-9446-087900FD0A79}">
  <dimension ref="B4:D10"/>
  <sheetViews>
    <sheetView zoomScale="145" zoomScaleNormal="145" workbookViewId="0">
      <selection activeCell="C8" sqref="C8"/>
    </sheetView>
  </sheetViews>
  <sheetFormatPr defaultColWidth="9.21875" defaultRowHeight="14.4" x14ac:dyDescent="0.3"/>
  <cols>
    <col min="1" max="1" width="9.21875" style="28"/>
    <col min="2" max="2" width="14.21875" style="28" bestFit="1" customWidth="1"/>
    <col min="3" max="3" width="7.44140625" style="28" bestFit="1" customWidth="1"/>
    <col min="4" max="4" width="7.44140625" style="28" customWidth="1"/>
    <col min="5" max="16384" width="9.21875" style="28"/>
  </cols>
  <sheetData>
    <row r="4" spans="2:4" x14ac:dyDescent="0.3">
      <c r="B4" s="28" t="s">
        <v>99</v>
      </c>
      <c r="C4" s="1">
        <v>10</v>
      </c>
      <c r="D4" s="28" t="s">
        <v>24</v>
      </c>
    </row>
    <row r="5" spans="2:4" x14ac:dyDescent="0.3">
      <c r="B5" s="28" t="s">
        <v>22</v>
      </c>
      <c r="C5" s="1">
        <v>50</v>
      </c>
      <c r="D5" s="28" t="s">
        <v>23</v>
      </c>
    </row>
    <row r="6" spans="2:4" x14ac:dyDescent="0.3">
      <c r="B6" s="28" t="s">
        <v>60</v>
      </c>
      <c r="C6" s="1">
        <v>1000</v>
      </c>
      <c r="D6" s="28" t="s">
        <v>6</v>
      </c>
    </row>
    <row r="8" spans="2:4" s="31" customFormat="1" x14ac:dyDescent="0.3">
      <c r="B8" s="31" t="s">
        <v>61</v>
      </c>
      <c r="C8" s="2">
        <f>C4*C5+C6</f>
        <v>1500</v>
      </c>
      <c r="D8" s="31" t="s">
        <v>6</v>
      </c>
    </row>
    <row r="10" spans="2:4" s="31" customFormat="1" x14ac:dyDescent="0.3">
      <c r="B10" s="31" t="s">
        <v>62</v>
      </c>
      <c r="C10" s="4">
        <v>1E-3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C2B3-66F3-4AD0-9D18-438375B8A31E}">
  <dimension ref="A1:V68"/>
  <sheetViews>
    <sheetView tabSelected="1" zoomScale="115" zoomScaleNormal="115" workbookViewId="0">
      <selection activeCell="I15" sqref="I15"/>
    </sheetView>
  </sheetViews>
  <sheetFormatPr defaultColWidth="9.21875" defaultRowHeight="14.4" x14ac:dyDescent="0.3"/>
  <cols>
    <col min="1" max="1" width="26.77734375" style="28" customWidth="1"/>
    <col min="2" max="2" width="6.88671875" style="28" customWidth="1"/>
    <col min="3" max="3" width="6.77734375" style="28" bestFit="1" customWidth="1"/>
    <col min="4" max="8" width="3.5546875" style="28" bestFit="1" customWidth="1"/>
    <col min="9" max="22" width="5.5546875" style="28" bestFit="1" customWidth="1"/>
    <col min="23" max="16384" width="9.21875" style="28"/>
  </cols>
  <sheetData>
    <row r="1" spans="1:22" x14ac:dyDescent="0.3">
      <c r="A1" s="373" t="s">
        <v>9</v>
      </c>
      <c r="B1" s="374"/>
      <c r="C1" s="355">
        <v>2022</v>
      </c>
      <c r="D1" s="360"/>
      <c r="E1" s="360"/>
      <c r="F1" s="356"/>
      <c r="G1" s="360">
        <v>2023</v>
      </c>
      <c r="H1" s="360"/>
      <c r="I1" s="360"/>
      <c r="J1" s="360"/>
      <c r="K1" s="355">
        <v>2024</v>
      </c>
      <c r="L1" s="360"/>
      <c r="M1" s="360"/>
      <c r="N1" s="356"/>
      <c r="O1" s="360">
        <v>2025</v>
      </c>
      <c r="P1" s="360"/>
      <c r="Q1" s="360"/>
      <c r="R1" s="360"/>
      <c r="S1" s="355">
        <v>2026</v>
      </c>
      <c r="T1" s="360"/>
      <c r="U1" s="360"/>
      <c r="V1" s="361"/>
    </row>
    <row r="2" spans="1:22" x14ac:dyDescent="0.3">
      <c r="A2" s="375"/>
      <c r="B2" s="376"/>
      <c r="C2" s="74" t="s">
        <v>18</v>
      </c>
      <c r="D2" s="75" t="s">
        <v>19</v>
      </c>
      <c r="E2" s="75" t="s">
        <v>20</v>
      </c>
      <c r="F2" s="76" t="s">
        <v>21</v>
      </c>
      <c r="G2" s="110" t="s">
        <v>18</v>
      </c>
      <c r="H2" s="75" t="s">
        <v>19</v>
      </c>
      <c r="I2" s="75" t="s">
        <v>20</v>
      </c>
      <c r="J2" s="109" t="s">
        <v>21</v>
      </c>
      <c r="K2" s="74" t="s">
        <v>18</v>
      </c>
      <c r="L2" s="75" t="s">
        <v>19</v>
      </c>
      <c r="M2" s="75" t="s">
        <v>20</v>
      </c>
      <c r="N2" s="76" t="s">
        <v>21</v>
      </c>
      <c r="O2" s="110" t="s">
        <v>18</v>
      </c>
      <c r="P2" s="75" t="s">
        <v>19</v>
      </c>
      <c r="Q2" s="75" t="s">
        <v>20</v>
      </c>
      <c r="R2" s="109" t="s">
        <v>21</v>
      </c>
      <c r="S2" s="74" t="s">
        <v>18</v>
      </c>
      <c r="T2" s="75" t="s">
        <v>19</v>
      </c>
      <c r="U2" s="75" t="s">
        <v>20</v>
      </c>
      <c r="V2" s="77" t="s">
        <v>21</v>
      </c>
    </row>
    <row r="3" spans="1:22" x14ac:dyDescent="0.3">
      <c r="A3" s="377"/>
      <c r="B3" s="378"/>
      <c r="C3" s="129"/>
      <c r="D3" s="130"/>
      <c r="E3" s="130"/>
      <c r="F3" s="131"/>
      <c r="G3" s="132"/>
      <c r="H3" s="133"/>
      <c r="I3" s="133"/>
      <c r="J3" s="134"/>
      <c r="K3" s="135"/>
      <c r="L3" s="133"/>
      <c r="M3" s="133"/>
      <c r="N3" s="136"/>
      <c r="O3" s="132"/>
      <c r="P3" s="133"/>
      <c r="Q3" s="133"/>
      <c r="R3" s="134"/>
      <c r="S3" s="135"/>
      <c r="T3" s="133"/>
      <c r="U3" s="133"/>
      <c r="V3" s="137"/>
    </row>
    <row r="4" spans="1:22" x14ac:dyDescent="0.3">
      <c r="A4" s="145" t="s">
        <v>22</v>
      </c>
      <c r="B4" s="146"/>
      <c r="C4" s="157"/>
      <c r="D4" s="158"/>
      <c r="E4" s="158"/>
      <c r="F4" s="159"/>
      <c r="G4" s="160"/>
      <c r="H4" s="161"/>
      <c r="I4" s="161"/>
      <c r="J4" s="162"/>
      <c r="K4" s="163"/>
      <c r="L4" s="161"/>
      <c r="M4" s="161"/>
      <c r="N4" s="164"/>
      <c r="O4" s="160"/>
      <c r="P4" s="161"/>
      <c r="Q4" s="161"/>
      <c r="R4" s="162"/>
      <c r="S4" s="163"/>
      <c r="T4" s="161"/>
      <c r="U4" s="161"/>
      <c r="V4" s="165"/>
    </row>
    <row r="5" spans="1:22" x14ac:dyDescent="0.3">
      <c r="A5" s="147" t="s">
        <v>100</v>
      </c>
      <c r="B5" s="146" t="s">
        <v>23</v>
      </c>
      <c r="C5" s="163">
        <f>$B$29</f>
        <v>30</v>
      </c>
      <c r="D5" s="158">
        <f>$B$29</f>
        <v>30</v>
      </c>
      <c r="E5" s="158">
        <f>$B$29</f>
        <v>30</v>
      </c>
      <c r="F5" s="159">
        <f>$B$29</f>
        <v>30</v>
      </c>
      <c r="G5" s="163">
        <f>$B$29*(1+$B$30*1)</f>
        <v>31.5</v>
      </c>
      <c r="H5" s="161">
        <f>$B$29*(1+$B$30*1)</f>
        <v>31.5</v>
      </c>
      <c r="I5" s="161">
        <f>$B$29*(1+$B$30*1)</f>
        <v>31.5</v>
      </c>
      <c r="J5" s="164">
        <f>$B$29*(1+$B$30*1)</f>
        <v>31.5</v>
      </c>
      <c r="K5" s="163">
        <f>$B$29*(1+$B$30*2)</f>
        <v>33</v>
      </c>
      <c r="L5" s="161">
        <f>$B$29*(1+$B$30*2)</f>
        <v>33</v>
      </c>
      <c r="M5" s="161">
        <f>$B$29*(1+$B$30*2)</f>
        <v>33</v>
      </c>
      <c r="N5" s="164">
        <f>$B$29*(1+$B$30*2)</f>
        <v>33</v>
      </c>
      <c r="O5" s="160">
        <f>$B$29*(1+$B$30*3)</f>
        <v>34.5</v>
      </c>
      <c r="P5" s="161">
        <f>$B$29*(1+$B$30*3)</f>
        <v>34.5</v>
      </c>
      <c r="Q5" s="161">
        <f>$B$29*(1+$B$30*3)</f>
        <v>34.5</v>
      </c>
      <c r="R5" s="162">
        <f>$B$29*(1+$B$30*3)</f>
        <v>34.5</v>
      </c>
      <c r="S5" s="163">
        <f>$B$29*(1+$B$30*4)</f>
        <v>36</v>
      </c>
      <c r="T5" s="161">
        <f>$B$29*(1+$B$30*4)</f>
        <v>36</v>
      </c>
      <c r="U5" s="161">
        <f>$B$29*(1+$B$30*4)</f>
        <v>36</v>
      </c>
      <c r="V5" s="165">
        <f>$B$29*(1+$B$30*4)</f>
        <v>36</v>
      </c>
    </row>
    <row r="6" spans="1:22" x14ac:dyDescent="0.3">
      <c r="A6" s="147" t="s">
        <v>103</v>
      </c>
      <c r="B6" s="146" t="s">
        <v>23</v>
      </c>
      <c r="C6" s="163"/>
      <c r="D6" s="158"/>
      <c r="E6" s="158"/>
      <c r="F6" s="159"/>
      <c r="G6" s="163"/>
      <c r="H6" s="161"/>
      <c r="I6" s="161">
        <v>100</v>
      </c>
      <c r="J6" s="164">
        <v>100</v>
      </c>
      <c r="K6" s="163">
        <v>100</v>
      </c>
      <c r="L6" s="161">
        <v>100</v>
      </c>
      <c r="M6" s="164">
        <v>100</v>
      </c>
      <c r="N6" s="163">
        <v>100</v>
      </c>
      <c r="O6" s="161">
        <v>100</v>
      </c>
      <c r="P6" s="164">
        <v>100</v>
      </c>
      <c r="Q6" s="163">
        <v>100</v>
      </c>
      <c r="R6" s="161">
        <v>100</v>
      </c>
      <c r="S6" s="164">
        <v>100</v>
      </c>
      <c r="T6" s="161">
        <v>100</v>
      </c>
      <c r="U6" s="164">
        <v>100</v>
      </c>
      <c r="V6" s="163">
        <v>100</v>
      </c>
    </row>
    <row r="7" spans="1:22" x14ac:dyDescent="0.3">
      <c r="A7" s="53"/>
      <c r="B7" s="54"/>
      <c r="C7" s="83"/>
      <c r="D7" s="84"/>
      <c r="E7" s="84"/>
      <c r="F7" s="85"/>
      <c r="G7" s="166"/>
      <c r="H7" s="84"/>
      <c r="I7" s="84"/>
      <c r="J7" s="167"/>
      <c r="K7" s="83"/>
      <c r="L7" s="84"/>
      <c r="M7" s="84"/>
      <c r="N7" s="85"/>
      <c r="O7" s="166"/>
      <c r="P7" s="84"/>
      <c r="Q7" s="84"/>
      <c r="R7" s="167"/>
      <c r="S7" s="83"/>
      <c r="T7" s="84"/>
      <c r="U7" s="84"/>
      <c r="V7" s="86"/>
    </row>
    <row r="8" spans="1:22" x14ac:dyDescent="0.3">
      <c r="A8" s="15" t="s">
        <v>2</v>
      </c>
      <c r="B8" s="11"/>
      <c r="C8" s="168"/>
      <c r="D8" s="169"/>
      <c r="E8" s="169"/>
      <c r="F8" s="170"/>
      <c r="G8" s="171"/>
      <c r="H8" s="169"/>
      <c r="I8" s="169"/>
      <c r="J8" s="172"/>
      <c r="K8" s="168"/>
      <c r="L8" s="169"/>
      <c r="M8" s="169"/>
      <c r="N8" s="170"/>
      <c r="O8" s="171"/>
      <c r="P8" s="169"/>
      <c r="Q8" s="169"/>
      <c r="R8" s="172"/>
      <c r="S8" s="168"/>
      <c r="T8" s="169"/>
      <c r="U8" s="169"/>
      <c r="V8" s="173"/>
    </row>
    <row r="9" spans="1:22" x14ac:dyDescent="0.3">
      <c r="A9" s="10" t="s">
        <v>2</v>
      </c>
      <c r="B9" s="11" t="s">
        <v>6</v>
      </c>
      <c r="C9" s="168"/>
      <c r="D9" s="169"/>
      <c r="E9" s="169"/>
      <c r="F9" s="170"/>
      <c r="G9" s="171"/>
      <c r="H9" s="169"/>
      <c r="I9" s="169">
        <v>2500</v>
      </c>
      <c r="J9" s="172">
        <v>2000</v>
      </c>
      <c r="K9" s="168">
        <v>2000</v>
      </c>
      <c r="L9" s="169">
        <v>2000</v>
      </c>
      <c r="M9" s="169">
        <v>2000</v>
      </c>
      <c r="N9" s="170">
        <v>2000</v>
      </c>
      <c r="O9" s="171">
        <v>2000</v>
      </c>
      <c r="P9" s="169">
        <v>2000</v>
      </c>
      <c r="Q9" s="169">
        <v>2000</v>
      </c>
      <c r="R9" s="172">
        <v>2000</v>
      </c>
      <c r="S9" s="168">
        <v>2000</v>
      </c>
      <c r="T9" s="169">
        <v>2000</v>
      </c>
      <c r="U9" s="169">
        <v>2000</v>
      </c>
      <c r="V9" s="173">
        <v>2000</v>
      </c>
    </row>
    <row r="10" spans="1:22" x14ac:dyDescent="0.3">
      <c r="A10" s="53"/>
      <c r="B10" s="54"/>
      <c r="C10" s="83"/>
      <c r="D10" s="84"/>
      <c r="E10" s="84"/>
      <c r="F10" s="85"/>
      <c r="G10" s="166"/>
      <c r="H10" s="84"/>
      <c r="I10" s="84"/>
      <c r="J10" s="167"/>
      <c r="K10" s="83"/>
      <c r="L10" s="84"/>
      <c r="M10" s="84"/>
      <c r="N10" s="85"/>
      <c r="O10" s="166"/>
      <c r="P10" s="84"/>
      <c r="Q10" s="84"/>
      <c r="R10" s="167"/>
      <c r="S10" s="83"/>
      <c r="T10" s="84"/>
      <c r="U10" s="84"/>
      <c r="V10" s="86"/>
    </row>
    <row r="11" spans="1:22" x14ac:dyDescent="0.3">
      <c r="A11" s="181" t="s">
        <v>8</v>
      </c>
      <c r="B11" s="204"/>
      <c r="C11" s="183"/>
      <c r="D11" s="184"/>
      <c r="E11" s="184"/>
      <c r="F11" s="185"/>
      <c r="G11" s="218"/>
      <c r="H11" s="184"/>
      <c r="I11" s="184"/>
      <c r="J11" s="219"/>
      <c r="K11" s="183"/>
      <c r="L11" s="184"/>
      <c r="M11" s="184"/>
      <c r="N11" s="185"/>
      <c r="O11" s="218"/>
      <c r="P11" s="184"/>
      <c r="Q11" s="184"/>
      <c r="R11" s="219"/>
      <c r="S11" s="183"/>
      <c r="T11" s="184"/>
      <c r="U11" s="184"/>
      <c r="V11" s="186"/>
    </row>
    <row r="12" spans="1:22" x14ac:dyDescent="0.3">
      <c r="A12" s="208" t="s">
        <v>7</v>
      </c>
      <c r="B12" s="204" t="s">
        <v>6</v>
      </c>
      <c r="C12" s="183"/>
      <c r="D12" s="184"/>
      <c r="E12" s="184"/>
      <c r="F12" s="185"/>
      <c r="G12" s="218"/>
      <c r="H12" s="184"/>
      <c r="I12" s="184">
        <v>800</v>
      </c>
      <c r="J12" s="219">
        <v>800</v>
      </c>
      <c r="K12" s="183">
        <v>800</v>
      </c>
      <c r="L12" s="184">
        <v>800</v>
      </c>
      <c r="M12" s="184">
        <v>800</v>
      </c>
      <c r="N12" s="185">
        <v>800</v>
      </c>
      <c r="O12" s="218">
        <v>800</v>
      </c>
      <c r="P12" s="184">
        <v>800</v>
      </c>
      <c r="Q12" s="184">
        <v>800</v>
      </c>
      <c r="R12" s="219">
        <v>800</v>
      </c>
      <c r="S12" s="183">
        <v>800</v>
      </c>
      <c r="T12" s="184">
        <v>800</v>
      </c>
      <c r="U12" s="184">
        <v>800</v>
      </c>
      <c r="V12" s="186">
        <v>800</v>
      </c>
    </row>
    <row r="13" spans="1:22" x14ac:dyDescent="0.3">
      <c r="A13" s="10" t="s">
        <v>101</v>
      </c>
      <c r="B13" s="204" t="s">
        <v>24</v>
      </c>
      <c r="C13" s="183"/>
      <c r="D13" s="184"/>
      <c r="E13" s="184"/>
      <c r="F13" s="185"/>
      <c r="G13" s="218"/>
      <c r="H13" s="184"/>
      <c r="I13" s="184">
        <v>18</v>
      </c>
      <c r="J13" s="219">
        <v>16</v>
      </c>
      <c r="K13" s="183">
        <v>16</v>
      </c>
      <c r="L13" s="184">
        <v>16</v>
      </c>
      <c r="M13" s="184">
        <v>16</v>
      </c>
      <c r="N13" s="185">
        <v>16</v>
      </c>
      <c r="O13" s="218">
        <v>16</v>
      </c>
      <c r="P13" s="184">
        <v>16</v>
      </c>
      <c r="Q13" s="184">
        <v>16</v>
      </c>
      <c r="R13" s="219">
        <v>16</v>
      </c>
      <c r="S13" s="183">
        <v>16</v>
      </c>
      <c r="T13" s="184">
        <v>16</v>
      </c>
      <c r="U13" s="184">
        <v>16</v>
      </c>
      <c r="V13" s="186">
        <v>16</v>
      </c>
    </row>
    <row r="14" spans="1:22" x14ac:dyDescent="0.3">
      <c r="A14" s="10" t="s">
        <v>102</v>
      </c>
      <c r="B14" s="204" t="s">
        <v>24</v>
      </c>
      <c r="C14" s="183"/>
      <c r="D14" s="184"/>
      <c r="E14" s="184"/>
      <c r="F14" s="185"/>
      <c r="G14" s="218"/>
      <c r="H14" s="184"/>
      <c r="I14" s="184">
        <v>18</v>
      </c>
      <c r="J14" s="219">
        <v>16</v>
      </c>
      <c r="K14" s="183">
        <v>16</v>
      </c>
      <c r="L14" s="184">
        <v>16</v>
      </c>
      <c r="M14" s="184">
        <v>16</v>
      </c>
      <c r="N14" s="185">
        <v>16</v>
      </c>
      <c r="O14" s="218">
        <v>16</v>
      </c>
      <c r="P14" s="184">
        <v>16</v>
      </c>
      <c r="Q14" s="184">
        <v>16</v>
      </c>
      <c r="R14" s="219">
        <v>16</v>
      </c>
      <c r="S14" s="183">
        <v>16</v>
      </c>
      <c r="T14" s="184">
        <v>16</v>
      </c>
      <c r="U14" s="184">
        <v>16</v>
      </c>
      <c r="V14" s="186">
        <v>16</v>
      </c>
    </row>
    <row r="15" spans="1:22" x14ac:dyDescent="0.3">
      <c r="A15" s="208" t="s">
        <v>25</v>
      </c>
      <c r="B15" s="204" t="s">
        <v>6</v>
      </c>
      <c r="C15" s="183"/>
      <c r="D15" s="184"/>
      <c r="E15" s="184"/>
      <c r="F15" s="185"/>
      <c r="G15" s="218"/>
      <c r="H15" s="184"/>
      <c r="I15" s="184">
        <f t="shared" ref="I15:V15" si="0">I12+I5*I13+I6*I14</f>
        <v>3167</v>
      </c>
      <c r="J15" s="184">
        <f t="shared" si="0"/>
        <v>2904</v>
      </c>
      <c r="K15" s="184">
        <f t="shared" si="0"/>
        <v>2928</v>
      </c>
      <c r="L15" s="184">
        <f t="shared" si="0"/>
        <v>2928</v>
      </c>
      <c r="M15" s="184">
        <f t="shared" si="0"/>
        <v>2928</v>
      </c>
      <c r="N15" s="184">
        <f t="shared" si="0"/>
        <v>2928</v>
      </c>
      <c r="O15" s="184">
        <f t="shared" si="0"/>
        <v>2952</v>
      </c>
      <c r="P15" s="184">
        <f t="shared" si="0"/>
        <v>2952</v>
      </c>
      <c r="Q15" s="184">
        <f t="shared" si="0"/>
        <v>2952</v>
      </c>
      <c r="R15" s="184">
        <f t="shared" si="0"/>
        <v>2952</v>
      </c>
      <c r="S15" s="184">
        <f t="shared" si="0"/>
        <v>2976</v>
      </c>
      <c r="T15" s="184">
        <f t="shared" si="0"/>
        <v>2976</v>
      </c>
      <c r="U15" s="184">
        <f t="shared" si="0"/>
        <v>2976</v>
      </c>
      <c r="V15" s="184">
        <f t="shared" si="0"/>
        <v>2976</v>
      </c>
    </row>
    <row r="16" spans="1:22" x14ac:dyDescent="0.3">
      <c r="A16" s="53"/>
      <c r="B16" s="54"/>
      <c r="C16" s="83"/>
      <c r="D16" s="84"/>
      <c r="E16" s="84"/>
      <c r="F16" s="85"/>
      <c r="G16" s="166"/>
      <c r="H16" s="84"/>
      <c r="I16" s="84"/>
      <c r="J16" s="167"/>
      <c r="K16" s="83"/>
      <c r="L16" s="84"/>
      <c r="M16" s="84"/>
      <c r="N16" s="85"/>
      <c r="O16" s="166"/>
      <c r="P16" s="84"/>
      <c r="Q16" s="84"/>
      <c r="R16" s="167"/>
      <c r="S16" s="83"/>
      <c r="T16" s="84"/>
      <c r="U16" s="84"/>
      <c r="V16" s="86"/>
    </row>
    <row r="17" spans="1:22" x14ac:dyDescent="0.3">
      <c r="A17" s="15" t="s">
        <v>4</v>
      </c>
      <c r="B17" s="11"/>
      <c r="C17" s="168"/>
      <c r="D17" s="169"/>
      <c r="E17" s="169"/>
      <c r="F17" s="170"/>
      <c r="G17" s="171"/>
      <c r="H17" s="169"/>
      <c r="I17" s="169"/>
      <c r="J17" s="172"/>
      <c r="K17" s="168"/>
      <c r="L17" s="169"/>
      <c r="M17" s="169"/>
      <c r="N17" s="170"/>
      <c r="O17" s="171"/>
      <c r="P17" s="169"/>
      <c r="Q17" s="169"/>
      <c r="R17" s="172"/>
      <c r="S17" s="168"/>
      <c r="T17" s="169"/>
      <c r="U17" s="169"/>
      <c r="V17" s="173"/>
    </row>
    <row r="18" spans="1:22" x14ac:dyDescent="0.3">
      <c r="A18" s="10" t="s">
        <v>7</v>
      </c>
      <c r="B18" s="11" t="s">
        <v>6</v>
      </c>
      <c r="C18" s="168"/>
      <c r="D18" s="169"/>
      <c r="E18" s="169"/>
      <c r="F18" s="170"/>
      <c r="G18" s="171"/>
      <c r="H18" s="169"/>
      <c r="I18" s="169">
        <v>150</v>
      </c>
      <c r="J18" s="172">
        <v>150</v>
      </c>
      <c r="K18" s="168">
        <v>150</v>
      </c>
      <c r="L18" s="169">
        <v>150</v>
      </c>
      <c r="M18" s="169">
        <v>150</v>
      </c>
      <c r="N18" s="170">
        <v>150</v>
      </c>
      <c r="O18" s="171">
        <v>150</v>
      </c>
      <c r="P18" s="169">
        <v>150</v>
      </c>
      <c r="Q18" s="169">
        <v>150</v>
      </c>
      <c r="R18" s="172">
        <v>150</v>
      </c>
      <c r="S18" s="168">
        <v>150</v>
      </c>
      <c r="T18" s="169">
        <v>150</v>
      </c>
      <c r="U18" s="169">
        <v>150</v>
      </c>
      <c r="V18" s="173">
        <v>150</v>
      </c>
    </row>
    <row r="19" spans="1:22" x14ac:dyDescent="0.3">
      <c r="A19" s="10" t="s">
        <v>101</v>
      </c>
      <c r="B19" s="11" t="s">
        <v>24</v>
      </c>
      <c r="C19" s="168"/>
      <c r="D19" s="169"/>
      <c r="E19" s="169"/>
      <c r="F19" s="170"/>
      <c r="G19" s="171"/>
      <c r="H19" s="169"/>
      <c r="I19" s="169">
        <v>7</v>
      </c>
      <c r="J19" s="172">
        <v>5</v>
      </c>
      <c r="K19" s="168">
        <v>5</v>
      </c>
      <c r="L19" s="169">
        <v>5</v>
      </c>
      <c r="M19" s="169">
        <v>5</v>
      </c>
      <c r="N19" s="170">
        <v>5</v>
      </c>
      <c r="O19" s="171">
        <v>5</v>
      </c>
      <c r="P19" s="169">
        <v>5</v>
      </c>
      <c r="Q19" s="169">
        <v>5</v>
      </c>
      <c r="R19" s="172">
        <v>5</v>
      </c>
      <c r="S19" s="168">
        <v>5</v>
      </c>
      <c r="T19" s="169">
        <v>5</v>
      </c>
      <c r="U19" s="169">
        <v>5</v>
      </c>
      <c r="V19" s="173">
        <v>5</v>
      </c>
    </row>
    <row r="20" spans="1:22" x14ac:dyDescent="0.3">
      <c r="A20" s="10" t="s">
        <v>26</v>
      </c>
      <c r="B20" s="11" t="s">
        <v>6</v>
      </c>
      <c r="C20" s="168"/>
      <c r="D20" s="169"/>
      <c r="E20" s="169"/>
      <c r="F20" s="170"/>
      <c r="G20" s="171"/>
      <c r="H20" s="169"/>
      <c r="I20" s="169">
        <f t="shared" ref="I20:V20" si="1">I18+I5*I19</f>
        <v>370.5</v>
      </c>
      <c r="J20" s="172">
        <f t="shared" si="1"/>
        <v>307.5</v>
      </c>
      <c r="K20" s="168">
        <f t="shared" si="1"/>
        <v>315</v>
      </c>
      <c r="L20" s="169">
        <f t="shared" si="1"/>
        <v>315</v>
      </c>
      <c r="M20" s="169">
        <f t="shared" si="1"/>
        <v>315</v>
      </c>
      <c r="N20" s="170">
        <f t="shared" si="1"/>
        <v>315</v>
      </c>
      <c r="O20" s="171">
        <f t="shared" si="1"/>
        <v>322.5</v>
      </c>
      <c r="P20" s="169">
        <f t="shared" si="1"/>
        <v>322.5</v>
      </c>
      <c r="Q20" s="169">
        <f t="shared" si="1"/>
        <v>322.5</v>
      </c>
      <c r="R20" s="172">
        <f t="shared" si="1"/>
        <v>322.5</v>
      </c>
      <c r="S20" s="168">
        <f t="shared" si="1"/>
        <v>330</v>
      </c>
      <c r="T20" s="169">
        <f t="shared" si="1"/>
        <v>330</v>
      </c>
      <c r="U20" s="169">
        <f t="shared" si="1"/>
        <v>330</v>
      </c>
      <c r="V20" s="173">
        <f t="shared" si="1"/>
        <v>330</v>
      </c>
    </row>
    <row r="21" spans="1:22" x14ac:dyDescent="0.3">
      <c r="A21" s="53"/>
      <c r="B21" s="54"/>
      <c r="C21" s="83"/>
      <c r="D21" s="84"/>
      <c r="E21" s="84"/>
      <c r="F21" s="85"/>
      <c r="G21" s="166"/>
      <c r="H21" s="84"/>
      <c r="I21" s="84"/>
      <c r="J21" s="167"/>
      <c r="K21" s="83"/>
      <c r="L21" s="84"/>
      <c r="M21" s="84"/>
      <c r="N21" s="85"/>
      <c r="O21" s="166"/>
      <c r="P21" s="84"/>
      <c r="Q21" s="84"/>
      <c r="R21" s="167"/>
      <c r="S21" s="83"/>
      <c r="T21" s="84"/>
      <c r="U21" s="84"/>
      <c r="V21" s="86"/>
    </row>
    <row r="22" spans="1:22" x14ac:dyDescent="0.3">
      <c r="A22" s="181" t="s">
        <v>3</v>
      </c>
      <c r="B22" s="204"/>
      <c r="C22" s="183"/>
      <c r="D22" s="184"/>
      <c r="E22" s="184"/>
      <c r="F22" s="185"/>
      <c r="G22" s="218"/>
      <c r="H22" s="184"/>
      <c r="I22" s="184"/>
      <c r="J22" s="219"/>
      <c r="K22" s="183"/>
      <c r="L22" s="184"/>
      <c r="M22" s="184"/>
      <c r="N22" s="185"/>
      <c r="O22" s="218"/>
      <c r="P22" s="184"/>
      <c r="Q22" s="184"/>
      <c r="R22" s="219"/>
      <c r="S22" s="183"/>
      <c r="T22" s="184"/>
      <c r="U22" s="184"/>
      <c r="V22" s="186"/>
    </row>
    <row r="23" spans="1:22" x14ac:dyDescent="0.3">
      <c r="A23" s="10" t="s">
        <v>101</v>
      </c>
      <c r="B23" s="204" t="s">
        <v>24</v>
      </c>
      <c r="C23" s="183"/>
      <c r="D23" s="184"/>
      <c r="E23" s="184"/>
      <c r="F23" s="185"/>
      <c r="G23" s="218"/>
      <c r="H23" s="184"/>
      <c r="I23" s="184">
        <v>8</v>
      </c>
      <c r="J23" s="219">
        <v>6</v>
      </c>
      <c r="K23" s="183">
        <v>4</v>
      </c>
      <c r="L23" s="184">
        <v>4</v>
      </c>
      <c r="M23" s="184">
        <v>4</v>
      </c>
      <c r="N23" s="185">
        <v>4</v>
      </c>
      <c r="O23" s="218">
        <v>4</v>
      </c>
      <c r="P23" s="184">
        <v>4</v>
      </c>
      <c r="Q23" s="184">
        <v>4</v>
      </c>
      <c r="R23" s="219">
        <v>4</v>
      </c>
      <c r="S23" s="183">
        <v>4</v>
      </c>
      <c r="T23" s="184">
        <v>4</v>
      </c>
      <c r="U23" s="184">
        <v>4</v>
      </c>
      <c r="V23" s="186">
        <v>4</v>
      </c>
    </row>
    <row r="24" spans="1:22" x14ac:dyDescent="0.3">
      <c r="A24" s="208" t="s">
        <v>27</v>
      </c>
      <c r="B24" s="204" t="s">
        <v>6</v>
      </c>
      <c r="C24" s="183"/>
      <c r="D24" s="184"/>
      <c r="E24" s="184"/>
      <c r="F24" s="185"/>
      <c r="G24" s="218"/>
      <c r="H24" s="184"/>
      <c r="I24" s="184">
        <f t="shared" ref="I24:V24" si="2">I5*I23</f>
        <v>252</v>
      </c>
      <c r="J24" s="219">
        <f t="shared" si="2"/>
        <v>189</v>
      </c>
      <c r="K24" s="183">
        <f t="shared" si="2"/>
        <v>132</v>
      </c>
      <c r="L24" s="184">
        <f t="shared" si="2"/>
        <v>132</v>
      </c>
      <c r="M24" s="184">
        <f t="shared" si="2"/>
        <v>132</v>
      </c>
      <c r="N24" s="185">
        <f t="shared" si="2"/>
        <v>132</v>
      </c>
      <c r="O24" s="218">
        <f t="shared" si="2"/>
        <v>138</v>
      </c>
      <c r="P24" s="184">
        <f t="shared" si="2"/>
        <v>138</v>
      </c>
      <c r="Q24" s="184">
        <f t="shared" si="2"/>
        <v>138</v>
      </c>
      <c r="R24" s="219">
        <f t="shared" si="2"/>
        <v>138</v>
      </c>
      <c r="S24" s="183">
        <f t="shared" si="2"/>
        <v>144</v>
      </c>
      <c r="T24" s="184">
        <f t="shared" si="2"/>
        <v>144</v>
      </c>
      <c r="U24" s="184">
        <f t="shared" si="2"/>
        <v>144</v>
      </c>
      <c r="V24" s="186">
        <f t="shared" si="2"/>
        <v>144</v>
      </c>
    </row>
    <row r="25" spans="1:22" x14ac:dyDescent="0.3">
      <c r="A25" s="36"/>
      <c r="B25" s="37"/>
      <c r="C25" s="174"/>
      <c r="D25" s="175"/>
      <c r="E25" s="175"/>
      <c r="F25" s="176"/>
      <c r="G25" s="177"/>
      <c r="H25" s="175"/>
      <c r="I25" s="175"/>
      <c r="J25" s="178"/>
      <c r="K25" s="174"/>
      <c r="L25" s="175"/>
      <c r="M25" s="175"/>
      <c r="N25" s="176"/>
      <c r="O25" s="177"/>
      <c r="P25" s="175"/>
      <c r="Q25" s="175"/>
      <c r="R25" s="178"/>
      <c r="S25" s="174"/>
      <c r="T25" s="175"/>
      <c r="U25" s="175"/>
      <c r="V25" s="179"/>
    </row>
    <row r="26" spans="1:22" s="156" customFormat="1" ht="15" thickBot="1" x14ac:dyDescent="0.35">
      <c r="A26" s="148" t="s">
        <v>1</v>
      </c>
      <c r="B26" s="149" t="s">
        <v>6</v>
      </c>
      <c r="C26" s="150"/>
      <c r="D26" s="151"/>
      <c r="E26" s="151"/>
      <c r="F26" s="152"/>
      <c r="G26" s="153"/>
      <c r="H26" s="151"/>
      <c r="I26" s="151">
        <f t="shared" ref="I26:V26" si="3">I9+I15+I20+I24</f>
        <v>6289.5</v>
      </c>
      <c r="J26" s="154">
        <f t="shared" si="3"/>
        <v>5400.5</v>
      </c>
      <c r="K26" s="150">
        <f t="shared" si="3"/>
        <v>5375</v>
      </c>
      <c r="L26" s="151">
        <f t="shared" si="3"/>
        <v>5375</v>
      </c>
      <c r="M26" s="151">
        <f t="shared" si="3"/>
        <v>5375</v>
      </c>
      <c r="N26" s="152">
        <f t="shared" si="3"/>
        <v>5375</v>
      </c>
      <c r="O26" s="153">
        <f t="shared" si="3"/>
        <v>5412.5</v>
      </c>
      <c r="P26" s="151">
        <f t="shared" si="3"/>
        <v>5412.5</v>
      </c>
      <c r="Q26" s="151">
        <f t="shared" si="3"/>
        <v>5412.5</v>
      </c>
      <c r="R26" s="154">
        <f t="shared" si="3"/>
        <v>5412.5</v>
      </c>
      <c r="S26" s="150">
        <f t="shared" si="3"/>
        <v>5450</v>
      </c>
      <c r="T26" s="151">
        <f t="shared" si="3"/>
        <v>5450</v>
      </c>
      <c r="U26" s="151">
        <f t="shared" si="3"/>
        <v>5450</v>
      </c>
      <c r="V26" s="155">
        <f t="shared" si="3"/>
        <v>5450</v>
      </c>
    </row>
    <row r="29" spans="1:22" x14ac:dyDescent="0.3">
      <c r="A29" s="28" t="s">
        <v>106</v>
      </c>
      <c r="B29" s="1">
        <v>30</v>
      </c>
      <c r="C29" s="28" t="s">
        <v>23</v>
      </c>
    </row>
    <row r="30" spans="1:22" x14ac:dyDescent="0.3">
      <c r="A30" s="28" t="s">
        <v>72</v>
      </c>
      <c r="B30" s="138">
        <v>0.05</v>
      </c>
    </row>
    <row r="52" spans="1:19" x14ac:dyDescent="0.3">
      <c r="A52" s="28" t="s">
        <v>5</v>
      </c>
      <c r="B52" s="127"/>
      <c r="C52" s="127"/>
      <c r="G52" s="127"/>
      <c r="K52" s="127"/>
      <c r="O52" s="127"/>
      <c r="S52" s="127"/>
    </row>
    <row r="54" spans="1:19" x14ac:dyDescent="0.3">
      <c r="A54" s="31" t="s">
        <v>0</v>
      </c>
      <c r="B54" s="31" t="s">
        <v>17</v>
      </c>
      <c r="C54" s="31">
        <v>420</v>
      </c>
    </row>
    <row r="56" spans="1:19" x14ac:dyDescent="0.3">
      <c r="A56" s="28" t="s">
        <v>2</v>
      </c>
      <c r="B56" s="28" t="s">
        <v>6</v>
      </c>
      <c r="C56" s="28">
        <v>248.5</v>
      </c>
    </row>
    <row r="57" spans="1:19" x14ac:dyDescent="0.3">
      <c r="A57" s="28" t="s">
        <v>7</v>
      </c>
      <c r="B57" s="28" t="s">
        <v>6</v>
      </c>
      <c r="C57" s="28">
        <v>34</v>
      </c>
    </row>
    <row r="58" spans="1:19" x14ac:dyDescent="0.3">
      <c r="A58" s="28" t="s">
        <v>8</v>
      </c>
      <c r="B58" s="28" t="s">
        <v>6</v>
      </c>
      <c r="C58" s="28">
        <v>93</v>
      </c>
    </row>
    <row r="59" spans="1:19" x14ac:dyDescent="0.3">
      <c r="A59" s="28" t="s">
        <v>4</v>
      </c>
      <c r="B59" s="28" t="s">
        <v>6</v>
      </c>
      <c r="C59" s="28">
        <v>22</v>
      </c>
    </row>
    <row r="60" spans="1:19" x14ac:dyDescent="0.3">
      <c r="A60" s="28" t="s">
        <v>3</v>
      </c>
      <c r="B60" s="28" t="s">
        <v>6</v>
      </c>
      <c r="C60" s="28">
        <v>18</v>
      </c>
    </row>
    <row r="61" spans="1:19" x14ac:dyDescent="0.3">
      <c r="A61" s="31" t="s">
        <v>1</v>
      </c>
      <c r="B61" s="31" t="s">
        <v>6</v>
      </c>
      <c r="C61" s="31">
        <f>SUM(C56:C60)</f>
        <v>415.5</v>
      </c>
    </row>
    <row r="63" spans="1:19" x14ac:dyDescent="0.3">
      <c r="A63" s="28" t="s">
        <v>10</v>
      </c>
      <c r="B63" s="28" t="s">
        <v>17</v>
      </c>
      <c r="C63" s="28">
        <v>420</v>
      </c>
    </row>
    <row r="64" spans="1:19" x14ac:dyDescent="0.3">
      <c r="A64" s="28" t="s">
        <v>15</v>
      </c>
      <c r="B64" s="28" t="s">
        <v>13</v>
      </c>
      <c r="C64" s="28">
        <v>30</v>
      </c>
    </row>
    <row r="65" spans="1:3" x14ac:dyDescent="0.3">
      <c r="A65" s="28" t="s">
        <v>16</v>
      </c>
      <c r="B65" s="28" t="s">
        <v>6</v>
      </c>
      <c r="C65" s="80">
        <f>C61/(1-C64/100)</f>
        <v>593.57142857142856</v>
      </c>
    </row>
    <row r="66" spans="1:3" x14ac:dyDescent="0.3">
      <c r="A66" s="28" t="s">
        <v>14</v>
      </c>
      <c r="B66" s="28" t="s">
        <v>6</v>
      </c>
      <c r="C66" s="28">
        <v>550</v>
      </c>
    </row>
    <row r="67" spans="1:3" x14ac:dyDescent="0.3">
      <c r="A67" s="31" t="s">
        <v>11</v>
      </c>
      <c r="B67" s="31" t="s">
        <v>6</v>
      </c>
      <c r="C67" s="31">
        <f>C66-C61</f>
        <v>134.5</v>
      </c>
    </row>
    <row r="68" spans="1:3" x14ac:dyDescent="0.3">
      <c r="A68" s="31" t="s">
        <v>12</v>
      </c>
      <c r="B68" s="31" t="s">
        <v>13</v>
      </c>
      <c r="C68" s="128">
        <f>C67/C66*100</f>
        <v>24.454545454545453</v>
      </c>
    </row>
  </sheetData>
  <mergeCells count="6">
    <mergeCell ref="S1:V1"/>
    <mergeCell ref="A1:B3"/>
    <mergeCell ref="C1:F1"/>
    <mergeCell ref="G1:J1"/>
    <mergeCell ref="K1:N1"/>
    <mergeCell ref="O1:R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067abc-a65c-44fe-95cf-2505af81dd1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6877378882C45B26FDFE538886FE5" ma:contentTypeVersion="7" ma:contentTypeDescription="Create a new document." ma:contentTypeScope="" ma:versionID="c834044b4518a4a1ec4f1e82250460c1">
  <xsd:schema xmlns:xsd="http://www.w3.org/2001/XMLSchema" xmlns:xs="http://www.w3.org/2001/XMLSchema" xmlns:p="http://schemas.microsoft.com/office/2006/metadata/properties" xmlns:ns2="68067abc-a65c-44fe-95cf-2505af81dd1b" targetNamespace="http://schemas.microsoft.com/office/2006/metadata/properties" ma:root="true" ma:fieldsID="6b19c0b4be88a4c941558f55a0a214f2" ns2:_="">
    <xsd:import namespace="68067abc-a65c-44fe-95cf-2505af81d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67abc-a65c-44fe-95cf-2505af81d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5ac15f4-6dc5-41cc-ab39-7de0bf43c2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5F5FE-8152-4DAF-9F36-439A5FCAC32A}">
  <ds:schemaRefs>
    <ds:schemaRef ds:uri="233364f1-786a-432d-a85c-e3ac31682cc9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9f9bc9a7-fbe6-48e7-b1ee-89f1e341adc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4538433-1203-4974-B20B-F0AA7467E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77ECE-F634-4641-A95C-0F10CB55D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Kassavirtalaskelma</vt:lpstr>
      <vt:lpstr>Herkkyysanalyysi</vt:lpstr>
      <vt:lpstr>Tuotekehitys</vt:lpstr>
      <vt:lpstr>Tuotannon aloitus</vt:lpstr>
      <vt:lpstr>Markkinointi</vt:lpstr>
      <vt:lpstr>Tuotetuki</vt:lpstr>
      <vt:lpstr>Tuotanto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 Järvi</dc:creator>
  <cp:lastModifiedBy>Kitinoja, Kimmo</cp:lastModifiedBy>
  <dcterms:created xsi:type="dcterms:W3CDTF">2021-03-17T10:35:06Z</dcterms:created>
  <dcterms:modified xsi:type="dcterms:W3CDTF">2022-12-14T10:21:18Z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0x01010073C6877378882C45B26FDFE538886FE5</vt:lpwstr>
  </property>
</Properties>
</file>