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os-learner\bg47hb\Documents\"/>
    </mc:Choice>
  </mc:AlternateContent>
  <bookViews>
    <workbookView xWindow="0" yWindow="0" windowWidth="21600" windowHeight="10260" tabRatio="686"/>
  </bookViews>
  <sheets>
    <sheet name="January" sheetId="4" r:id="rId1"/>
    <sheet name="February" sheetId="5" r:id="rId2"/>
    <sheet name="March" sheetId="6" r:id="rId3"/>
    <sheet name="April" sheetId="7" r:id="rId4"/>
    <sheet name="May" sheetId="8" r:id="rId5"/>
    <sheet name="June" sheetId="9" r:id="rId6"/>
    <sheet name="July" sheetId="10" r:id="rId7"/>
    <sheet name="August" sheetId="11" r:id="rId8"/>
    <sheet name="September" sheetId="12" r:id="rId9"/>
    <sheet name="October" sheetId="14" r:id="rId10"/>
    <sheet name="November" sheetId="13" r:id="rId11"/>
    <sheet name="December" sheetId="15" r:id="rId12"/>
  </sheets>
  <definedNames>
    <definedName name="CalendarYear">January!$AG$2</definedName>
    <definedName name="KeyCustom1">January!$P$18</definedName>
    <definedName name="KeyCustom1Label">January!$Q$18</definedName>
    <definedName name="KeyCustom2">January!$T$18</definedName>
    <definedName name="KeyCustom2Label">January!$U$18</definedName>
    <definedName name="KeyPersonal">January!$I$18</definedName>
    <definedName name="KeyPersonalLabel">January!$J$18</definedName>
    <definedName name="KeySick">January!$M$18</definedName>
    <definedName name="KeySickLabel">January!$N$18</definedName>
    <definedName name="KeyVacation">January!$E$18</definedName>
    <definedName name="KeyVacationLabel">January!$F$18</definedName>
    <definedName name="MonthName" localSheetId="3">April!$A$2</definedName>
    <definedName name="MonthName" localSheetId="7">August!$A$2</definedName>
    <definedName name="MonthName" localSheetId="11">December!$A$2</definedName>
    <definedName name="MonthName" localSheetId="1">February!$A$2</definedName>
    <definedName name="MonthName" localSheetId="0">January!$A$2</definedName>
    <definedName name="MonthName" localSheetId="6">July!$A$2</definedName>
    <definedName name="MonthName" localSheetId="5">June!$A$2</definedName>
    <definedName name="MonthName" localSheetId="2">March!$A$2</definedName>
    <definedName name="MonthName" localSheetId="4">May!$A$2</definedName>
    <definedName name="MonthName" localSheetId="10">November!$A$2</definedName>
    <definedName name="MonthName" localSheetId="9">October!$A$2</definedName>
    <definedName name="MonthName" localSheetId="8">September!$A$2</definedName>
    <definedName name="_xlnm.Print_Titles" localSheetId="3">April!$2:$4</definedName>
    <definedName name="_xlnm.Print_Titles" localSheetId="7">August!$2:$4</definedName>
    <definedName name="_xlnm.Print_Titles" localSheetId="11">December!$2:$4</definedName>
    <definedName name="_xlnm.Print_Titles" localSheetId="1">February!$2:$4</definedName>
    <definedName name="_xlnm.Print_Titles" localSheetId="0">January!$2:$4</definedName>
    <definedName name="_xlnm.Print_Titles" localSheetId="6">July!$2:$4</definedName>
    <definedName name="_xlnm.Print_Titles" localSheetId="5">June!$2:$4</definedName>
    <definedName name="_xlnm.Print_Titles" localSheetId="2">March!$2:$4</definedName>
    <definedName name="_xlnm.Print_Titles" localSheetId="4">May!$2:$4</definedName>
    <definedName name="_xlnm.Print_Titles" localSheetId="10">November!$2:$4</definedName>
    <definedName name="_xlnm.Print_Titles" localSheetId="9">October!$2:$4</definedName>
    <definedName name="_xlnm.Print_Titles" localSheetId="8">September!$2:$4</definedName>
  </definedNames>
  <calcPr calcId="152511"/>
</workbook>
</file>

<file path=xl/calcChain.xml><?xml version="1.0" encoding="utf-8"?>
<calcChain xmlns="http://schemas.openxmlformats.org/spreadsheetml/2006/main">
  <c r="B10" i="4" l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P18" i="15" l="1"/>
  <c r="T18" i="15"/>
  <c r="AF10" i="15"/>
  <c r="AE10" i="15"/>
  <c r="T18" i="13"/>
  <c r="P18" i="13"/>
  <c r="AE10" i="13"/>
  <c r="T18" i="14"/>
  <c r="P18" i="14"/>
  <c r="AF10" i="14"/>
  <c r="AE10" i="14"/>
  <c r="T18" i="12"/>
  <c r="P18" i="12"/>
  <c r="AE10" i="12"/>
  <c r="P18" i="11"/>
  <c r="T18" i="11"/>
  <c r="AF10" i="11"/>
  <c r="AE10" i="11"/>
  <c r="P18" i="10"/>
  <c r="T18" i="10"/>
  <c r="AF10" i="10"/>
  <c r="AE10" i="10"/>
  <c r="T18" i="9"/>
  <c r="P18" i="9"/>
  <c r="AE10" i="9"/>
  <c r="P18" i="8"/>
  <c r="T18" i="8"/>
  <c r="AE10" i="8"/>
  <c r="AF10" i="8"/>
  <c r="T18" i="7"/>
  <c r="P18" i="7"/>
  <c r="AE10" i="7"/>
  <c r="T18" i="6"/>
  <c r="P18" i="6"/>
  <c r="AG5" i="15"/>
  <c r="AG6" i="15"/>
  <c r="AG7" i="15"/>
  <c r="AG8" i="15"/>
  <c r="AG9" i="15"/>
  <c r="AG5" i="13"/>
  <c r="AG6" i="13"/>
  <c r="AG7" i="13"/>
  <c r="AG8" i="13"/>
  <c r="AG9" i="13"/>
  <c r="AG5" i="14"/>
  <c r="AG6" i="14"/>
  <c r="AG7" i="14"/>
  <c r="AG8" i="14"/>
  <c r="AG9" i="14"/>
  <c r="AG5" i="12"/>
  <c r="AG6" i="12"/>
  <c r="AG7" i="12"/>
  <c r="AG8" i="12"/>
  <c r="AG9" i="12"/>
  <c r="AG5" i="11"/>
  <c r="AG6" i="11"/>
  <c r="AG7" i="11"/>
  <c r="AG8" i="11"/>
  <c r="AG9" i="11"/>
  <c r="AG5" i="10"/>
  <c r="AG6" i="10"/>
  <c r="AG7" i="10"/>
  <c r="AG8" i="10"/>
  <c r="AG9" i="10"/>
  <c r="AG5" i="9"/>
  <c r="AG6" i="9"/>
  <c r="AG7" i="9"/>
  <c r="AG8" i="9"/>
  <c r="AG9" i="9"/>
  <c r="AG5" i="8"/>
  <c r="AG6" i="8"/>
  <c r="AG7" i="8"/>
  <c r="AG8" i="8"/>
  <c r="AG9" i="8"/>
  <c r="AG5" i="7"/>
  <c r="AG6" i="7"/>
  <c r="AG7" i="7"/>
  <c r="AG8" i="7"/>
  <c r="AG9" i="7"/>
  <c r="AF10" i="6"/>
  <c r="AE10" i="6"/>
  <c r="AG5" i="6"/>
  <c r="AG6" i="6"/>
  <c r="AG7" i="6"/>
  <c r="AG8" i="6"/>
  <c r="AG9" i="6"/>
  <c r="AG10" i="6" l="1"/>
  <c r="AG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T18" i="5"/>
  <c r="P18" i="5"/>
  <c r="J18" i="7" l="1"/>
  <c r="A10" i="10" l="1"/>
  <c r="U18" i="6" l="1"/>
  <c r="U18" i="7"/>
  <c r="U18" i="8"/>
  <c r="U18" i="9"/>
  <c r="U18" i="10"/>
  <c r="U18" i="11"/>
  <c r="U18" i="12"/>
  <c r="U18" i="14"/>
  <c r="U18" i="13"/>
  <c r="U18" i="15"/>
  <c r="U18" i="5"/>
  <c r="Q18" i="6"/>
  <c r="Q18" i="7"/>
  <c r="Q18" i="8"/>
  <c r="Q18" i="9"/>
  <c r="Q18" i="10"/>
  <c r="Q18" i="11"/>
  <c r="Q18" i="12"/>
  <c r="Q18" i="14"/>
  <c r="Q18" i="13"/>
  <c r="Q18" i="15"/>
  <c r="Q18" i="5"/>
  <c r="N18" i="6"/>
  <c r="N18" i="7"/>
  <c r="N18" i="8"/>
  <c r="N18" i="9"/>
  <c r="N18" i="10"/>
  <c r="N18" i="11"/>
  <c r="N18" i="12"/>
  <c r="N18" i="14"/>
  <c r="N18" i="13"/>
  <c r="N18" i="15"/>
  <c r="N18" i="5"/>
  <c r="J18" i="6"/>
  <c r="J18" i="8"/>
  <c r="J18" i="9"/>
  <c r="J18" i="10"/>
  <c r="J18" i="11"/>
  <c r="J18" i="12"/>
  <c r="J18" i="14"/>
  <c r="J18" i="13"/>
  <c r="J18" i="15"/>
  <c r="J18" i="5"/>
  <c r="F18" i="6"/>
  <c r="F18" i="7"/>
  <c r="F18" i="8"/>
  <c r="F18" i="9"/>
  <c r="F18" i="10"/>
  <c r="F18" i="11"/>
  <c r="F18" i="12"/>
  <c r="F18" i="14"/>
  <c r="F18" i="13"/>
  <c r="F18" i="15"/>
  <c r="F18" i="5"/>
  <c r="M18" i="7"/>
  <c r="M18" i="8"/>
  <c r="M18" i="9"/>
  <c r="M18" i="10"/>
  <c r="M18" i="11"/>
  <c r="M18" i="12"/>
  <c r="M18" i="14"/>
  <c r="M18" i="13"/>
  <c r="M18" i="15"/>
  <c r="M18" i="6"/>
  <c r="I18" i="7"/>
  <c r="I18" i="8"/>
  <c r="I18" i="9"/>
  <c r="I18" i="10"/>
  <c r="I18" i="11"/>
  <c r="I18" i="12"/>
  <c r="I18" i="14"/>
  <c r="I18" i="13"/>
  <c r="I18" i="15"/>
  <c r="I18" i="6"/>
  <c r="E18" i="7"/>
  <c r="E18" i="8"/>
  <c r="E18" i="9"/>
  <c r="E18" i="10"/>
  <c r="E18" i="11"/>
  <c r="E18" i="12"/>
  <c r="E18" i="14"/>
  <c r="E18" i="13"/>
  <c r="E18" i="15"/>
  <c r="E18" i="6"/>
  <c r="E18" i="5"/>
  <c r="I18" i="5"/>
  <c r="M18" i="5"/>
  <c r="A10" i="15" l="1"/>
  <c r="A10" i="13"/>
  <c r="A10" i="14"/>
  <c r="A10" i="12"/>
  <c r="A10" i="11"/>
  <c r="A10" i="9"/>
  <c r="A10" i="8"/>
  <c r="A10" i="7"/>
  <c r="A10" i="6"/>
  <c r="A10" i="5"/>
  <c r="A10" i="4"/>
  <c r="AF3" i="15" l="1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8" i="15"/>
  <c r="AG2" i="15"/>
  <c r="B18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G2" i="14"/>
  <c r="B18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G2" i="13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B18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G2" i="12"/>
  <c r="B18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G2" i="11"/>
  <c r="B18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G2" i="10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18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G2" i="9"/>
  <c r="B18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G2" i="8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8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G2" i="7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18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2" i="6"/>
  <c r="AG10" i="12" l="1"/>
  <c r="AG10" i="14"/>
  <c r="AG10" i="9"/>
  <c r="AG10" i="10"/>
  <c r="AG10" i="7"/>
  <c r="AG10" i="8"/>
  <c r="AG10" i="11"/>
  <c r="AG10" i="13"/>
  <c r="AG9" i="5"/>
  <c r="AG8" i="5"/>
  <c r="AG7" i="5"/>
  <c r="B18" i="5"/>
  <c r="AG2" i="5"/>
  <c r="AG9" i="4"/>
  <c r="AG8" i="4"/>
  <c r="AG7" i="4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G6" i="5"/>
  <c r="AG5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G10" i="5" l="1"/>
  <c r="AG5" i="4"/>
  <c r="AG6" i="4"/>
  <c r="AG10" i="4" l="1"/>
  <c r="AD3" i="4"/>
  <c r="Z3" i="4"/>
  <c r="V3" i="4"/>
  <c r="N3" i="4"/>
  <c r="F3" i="4"/>
  <c r="AC3" i="4"/>
  <c r="Y3" i="4"/>
  <c r="Q3" i="4"/>
  <c r="M3" i="4"/>
  <c r="E3" i="4"/>
  <c r="L3" i="4"/>
  <c r="AF3" i="4"/>
  <c r="AB3" i="4"/>
  <c r="X3" i="4"/>
  <c r="R3" i="4"/>
  <c r="J3" i="4"/>
  <c r="D3" i="4"/>
  <c r="AE3" i="4"/>
  <c r="AA3" i="4"/>
  <c r="W3" i="4"/>
  <c r="S3" i="4"/>
  <c r="O3" i="4"/>
  <c r="K3" i="4"/>
  <c r="G3" i="4"/>
  <c r="C3" i="4"/>
  <c r="P3" i="4"/>
  <c r="H3" i="4"/>
  <c r="B3" i="4"/>
  <c r="U3" i="4"/>
  <c r="I3" i="4"/>
  <c r="T3" i="4"/>
</calcChain>
</file>

<file path=xl/sharedStrings.xml><?xml version="1.0" encoding="utf-8"?>
<sst xmlns="http://schemas.openxmlformats.org/spreadsheetml/2006/main" count="547" uniqueCount="68">
  <si>
    <t>Employee Absence Schedule</t>
  </si>
  <si>
    <t>Dates of Absence</t>
  </si>
  <si>
    <t>Employee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</si>
  <si>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</si>
  <si>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</si>
  <si>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</si>
  <si>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</si>
  <si>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</si>
  <si>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</si>
  <si>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</si>
  <si>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</si>
  <si>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</si>
  <si>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</si>
  <si>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</si>
  <si>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</si>
  <si>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</si>
  <si>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</si>
  <si>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</si>
  <si>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</si>
  <si>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</si>
  <si>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</si>
  <si>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</si>
  <si>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</si>
  <si>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</si>
  <si>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</si>
  <si>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</si>
  <si>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</si>
  <si>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</si>
  <si>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</si>
  <si>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</si>
  <si>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</si>
  <si>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</si>
  <si>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</si>
  <si>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</si>
  <si>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Days</t>
  </si>
  <si>
    <t>Employee 1</t>
  </si>
  <si>
    <t>S</t>
  </si>
  <si>
    <t>V</t>
  </si>
  <si>
    <t>Employee 2</t>
  </si>
  <si>
    <t xml:space="preserve"> </t>
  </si>
  <si>
    <t xml:space="preserve">  </t>
  </si>
  <si>
    <t>P</t>
  </si>
  <si>
    <t>January</t>
  </si>
  <si>
    <t>Vacation</t>
  </si>
  <si>
    <t>Personal</t>
  </si>
  <si>
    <t>Sick</t>
  </si>
  <si>
    <t>Custom 1</t>
  </si>
  <si>
    <t>Custom 2</t>
  </si>
  <si>
    <t>Color Key</t>
  </si>
  <si>
    <t>February</t>
  </si>
  <si>
    <t>Employee 3</t>
  </si>
  <si>
    <t>Employee 4</t>
  </si>
  <si>
    <t>Employee 5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</si>
  <si>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</si>
  <si>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</si>
  <si>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</si>
  <si>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</si>
  <si>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</si>
  <si>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</si>
  <si>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</si>
  <si>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</si>
  <si>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</si>
  <si>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</si>
  <si>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Joe Bloggs</t>
  </si>
  <si>
    <t>Martin Shields</t>
  </si>
  <si>
    <t>Helen Richardson</t>
  </si>
  <si>
    <t>Mike Goodhall</t>
  </si>
  <si>
    <t>Richard 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</si>
</sst>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horizontal="left" vertical="center"/>
    </xf>
    <xf numFmtId="0" fontId="7" fillId="0" borderId="0" applyNumberFormat="0" applyFill="0" applyBorder="0" applyAlignment="0" applyProtection="0"/>
    <xf numFmtId="0" fontId="5" fillId="0" borderId="0" applyNumberFormat="0" applyFill="0" applyBorder="0" applyProtection="0">
      <alignment vertical="top"/>
    </xf>
    <xf numFmtId="0" fontId="6" fillId="2" borderId="0" applyNumberFormat="0" applyBorder="0" applyAlignment="0" applyProtection="0">
      <alignment horizontal="center" vertical="center"/>
    </xf>
    <xf numFmtId="0" fontId="2" fillId="15" borderId="0" applyNumberFormat="0" applyProtection="0">
      <alignment horizontal="left" vertical="center" indent="1"/>
    </xf>
    <xf numFmtId="0" fontId="3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4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6" borderId="0" applyNumberFormat="0" applyBorder="0" applyAlignment="0" applyProtection="0"/>
    <xf numFmtId="0" fontId="1" fillId="8" borderId="0" applyNumberFormat="0" applyBorder="0" applyAlignment="0" applyProtection="0"/>
    <xf numFmtId="0" fontId="4" fillId="16" borderId="0" applyNumberFormat="0" applyBorder="0" applyAlignment="0" applyProtection="0"/>
    <xf numFmtId="0" fontId="1" fillId="19" borderId="0" applyNumberFormat="0" applyBorder="0" applyAlignment="0" applyProtection="0"/>
    <xf numFmtId="0" fontId="2" fillId="18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64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indent="2"/>
      <protection locked="0"/>
    </xf>
  </cellStyleXfs>
  <cellXfs count="57">
    <xf numFmtId="0" fontId="0" fillId="0" borderId="0" xfId="0">
      <alignment horizontal="left" vertical="center"/>
    </xf>
    <xf numFmtId="0" fontId="7" fillId="0" borderId="0" xfId="1" applyAlignment="1" applyProtection="1">
      <alignment vertical="top"/>
      <protection locked="0"/>
    </xf>
    <xf numFmtId="0" fontId="0" fillId="0" borderId="0" xfId="0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16" borderId="0" xfId="12" applyAlignment="1" applyProtection="1">
      <alignment horizontal="center" vertical="center"/>
      <protection locked="0"/>
    </xf>
    <xf numFmtId="0" fontId="1" fillId="2" borderId="0" xfId="21" applyAlignment="1" applyProtection="1">
      <alignment horizontal="left" vertical="center"/>
      <protection locked="0"/>
    </xf>
    <xf numFmtId="0" fontId="2" fillId="13" borderId="0" xfId="23" applyFont="1" applyAlignment="1" applyProtection="1">
      <alignment horizontal="center" vertical="center"/>
      <protection locked="0"/>
    </xf>
    <xf numFmtId="164" fontId="2" fillId="9" borderId="0" xfId="8" applyNumberFormat="1" applyFont="1" applyAlignment="1" applyProtection="1">
      <alignment horizontal="center" vertical="center"/>
      <protection locked="0"/>
    </xf>
    <xf numFmtId="164" fontId="2" fillId="14" borderId="0" xfId="24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21" applyFont="1" applyFill="1" applyBorder="1" applyAlignment="1" applyProtection="1">
      <alignment horizontal="center" vertical="center"/>
      <protection locked="0"/>
    </xf>
    <xf numFmtId="0" fontId="2" fillId="10" borderId="0" xfId="19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 indent="1"/>
      <protection locked="0"/>
    </xf>
    <xf numFmtId="0" fontId="1" fillId="2" borderId="0" xfId="21" applyAlignment="1" applyProtection="1">
      <alignment horizontal="center" vertical="center"/>
      <protection locked="0"/>
    </xf>
    <xf numFmtId="164" fontId="8" fillId="0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21" applyAlignment="1" applyProtection="1">
      <alignment horizontal="left" vertical="center" indent="1"/>
      <protection locked="0"/>
    </xf>
    <xf numFmtId="164" fontId="0" fillId="0" borderId="0" xfId="0" applyNumberForma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2" fillId="12" borderId="0" xfId="22" applyFont="1" applyAlignment="1" applyProtection="1">
      <alignment horizontal="left" vertical="center"/>
    </xf>
    <xf numFmtId="0" fontId="2" fillId="16" borderId="0" xfId="12" applyAlignment="1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" fillId="10" borderId="0" xfId="19" applyAlignment="1" applyProtection="1">
      <alignment horizontal="center" vertical="center"/>
    </xf>
    <xf numFmtId="0" fontId="2" fillId="13" borderId="0" xfId="23" applyAlignment="1" applyProtection="1">
      <alignment horizontal="center" vertical="center"/>
    </xf>
    <xf numFmtId="164" fontId="2" fillId="9" borderId="0" xfId="8" applyNumberFormat="1" applyAlignment="1" applyProtection="1">
      <alignment horizontal="center" vertical="center"/>
    </xf>
    <xf numFmtId="164" fontId="2" fillId="14" borderId="0" xfId="24" applyNumberFormat="1" applyAlignment="1" applyProtection="1">
      <alignment horizontal="center" vertical="center"/>
    </xf>
    <xf numFmtId="0" fontId="2" fillId="12" borderId="0" xfId="22" applyFont="1" applyAlignment="1" applyProtection="1">
      <alignment horizontal="center" vertical="center"/>
    </xf>
    <xf numFmtId="0" fontId="2" fillId="16" borderId="0" xfId="12" applyFont="1" applyAlignment="1" applyProtection="1">
      <alignment horizontal="center" vertical="center"/>
    </xf>
    <xf numFmtId="0" fontId="2" fillId="10" borderId="0" xfId="19" applyFont="1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4" fontId="2" fillId="9" borderId="0" xfId="8" applyNumberFormat="1" applyFont="1" applyAlignment="1" applyProtection="1">
      <alignment horizontal="center" vertical="center"/>
    </xf>
    <xf numFmtId="164" fontId="2" fillId="14" borderId="0" xfId="24" applyNumberFormat="1" applyFont="1" applyAlignment="1" applyProtection="1">
      <alignment horizontal="center" vertical="center"/>
    </xf>
    <xf numFmtId="0" fontId="2" fillId="12" borderId="0" xfId="22" applyAlignment="1" applyProtection="1">
      <alignment horizontal="left" vertical="center"/>
    </xf>
    <xf numFmtId="0" fontId="2" fillId="12" borderId="0" xfId="22" applyAlignment="1" applyProtection="1">
      <alignment horizontal="center" vertical="center"/>
    </xf>
    <xf numFmtId="0" fontId="0" fillId="0" borderId="0" xfId="0" applyProtection="1">
      <alignment horizontal="left" vertical="center"/>
      <protection locked="0"/>
    </xf>
    <xf numFmtId="0" fontId="1" fillId="0" borderId="0" xfId="26" applyFill="1" applyBorder="1">
      <alignment horizontal="left" vertical="center" indent="2"/>
      <protection locked="0"/>
    </xf>
    <xf numFmtId="164" fontId="1" fillId="0" borderId="0" xfId="25" applyFill="1" applyBorder="1" applyProtection="1">
      <alignment horizontal="center" vertical="center"/>
    </xf>
    <xf numFmtId="164" fontId="1" fillId="0" borderId="0" xfId="25" applyFill="1" applyBorder="1" applyProtection="1">
      <alignment horizontal="center" vertical="center"/>
      <protection locked="0"/>
    </xf>
    <xf numFmtId="164" fontId="1" fillId="0" borderId="0" xfId="25" applyProtection="1">
      <alignment horizontal="center" vertical="center"/>
      <protection locked="0"/>
    </xf>
    <xf numFmtId="164" fontId="1" fillId="0" borderId="0" xfId="25" applyProtection="1">
      <alignment horizontal="center" vertical="center"/>
    </xf>
    <xf numFmtId="0" fontId="2" fillId="12" borderId="0" xfId="22" applyProtection="1">
      <alignment horizontal="left" vertical="center" indent="1"/>
      <protection locked="0"/>
    </xf>
    <xf numFmtId="0" fontId="2" fillId="12" borderId="0" xfId="22" applyProtection="1">
      <alignment horizontal="left" vertical="center" indent="1"/>
    </xf>
    <xf numFmtId="0" fontId="2" fillId="21" borderId="0" xfId="4" applyFill="1" applyProtection="1">
      <alignment horizontal="left" vertical="center" indent="1"/>
      <protection locked="0"/>
    </xf>
    <xf numFmtId="0" fontId="6" fillId="2" borderId="0" xfId="3" applyProtection="1">
      <alignment horizontal="center" vertical="center"/>
      <protection locked="0"/>
    </xf>
    <xf numFmtId="0" fontId="6" fillId="2" borderId="0" xfId="3" applyAlignment="1" applyProtection="1">
      <alignment horizontal="left" vertical="center" indent="1"/>
      <protection locked="0"/>
    </xf>
    <xf numFmtId="0" fontId="6" fillId="2" borderId="0" xfId="3" applyAlignment="1" applyProtection="1">
      <alignment horizontal="right" vertical="center" indent="1"/>
      <protection locked="0"/>
    </xf>
    <xf numFmtId="0" fontId="6" fillId="2" borderId="0" xfId="3" applyAlignment="1" applyProtection="1">
      <alignment horizontal="center" vertical="center"/>
      <protection locked="0"/>
    </xf>
    <xf numFmtId="0" fontId="6" fillId="2" borderId="0" xfId="3" applyAlignment="1" applyProtection="1">
      <alignment horizontal="right" vertical="center" indent="1"/>
    </xf>
    <xf numFmtId="0" fontId="0" fillId="0" borderId="0" xfId="0" applyProtection="1">
      <alignment horizontal="left" vertical="center"/>
      <protection locked="0"/>
    </xf>
    <xf numFmtId="0" fontId="0" fillId="0" borderId="0" xfId="26" applyFont="1" applyFill="1" applyBorder="1">
      <alignment horizontal="left" vertical="center" indent="2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64" fontId="1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</xf>
  </cellXfs>
  <cellStyles count="27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Employee" xf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25" builtinId="25" customBuiltin="1"/>
  </cellStyles>
  <dxfs count="560"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6795556505021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TableStyleMedium2" defaultPivotStyle="PivotStyleLight16">
    <tableStyle name="Employee Absence Table" pivot="0" count="13">
      <tableStyleElement type="wholeTable" dxfId="559"/>
      <tableStyleElement type="headerRow" dxfId="558"/>
      <tableStyleElement type="totalRow" dxfId="557"/>
      <tableStyleElement type="firstColumn" dxfId="556"/>
      <tableStyleElement type="lastColumn" dxfId="555"/>
      <tableStyleElement type="firstRowStripe" dxfId="554"/>
      <tableStyleElement type="secondRowStripe" dxfId="553"/>
      <tableStyleElement type="firstColumnStripe" dxfId="552"/>
      <tableStyleElement type="secondColumnStripe" dxfId="551"/>
      <tableStyleElement type="firstHeaderCell" dxfId="550"/>
      <tableStyleElement type="lastHeaderCell" dxfId="549"/>
      <tableStyleElement type="firstTotalCell" dxfId="548"/>
      <tableStyleElement type="lastTotalCell" dxfId="5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180975</xdr:colOff>
      <xdr:row>0</xdr:row>
      <xdr:rowOff>609600</xdr:rowOff>
    </xdr:from>
    <xdr:to>
      <xdr:col>33</xdr:col>
      <xdr:colOff>104775</xdr:colOff>
      <xdr:row>1</xdr:row>
      <xdr:rowOff>171451</xdr:rowOff>
    </xdr:to>
    <xdr:sp macro="" textlink="">
      <xdr:nvSpPr>
        <xdr:cNvPr id="3" name="Data Entry Note" descr="Enter Year: Type year in cell AG2" title="Data Entry Tip"/>
        <xdr:cNvSpPr txBox="1"/>
      </xdr:nvSpPr>
      <xdr:spPr>
        <a:xfrm>
          <a:off x="10067925" y="609600"/>
          <a:ext cx="828675" cy="20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1">
                  <a:lumMod val="50000"/>
                </a:schemeClr>
              </a:solidFill>
            </a:rPr>
            <a:t>Enter Year: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57150</xdr:rowOff>
    </xdr:from>
    <xdr:ext cx="184731" cy="264560"/>
    <xdr:sp macro="" textlink="">
      <xdr:nvSpPr>
        <xdr:cNvPr id="2" name="TextBox 1"/>
        <xdr:cNvSpPr txBox="1"/>
      </xdr:nvSpPr>
      <xdr:spPr>
        <a:xfrm>
          <a:off x="3048000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3" name="tblJanuary" displayName="tblJanuary" ref="A4:AG10" totalsRowCount="1" headerRowDxfId="541" dataDxfId="540" totalsRowDxfId="539">
  <autoFilter ref="A4:A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Employee Name" totalsRowFunction="custom" totalsRowDxfId="236" dataCellStyle="Employee">
      <totalsRowFormula>MonthName&amp;" Total"</totalsRowFormula>
    </tableColumn>
    <tableColumn id="2" name="1" totalsRowFunction="custom" totalsRowDxfId="235" dataCellStyle="Total">
      <totalsRowFormula>SUBTOTAL(103,January!$B$5:$B$9)</totalsRowFormula>
    </tableColumn>
    <tableColumn id="3" name="2" totalsRowFunction="custom" totalsRowDxfId="234" dataCellStyle="Total">
      <totalsRowFormula>SUBTOTAL(103,January!$C$5:$C$9)</totalsRowFormula>
    </tableColumn>
    <tableColumn id="4" name="3" totalsRowFunction="custom" totalsRowDxfId="233" dataCellStyle="Total">
      <totalsRowFormula>SUBTOTAL(103,January!$D$5:$D$9)</totalsRowFormula>
    </tableColumn>
    <tableColumn id="5" name="4" totalsRowFunction="custom" totalsRowDxfId="232" dataCellStyle="Total">
      <totalsRowFormula>SUBTOTAL(103,January!$E$5:$E$9)</totalsRowFormula>
    </tableColumn>
    <tableColumn id="6" name="5" totalsRowFunction="custom" totalsRowDxfId="231" dataCellStyle="Total">
      <totalsRowFormula>SUBTOTAL(103,January!$F$5:$F$9)</totalsRowFormula>
    </tableColumn>
    <tableColumn id="7" name="6" totalsRowFunction="custom" totalsRowDxfId="230" dataCellStyle="Total">
      <totalsRowFormula>SUBTOTAL(103,January!$G$5:$G$9)</totalsRowFormula>
    </tableColumn>
    <tableColumn id="8" name="7" totalsRowFunction="custom" totalsRowDxfId="229" dataCellStyle="Total">
      <totalsRowFormula>SUBTOTAL(103,January!$H$5:$H$9)</totalsRowFormula>
    </tableColumn>
    <tableColumn id="9" name="8" totalsRowFunction="custom" totalsRowDxfId="228" dataCellStyle="Total">
      <totalsRowFormula>SUBTOTAL(103,January!$I$5:$I$9)</totalsRowFormula>
    </tableColumn>
    <tableColumn id="10" name="9" totalsRowFunction="custom" totalsRowDxfId="227" dataCellStyle="Total">
      <totalsRowFormula>SUBTOTAL(103,January!$J$5:$J$9)</totalsRowFormula>
    </tableColumn>
    <tableColumn id="11" name="10" totalsRowFunction="custom" totalsRowDxfId="226" dataCellStyle="Total">
      <totalsRowFormula>SUBTOTAL(103,January!$K$5:$K$9)</totalsRowFormula>
    </tableColumn>
    <tableColumn id="12" name="11" totalsRowFunction="custom" totalsRowDxfId="225" dataCellStyle="Total">
      <totalsRowFormula>SUBTOTAL(103,January!$L$5:$L$9)</totalsRowFormula>
    </tableColumn>
    <tableColumn id="13" name="12" totalsRowFunction="custom" totalsRowDxfId="224" dataCellStyle="Total">
      <totalsRowFormula>SUBTOTAL(103,January!$M$5:$M$9)</totalsRowFormula>
    </tableColumn>
    <tableColumn id="14" name="13" totalsRowFunction="custom" totalsRowDxfId="223" dataCellStyle="Total">
      <totalsRowFormula>SUBTOTAL(103,January!$N$5:$N$9)</totalsRowFormula>
    </tableColumn>
    <tableColumn id="15" name="14" totalsRowFunction="custom" totalsRowDxfId="222" dataCellStyle="Total">
      <totalsRowFormula>SUBTOTAL(103,January!$O$5:$O$9)</totalsRowFormula>
    </tableColumn>
    <tableColumn id="16" name="15" totalsRowFunction="custom" totalsRowDxfId="221" dataCellStyle="Total">
      <totalsRowFormula>SUBTOTAL(103,January!$P$5:$P$9)</totalsRowFormula>
    </tableColumn>
    <tableColumn id="17" name="16" totalsRowFunction="custom" totalsRowDxfId="220" dataCellStyle="Total">
      <totalsRowFormula>SUBTOTAL(103,January!$Q$5:$Q$9)</totalsRowFormula>
    </tableColumn>
    <tableColumn id="18" name="17" totalsRowFunction="custom" totalsRowDxfId="219" dataCellStyle="Total">
      <totalsRowFormula>SUBTOTAL(103,January!$R$5:$R$9)</totalsRowFormula>
    </tableColumn>
    <tableColumn id="19" name="18" totalsRowFunction="custom" totalsRowDxfId="218" dataCellStyle="Total">
      <totalsRowFormula>SUBTOTAL(103,January!$S$5:$S$9)</totalsRowFormula>
    </tableColumn>
    <tableColumn id="20" name="19" totalsRowFunction="custom" totalsRowDxfId="217" dataCellStyle="Total">
      <totalsRowFormula>SUBTOTAL(103,January!$T$5:$T$9)</totalsRowFormula>
    </tableColumn>
    <tableColumn id="21" name="20" totalsRowFunction="custom" totalsRowDxfId="216" dataCellStyle="Total">
      <totalsRowFormula>SUBTOTAL(103,January!$U$5:$U$9)</totalsRowFormula>
    </tableColumn>
    <tableColumn id="22" name="21" totalsRowFunction="custom" totalsRowDxfId="215" dataCellStyle="Total">
      <totalsRowFormula>SUBTOTAL(103,January!$V$5:$V$9)</totalsRowFormula>
    </tableColumn>
    <tableColumn id="23" name="22" totalsRowFunction="custom" totalsRowDxfId="214" dataCellStyle="Total">
      <totalsRowFormula>SUBTOTAL(103,January!$W$5:$W$9)</totalsRowFormula>
    </tableColumn>
    <tableColumn id="24" name="23" totalsRowFunction="custom" totalsRowDxfId="213" dataCellStyle="Total">
      <totalsRowFormula>SUBTOTAL(103,January!$X$5:$X$9)</totalsRowFormula>
    </tableColumn>
    <tableColumn id="25" name="24" totalsRowFunction="custom" totalsRowDxfId="212" dataCellStyle="Total">
      <totalsRowFormula>SUBTOTAL(103,January!$Y$5:$Y$9)</totalsRowFormula>
    </tableColumn>
    <tableColumn id="26" name="25" totalsRowFunction="custom" totalsRowDxfId="211" dataCellStyle="Total">
      <totalsRowFormula>SUBTOTAL(103,January!$Z$5:$Z$9)</totalsRowFormula>
    </tableColumn>
    <tableColumn id="27" name="26" totalsRowFunction="custom" totalsRowDxfId="210" dataCellStyle="Total">
      <totalsRowFormula>SUBTOTAL(103,January!$AA$5:$AA$9)</totalsRowFormula>
    </tableColumn>
    <tableColumn id="28" name="27" totalsRowFunction="custom" totalsRowDxfId="209" dataCellStyle="Total">
      <totalsRowFormula>SUBTOTAL(103,January!$AB$5:$AB$9)</totalsRowFormula>
    </tableColumn>
    <tableColumn id="29" name="28" totalsRowFunction="custom" totalsRowDxfId="208" dataCellStyle="Total">
      <totalsRowFormula>SUBTOTAL(103,January!$AC$5:$AC$9)</totalsRowFormula>
    </tableColumn>
    <tableColumn id="30" name="29" totalsRowFunction="custom" totalsRowDxfId="207" dataCellStyle="Total">
      <totalsRowFormula>SUBTOTAL(103,January!$AD$5:$AD$9)</totalsRowFormula>
    </tableColumn>
    <tableColumn id="31" name="30" totalsRowFunction="custom" totalsRowDxfId="206" dataCellStyle="Total">
      <totalsRowFormula>SUBTOTAL(103,January!$AE$5:$AE$9)</totalsRowFormula>
    </tableColumn>
    <tableColumn id="32" name="31" totalsRowFunction="custom" totalsRowDxfId="205" dataCellStyle="Total">
      <totalsRowFormula>SUBTOTAL(103,January!$AF$5:$AF$9)</totalsRowFormula>
    </tableColumn>
    <tableColumn id="33" name="Total Days" totalsRowFunction="sum" dataDxfId="538" totalsRowDxfId="204" dataCellStyle="Total">
      <calculatedColumnFormula>COUNTA(January!$B5:$AF5)</calculatedColumnFormula>
    </tableColumn>
  </tableColumns>
  <tableStyleInfo name="Employee Absence Table" showFirstColumn="1" showLastColumn="1" showRowStripes="1" showColumnStripes="0"/>
</table>
</file>

<file path=xl/tables/table10.xml><?xml version="1.0" encoding="utf-8"?>
<table xmlns="http://schemas.openxmlformats.org/spreadsheetml/2006/main" id="11" name="tblOctober" displayName="tblOctober" ref="A4:AG10" totalsRowCount="1" headerRowDxfId="390" dataDxfId="389" totalsRowDxfId="388" headerRowCellStyle="Normal" dataCellStyle="Normal" totalsRowCellStyle="Normal">
  <tableColumns count="33">
    <tableColumn id="1" name="Employee Name" totalsRowFunction="custom" dataDxfId="387" totalsRowDxfId="386" dataCellStyle="Employee">
      <totalsRowFormula>MonthName&amp;" Total"</totalsRowFormula>
    </tableColumn>
    <tableColumn id="2" name="1" totalsRowFunction="count" totalsRowDxfId="385" dataCellStyle="Total"/>
    <tableColumn id="3" name="2" totalsRowFunction="count" totalsRowDxfId="384" dataCellStyle="Total"/>
    <tableColumn id="4" name="3" totalsRowFunction="count" totalsRowDxfId="383" dataCellStyle="Total"/>
    <tableColumn id="5" name="4" totalsRowFunction="count" totalsRowDxfId="382" dataCellStyle="Total"/>
    <tableColumn id="6" name="5" totalsRowFunction="count" totalsRowDxfId="381" dataCellStyle="Total"/>
    <tableColumn id="7" name="6" totalsRowFunction="count" totalsRowDxfId="380" dataCellStyle="Total"/>
    <tableColumn id="8" name="7" totalsRowFunction="count" totalsRowDxfId="379" dataCellStyle="Total"/>
    <tableColumn id="9" name="8" totalsRowFunction="count" totalsRowDxfId="378" dataCellStyle="Total"/>
    <tableColumn id="10" name="9" totalsRowFunction="count" totalsRowDxfId="377" dataCellStyle="Total"/>
    <tableColumn id="11" name="10" totalsRowFunction="count" totalsRowDxfId="376" dataCellStyle="Total"/>
    <tableColumn id="12" name="11" totalsRowFunction="count" totalsRowDxfId="375" dataCellStyle="Total"/>
    <tableColumn id="13" name="12" totalsRowFunction="count" totalsRowDxfId="374" dataCellStyle="Total"/>
    <tableColumn id="14" name="13" totalsRowFunction="count" totalsRowDxfId="373" dataCellStyle="Total"/>
    <tableColumn id="15" name="14" totalsRowFunction="count" totalsRowDxfId="372" dataCellStyle="Total"/>
    <tableColumn id="16" name="15" totalsRowFunction="count" totalsRowDxfId="371" dataCellStyle="Total"/>
    <tableColumn id="17" name="16" totalsRowFunction="count" totalsRowDxfId="370" dataCellStyle="Total"/>
    <tableColumn id="18" name="17" totalsRowFunction="count" totalsRowDxfId="369" dataCellStyle="Total"/>
    <tableColumn id="19" name="18" totalsRowFunction="count" totalsRowDxfId="368" dataCellStyle="Total"/>
    <tableColumn id="20" name="19" totalsRowFunction="count" totalsRowDxfId="367" dataCellStyle="Total"/>
    <tableColumn id="21" name="20" totalsRowFunction="count" totalsRowDxfId="366" dataCellStyle="Total"/>
    <tableColumn id="22" name="21" totalsRowFunction="count" totalsRowDxfId="365" dataCellStyle="Total"/>
    <tableColumn id="23" name="22" totalsRowFunction="count" totalsRowDxfId="364" dataCellStyle="Total"/>
    <tableColumn id="24" name="23" totalsRowFunction="count" totalsRowDxfId="363" dataCellStyle="Total"/>
    <tableColumn id="25" name="24" totalsRowFunction="count" totalsRowDxfId="362" dataCellStyle="Total"/>
    <tableColumn id="26" name="25" totalsRowFunction="count" totalsRowDxfId="361" dataCellStyle="Total"/>
    <tableColumn id="27" name="26" totalsRowFunction="count" totalsRowDxfId="360" dataCellStyle="Total"/>
    <tableColumn id="28" name="27" totalsRowFunction="count" totalsRowDxfId="359" dataCellStyle="Total"/>
    <tableColumn id="29" name="28" totalsRowFunction="count" totalsRowDxfId="358" dataCellStyle="Total"/>
    <tableColumn id="30" name="29" totalsRowFunction="count" totalsRowDxfId="357" dataCellStyle="Total"/>
    <tableColumn id="31" name="30" totalsRowFunction="sum" totalsRowDxfId="356" dataCellStyle="Total"/>
    <tableColumn id="32" name="31" totalsRowFunction="sum" totalsRowDxfId="355" dataCellStyle="Total"/>
    <tableColumn id="33" name="Total Days" totalsRowFunction="sum" dataDxfId="354" totalsRowDxfId="353" dataCellStyle="Total">
      <calculatedColumnFormula>COUNTA(tblOctober[[#This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Octo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11.xml><?xml version="1.0" encoding="utf-8"?>
<table xmlns="http://schemas.openxmlformats.org/spreadsheetml/2006/main" id="10" name="tblNovember" displayName="tblNovember" ref="A4:AG10" totalsRowCount="1" headerRowDxfId="347" dataDxfId="346" totalsRowDxfId="345" headerRowCellStyle="Normal" dataCellStyle="Normal" totalsRowCellStyle="Normal">
  <tableColumns count="33">
    <tableColumn id="1" name="Employee Name" totalsRowFunction="custom" dataDxfId="344" totalsRowDxfId="343" dataCellStyle="Employee">
      <totalsRowFormula>MonthName&amp;" Total"</totalsRowFormula>
    </tableColumn>
    <tableColumn id="2" name="1" totalsRowFunction="count" totalsRowDxfId="342" dataCellStyle="Total"/>
    <tableColumn id="3" name="2" totalsRowFunction="count" totalsRowDxfId="341" dataCellStyle="Total"/>
    <tableColumn id="4" name="3" totalsRowFunction="count" totalsRowDxfId="340" dataCellStyle="Total"/>
    <tableColumn id="5" name="4" totalsRowFunction="count" totalsRowDxfId="339" dataCellStyle="Total"/>
    <tableColumn id="6" name="5" totalsRowFunction="count" totalsRowDxfId="338" dataCellStyle="Total"/>
    <tableColumn id="7" name="6" totalsRowFunction="count" totalsRowDxfId="337" dataCellStyle="Total"/>
    <tableColumn id="8" name="7" totalsRowFunction="count" totalsRowDxfId="336" dataCellStyle="Total"/>
    <tableColumn id="9" name="8" totalsRowFunction="count" totalsRowDxfId="335" dataCellStyle="Total"/>
    <tableColumn id="10" name="9" totalsRowFunction="count" totalsRowDxfId="334" dataCellStyle="Total"/>
    <tableColumn id="11" name="10" totalsRowFunction="count" totalsRowDxfId="333" dataCellStyle="Total"/>
    <tableColumn id="12" name="11" totalsRowFunction="count" totalsRowDxfId="332" dataCellStyle="Total"/>
    <tableColumn id="13" name="12" totalsRowFunction="count" totalsRowDxfId="331" dataCellStyle="Total"/>
    <tableColumn id="14" name="13" totalsRowFunction="count" totalsRowDxfId="330" dataCellStyle="Total"/>
    <tableColumn id="15" name="14" totalsRowFunction="count" totalsRowDxfId="329" dataCellStyle="Total"/>
    <tableColumn id="16" name="15" totalsRowFunction="count" totalsRowDxfId="328" dataCellStyle="Total"/>
    <tableColumn id="17" name="16" totalsRowFunction="count" totalsRowDxfId="327" dataCellStyle="Total"/>
    <tableColumn id="18" name="17" totalsRowFunction="count" totalsRowDxfId="326" dataCellStyle="Total"/>
    <tableColumn id="19" name="18" totalsRowFunction="count" totalsRowDxfId="325" dataCellStyle="Total"/>
    <tableColumn id="20" name="19" totalsRowFunction="count" totalsRowDxfId="324" dataCellStyle="Total"/>
    <tableColumn id="21" name="20" totalsRowFunction="count" totalsRowDxfId="323" dataCellStyle="Total"/>
    <tableColumn id="22" name="21" totalsRowFunction="count" totalsRowDxfId="322" dataCellStyle="Total"/>
    <tableColumn id="23" name="22" totalsRowFunction="count" totalsRowDxfId="321" dataCellStyle="Total"/>
    <tableColumn id="24" name="23" totalsRowFunction="count" totalsRowDxfId="320" dataCellStyle="Total"/>
    <tableColumn id="25" name="24" totalsRowFunction="count" totalsRowDxfId="319" dataCellStyle="Total"/>
    <tableColumn id="26" name="25" totalsRowFunction="count" totalsRowDxfId="318" dataCellStyle="Total"/>
    <tableColumn id="27" name="26" totalsRowFunction="count" totalsRowDxfId="317" dataCellStyle="Total"/>
    <tableColumn id="28" name="27" totalsRowFunction="count" totalsRowDxfId="316" dataCellStyle="Total"/>
    <tableColumn id="29" name="28" totalsRowFunction="count" totalsRowDxfId="315" dataCellStyle="Total"/>
    <tableColumn id="30" name="29" totalsRowFunction="count" totalsRowDxfId="314" dataCellStyle="Total"/>
    <tableColumn id="31" name="30" totalsRowFunction="sum" totalsRowDxfId="313" dataCellStyle="Total"/>
    <tableColumn id="32" name=" " totalsRowDxfId="312" dataCellStyle="Total"/>
    <tableColumn id="33" name="Total Days" totalsRowFunction="sum" dataDxfId="311" totalsRowDxfId="310" dataCellStyle="Total">
      <calculatedColumnFormula>COUNTA(tblNovember[[#This Row],[1]:[30]])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Nov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12.xml><?xml version="1.0" encoding="utf-8"?>
<table xmlns="http://schemas.openxmlformats.org/spreadsheetml/2006/main" id="12" name="tblDecember" displayName="tblDecember" ref="A4:AG10" totalsRowCount="1" headerRowDxfId="304" dataDxfId="303" totalsRowDxfId="302">
  <tableColumns count="33">
    <tableColumn id="1" name="Employee Name" totalsRowFunction="custom" dataDxfId="301" totalsRowDxfId="300" dataCellStyle="Employee">
      <totalsRowFormula>MonthName&amp;" Total"</totalsRowFormula>
    </tableColumn>
    <tableColumn id="2" name="1" totalsRowFunction="count" dataDxfId="299" totalsRowDxfId="298"/>
    <tableColumn id="3" name="2" totalsRowFunction="count" dataDxfId="297" totalsRowDxfId="296"/>
    <tableColumn id="4" name="3" totalsRowFunction="count" dataDxfId="295" totalsRowDxfId="294"/>
    <tableColumn id="5" name="4" totalsRowFunction="count" dataDxfId="293" totalsRowDxfId="292"/>
    <tableColumn id="6" name="5" totalsRowFunction="count" dataDxfId="291" totalsRowDxfId="290"/>
    <tableColumn id="7" name="6" totalsRowFunction="count" dataDxfId="289" totalsRowDxfId="288"/>
    <tableColumn id="8" name="7" totalsRowFunction="count" dataDxfId="287" totalsRowDxfId="286"/>
    <tableColumn id="9" name="8" totalsRowFunction="count" dataDxfId="285" totalsRowDxfId="284"/>
    <tableColumn id="10" name="9" totalsRowFunction="count" dataDxfId="283" totalsRowDxfId="282"/>
    <tableColumn id="11" name="10" totalsRowFunction="count" dataDxfId="281" totalsRowDxfId="280"/>
    <tableColumn id="12" name="11" totalsRowFunction="count" dataDxfId="279" totalsRowDxfId="278"/>
    <tableColumn id="13" name="12" totalsRowFunction="count" dataDxfId="277" totalsRowDxfId="276"/>
    <tableColumn id="14" name="13" totalsRowFunction="count" dataDxfId="275" totalsRowDxfId="274"/>
    <tableColumn id="15" name="14" totalsRowFunction="count" dataDxfId="273" totalsRowDxfId="272"/>
    <tableColumn id="16" name="15" totalsRowFunction="count" dataDxfId="271" totalsRowDxfId="270"/>
    <tableColumn id="17" name="16" totalsRowFunction="count" dataDxfId="269" totalsRowDxfId="268"/>
    <tableColumn id="18" name="17" totalsRowFunction="count" dataDxfId="267" totalsRowDxfId="266"/>
    <tableColumn id="19" name="18" totalsRowFunction="count" dataDxfId="265" totalsRowDxfId="264"/>
    <tableColumn id="20" name="19" totalsRowFunction="count" dataDxfId="263" totalsRowDxfId="262"/>
    <tableColumn id="21" name="20" totalsRowFunction="count" dataDxfId="261" totalsRowDxfId="260"/>
    <tableColumn id="22" name="21" totalsRowFunction="count" dataDxfId="259" totalsRowDxfId="258"/>
    <tableColumn id="23" name="22" totalsRowFunction="count" dataDxfId="257" totalsRowDxfId="256"/>
    <tableColumn id="24" name="23" totalsRowFunction="count" dataDxfId="255" totalsRowDxfId="254"/>
    <tableColumn id="25" name="24" totalsRowFunction="count" dataDxfId="253" totalsRowDxfId="252"/>
    <tableColumn id="26" name="25" totalsRowFunction="count" dataDxfId="251" totalsRowDxfId="250"/>
    <tableColumn id="27" name="26" totalsRowFunction="count" dataDxfId="249" totalsRowDxfId="248"/>
    <tableColumn id="28" name="27" totalsRowFunction="count" dataDxfId="247" totalsRowDxfId="246"/>
    <tableColumn id="29" name="28" totalsRowFunction="count" dataDxfId="245" totalsRowDxfId="244"/>
    <tableColumn id="30" name="29" totalsRowFunction="count" dataDxfId="243" totalsRowDxfId="242"/>
    <tableColumn id="31" name="30" totalsRowFunction="sum" dataDxfId="241" totalsRowDxfId="240"/>
    <tableColumn id="32" name="31" totalsRowFunction="sum" totalsRowDxfId="239" dataCellStyle="Total"/>
    <tableColumn id="33" name="Total Days" totalsRowFunction="sum" dataDxfId="238" totalsRowDxfId="237" dataCellStyle="Total">
      <calculatedColumnFormula>COUNTA(tblDecember[[#This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Dec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2.xml><?xml version="1.0" encoding="utf-8"?>
<table xmlns="http://schemas.openxmlformats.org/spreadsheetml/2006/main" id="2" name="tblFebruary" displayName="tblFebruary" ref="A4:AG10" totalsRowCount="1" headerRowDxfId="530" dataDxfId="529" totalsRowDxfId="528">
  <tableColumns count="33">
    <tableColumn id="1" name="Employee Name" totalsRowFunction="custom" dataDxfId="203" totalsRowDxfId="202" dataCellStyle="Employee">
      <totalsRowFormula>MonthName&amp;" Total"</totalsRowFormula>
    </tableColumn>
    <tableColumn id="2" name="1" totalsRowFunction="count" totalsRowDxfId="201" dataCellStyle="Total"/>
    <tableColumn id="3" name="2" totalsRowFunction="count" totalsRowDxfId="200" dataCellStyle="Total"/>
    <tableColumn id="4" name="3" totalsRowFunction="count" totalsRowDxfId="199" dataCellStyle="Total"/>
    <tableColumn id="5" name="4" totalsRowFunction="count" totalsRowDxfId="198" dataCellStyle="Total"/>
    <tableColumn id="6" name="5" totalsRowFunction="count" totalsRowDxfId="197" dataCellStyle="Total"/>
    <tableColumn id="7" name="6" totalsRowFunction="count" totalsRowDxfId="196" dataCellStyle="Total"/>
    <tableColumn id="8" name="7" totalsRowFunction="count" totalsRowDxfId="195" dataCellStyle="Total"/>
    <tableColumn id="9" name="8" totalsRowFunction="count" totalsRowDxfId="194" dataCellStyle="Total"/>
    <tableColumn id="10" name="9" totalsRowFunction="count" totalsRowDxfId="193" dataCellStyle="Total"/>
    <tableColumn id="11" name="10" totalsRowFunction="count" totalsRowDxfId="192" dataCellStyle="Total"/>
    <tableColumn id="12" name="11" totalsRowFunction="count" totalsRowDxfId="191" dataCellStyle="Total"/>
    <tableColumn id="13" name="12" totalsRowFunction="count" totalsRowDxfId="190" dataCellStyle="Total"/>
    <tableColumn id="14" name="13" totalsRowFunction="count" totalsRowDxfId="189" dataCellStyle="Total"/>
    <tableColumn id="15" name="14" totalsRowFunction="count" totalsRowDxfId="188" dataCellStyle="Total"/>
    <tableColumn id="16" name="15" totalsRowFunction="count" totalsRowDxfId="187" dataCellStyle="Total"/>
    <tableColumn id="17" name="16" totalsRowFunction="count" totalsRowDxfId="186" dataCellStyle="Total"/>
    <tableColumn id="18" name="17" totalsRowFunction="count" totalsRowDxfId="185" dataCellStyle="Total"/>
    <tableColumn id="19" name="18" totalsRowFunction="count" totalsRowDxfId="184" dataCellStyle="Total"/>
    <tableColumn id="20" name="19" totalsRowFunction="count" totalsRowDxfId="183" dataCellStyle="Total"/>
    <tableColumn id="21" name="20" totalsRowFunction="count" totalsRowDxfId="182" dataCellStyle="Total"/>
    <tableColumn id="22" name="21" totalsRowFunction="count" totalsRowDxfId="181" dataCellStyle="Total"/>
    <tableColumn id="23" name="22" totalsRowFunction="count" totalsRowDxfId="180" dataCellStyle="Total"/>
    <tableColumn id="24" name="23" totalsRowFunction="count" totalsRowDxfId="179" dataCellStyle="Total"/>
    <tableColumn id="25" name="24" totalsRowFunction="count" totalsRowDxfId="178" dataCellStyle="Total"/>
    <tableColumn id="26" name="25" totalsRowFunction="count" totalsRowDxfId="177" dataCellStyle="Total"/>
    <tableColumn id="27" name="26" totalsRowFunction="count" totalsRowDxfId="176" dataCellStyle="Total"/>
    <tableColumn id="28" name="27" totalsRowFunction="count" totalsRowDxfId="175" dataCellStyle="Total"/>
    <tableColumn id="29" name="28" totalsRowFunction="count" totalsRowDxfId="174" dataCellStyle="Total"/>
    <tableColumn id="30" name="29" totalsRowFunction="count" totalsRowDxfId="173" dataCellStyle="Total"/>
    <tableColumn id="31" name=" " totalsRowDxfId="172" dataCellStyle="Total"/>
    <tableColumn id="32" name="  " totalsRowDxfId="171" dataCellStyle="Total"/>
    <tableColumn id="33" name="Total Days" totalsRowFunction="sum" dataDxfId="527" totalsRowDxfId="170" dataCellStyle="Total">
      <calculatedColumnFormula>COUNTA(tblFebruary[[#This Row],[1]:[29]])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Februar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3.xml><?xml version="1.0" encoding="utf-8"?>
<table xmlns="http://schemas.openxmlformats.org/spreadsheetml/2006/main" id="1" name="tblMarch" displayName="tblMarch" ref="A4:AG10" totalsRowCount="1" headerRowDxfId="521" dataDxfId="520" totalsRowDxfId="519" headerRowCellStyle="Normal" dataCellStyle="Normal" totalsRowCellStyle="Normal">
  <tableColumns count="33">
    <tableColumn id="1" name="Employee Name" totalsRowFunction="custom" dataDxfId="169" totalsRowDxfId="168" dataCellStyle="Employee">
      <totalsRowFormula>MonthName&amp;" Total"</totalsRowFormula>
    </tableColumn>
    <tableColumn id="2" name="1" totalsRowFunction="count" totalsRowDxfId="167" dataCellStyle="Total"/>
    <tableColumn id="3" name="2" totalsRowFunction="count" totalsRowDxfId="166" dataCellStyle="Total"/>
    <tableColumn id="4" name="3" totalsRowFunction="count" totalsRowDxfId="165" dataCellStyle="Total"/>
    <tableColumn id="5" name="4" totalsRowFunction="count" totalsRowDxfId="164" dataCellStyle="Total"/>
    <tableColumn id="6" name="5" totalsRowFunction="count" totalsRowDxfId="163" dataCellStyle="Total"/>
    <tableColumn id="7" name="6" totalsRowFunction="count" totalsRowDxfId="162" dataCellStyle="Total"/>
    <tableColumn id="8" name="7" totalsRowFunction="count" totalsRowDxfId="161" dataCellStyle="Total"/>
    <tableColumn id="9" name="8" totalsRowFunction="count" totalsRowDxfId="160" dataCellStyle="Total"/>
    <tableColumn id="10" name="9" totalsRowFunction="count" totalsRowDxfId="159" dataCellStyle="Total"/>
    <tableColumn id="11" name="10" totalsRowFunction="count" totalsRowDxfId="158" dataCellStyle="Total"/>
    <tableColumn id="12" name="11" totalsRowFunction="count" totalsRowDxfId="157" dataCellStyle="Total"/>
    <tableColumn id="13" name="12" totalsRowFunction="count" totalsRowDxfId="156" dataCellStyle="Total"/>
    <tableColumn id="14" name="13" totalsRowFunction="count" totalsRowDxfId="155" dataCellStyle="Total"/>
    <tableColumn id="15" name="14" totalsRowFunction="count" totalsRowDxfId="154" dataCellStyle="Total"/>
    <tableColumn id="16" name="15" totalsRowFunction="count" totalsRowDxfId="153" dataCellStyle="Total"/>
    <tableColumn id="17" name="16" totalsRowFunction="count" totalsRowDxfId="152" dataCellStyle="Total"/>
    <tableColumn id="18" name="17" totalsRowFunction="count" totalsRowDxfId="151" dataCellStyle="Total"/>
    <tableColumn id="19" name="18" totalsRowFunction="count" totalsRowDxfId="150" dataCellStyle="Total"/>
    <tableColumn id="20" name="19" totalsRowFunction="count" totalsRowDxfId="149" dataCellStyle="Total"/>
    <tableColumn id="21" name="20" totalsRowFunction="count" totalsRowDxfId="148" dataCellStyle="Total"/>
    <tableColumn id="22" name="21" totalsRowFunction="count" totalsRowDxfId="147" dataCellStyle="Total"/>
    <tableColumn id="23" name="22" totalsRowFunction="count" totalsRowDxfId="146" dataCellStyle="Total"/>
    <tableColumn id="24" name="23" totalsRowFunction="count" totalsRowDxfId="145" dataCellStyle="Total"/>
    <tableColumn id="25" name="24" totalsRowFunction="count" totalsRowDxfId="144" dataCellStyle="Total"/>
    <tableColumn id="26" name="25" totalsRowFunction="count" totalsRowDxfId="143" dataCellStyle="Total"/>
    <tableColumn id="27" name="26" totalsRowFunction="count" totalsRowDxfId="142" dataCellStyle="Total"/>
    <tableColumn id="28" name="27" totalsRowFunction="count" totalsRowDxfId="141" dataCellStyle="Total"/>
    <tableColumn id="29" name="28" totalsRowFunction="count" totalsRowDxfId="140" dataCellStyle="Total"/>
    <tableColumn id="30" name="29" totalsRowFunction="count" totalsRowDxfId="139" dataCellStyle="Total"/>
    <tableColumn id="31" name="30" totalsRowFunction="sum" totalsRowDxfId="138" dataCellStyle="Total"/>
    <tableColumn id="32" name="31" totalsRowFunction="sum" totalsRowDxfId="137" dataCellStyle="Total"/>
    <tableColumn id="33" name="Total Days" totalsRowFunction="sum" dataDxfId="518" totalsRowDxfId="136" dataCellStyle="Total">
      <calculatedColumnFormula>COUNTA(tblMarch[[#This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March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4.xml><?xml version="1.0" encoding="utf-8"?>
<table xmlns="http://schemas.openxmlformats.org/spreadsheetml/2006/main" id="4" name="tblApril" displayName="tblApril" ref="A4:AG10" totalsRowCount="1" headerRowDxfId="512" dataDxfId="511" totalsRowDxfId="510" headerRowCellStyle="Normal" dataCellStyle="Normal" totalsRowCellStyle="Normal">
  <tableColumns count="33">
    <tableColumn id="1" name="Employee Name" totalsRowFunction="custom" dataDxfId="135" totalsRowDxfId="134" dataCellStyle="Employee">
      <totalsRowFormula>MonthName&amp;" Total"</totalsRowFormula>
    </tableColumn>
    <tableColumn id="2" name="1" totalsRowFunction="count" totalsRowDxfId="133" dataCellStyle="Total"/>
    <tableColumn id="3" name="2" totalsRowFunction="count" totalsRowDxfId="132" dataCellStyle="Total"/>
    <tableColumn id="4" name="3" totalsRowFunction="count" totalsRowDxfId="131" dataCellStyle="Total"/>
    <tableColumn id="5" name="4" totalsRowFunction="count" totalsRowDxfId="130" dataCellStyle="Total"/>
    <tableColumn id="6" name="5" totalsRowFunction="count" totalsRowDxfId="129" dataCellStyle="Total"/>
    <tableColumn id="7" name="6" totalsRowFunction="count" totalsRowDxfId="128" dataCellStyle="Total"/>
    <tableColumn id="8" name="7" totalsRowFunction="count" totalsRowDxfId="127" dataCellStyle="Total"/>
    <tableColumn id="9" name="8" totalsRowFunction="count" totalsRowDxfId="126" dataCellStyle="Total"/>
    <tableColumn id="10" name="9" totalsRowFunction="count" totalsRowDxfId="125" dataCellStyle="Total"/>
    <tableColumn id="11" name="10" totalsRowFunction="count" totalsRowDxfId="124" dataCellStyle="Total"/>
    <tableColumn id="12" name="11" totalsRowFunction="count" totalsRowDxfId="123" dataCellStyle="Total"/>
    <tableColumn id="13" name="12" totalsRowFunction="count" totalsRowDxfId="122" dataCellStyle="Total"/>
    <tableColumn id="14" name="13" totalsRowFunction="count" totalsRowDxfId="121" dataCellStyle="Total"/>
    <tableColumn id="15" name="14" totalsRowFunction="count" totalsRowDxfId="120" dataCellStyle="Total"/>
    <tableColumn id="16" name="15" totalsRowFunction="count" totalsRowDxfId="119" dataCellStyle="Total"/>
    <tableColumn id="17" name="16" totalsRowFunction="count" totalsRowDxfId="118" dataCellStyle="Total"/>
    <tableColumn id="18" name="17" totalsRowFunction="count" totalsRowDxfId="117" dataCellStyle="Total"/>
    <tableColumn id="19" name="18" totalsRowFunction="count" totalsRowDxfId="116" dataCellStyle="Total"/>
    <tableColumn id="20" name="19" totalsRowFunction="count" totalsRowDxfId="115" dataCellStyle="Total"/>
    <tableColumn id="21" name="20" totalsRowFunction="count" totalsRowDxfId="114" dataCellStyle="Total"/>
    <tableColumn id="22" name="21" totalsRowFunction="count" totalsRowDxfId="113" dataCellStyle="Total"/>
    <tableColumn id="23" name="22" totalsRowFunction="count" totalsRowDxfId="112" dataCellStyle="Total"/>
    <tableColumn id="24" name="23" totalsRowFunction="count" totalsRowDxfId="111" dataCellStyle="Total"/>
    <tableColumn id="25" name="24" totalsRowFunction="count" totalsRowDxfId="110" dataCellStyle="Total"/>
    <tableColumn id="26" name="25" totalsRowFunction="count" totalsRowDxfId="109" dataCellStyle="Total"/>
    <tableColumn id="27" name="26" totalsRowFunction="count" totalsRowDxfId="108" dataCellStyle="Total"/>
    <tableColumn id="28" name="27" totalsRowFunction="count" totalsRowDxfId="107" dataCellStyle="Total"/>
    <tableColumn id="29" name="28" totalsRowFunction="count" totalsRowDxfId="106" dataCellStyle="Total"/>
    <tableColumn id="30" name="29" totalsRowFunction="count" totalsRowDxfId="105" dataCellStyle="Total"/>
    <tableColumn id="31" name="30" totalsRowFunction="sum" totalsRowDxfId="104" dataCellStyle="Total"/>
    <tableColumn id="32" name=" " totalsRowDxfId="103" dataCellStyle="Total"/>
    <tableColumn id="33" name="Total Days" totalsRowFunction="sum" dataDxfId="509" totalsRowDxfId="102" dataCellStyle="Total">
      <calculatedColumnFormula>COUNTA(tblApril[[#This Row],[1]:[30]])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April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5.xml><?xml version="1.0" encoding="utf-8"?>
<table xmlns="http://schemas.openxmlformats.org/spreadsheetml/2006/main" id="5" name="tblMay" displayName="tblMay" ref="A4:AG10" totalsRowCount="1" headerRowDxfId="503" dataDxfId="502" totalsRowDxfId="501" headerRowCellStyle="Normal" dataCellStyle="Normal" totalsRowCellStyle="Normal">
  <tableColumns count="33">
    <tableColumn id="1" name="Employee Name" totalsRowFunction="custom" dataDxfId="101" totalsRowDxfId="100" dataCellStyle="Employee">
      <totalsRowFormula>MonthName&amp;" Total"</totalsRowFormula>
    </tableColumn>
    <tableColumn id="2" name="1" totalsRowFunction="count" totalsRowDxfId="99" dataCellStyle="Total"/>
    <tableColumn id="3" name="2" totalsRowFunction="count" totalsRowDxfId="98" dataCellStyle="Total"/>
    <tableColumn id="4" name="3" totalsRowFunction="count" totalsRowDxfId="97" dataCellStyle="Total"/>
    <tableColumn id="5" name="4" totalsRowFunction="count" totalsRowDxfId="96" dataCellStyle="Total"/>
    <tableColumn id="6" name="5" totalsRowFunction="count" totalsRowDxfId="95" dataCellStyle="Total"/>
    <tableColumn id="7" name="6" totalsRowFunction="count" totalsRowDxfId="94" dataCellStyle="Total"/>
    <tableColumn id="8" name="7" totalsRowFunction="count" totalsRowDxfId="93" dataCellStyle="Total"/>
    <tableColumn id="9" name="8" totalsRowFunction="count" totalsRowDxfId="92" dataCellStyle="Total"/>
    <tableColumn id="10" name="9" totalsRowFunction="count" totalsRowDxfId="91" dataCellStyle="Total"/>
    <tableColumn id="11" name="10" totalsRowFunction="count" totalsRowDxfId="90" dataCellStyle="Total"/>
    <tableColumn id="12" name="11" totalsRowFunction="count" totalsRowDxfId="89" dataCellStyle="Total"/>
    <tableColumn id="13" name="12" totalsRowFunction="count" totalsRowDxfId="88" dataCellStyle="Total"/>
    <tableColumn id="14" name="13" totalsRowFunction="count" totalsRowDxfId="87" dataCellStyle="Total"/>
    <tableColumn id="15" name="14" totalsRowFunction="count" totalsRowDxfId="86" dataCellStyle="Total"/>
    <tableColumn id="16" name="15" totalsRowFunction="count" totalsRowDxfId="85" dataCellStyle="Total"/>
    <tableColumn id="17" name="16" totalsRowFunction="count" totalsRowDxfId="84" dataCellStyle="Total"/>
    <tableColumn id="18" name="17" totalsRowFunction="count" totalsRowDxfId="83" dataCellStyle="Total"/>
    <tableColumn id="19" name="18" totalsRowFunction="count" totalsRowDxfId="82" dataCellStyle="Total"/>
    <tableColumn id="20" name="19" totalsRowFunction="count" totalsRowDxfId="81" dataCellStyle="Total"/>
    <tableColumn id="21" name="20" totalsRowFunction="count" totalsRowDxfId="80" dataCellStyle="Total"/>
    <tableColumn id="22" name="21" totalsRowFunction="count" totalsRowDxfId="79" dataCellStyle="Total"/>
    <tableColumn id="23" name="22" totalsRowFunction="count" totalsRowDxfId="78" dataCellStyle="Total"/>
    <tableColumn id="24" name="23" totalsRowFunction="count" totalsRowDxfId="77" dataCellStyle="Total"/>
    <tableColumn id="25" name="24" totalsRowFunction="count" totalsRowDxfId="76" dataCellStyle="Total"/>
    <tableColumn id="26" name="25" totalsRowFunction="count" totalsRowDxfId="75" dataCellStyle="Total"/>
    <tableColumn id="27" name="26" totalsRowFunction="count" totalsRowDxfId="74" dataCellStyle="Total"/>
    <tableColumn id="28" name="27" totalsRowFunction="count" totalsRowDxfId="73" dataCellStyle="Total"/>
    <tableColumn id="29" name="28" totalsRowFunction="count" totalsRowDxfId="72" dataCellStyle="Total"/>
    <tableColumn id="30" name="29" totalsRowFunction="count" totalsRowDxfId="71" dataCellStyle="Total"/>
    <tableColumn id="31" name="30" totalsRowFunction="sum" totalsRowDxfId="70" dataCellStyle="Total"/>
    <tableColumn id="32" name="31" totalsRowFunction="sum" totalsRowDxfId="69" dataCellStyle="Total"/>
    <tableColumn id="33" name="Total Days" totalsRowFunction="sum" dataDxfId="500" totalsRowDxfId="68" dataCellStyle="Total">
      <calculatedColumnFormula>COUNTA(tblMay[[#This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Ma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6.xml><?xml version="1.0" encoding="utf-8"?>
<table xmlns="http://schemas.openxmlformats.org/spreadsheetml/2006/main" id="6" name="tblJune" displayName="tblJune" ref="A4:AG10" totalsRowCount="1" headerRowDxfId="494" dataDxfId="493" totalsRowDxfId="492" headerRowCellStyle="Normal" dataCellStyle="Normal" totalsRowCellStyle="Normal">
  <tableColumns count="33">
    <tableColumn id="1" name="Employee Name" totalsRowFunction="custom" dataDxfId="67" totalsRowDxfId="66" dataCellStyle="Employee">
      <totalsRowFormula>MonthName&amp;" Total"</totalsRowFormula>
    </tableColumn>
    <tableColumn id="2" name="1" totalsRowFunction="count" totalsRowDxfId="65" dataCellStyle="Total"/>
    <tableColumn id="3" name="2" totalsRowFunction="count" totalsRowDxfId="64" dataCellStyle="Total"/>
    <tableColumn id="4" name="3" totalsRowFunction="count" totalsRowDxfId="63" dataCellStyle="Total"/>
    <tableColumn id="5" name="4" totalsRowFunction="count" totalsRowDxfId="62" dataCellStyle="Total"/>
    <tableColumn id="6" name="5" totalsRowFunction="count" totalsRowDxfId="61" dataCellStyle="Total"/>
    <tableColumn id="7" name="6" totalsRowFunction="count" totalsRowDxfId="60" dataCellStyle="Total"/>
    <tableColumn id="8" name="7" totalsRowFunction="count" totalsRowDxfId="59" dataCellStyle="Total"/>
    <tableColumn id="9" name="8" totalsRowFunction="count" totalsRowDxfId="58" dataCellStyle="Total"/>
    <tableColumn id="10" name="9" totalsRowFunction="count" totalsRowDxfId="57" dataCellStyle="Total"/>
    <tableColumn id="11" name="10" totalsRowFunction="count" totalsRowDxfId="56" dataCellStyle="Total"/>
    <tableColumn id="12" name="11" totalsRowFunction="count" totalsRowDxfId="55" dataCellStyle="Total"/>
    <tableColumn id="13" name="12" totalsRowFunction="count" totalsRowDxfId="54" dataCellStyle="Total"/>
    <tableColumn id="14" name="13" totalsRowFunction="count" totalsRowDxfId="53" dataCellStyle="Total"/>
    <tableColumn id="15" name="14" totalsRowFunction="count" totalsRowDxfId="52" dataCellStyle="Total"/>
    <tableColumn id="16" name="15" totalsRowFunction="count" totalsRowDxfId="51" dataCellStyle="Total"/>
    <tableColumn id="17" name="16" totalsRowFunction="count" totalsRowDxfId="50" dataCellStyle="Total"/>
    <tableColumn id="18" name="17" totalsRowFunction="count" totalsRowDxfId="49" dataCellStyle="Total"/>
    <tableColumn id="19" name="18" totalsRowFunction="count" totalsRowDxfId="48" dataCellStyle="Total"/>
    <tableColumn id="20" name="19" totalsRowFunction="count" totalsRowDxfId="47" dataCellStyle="Total"/>
    <tableColumn id="21" name="20" totalsRowFunction="count" totalsRowDxfId="46" dataCellStyle="Total"/>
    <tableColumn id="22" name="21" totalsRowFunction="count" totalsRowDxfId="45" dataCellStyle="Total"/>
    <tableColumn id="23" name="22" totalsRowFunction="count" totalsRowDxfId="44" dataCellStyle="Total"/>
    <tableColumn id="24" name="23" totalsRowFunction="count" totalsRowDxfId="43" dataCellStyle="Total"/>
    <tableColumn id="25" name="24" totalsRowFunction="count" totalsRowDxfId="42" dataCellStyle="Total"/>
    <tableColumn id="26" name="25" totalsRowFunction="count" totalsRowDxfId="41" dataCellStyle="Total"/>
    <tableColumn id="27" name="26" totalsRowFunction="count" totalsRowDxfId="40" dataCellStyle="Total"/>
    <tableColumn id="28" name="27" totalsRowFunction="count" totalsRowDxfId="39" dataCellStyle="Total"/>
    <tableColumn id="29" name="28" totalsRowFunction="count" totalsRowDxfId="38" dataCellStyle="Total"/>
    <tableColumn id="30" name="29" totalsRowFunction="count" totalsRowDxfId="37" dataCellStyle="Total"/>
    <tableColumn id="31" name="30" totalsRowFunction="sum" totalsRowDxfId="36" dataCellStyle="Total"/>
    <tableColumn id="32" name=" " totalsRowDxfId="35" dataCellStyle="Total"/>
    <tableColumn id="33" name="Total Days" totalsRowFunction="sum" dataDxfId="491" totalsRowDxfId="34" dataCellStyle="Total">
      <calculatedColumnFormula>COUNTA(tblJune[[#This Row],[1]:[30]])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June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7.xml><?xml version="1.0" encoding="utf-8"?>
<table xmlns="http://schemas.openxmlformats.org/spreadsheetml/2006/main" id="7" name="tblJuly" displayName="tblJuly" ref="A4:AG10" totalsRowCount="1" headerRowDxfId="485" dataDxfId="484" totalsRowDxfId="483" headerRowCellStyle="Normal" dataCellStyle="Normal" totalsRowCellStyle="Normal">
  <tableColumns count="33">
    <tableColumn id="1" name="Employee Name" totalsRowFunction="custom" dataDxfId="33" totalsRowDxfId="32" dataCellStyle="Employee">
      <totalsRowFormula>MonthName&amp;" Total"</totalsRowFormula>
    </tableColumn>
    <tableColumn id="2" name="1" totalsRowFunction="count" totalsRowDxfId="31" dataCellStyle="Total"/>
    <tableColumn id="3" name="2" totalsRowFunction="count" totalsRowDxfId="30" dataCellStyle="Total"/>
    <tableColumn id="4" name="3" totalsRowFunction="count" totalsRowDxfId="29" dataCellStyle="Total"/>
    <tableColumn id="5" name="4" totalsRowFunction="count" totalsRowDxfId="28" dataCellStyle="Total"/>
    <tableColumn id="6" name="5" totalsRowFunction="count" totalsRowDxfId="27" dataCellStyle="Total"/>
    <tableColumn id="7" name="6" totalsRowFunction="count" totalsRowDxfId="26" dataCellStyle="Total"/>
    <tableColumn id="8" name="7" totalsRowFunction="count" totalsRowDxfId="25" dataCellStyle="Total"/>
    <tableColumn id="9" name="8" totalsRowFunction="count" totalsRowDxfId="24" dataCellStyle="Total"/>
    <tableColumn id="10" name="9" totalsRowFunction="count" totalsRowDxfId="23" dataCellStyle="Total"/>
    <tableColumn id="11" name="10" totalsRowFunction="count" totalsRowDxfId="22" dataCellStyle="Total"/>
    <tableColumn id="12" name="11" totalsRowFunction="count" totalsRowDxfId="21" dataCellStyle="Total"/>
    <tableColumn id="13" name="12" totalsRowFunction="count" totalsRowDxfId="20" dataCellStyle="Total"/>
    <tableColumn id="14" name="13" totalsRowFunction="count" totalsRowDxfId="19" dataCellStyle="Total"/>
    <tableColumn id="15" name="14" totalsRowFunction="count" totalsRowDxfId="18" dataCellStyle="Total"/>
    <tableColumn id="16" name="15" totalsRowFunction="count" totalsRowDxfId="17" dataCellStyle="Total"/>
    <tableColumn id="17" name="16" totalsRowFunction="count" totalsRowDxfId="16" dataCellStyle="Total"/>
    <tableColumn id="18" name="17" totalsRowFunction="count" totalsRowDxfId="15" dataCellStyle="Total"/>
    <tableColumn id="19" name="18" totalsRowFunction="count" totalsRowDxfId="14" dataCellStyle="Total"/>
    <tableColumn id="20" name="19" totalsRowFunction="count" totalsRowDxfId="13" dataCellStyle="Total"/>
    <tableColumn id="21" name="20" totalsRowFunction="count" totalsRowDxfId="12" dataCellStyle="Total"/>
    <tableColumn id="22" name="21" totalsRowFunction="count" totalsRowDxfId="11" dataCellStyle="Total"/>
    <tableColumn id="23" name="22" totalsRowFunction="count" totalsRowDxfId="10" dataCellStyle="Total"/>
    <tableColumn id="24" name="23" totalsRowFunction="count" totalsRowDxfId="9" dataCellStyle="Total"/>
    <tableColumn id="25" name="24" totalsRowFunction="count" totalsRowDxfId="8" dataCellStyle="Total"/>
    <tableColumn id="26" name="25" totalsRowFunction="count" totalsRowDxfId="7" dataCellStyle="Total"/>
    <tableColumn id="27" name="26" totalsRowFunction="count" totalsRowDxfId="6" dataCellStyle="Total"/>
    <tableColumn id="28" name="27" totalsRowFunction="count" totalsRowDxfId="5" dataCellStyle="Total"/>
    <tableColumn id="29" name="28" totalsRowFunction="count" totalsRowDxfId="4" dataCellStyle="Total"/>
    <tableColumn id="30" name="29" totalsRowFunction="count" totalsRowDxfId="3" dataCellStyle="Total"/>
    <tableColumn id="31" name="30" totalsRowFunction="sum" totalsRowDxfId="2" dataCellStyle="Total"/>
    <tableColumn id="32" name="31" totalsRowFunction="sum" totalsRowDxfId="1" dataCellStyle="Total"/>
    <tableColumn id="33" name="Total Days" totalsRowFunction="sum" dataDxfId="482" totalsRowDxfId="0" dataCellStyle="Total">
      <calculatedColumnFormula>COUNTA(tblJuly[[#This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July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8.xml><?xml version="1.0" encoding="utf-8"?>
<table xmlns="http://schemas.openxmlformats.org/spreadsheetml/2006/main" id="8" name="tblAugust" displayName="tblAugust" ref="A4:AG10" totalsRowCount="1" headerRowDxfId="476" dataDxfId="475" totalsRowDxfId="474" headerRowCellStyle="Normal" dataCellStyle="Normal" totalsRowCellStyle="Normal">
  <tableColumns count="33">
    <tableColumn id="1" name="Employee Name" totalsRowFunction="custom" dataDxfId="473" totalsRowDxfId="472" dataCellStyle="Employee">
      <totalsRowFormula>MonthName&amp;" Total"</totalsRowFormula>
    </tableColumn>
    <tableColumn id="2" name="1" totalsRowFunction="count" totalsRowDxfId="471" dataCellStyle="Total"/>
    <tableColumn id="3" name="2" totalsRowFunction="count" totalsRowDxfId="470" dataCellStyle="Total"/>
    <tableColumn id="4" name="3" totalsRowFunction="count" totalsRowDxfId="469" dataCellStyle="Total"/>
    <tableColumn id="5" name="4" totalsRowFunction="count" totalsRowDxfId="468" dataCellStyle="Total"/>
    <tableColumn id="6" name="5" totalsRowFunction="count" totalsRowDxfId="467" dataCellStyle="Total"/>
    <tableColumn id="7" name="6" totalsRowFunction="count" totalsRowDxfId="466" dataCellStyle="Total"/>
    <tableColumn id="8" name="7" totalsRowFunction="count" totalsRowDxfId="465" dataCellStyle="Total"/>
    <tableColumn id="9" name="8" totalsRowFunction="count" totalsRowDxfId="464" dataCellStyle="Total"/>
    <tableColumn id="10" name="9" totalsRowFunction="count" totalsRowDxfId="463" dataCellStyle="Total"/>
    <tableColumn id="11" name="10" totalsRowFunction="count" totalsRowDxfId="462" dataCellStyle="Total"/>
    <tableColumn id="12" name="11" totalsRowFunction="count" totalsRowDxfId="461" dataCellStyle="Total"/>
    <tableColumn id="13" name="12" totalsRowFunction="count" totalsRowDxfId="460" dataCellStyle="Total"/>
    <tableColumn id="14" name="13" totalsRowFunction="count" totalsRowDxfId="459" dataCellStyle="Total"/>
    <tableColumn id="15" name="14" totalsRowFunction="count" totalsRowDxfId="458" dataCellStyle="Total"/>
    <tableColumn id="16" name="15" totalsRowFunction="count" totalsRowDxfId="457" dataCellStyle="Total"/>
    <tableColumn id="17" name="16" totalsRowFunction="count" totalsRowDxfId="456" dataCellStyle="Total"/>
    <tableColumn id="18" name="17" totalsRowFunction="count" totalsRowDxfId="455" dataCellStyle="Total"/>
    <tableColumn id="19" name="18" totalsRowFunction="count" totalsRowDxfId="454" dataCellStyle="Total"/>
    <tableColumn id="20" name="19" totalsRowFunction="count" totalsRowDxfId="453" dataCellStyle="Total"/>
    <tableColumn id="21" name="20" totalsRowFunction="count" totalsRowDxfId="452" dataCellStyle="Total"/>
    <tableColumn id="22" name="21" totalsRowFunction="count" totalsRowDxfId="451" dataCellStyle="Total"/>
    <tableColumn id="23" name="22" totalsRowFunction="count" totalsRowDxfId="450" dataCellStyle="Total"/>
    <tableColumn id="24" name="23" totalsRowFunction="count" totalsRowDxfId="449" dataCellStyle="Total"/>
    <tableColumn id="25" name="24" totalsRowFunction="count" totalsRowDxfId="448" dataCellStyle="Total"/>
    <tableColumn id="26" name="25" totalsRowFunction="count" totalsRowDxfId="447" dataCellStyle="Total"/>
    <tableColumn id="27" name="26" totalsRowFunction="count" totalsRowDxfId="446" dataCellStyle="Total"/>
    <tableColumn id="28" name="27" totalsRowFunction="count" totalsRowDxfId="445" dataCellStyle="Total"/>
    <tableColumn id="29" name="28" totalsRowFunction="count" totalsRowDxfId="444" dataCellStyle="Total"/>
    <tableColumn id="30" name="29" totalsRowFunction="count" totalsRowDxfId="443" dataCellStyle="Total"/>
    <tableColumn id="31" name="30" totalsRowFunction="sum" totalsRowDxfId="442" dataCellStyle="Total"/>
    <tableColumn id="32" name="31" totalsRowFunction="sum" totalsRowDxfId="441" dataCellStyle="Total"/>
    <tableColumn id="33" name="Total Days" totalsRowFunction="sum" dataDxfId="440" totalsRowDxfId="439" dataCellStyle="Total">
      <calculatedColumnFormula>COUNTA(tblAugust[[#This Row],[1]:[31]])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August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ables/table9.xml><?xml version="1.0" encoding="utf-8"?>
<table xmlns="http://schemas.openxmlformats.org/spreadsheetml/2006/main" id="9" name="tblSeptember" displayName="tblSeptember" ref="A4:AG10" totalsRowCount="1" headerRowDxfId="433" dataDxfId="432" totalsRowDxfId="431" headerRowCellStyle="Normal" dataCellStyle="Normal" totalsRowCellStyle="Normal">
  <tableColumns count="33">
    <tableColumn id="1" name="Employee Name" totalsRowFunction="custom" dataDxfId="430" totalsRowDxfId="429" dataCellStyle="Employee">
      <totalsRowFormula>MonthName&amp;" Total"</totalsRowFormula>
    </tableColumn>
    <tableColumn id="2" name="1" totalsRowFunction="count" totalsRowDxfId="428" dataCellStyle="Total"/>
    <tableColumn id="3" name="2" totalsRowFunction="count" totalsRowDxfId="427" dataCellStyle="Total"/>
    <tableColumn id="4" name="3" totalsRowFunction="count" totalsRowDxfId="426" dataCellStyle="Total"/>
    <tableColumn id="5" name="4" totalsRowFunction="count" totalsRowDxfId="425" dataCellStyle="Total"/>
    <tableColumn id="6" name="5" totalsRowFunction="count" totalsRowDxfId="424" dataCellStyle="Total"/>
    <tableColumn id="7" name="6" totalsRowFunction="count" totalsRowDxfId="423" dataCellStyle="Total"/>
    <tableColumn id="8" name="7" totalsRowFunction="count" totalsRowDxfId="422" dataCellStyle="Total"/>
    <tableColumn id="9" name="8" totalsRowFunction="count" totalsRowDxfId="421" dataCellStyle="Total"/>
    <tableColumn id="10" name="9" totalsRowFunction="count" totalsRowDxfId="420" dataCellStyle="Total"/>
    <tableColumn id="11" name="10" totalsRowFunction="count" totalsRowDxfId="419" dataCellStyle="Total"/>
    <tableColumn id="12" name="11" totalsRowFunction="count" totalsRowDxfId="418" dataCellStyle="Total"/>
    <tableColumn id="13" name="12" totalsRowFunction="count" totalsRowDxfId="417" dataCellStyle="Total"/>
    <tableColumn id="14" name="13" totalsRowFunction="count" totalsRowDxfId="416" dataCellStyle="Total"/>
    <tableColumn id="15" name="14" totalsRowFunction="count" totalsRowDxfId="415" dataCellStyle="Total"/>
    <tableColumn id="16" name="15" totalsRowFunction="count" totalsRowDxfId="414" dataCellStyle="Total"/>
    <tableColumn id="17" name="16" totalsRowFunction="count" totalsRowDxfId="413" dataCellStyle="Total"/>
    <tableColumn id="18" name="17" totalsRowFunction="count" totalsRowDxfId="412" dataCellStyle="Total"/>
    <tableColumn id="19" name="18" totalsRowFunction="count" totalsRowDxfId="411" dataCellStyle="Total"/>
    <tableColumn id="20" name="19" totalsRowFunction="count" totalsRowDxfId="410" dataCellStyle="Total"/>
    <tableColumn id="21" name="20" totalsRowFunction="count" totalsRowDxfId="409" dataCellStyle="Total"/>
    <tableColumn id="22" name="21" totalsRowFunction="count" totalsRowDxfId="408" dataCellStyle="Total"/>
    <tableColumn id="23" name="22" totalsRowFunction="count" totalsRowDxfId="407" dataCellStyle="Total"/>
    <tableColumn id="24" name="23" totalsRowFunction="count" totalsRowDxfId="406" dataCellStyle="Total"/>
    <tableColumn id="25" name="24" totalsRowFunction="count" totalsRowDxfId="405" dataCellStyle="Total"/>
    <tableColumn id="26" name="25" totalsRowFunction="count" totalsRowDxfId="404" dataCellStyle="Total"/>
    <tableColumn id="27" name="26" totalsRowFunction="count" totalsRowDxfId="403" dataCellStyle="Total"/>
    <tableColumn id="28" name="27" totalsRowFunction="count" totalsRowDxfId="402" dataCellStyle="Total"/>
    <tableColumn id="29" name="28" totalsRowFunction="count" totalsRowDxfId="401" dataCellStyle="Total"/>
    <tableColumn id="30" name="29" totalsRowFunction="count" totalsRowDxfId="400" dataCellStyle="Total"/>
    <tableColumn id="31" name="30" totalsRowFunction="sum" totalsRowDxfId="399" dataCellStyle="Total"/>
    <tableColumn id="32" name=" " totalsRowDxfId="398" dataCellStyle="Total"/>
    <tableColumn id="33" name="Total Days" totalsRowFunction="sum" dataDxfId="397" totalsRowDxfId="396" dataCellStyle="Total">
      <calculatedColumnFormula>COUNTA(tblSeptember[[#This Row],[1]:[30]])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="September Employee Absence Schedule" altTextSummary="Provides a list of names and calendar dates to record employee absences and specific absence type, such as V=Vacation, S=Sick, P=Personal and two placeholders for custom entries.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G18"/>
  <sheetViews>
    <sheetView showGridLines="0" tabSelected="1" zoomScaleNormal="100" workbookViewId="0">
      <selection activeCell="A9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42</v>
      </c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7">
        <v>2016</v>
      </c>
    </row>
    <row r="3" spans="1:33" ht="15.75" customHeight="1" x14ac:dyDescent="0.25">
      <c r="A3" s="46"/>
      <c r="B3" s="9" t="str">
        <f>TEXT(WEEKDAY(DATE(CalendarYear,1,1),1),"aaa")</f>
        <v>Fri</v>
      </c>
      <c r="C3" s="9" t="str">
        <f>TEXT(WEEKDAY(DATE(CalendarYear,1,2),1),"aaa")</f>
        <v>Sat</v>
      </c>
      <c r="D3" s="9" t="str">
        <f>TEXT(WEEKDAY(DATE(CalendarYear,1,3),1),"aaa")</f>
        <v>Sun</v>
      </c>
      <c r="E3" s="9" t="str">
        <f>TEXT(WEEKDAY(DATE(CalendarYear,1,4),1),"aaa")</f>
        <v>Mon</v>
      </c>
      <c r="F3" s="9" t="str">
        <f>TEXT(WEEKDAY(DATE(CalendarYear,1,5),1),"aaa")</f>
        <v>Tue</v>
      </c>
      <c r="G3" s="9" t="str">
        <f>TEXT(WEEKDAY(DATE(CalendarYear,1,6),1),"aaa")</f>
        <v>Wed</v>
      </c>
      <c r="H3" s="9" t="str">
        <f>TEXT(WEEKDAY(DATE(CalendarYear,1,7),1),"aaa")</f>
        <v>Thu</v>
      </c>
      <c r="I3" s="9" t="str">
        <f>TEXT(WEEKDAY(DATE(CalendarYear,1,8),1),"aaa")</f>
        <v>Fri</v>
      </c>
      <c r="J3" s="9" t="str">
        <f>TEXT(WEEKDAY(DATE(CalendarYear,1,9),1),"aaa")</f>
        <v>Sat</v>
      </c>
      <c r="K3" s="9" t="str">
        <f>TEXT(WEEKDAY(DATE(CalendarYear,1,10),1),"aaa")</f>
        <v>Sun</v>
      </c>
      <c r="L3" s="9" t="str">
        <f>TEXT(WEEKDAY(DATE(CalendarYear,1,11),1),"aaa")</f>
        <v>Mon</v>
      </c>
      <c r="M3" s="9" t="str">
        <f>TEXT(WEEKDAY(DATE(CalendarYear,1,12),1),"aaa")</f>
        <v>Tue</v>
      </c>
      <c r="N3" s="9" t="str">
        <f>TEXT(WEEKDAY(DATE(CalendarYear,1,13),1),"aaa")</f>
        <v>Wed</v>
      </c>
      <c r="O3" s="9" t="str">
        <f>TEXT(WEEKDAY(DATE(CalendarYear,1,14),1),"aaa")</f>
        <v>Thu</v>
      </c>
      <c r="P3" s="9" t="str">
        <f>TEXT(WEEKDAY(DATE(CalendarYear,1,15),1),"aaa")</f>
        <v>Fri</v>
      </c>
      <c r="Q3" s="9" t="str">
        <f>TEXT(WEEKDAY(DATE(CalendarYear,1,16),1),"aaa")</f>
        <v>Sat</v>
      </c>
      <c r="R3" s="9" t="str">
        <f>TEXT(WEEKDAY(DATE(CalendarYear,1,17),1),"aaa")</f>
        <v>Sun</v>
      </c>
      <c r="S3" s="9" t="str">
        <f>TEXT(WEEKDAY(DATE(CalendarYear,1,18),1),"aaa")</f>
        <v>Mon</v>
      </c>
      <c r="T3" s="9" t="str">
        <f>TEXT(WEEKDAY(DATE(CalendarYear,1,19),1),"aaa")</f>
        <v>Tue</v>
      </c>
      <c r="U3" s="9" t="str">
        <f>TEXT(WEEKDAY(DATE(CalendarYear,1,20),1),"aaa")</f>
        <v>Wed</v>
      </c>
      <c r="V3" s="9" t="str">
        <f>TEXT(WEEKDAY(DATE(CalendarYear,1,21),1),"aaa")</f>
        <v>Thu</v>
      </c>
      <c r="W3" s="9" t="str">
        <f>TEXT(WEEKDAY(DATE(CalendarYear,1,22),1),"aaa")</f>
        <v>Fri</v>
      </c>
      <c r="X3" s="9" t="str">
        <f>TEXT(WEEKDAY(DATE(CalendarYear,1,23),1),"aaa")</f>
        <v>Sat</v>
      </c>
      <c r="Y3" s="9" t="str">
        <f>TEXT(WEEKDAY(DATE(CalendarYear,1,24),1),"aaa")</f>
        <v>Sun</v>
      </c>
      <c r="Z3" s="9" t="str">
        <f>TEXT(WEEKDAY(DATE(CalendarYear,1,25),1),"aaa")</f>
        <v>Mon</v>
      </c>
      <c r="AA3" s="9" t="str">
        <f>TEXT(WEEKDAY(DATE(CalendarYear,1,26),1),"aaa")</f>
        <v>Tue</v>
      </c>
      <c r="AB3" s="9" t="str">
        <f>TEXT(WEEKDAY(DATE(CalendarYear,1,27),1),"aaa")</f>
        <v>Wed</v>
      </c>
      <c r="AC3" s="9" t="str">
        <f>TEXT(WEEKDAY(DATE(CalendarYear,1,28),1),"aaa")</f>
        <v>Thu</v>
      </c>
      <c r="AD3" s="9" t="str">
        <f>TEXT(WEEKDAY(DATE(CalendarYear,1,29),1),"aaa")</f>
        <v>Fri</v>
      </c>
      <c r="AE3" s="9" t="str">
        <f>TEXT(WEEKDAY(DATE(CalendarYear,1,30),1),"aaa")</f>
        <v>Sat</v>
      </c>
      <c r="AF3" s="9" t="str">
        <f>TEXT(WEEKDAY(DATE(CalendarYear,1,31),1),"aaa")</f>
        <v>Sun</v>
      </c>
      <c r="AG3" s="47"/>
    </row>
    <row r="4" spans="1:33" x14ac:dyDescent="0.25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2" t="s">
        <v>34</v>
      </c>
    </row>
    <row r="5" spans="1:33" x14ac:dyDescent="0.25">
      <c r="A5" s="51" t="s">
        <v>63</v>
      </c>
      <c r="B5" s="11"/>
      <c r="C5" s="11"/>
      <c r="D5" s="11" t="s">
        <v>37</v>
      </c>
      <c r="E5" s="11" t="s">
        <v>37</v>
      </c>
      <c r="F5" s="11" t="s">
        <v>37</v>
      </c>
      <c r="G5" s="11" t="s">
        <v>37</v>
      </c>
      <c r="H5" s="11"/>
      <c r="I5" s="11"/>
      <c r="J5" s="11"/>
      <c r="K5" s="11"/>
      <c r="L5" s="11"/>
      <c r="M5" s="11"/>
      <c r="N5" s="11" t="s">
        <v>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38">
        <f>COUNTA(January!$B5:$AF5)</f>
        <v>5</v>
      </c>
    </row>
    <row r="6" spans="1:33" x14ac:dyDescent="0.25">
      <c r="A6" s="51" t="s">
        <v>64</v>
      </c>
      <c r="B6" s="11"/>
      <c r="C6" s="11"/>
      <c r="D6" s="11"/>
      <c r="E6" s="11"/>
      <c r="F6" s="11" t="s">
        <v>36</v>
      </c>
      <c r="G6" s="11" t="s">
        <v>36</v>
      </c>
      <c r="H6" s="11"/>
      <c r="I6" s="11"/>
      <c r="J6" s="11"/>
      <c r="K6" s="11"/>
      <c r="L6" s="11" t="s">
        <v>41</v>
      </c>
      <c r="M6" s="11"/>
      <c r="N6" s="11"/>
      <c r="O6" s="11"/>
      <c r="P6" s="11"/>
      <c r="Q6" s="11"/>
      <c r="R6" s="11"/>
      <c r="S6" s="11"/>
      <c r="T6" s="11"/>
      <c r="U6" s="11" t="s">
        <v>36</v>
      </c>
      <c r="V6" s="11"/>
      <c r="W6" s="11"/>
      <c r="X6" s="11"/>
      <c r="Y6" s="11"/>
      <c r="Z6" s="11" t="s">
        <v>37</v>
      </c>
      <c r="AA6" s="11" t="s">
        <v>37</v>
      </c>
      <c r="AB6" s="11" t="s">
        <v>37</v>
      </c>
      <c r="AC6" s="11"/>
      <c r="AD6" s="11"/>
      <c r="AE6" s="11"/>
      <c r="AF6" s="11"/>
      <c r="AG6" s="38">
        <f>COUNTA(January!$B6:$AF6)</f>
        <v>7</v>
      </c>
    </row>
    <row r="7" spans="1:33" x14ac:dyDescent="0.25">
      <c r="A7" s="51" t="s">
        <v>65</v>
      </c>
      <c r="B7" s="11"/>
      <c r="C7" s="11"/>
      <c r="D7" s="11" t="s">
        <v>41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36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 t="s">
        <v>36</v>
      </c>
      <c r="AE7" s="11"/>
      <c r="AF7" s="11"/>
      <c r="AG7" s="38">
        <f>COUNTA(January!$B7:$AF7)</f>
        <v>3</v>
      </c>
    </row>
    <row r="8" spans="1:33" x14ac:dyDescent="0.25">
      <c r="A8" s="51" t="s">
        <v>66</v>
      </c>
      <c r="B8" s="11"/>
      <c r="C8" s="11"/>
      <c r="D8" s="11"/>
      <c r="E8" s="11"/>
      <c r="F8" s="11"/>
      <c r="G8" s="11"/>
      <c r="H8" s="11" t="s">
        <v>41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 t="s">
        <v>37</v>
      </c>
      <c r="U8" s="11" t="s">
        <v>37</v>
      </c>
      <c r="V8" s="11" t="s">
        <v>37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38">
        <f>COUNTA(January!$B8:$AF8)</f>
        <v>4</v>
      </c>
    </row>
    <row r="9" spans="1:33" x14ac:dyDescent="0.25">
      <c r="A9" s="51" t="s">
        <v>67</v>
      </c>
      <c r="B9" s="11"/>
      <c r="C9" s="11"/>
      <c r="D9" s="11"/>
      <c r="E9" s="11" t="s">
        <v>36</v>
      </c>
      <c r="F9" s="11" t="s">
        <v>37</v>
      </c>
      <c r="G9" s="11" t="s">
        <v>37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36</v>
      </c>
      <c r="S9" s="11"/>
      <c r="T9" s="11"/>
      <c r="U9" s="11"/>
      <c r="V9" s="11"/>
      <c r="W9" s="11"/>
      <c r="X9" s="11"/>
      <c r="Y9" s="11" t="s">
        <v>36</v>
      </c>
      <c r="Z9" s="11"/>
      <c r="AA9" s="11"/>
      <c r="AB9" s="11"/>
      <c r="AC9" s="11"/>
      <c r="AD9" s="11"/>
      <c r="AE9" s="11"/>
      <c r="AF9" s="11" t="s">
        <v>37</v>
      </c>
      <c r="AG9" s="38">
        <f>COUNTA(January!$B9:$AF9)</f>
        <v>6</v>
      </c>
    </row>
    <row r="10" spans="1:33" ht="15" customHeight="1" x14ac:dyDescent="0.25">
      <c r="A10" s="10" t="str">
        <f>MonthName&amp;" Total"</f>
        <v>January Total</v>
      </c>
      <c r="B10" s="39">
        <f>SUBTOTAL(103,January!$B$5:$B$9)</f>
        <v>0</v>
      </c>
      <c r="C10" s="39">
        <f>SUBTOTAL(103,January!$C$5:$C$9)</f>
        <v>0</v>
      </c>
      <c r="D10" s="39">
        <f>SUBTOTAL(103,January!$D$5:$D$9)</f>
        <v>2</v>
      </c>
      <c r="E10" s="39">
        <f>SUBTOTAL(103,January!$E$5:$E$9)</f>
        <v>2</v>
      </c>
      <c r="F10" s="39">
        <f>SUBTOTAL(103,January!$F$5:$F$9)</f>
        <v>3</v>
      </c>
      <c r="G10" s="39">
        <f>SUBTOTAL(103,January!$G$5:$G$9)</f>
        <v>3</v>
      </c>
      <c r="H10" s="39">
        <f>SUBTOTAL(103,January!$H$5:$H$9)</f>
        <v>1</v>
      </c>
      <c r="I10" s="39">
        <f>SUBTOTAL(103,January!$I$5:$I$9)</f>
        <v>0</v>
      </c>
      <c r="J10" s="39">
        <f>SUBTOTAL(103,January!$J$5:$J$9)</f>
        <v>0</v>
      </c>
      <c r="K10" s="39">
        <f>SUBTOTAL(103,January!$K$5:$K$9)</f>
        <v>0</v>
      </c>
      <c r="L10" s="39">
        <f>SUBTOTAL(103,January!$L$5:$L$9)</f>
        <v>1</v>
      </c>
      <c r="M10" s="39">
        <f>SUBTOTAL(103,January!$M$5:$M$9)</f>
        <v>0</v>
      </c>
      <c r="N10" s="39">
        <f>SUBTOTAL(103,January!$N$5:$N$9)</f>
        <v>1</v>
      </c>
      <c r="O10" s="39">
        <f>SUBTOTAL(103,January!$O$5:$O$9)</f>
        <v>1</v>
      </c>
      <c r="P10" s="39">
        <f>SUBTOTAL(103,January!$P$5:$P$9)</f>
        <v>0</v>
      </c>
      <c r="Q10" s="39">
        <f>SUBTOTAL(103,January!$Q$5:$Q$9)</f>
        <v>0</v>
      </c>
      <c r="R10" s="39">
        <f>SUBTOTAL(103,January!$R$5:$R$9)</f>
        <v>1</v>
      </c>
      <c r="S10" s="39">
        <f>SUBTOTAL(103,January!$S$5:$S$9)</f>
        <v>0</v>
      </c>
      <c r="T10" s="39">
        <f>SUBTOTAL(103,January!$T$5:$T$9)</f>
        <v>1</v>
      </c>
      <c r="U10" s="39">
        <f>SUBTOTAL(103,January!$U$5:$U$9)</f>
        <v>2</v>
      </c>
      <c r="V10" s="39">
        <f>SUBTOTAL(103,January!$V$5:$V$9)</f>
        <v>1</v>
      </c>
      <c r="W10" s="39">
        <f>SUBTOTAL(103,January!$W$5:$W$9)</f>
        <v>0</v>
      </c>
      <c r="X10" s="39">
        <f>SUBTOTAL(103,January!$X$5:$X$9)</f>
        <v>0</v>
      </c>
      <c r="Y10" s="39">
        <f>SUBTOTAL(103,January!$Y$5:$Y$9)</f>
        <v>1</v>
      </c>
      <c r="Z10" s="39">
        <f>SUBTOTAL(103,January!$Z$5:$Z$9)</f>
        <v>1</v>
      </c>
      <c r="AA10" s="39">
        <f>SUBTOTAL(103,January!$AA$5:$AA$9)</f>
        <v>1</v>
      </c>
      <c r="AB10" s="39">
        <f>SUBTOTAL(103,January!$AB$5:$AB$9)</f>
        <v>1</v>
      </c>
      <c r="AC10" s="39">
        <f>SUBTOTAL(103,January!$AC$5:$AC$9)</f>
        <v>0</v>
      </c>
      <c r="AD10" s="39">
        <f>SUBTOTAL(103,January!$AD$5:$AD$9)</f>
        <v>1</v>
      </c>
      <c r="AE10" s="39">
        <f>SUBTOTAL(103,January!$AE$5:$AE$9)</f>
        <v>0</v>
      </c>
      <c r="AF10" s="39">
        <f>SUBTOTAL(103,January!$AF$5:$AF$9)</f>
        <v>1</v>
      </c>
      <c r="AG10" s="38">
        <f>SUBTOTAL(109,tblJanuary[Total Days])</f>
        <v>25</v>
      </c>
    </row>
    <row r="12" spans="1:33" s="36" customFormat="1" ht="15" customHeight="1" x14ac:dyDescent="0.25"/>
    <row r="13" spans="1:33" s="36" customFormat="1" ht="15" customHeight="1" x14ac:dyDescent="0.25"/>
    <row r="14" spans="1:33" s="36" customFormat="1" ht="15" customHeight="1" x14ac:dyDescent="0.25"/>
    <row r="18" spans="2:23" ht="15" customHeight="1" x14ac:dyDescent="0.25">
      <c r="B18" s="42" t="s">
        <v>48</v>
      </c>
      <c r="C18" s="44"/>
      <c r="D18" s="44"/>
      <c r="E18" s="4" t="s">
        <v>37</v>
      </c>
      <c r="F18" s="5" t="s">
        <v>43</v>
      </c>
      <c r="G18" s="5"/>
      <c r="H18" s="5"/>
      <c r="I18" s="13" t="s">
        <v>41</v>
      </c>
      <c r="J18" s="5" t="s">
        <v>44</v>
      </c>
      <c r="K18" s="5"/>
      <c r="L18" s="5"/>
      <c r="M18" s="6" t="s">
        <v>36</v>
      </c>
      <c r="N18" s="5" t="s">
        <v>45</v>
      </c>
      <c r="O18" s="5"/>
      <c r="P18" s="7"/>
      <c r="Q18" s="5" t="s">
        <v>46</v>
      </c>
      <c r="R18" s="5"/>
      <c r="S18" s="5"/>
      <c r="T18" s="8"/>
      <c r="U18" s="5" t="s">
        <v>47</v>
      </c>
      <c r="V18" s="5"/>
      <c r="W18" s="5"/>
    </row>
  </sheetData>
  <mergeCells count="3">
    <mergeCell ref="B2:AF2"/>
    <mergeCell ref="A2:A3"/>
    <mergeCell ref="AG2:AG3"/>
  </mergeCells>
  <conditionalFormatting sqref="B5:AF9">
    <cfRule type="expression" priority="1" stopIfTrue="1">
      <formula>B5=""</formula>
    </cfRule>
    <cfRule type="expression" dxfId="546" priority="6" stopIfTrue="1">
      <formula>B5=KeyCustom2</formula>
    </cfRule>
    <cfRule type="expression" dxfId="545" priority="7" stopIfTrue="1">
      <formula>B5=KeyCustom1</formula>
    </cfRule>
    <cfRule type="expression" dxfId="544" priority="8" stopIfTrue="1">
      <formula>B5=KeySick</formula>
    </cfRule>
    <cfRule type="expression" dxfId="543" priority="9" stopIfTrue="1">
      <formula>B5=KeyPersonal</formula>
    </cfRule>
    <cfRule type="expression" dxfId="542" priority="10" stopIfTrue="1">
      <formula>B5=KeyVacation</formula>
    </cfRule>
  </conditionalFormatting>
  <conditionalFormatting sqref="AG5:AG9">
    <cfRule type="dataBar" priority="168">
      <dataBar>
        <cfvo type="min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autoMin"/>
              <x14:cfvo type="num">
                <xm:f>31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G18"/>
  <sheetViews>
    <sheetView showGridLines="0" zoomScaleNormal="100" workbookViewId="0"/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60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TEXT(WEEKDAY(DATE(CalendarYear,10,1),1),"aaa")</f>
        <v>Sat</v>
      </c>
      <c r="C3" s="9" t="str">
        <f>TEXT(WEEKDAY(DATE(CalendarYear,10,2),1),"aaa")</f>
        <v>Sun</v>
      </c>
      <c r="D3" s="9" t="str">
        <f>TEXT(WEEKDAY(DATE(CalendarYear,10,3),1),"aaa")</f>
        <v>Mon</v>
      </c>
      <c r="E3" s="9" t="str">
        <f>TEXT(WEEKDAY(DATE(CalendarYear,10,4),1),"aaa")</f>
        <v>Tue</v>
      </c>
      <c r="F3" s="9" t="str">
        <f>TEXT(WEEKDAY(DATE(CalendarYear,10,5),1),"aaa")</f>
        <v>Wed</v>
      </c>
      <c r="G3" s="9" t="str">
        <f>TEXT(WEEKDAY(DATE(CalendarYear,10,6),1),"aaa")</f>
        <v>Thu</v>
      </c>
      <c r="H3" s="9" t="str">
        <f>TEXT(WEEKDAY(DATE(CalendarYear,10,7),1),"aaa")</f>
        <v>Fri</v>
      </c>
      <c r="I3" s="9" t="str">
        <f>TEXT(WEEKDAY(DATE(CalendarYear,10,8),1),"aaa")</f>
        <v>Sat</v>
      </c>
      <c r="J3" s="9" t="str">
        <f>TEXT(WEEKDAY(DATE(CalendarYear,10,9),1),"aaa")</f>
        <v>Sun</v>
      </c>
      <c r="K3" s="9" t="str">
        <f>TEXT(WEEKDAY(DATE(CalendarYear,10,10),1),"aaa")</f>
        <v>Mon</v>
      </c>
      <c r="L3" s="9" t="str">
        <f>TEXT(WEEKDAY(DATE(CalendarYear,10,11),1),"aaa")</f>
        <v>Tue</v>
      </c>
      <c r="M3" s="9" t="str">
        <f>TEXT(WEEKDAY(DATE(CalendarYear,10,12),1),"aaa")</f>
        <v>Wed</v>
      </c>
      <c r="N3" s="9" t="str">
        <f>TEXT(WEEKDAY(DATE(CalendarYear,10,13),1),"aaa")</f>
        <v>Thu</v>
      </c>
      <c r="O3" s="9" t="str">
        <f>TEXT(WEEKDAY(DATE(CalendarYear,10,14),1),"aaa")</f>
        <v>Fri</v>
      </c>
      <c r="P3" s="9" t="str">
        <f>TEXT(WEEKDAY(DATE(CalendarYear,10,15),1),"aaa")</f>
        <v>Sat</v>
      </c>
      <c r="Q3" s="9" t="str">
        <f>TEXT(WEEKDAY(DATE(CalendarYear,10,16),1),"aaa")</f>
        <v>Sun</v>
      </c>
      <c r="R3" s="9" t="str">
        <f>TEXT(WEEKDAY(DATE(CalendarYear,10,17),1),"aaa")</f>
        <v>Mon</v>
      </c>
      <c r="S3" s="9" t="str">
        <f>TEXT(WEEKDAY(DATE(CalendarYear,10,18),1),"aaa")</f>
        <v>Tue</v>
      </c>
      <c r="T3" s="9" t="str">
        <f>TEXT(WEEKDAY(DATE(CalendarYear,10,19),1),"aaa")</f>
        <v>Wed</v>
      </c>
      <c r="U3" s="9" t="str">
        <f>TEXT(WEEKDAY(DATE(CalendarYear,10,20),1),"aaa")</f>
        <v>Thu</v>
      </c>
      <c r="V3" s="9" t="str">
        <f>TEXT(WEEKDAY(DATE(CalendarYear,10,21),1),"aaa")</f>
        <v>Fri</v>
      </c>
      <c r="W3" s="9" t="str">
        <f>TEXT(WEEKDAY(DATE(CalendarYear,10,22),1),"aaa")</f>
        <v>Sat</v>
      </c>
      <c r="X3" s="9" t="str">
        <f>TEXT(WEEKDAY(DATE(CalendarYear,10,23),1),"aaa")</f>
        <v>Sun</v>
      </c>
      <c r="Y3" s="9" t="str">
        <f>TEXT(WEEKDAY(DATE(CalendarYear,10,24),1),"aaa")</f>
        <v>Mon</v>
      </c>
      <c r="Z3" s="9" t="str">
        <f>TEXT(WEEKDAY(DATE(CalendarYear,10,25),1),"aaa")</f>
        <v>Tue</v>
      </c>
      <c r="AA3" s="9" t="str">
        <f>TEXT(WEEKDAY(DATE(CalendarYear,10,26),1),"aaa")</f>
        <v>Wed</v>
      </c>
      <c r="AB3" s="9" t="str">
        <f>TEXT(WEEKDAY(DATE(CalendarYear,10,27),1),"aaa")</f>
        <v>Thu</v>
      </c>
      <c r="AC3" s="9" t="str">
        <f>TEXT(WEEKDAY(DATE(CalendarYear,10,28),1),"aaa")</f>
        <v>Fri</v>
      </c>
      <c r="AD3" s="9" t="str">
        <f>TEXT(WEEKDAY(DATE(CalendarYear,10,29),1),"aaa")</f>
        <v>Sat</v>
      </c>
      <c r="AE3" s="9" t="str">
        <f>TEXT(WEEKDAY(DATE(CalendarYear,10,30),1),"aaa")</f>
        <v>Sun</v>
      </c>
      <c r="AF3" s="9" t="str">
        <f>TEXT(WEEKDAY(DATE(CalendarYear,10,31),1),"aaa")</f>
        <v>Mon</v>
      </c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8" t="s">
        <v>34</v>
      </c>
    </row>
    <row r="5" spans="1:33" x14ac:dyDescent="0.25">
      <c r="A5" s="37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COUNTA(tblOctober[[#This Row],[1]:[31]])</f>
        <v>0</v>
      </c>
    </row>
    <row r="6" spans="1:33" x14ac:dyDescent="0.25">
      <c r="A6" s="37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COUNTA(tblOctober[[#This Row],[1]:[31]])</f>
        <v>0</v>
      </c>
    </row>
    <row r="7" spans="1:33" ht="15" customHeight="1" x14ac:dyDescent="0.25">
      <c r="A7" s="37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COUNTA(tblOctober[[#This Row],[1]:[31]])</f>
        <v>0</v>
      </c>
    </row>
    <row r="8" spans="1:33" ht="15" customHeight="1" x14ac:dyDescent="0.25">
      <c r="A8" s="37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COUNTA(tblOctober[[#This Row],[1]:[31]])</f>
        <v>0</v>
      </c>
    </row>
    <row r="9" spans="1:33" ht="15" customHeight="1" x14ac:dyDescent="0.25">
      <c r="A9" s="37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COUNTA(tblOctober[[#This Row],[1]:[31]])</f>
        <v>0</v>
      </c>
    </row>
    <row r="10" spans="1:33" ht="15" customHeight="1" x14ac:dyDescent="0.25">
      <c r="A10" s="15" t="str">
        <f>MonthName&amp;" Total"</f>
        <v>October Total</v>
      </c>
      <c r="B10" s="40">
        <f>SUBTOTAL(103,tblOctober[1])</f>
        <v>0</v>
      </c>
      <c r="C10" s="40">
        <f>SUBTOTAL(103,tblOctober[2])</f>
        <v>0</v>
      </c>
      <c r="D10" s="40">
        <f>SUBTOTAL(103,tblOctober[3])</f>
        <v>0</v>
      </c>
      <c r="E10" s="40">
        <f>SUBTOTAL(103,tblOctober[4])</f>
        <v>0</v>
      </c>
      <c r="F10" s="40">
        <f>SUBTOTAL(103,tblOctober[5])</f>
        <v>0</v>
      </c>
      <c r="G10" s="40">
        <f>SUBTOTAL(103,tblOctober[6])</f>
        <v>0</v>
      </c>
      <c r="H10" s="40">
        <f>SUBTOTAL(103,tblOctober[7])</f>
        <v>0</v>
      </c>
      <c r="I10" s="40">
        <f>SUBTOTAL(103,tblOctober[8])</f>
        <v>0</v>
      </c>
      <c r="J10" s="40">
        <f>SUBTOTAL(103,tblOctober[9])</f>
        <v>0</v>
      </c>
      <c r="K10" s="40">
        <f>SUBTOTAL(103,tblOctober[10])</f>
        <v>0</v>
      </c>
      <c r="L10" s="40">
        <f>SUBTOTAL(103,tblOctober[11])</f>
        <v>0</v>
      </c>
      <c r="M10" s="40">
        <f>SUBTOTAL(103,tblOctober[12])</f>
        <v>0</v>
      </c>
      <c r="N10" s="40">
        <f>SUBTOTAL(103,tblOctober[13])</f>
        <v>0</v>
      </c>
      <c r="O10" s="40">
        <f>SUBTOTAL(103,tblOctober[14])</f>
        <v>0</v>
      </c>
      <c r="P10" s="40">
        <f>SUBTOTAL(103,tblOctober[15])</f>
        <v>0</v>
      </c>
      <c r="Q10" s="40">
        <f>SUBTOTAL(103,tblOctober[16])</f>
        <v>0</v>
      </c>
      <c r="R10" s="40">
        <f>SUBTOTAL(103,tblOctober[17])</f>
        <v>0</v>
      </c>
      <c r="S10" s="40">
        <f>SUBTOTAL(103,tblOctober[18])</f>
        <v>0</v>
      </c>
      <c r="T10" s="40">
        <f>SUBTOTAL(103,tblOctober[19])</f>
        <v>0</v>
      </c>
      <c r="U10" s="40">
        <f>SUBTOTAL(103,tblOctober[20])</f>
        <v>0</v>
      </c>
      <c r="V10" s="40">
        <f>SUBTOTAL(103,tblOctober[21])</f>
        <v>0</v>
      </c>
      <c r="W10" s="40">
        <f>SUBTOTAL(103,tblOctober[22])</f>
        <v>0</v>
      </c>
      <c r="X10" s="40">
        <f>SUBTOTAL(103,tblOctober[23])</f>
        <v>0</v>
      </c>
      <c r="Y10" s="40">
        <f>SUBTOTAL(103,tblOctober[24])</f>
        <v>0</v>
      </c>
      <c r="Z10" s="40">
        <f>SUBTOTAL(103,tblOctober[25])</f>
        <v>0</v>
      </c>
      <c r="AA10" s="40">
        <f>SUBTOTAL(103,tblOctober[26])</f>
        <v>0</v>
      </c>
      <c r="AB10" s="40">
        <f>SUBTOTAL(103,tblOctober[27])</f>
        <v>0</v>
      </c>
      <c r="AC10" s="40">
        <f>SUBTOTAL(103,tblOctober[28])</f>
        <v>0</v>
      </c>
      <c r="AD10" s="40">
        <f>SUBTOTAL(103,tblOctober[29])</f>
        <v>0</v>
      </c>
      <c r="AE10" s="40">
        <f>SUBTOTAL(109,tblOctober[30])</f>
        <v>0</v>
      </c>
      <c r="AF10" s="40">
        <f>SUBTOTAL(109,tblOctober[31])</f>
        <v>0</v>
      </c>
      <c r="AG10" s="41">
        <f>SUBTOTAL(109,tblOctober[Total Days])</f>
        <v>0</v>
      </c>
    </row>
    <row r="18" spans="2:23" ht="15" customHeight="1" x14ac:dyDescent="0.25">
      <c r="B18" s="43" t="str">
        <f>January!B18</f>
        <v>Color Key</v>
      </c>
      <c r="C18" s="21"/>
      <c r="D18" s="34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395" priority="2" stopIfTrue="1">
      <formula>B5=KeyCustom2</formula>
    </cfRule>
    <cfRule type="expression" dxfId="394" priority="3" stopIfTrue="1">
      <formula>B5=KeyCustom1</formula>
    </cfRule>
    <cfRule type="expression" dxfId="393" priority="4" stopIfTrue="1">
      <formula>B5=KeySick</formula>
    </cfRule>
    <cfRule type="expression" dxfId="392" priority="5" stopIfTrue="1">
      <formula>B5=KeyPersonal</formula>
    </cfRule>
    <cfRule type="expression" dxfId="391" priority="6" stopIfTrue="1">
      <formula>B5=KeyVacation</formula>
    </cfRule>
  </conditionalFormatting>
  <conditionalFormatting sqref="AG5:AG9">
    <cfRule type="dataBar" priority="28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{A550AEEE-9357-4FFF-B99F-F96B7CA41630}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50AEEE-9357-4FFF-B99F-F96B7CA41630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G18"/>
  <sheetViews>
    <sheetView showGridLines="0" zoomScaleNormal="100" workbookViewId="0"/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61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TEXT(WEEKDAY(DATE(CalendarYear,11,1),1),"aaa")</f>
        <v>Tue</v>
      </c>
      <c r="C3" s="9" t="str">
        <f>TEXT(WEEKDAY(DATE(CalendarYear,11,2),1),"aaa")</f>
        <v>Wed</v>
      </c>
      <c r="D3" s="9" t="str">
        <f>TEXT(WEEKDAY(DATE(CalendarYear,11,3),1),"aaa")</f>
        <v>Thu</v>
      </c>
      <c r="E3" s="9" t="str">
        <f>TEXT(WEEKDAY(DATE(CalendarYear,11,4),1),"aaa")</f>
        <v>Fri</v>
      </c>
      <c r="F3" s="9" t="str">
        <f>TEXT(WEEKDAY(DATE(CalendarYear,11,5),1),"aaa")</f>
        <v>Sat</v>
      </c>
      <c r="G3" s="9" t="str">
        <f>TEXT(WEEKDAY(DATE(CalendarYear,11,6),1),"aaa")</f>
        <v>Sun</v>
      </c>
      <c r="H3" s="9" t="str">
        <f>TEXT(WEEKDAY(DATE(CalendarYear,11,7),1),"aaa")</f>
        <v>Mon</v>
      </c>
      <c r="I3" s="9" t="str">
        <f>TEXT(WEEKDAY(DATE(CalendarYear,11,8),1),"aaa")</f>
        <v>Tue</v>
      </c>
      <c r="J3" s="9" t="str">
        <f>TEXT(WEEKDAY(DATE(CalendarYear,11,9),1),"aaa")</f>
        <v>Wed</v>
      </c>
      <c r="K3" s="9" t="str">
        <f>TEXT(WEEKDAY(DATE(CalendarYear,11,10),1),"aaa")</f>
        <v>Thu</v>
      </c>
      <c r="L3" s="9" t="str">
        <f>TEXT(WEEKDAY(DATE(CalendarYear,11,11),1),"aaa")</f>
        <v>Fri</v>
      </c>
      <c r="M3" s="9" t="str">
        <f>TEXT(WEEKDAY(DATE(CalendarYear,11,12),1),"aaa")</f>
        <v>Sat</v>
      </c>
      <c r="N3" s="9" t="str">
        <f>TEXT(WEEKDAY(DATE(CalendarYear,11,13),1),"aaa")</f>
        <v>Sun</v>
      </c>
      <c r="O3" s="9" t="str">
        <f>TEXT(WEEKDAY(DATE(CalendarYear,11,14),1),"aaa")</f>
        <v>Mon</v>
      </c>
      <c r="P3" s="9" t="str">
        <f>TEXT(WEEKDAY(DATE(CalendarYear,11,15),1),"aaa")</f>
        <v>Tue</v>
      </c>
      <c r="Q3" s="9" t="str">
        <f>TEXT(WEEKDAY(DATE(CalendarYear,11,16),1),"aaa")</f>
        <v>Wed</v>
      </c>
      <c r="R3" s="9" t="str">
        <f>TEXT(WEEKDAY(DATE(CalendarYear,11,17),1),"aaa")</f>
        <v>Thu</v>
      </c>
      <c r="S3" s="9" t="str">
        <f>TEXT(WEEKDAY(DATE(CalendarYear,11,18),1),"aaa")</f>
        <v>Fri</v>
      </c>
      <c r="T3" s="9" t="str">
        <f>TEXT(WEEKDAY(DATE(CalendarYear,11,19),1),"aaa")</f>
        <v>Sat</v>
      </c>
      <c r="U3" s="9" t="str">
        <f>TEXT(WEEKDAY(DATE(CalendarYear,11,20),1),"aaa")</f>
        <v>Sun</v>
      </c>
      <c r="V3" s="9" t="str">
        <f>TEXT(WEEKDAY(DATE(CalendarYear,11,21),1),"aaa")</f>
        <v>Mon</v>
      </c>
      <c r="W3" s="9" t="str">
        <f>TEXT(WEEKDAY(DATE(CalendarYear,11,22),1),"aaa")</f>
        <v>Tue</v>
      </c>
      <c r="X3" s="9" t="str">
        <f>TEXT(WEEKDAY(DATE(CalendarYear,11,23),1),"aaa")</f>
        <v>Wed</v>
      </c>
      <c r="Y3" s="9" t="str">
        <f>TEXT(WEEKDAY(DATE(CalendarYear,11,24),1),"aaa")</f>
        <v>Thu</v>
      </c>
      <c r="Z3" s="9" t="str">
        <f>TEXT(WEEKDAY(DATE(CalendarYear,11,25),1),"aaa")</f>
        <v>Fri</v>
      </c>
      <c r="AA3" s="9" t="str">
        <f>TEXT(WEEKDAY(DATE(CalendarYear,11,26),1),"aaa")</f>
        <v>Sat</v>
      </c>
      <c r="AB3" s="9" t="str">
        <f>TEXT(WEEKDAY(DATE(CalendarYear,11,27),1),"aaa")</f>
        <v>Sun</v>
      </c>
      <c r="AC3" s="9" t="str">
        <f>TEXT(WEEKDAY(DATE(CalendarYear,11,28),1),"aaa")</f>
        <v>Mon</v>
      </c>
      <c r="AD3" s="9" t="str">
        <f>TEXT(WEEKDAY(DATE(CalendarYear,11,29),1),"aaa")</f>
        <v>Tue</v>
      </c>
      <c r="AE3" s="9" t="str">
        <f>TEXT(WEEKDAY(DATE(CalendarYear,11,30),1),"aaa")</f>
        <v>Wed</v>
      </c>
      <c r="AF3" s="9"/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39</v>
      </c>
      <c r="AG4" s="16" t="s">
        <v>34</v>
      </c>
    </row>
    <row r="5" spans="1:33" x14ac:dyDescent="0.25">
      <c r="A5" s="37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COUNTA(tblNovember[[#This Row],[1]:[30]])</f>
        <v>0</v>
      </c>
    </row>
    <row r="6" spans="1:33" x14ac:dyDescent="0.25">
      <c r="A6" s="37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COUNTA(tblNovember[[#This Row],[1]:[30]])</f>
        <v>0</v>
      </c>
    </row>
    <row r="7" spans="1:33" ht="15" customHeight="1" x14ac:dyDescent="0.25">
      <c r="A7" s="37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COUNTA(tblNovember[[#This Row],[1]:[30]])</f>
        <v>0</v>
      </c>
    </row>
    <row r="8" spans="1:33" ht="15" customHeight="1" x14ac:dyDescent="0.25">
      <c r="A8" s="37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COUNTA(tblNovember[[#This Row],[1]:[30]])</f>
        <v>0</v>
      </c>
    </row>
    <row r="9" spans="1:33" ht="15" customHeight="1" x14ac:dyDescent="0.25">
      <c r="A9" s="37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COUNTA(tblNovember[[#This Row],[1]:[30]])</f>
        <v>0</v>
      </c>
    </row>
    <row r="10" spans="1:33" ht="15" customHeight="1" x14ac:dyDescent="0.25">
      <c r="A10" s="15" t="str">
        <f>MonthName&amp;" Total"</f>
        <v>November Total</v>
      </c>
      <c r="B10" s="40">
        <f>SUBTOTAL(103,tblNovember[1])</f>
        <v>0</v>
      </c>
      <c r="C10" s="40">
        <f>SUBTOTAL(103,tblNovember[2])</f>
        <v>0</v>
      </c>
      <c r="D10" s="40">
        <f>SUBTOTAL(103,tblNovember[3])</f>
        <v>0</v>
      </c>
      <c r="E10" s="40">
        <f>SUBTOTAL(103,tblNovember[4])</f>
        <v>0</v>
      </c>
      <c r="F10" s="40">
        <f>SUBTOTAL(103,tblNovember[5])</f>
        <v>0</v>
      </c>
      <c r="G10" s="40">
        <f>SUBTOTAL(103,tblNovember[6])</f>
        <v>0</v>
      </c>
      <c r="H10" s="40">
        <f>SUBTOTAL(103,tblNovember[7])</f>
        <v>0</v>
      </c>
      <c r="I10" s="40">
        <f>SUBTOTAL(103,tblNovember[8])</f>
        <v>0</v>
      </c>
      <c r="J10" s="40">
        <f>SUBTOTAL(103,tblNovember[9])</f>
        <v>0</v>
      </c>
      <c r="K10" s="40">
        <f>SUBTOTAL(103,tblNovember[10])</f>
        <v>0</v>
      </c>
      <c r="L10" s="40">
        <f>SUBTOTAL(103,tblNovember[11])</f>
        <v>0</v>
      </c>
      <c r="M10" s="40">
        <f>SUBTOTAL(103,tblNovember[12])</f>
        <v>0</v>
      </c>
      <c r="N10" s="40">
        <f>SUBTOTAL(103,tblNovember[13])</f>
        <v>0</v>
      </c>
      <c r="O10" s="40">
        <f>SUBTOTAL(103,tblNovember[14])</f>
        <v>0</v>
      </c>
      <c r="P10" s="40">
        <f>SUBTOTAL(103,tblNovember[15])</f>
        <v>0</v>
      </c>
      <c r="Q10" s="40">
        <f>SUBTOTAL(103,tblNovember[16])</f>
        <v>0</v>
      </c>
      <c r="R10" s="40">
        <f>SUBTOTAL(103,tblNovember[17])</f>
        <v>0</v>
      </c>
      <c r="S10" s="40">
        <f>SUBTOTAL(103,tblNovember[18])</f>
        <v>0</v>
      </c>
      <c r="T10" s="40">
        <f>SUBTOTAL(103,tblNovember[19])</f>
        <v>0</v>
      </c>
      <c r="U10" s="40">
        <f>SUBTOTAL(103,tblNovember[20])</f>
        <v>0</v>
      </c>
      <c r="V10" s="40">
        <f>SUBTOTAL(103,tblNovember[21])</f>
        <v>0</v>
      </c>
      <c r="W10" s="40">
        <f>SUBTOTAL(103,tblNovember[22])</f>
        <v>0</v>
      </c>
      <c r="X10" s="40">
        <f>SUBTOTAL(103,tblNovember[23])</f>
        <v>0</v>
      </c>
      <c r="Y10" s="40">
        <f>SUBTOTAL(103,tblNovember[24])</f>
        <v>0</v>
      </c>
      <c r="Z10" s="40">
        <f>SUBTOTAL(103,tblNovember[25])</f>
        <v>0</v>
      </c>
      <c r="AA10" s="40">
        <f>SUBTOTAL(103,tblNovember[26])</f>
        <v>0</v>
      </c>
      <c r="AB10" s="40">
        <f>SUBTOTAL(103,tblNovember[27])</f>
        <v>0</v>
      </c>
      <c r="AC10" s="40">
        <f>SUBTOTAL(103,tblNovember[28])</f>
        <v>0</v>
      </c>
      <c r="AD10" s="40">
        <f>SUBTOTAL(103,tblNovember[29])</f>
        <v>0</v>
      </c>
      <c r="AE10" s="40">
        <f>SUBTOTAL(109,tblNovember[30])</f>
        <v>0</v>
      </c>
      <c r="AF10" s="40"/>
      <c r="AG10" s="41">
        <f>SUBTOTAL(109,tblNovember[Total Days])</f>
        <v>0</v>
      </c>
    </row>
    <row r="18" spans="2:23" ht="15" customHeight="1" x14ac:dyDescent="0.25">
      <c r="B18" s="43" t="str">
        <f>January!B18</f>
        <v>Color Key</v>
      </c>
      <c r="C18" s="21"/>
      <c r="D18" s="34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352" priority="2" stopIfTrue="1">
      <formula>B5=KeyCustom2</formula>
    </cfRule>
    <cfRule type="expression" dxfId="351" priority="3" stopIfTrue="1">
      <formula>B5=KeyCustom1</formula>
    </cfRule>
    <cfRule type="expression" dxfId="350" priority="4" stopIfTrue="1">
      <formula>B5=KeySick</formula>
    </cfRule>
    <cfRule type="expression" dxfId="349" priority="5" stopIfTrue="1">
      <formula>B5=KeyPersonal</formula>
    </cfRule>
    <cfRule type="expression" dxfId="348" priority="6" stopIfTrue="1">
      <formula>B5=KeyVacation</formula>
    </cfRule>
  </conditionalFormatting>
  <conditionalFormatting sqref="AG5:AG9">
    <cfRule type="dataBar" priority="29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{A15D8916-F091-4425-9705-45472C7168ED}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5D8916-F091-4425-9705-45472C7168ED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G18"/>
  <sheetViews>
    <sheetView showGridLines="0" zoomScaleNormal="100" workbookViewId="0"/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62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TEXT(WEEKDAY(DATE(CalendarYear,12,1),1),"aaa")</f>
        <v>Thu</v>
      </c>
      <c r="C3" s="9" t="str">
        <f>TEXT(WEEKDAY(DATE(CalendarYear,12,2),1),"aaa")</f>
        <v>Fri</v>
      </c>
      <c r="D3" s="9" t="str">
        <f>TEXT(WEEKDAY(DATE(CalendarYear,12,3),1),"aaa")</f>
        <v>Sat</v>
      </c>
      <c r="E3" s="9" t="str">
        <f>TEXT(WEEKDAY(DATE(CalendarYear,12,4),1),"aaa")</f>
        <v>Sun</v>
      </c>
      <c r="F3" s="9" t="str">
        <f>TEXT(WEEKDAY(DATE(CalendarYear,12,5),1),"aaa")</f>
        <v>Mon</v>
      </c>
      <c r="G3" s="9" t="str">
        <f>TEXT(WEEKDAY(DATE(CalendarYear,12,6),1),"aaa")</f>
        <v>Tue</v>
      </c>
      <c r="H3" s="9" t="str">
        <f>TEXT(WEEKDAY(DATE(CalendarYear,12,7),1),"aaa")</f>
        <v>Wed</v>
      </c>
      <c r="I3" s="9" t="str">
        <f>TEXT(WEEKDAY(DATE(CalendarYear,12,8),1),"aaa")</f>
        <v>Thu</v>
      </c>
      <c r="J3" s="9" t="str">
        <f>TEXT(WEEKDAY(DATE(CalendarYear,12,9),1),"aaa")</f>
        <v>Fri</v>
      </c>
      <c r="K3" s="9" t="str">
        <f>TEXT(WEEKDAY(DATE(CalendarYear,12,10),1),"aaa")</f>
        <v>Sat</v>
      </c>
      <c r="L3" s="9" t="str">
        <f>TEXT(WEEKDAY(DATE(CalendarYear,12,11),1),"aaa")</f>
        <v>Sun</v>
      </c>
      <c r="M3" s="9" t="str">
        <f>TEXT(WEEKDAY(DATE(CalendarYear,12,12),1),"aaa")</f>
        <v>Mon</v>
      </c>
      <c r="N3" s="9" t="str">
        <f>TEXT(WEEKDAY(DATE(CalendarYear,12,13),1),"aaa")</f>
        <v>Tue</v>
      </c>
      <c r="O3" s="9" t="str">
        <f>TEXT(WEEKDAY(DATE(CalendarYear,12,14),1),"aaa")</f>
        <v>Wed</v>
      </c>
      <c r="P3" s="9" t="str">
        <f>TEXT(WEEKDAY(DATE(CalendarYear,12,15),1),"aaa")</f>
        <v>Thu</v>
      </c>
      <c r="Q3" s="9" t="str">
        <f>TEXT(WEEKDAY(DATE(CalendarYear,12,16),1),"aaa")</f>
        <v>Fri</v>
      </c>
      <c r="R3" s="9" t="str">
        <f>TEXT(WEEKDAY(DATE(CalendarYear,12,17),1),"aaa")</f>
        <v>Sat</v>
      </c>
      <c r="S3" s="9" t="str">
        <f>TEXT(WEEKDAY(DATE(CalendarYear,12,18),1),"aaa")</f>
        <v>Sun</v>
      </c>
      <c r="T3" s="9" t="str">
        <f>TEXT(WEEKDAY(DATE(CalendarYear,12,19),1),"aaa")</f>
        <v>Mon</v>
      </c>
      <c r="U3" s="9" t="str">
        <f>TEXT(WEEKDAY(DATE(CalendarYear,12,20),1),"aaa")</f>
        <v>Tue</v>
      </c>
      <c r="V3" s="9" t="str">
        <f>TEXT(WEEKDAY(DATE(CalendarYear,12,21),1),"aaa")</f>
        <v>Wed</v>
      </c>
      <c r="W3" s="9" t="str">
        <f>TEXT(WEEKDAY(DATE(CalendarYear,12,22),1),"aaa")</f>
        <v>Thu</v>
      </c>
      <c r="X3" s="9" t="str">
        <f>TEXT(WEEKDAY(DATE(CalendarYear,12,23),1),"aaa")</f>
        <v>Fri</v>
      </c>
      <c r="Y3" s="9" t="str">
        <f>TEXT(WEEKDAY(DATE(CalendarYear,12,24),1),"aaa")</f>
        <v>Sat</v>
      </c>
      <c r="Z3" s="9" t="str">
        <f>TEXT(WEEKDAY(DATE(CalendarYear,12,25),1),"aaa")</f>
        <v>Sun</v>
      </c>
      <c r="AA3" s="9" t="str">
        <f>TEXT(WEEKDAY(DATE(CalendarYear,12,26),1),"aaa")</f>
        <v>Mon</v>
      </c>
      <c r="AB3" s="9" t="str">
        <f>TEXT(WEEKDAY(DATE(CalendarYear,12,27),1),"aaa")</f>
        <v>Tue</v>
      </c>
      <c r="AC3" s="9" t="str">
        <f>TEXT(WEEKDAY(DATE(CalendarYear,12,28),1),"aaa")</f>
        <v>Wed</v>
      </c>
      <c r="AD3" s="9" t="str">
        <f>TEXT(WEEKDAY(DATE(CalendarYear,12,29),1),"aaa")</f>
        <v>Thu</v>
      </c>
      <c r="AE3" s="9" t="str">
        <f>TEXT(WEEKDAY(DATE(CalendarYear,12,30),1),"aaa")</f>
        <v>Fri</v>
      </c>
      <c r="AF3" s="9" t="str">
        <f>TEXT(WEEKDAY(DATE(CalendarYear,12,31),1),"aaa")</f>
        <v>Sat</v>
      </c>
      <c r="AG3" s="49"/>
    </row>
    <row r="4" spans="1:33" x14ac:dyDescent="0.25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2" t="s">
        <v>34</v>
      </c>
    </row>
    <row r="5" spans="1:33" x14ac:dyDescent="0.25">
      <c r="A5" s="37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38">
        <f>COUNTA(tblDecember[[#This Row],[1]:[31]])</f>
        <v>0</v>
      </c>
    </row>
    <row r="6" spans="1:33" x14ac:dyDescent="0.25">
      <c r="A6" s="37" t="s">
        <v>38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38">
        <f>COUNTA(tblDecember[[#This Row],[1]:[31]])</f>
        <v>0</v>
      </c>
    </row>
    <row r="7" spans="1:33" ht="15" customHeight="1" x14ac:dyDescent="0.25">
      <c r="A7" s="37" t="s">
        <v>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38">
        <f>COUNTA(tblDecember[[#This Row],[1]:[31]])</f>
        <v>0</v>
      </c>
    </row>
    <row r="8" spans="1:33" ht="15" customHeight="1" x14ac:dyDescent="0.25">
      <c r="A8" s="37" t="s">
        <v>51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38">
        <f>COUNTA(tblDecember[[#This Row],[1]:[31]])</f>
        <v>0</v>
      </c>
    </row>
    <row r="9" spans="1:33" ht="15" customHeight="1" x14ac:dyDescent="0.25">
      <c r="A9" s="37" t="s">
        <v>52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38">
        <f>COUNTA(tblDecember[[#This Row],[1]:[31]])</f>
        <v>0</v>
      </c>
    </row>
    <row r="10" spans="1:33" ht="15" customHeight="1" x14ac:dyDescent="0.25">
      <c r="A10" s="20" t="str">
        <f>MonthName&amp;" Total"</f>
        <v>December Total</v>
      </c>
      <c r="B10" s="17">
        <f>SUBTOTAL(103,tblDecember[1])</f>
        <v>0</v>
      </c>
      <c r="C10" s="17">
        <f>SUBTOTAL(103,tblDecember[2])</f>
        <v>0</v>
      </c>
      <c r="D10" s="17">
        <f>SUBTOTAL(103,tblDecember[3])</f>
        <v>0</v>
      </c>
      <c r="E10" s="17">
        <f>SUBTOTAL(103,tblDecember[4])</f>
        <v>0</v>
      </c>
      <c r="F10" s="17">
        <f>SUBTOTAL(103,tblDecember[5])</f>
        <v>0</v>
      </c>
      <c r="G10" s="17">
        <f>SUBTOTAL(103,tblDecember[6])</f>
        <v>0</v>
      </c>
      <c r="H10" s="17">
        <f>SUBTOTAL(103,tblDecember[7])</f>
        <v>0</v>
      </c>
      <c r="I10" s="17">
        <f>SUBTOTAL(103,tblDecember[8])</f>
        <v>0</v>
      </c>
      <c r="J10" s="17">
        <f>SUBTOTAL(103,tblDecember[9])</f>
        <v>0</v>
      </c>
      <c r="K10" s="17">
        <f>SUBTOTAL(103,tblDecember[10])</f>
        <v>0</v>
      </c>
      <c r="L10" s="17">
        <f>SUBTOTAL(103,tblDecember[11])</f>
        <v>0</v>
      </c>
      <c r="M10" s="17">
        <f>SUBTOTAL(103,tblDecember[12])</f>
        <v>0</v>
      </c>
      <c r="N10" s="17">
        <f>SUBTOTAL(103,tblDecember[13])</f>
        <v>0</v>
      </c>
      <c r="O10" s="17">
        <f>SUBTOTAL(103,tblDecember[14])</f>
        <v>0</v>
      </c>
      <c r="P10" s="17">
        <f>SUBTOTAL(103,tblDecember[15])</f>
        <v>0</v>
      </c>
      <c r="Q10" s="17">
        <f>SUBTOTAL(103,tblDecember[16])</f>
        <v>0</v>
      </c>
      <c r="R10" s="17">
        <f>SUBTOTAL(103,tblDecember[17])</f>
        <v>0</v>
      </c>
      <c r="S10" s="17">
        <f>SUBTOTAL(103,tblDecember[18])</f>
        <v>0</v>
      </c>
      <c r="T10" s="17">
        <f>SUBTOTAL(103,tblDecember[19])</f>
        <v>0</v>
      </c>
      <c r="U10" s="17">
        <f>SUBTOTAL(103,tblDecember[20])</f>
        <v>0</v>
      </c>
      <c r="V10" s="17">
        <f>SUBTOTAL(103,tblDecember[21])</f>
        <v>0</v>
      </c>
      <c r="W10" s="17">
        <f>SUBTOTAL(103,tblDecember[22])</f>
        <v>0</v>
      </c>
      <c r="X10" s="17">
        <f>SUBTOTAL(103,tblDecember[23])</f>
        <v>0</v>
      </c>
      <c r="Y10" s="17">
        <f>SUBTOTAL(103,tblDecember[24])</f>
        <v>0</v>
      </c>
      <c r="Z10" s="17">
        <f>SUBTOTAL(103,tblDecember[25])</f>
        <v>0</v>
      </c>
      <c r="AA10" s="17">
        <f>SUBTOTAL(103,tblDecember[26])</f>
        <v>0</v>
      </c>
      <c r="AB10" s="17">
        <f>SUBTOTAL(103,tblDecember[27])</f>
        <v>0</v>
      </c>
      <c r="AC10" s="17">
        <f>SUBTOTAL(103,tblDecember[28])</f>
        <v>0</v>
      </c>
      <c r="AD10" s="17">
        <f>SUBTOTAL(103,tblDecember[29])</f>
        <v>0</v>
      </c>
      <c r="AE10" s="17">
        <f>SUBTOTAL(109,tblDecember[30])</f>
        <v>0</v>
      </c>
      <c r="AF10" s="39">
        <f>SUBTOTAL(109,tblDecember[31])</f>
        <v>0</v>
      </c>
      <c r="AG10" s="38">
        <f>SUBTOTAL(109,tblDecember[Total Days])</f>
        <v>0</v>
      </c>
    </row>
    <row r="18" spans="2:2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309" priority="2" stopIfTrue="1">
      <formula>B5=KeyCustom2</formula>
    </cfRule>
    <cfRule type="expression" dxfId="308" priority="3" stopIfTrue="1">
      <formula>B5=KeyCustom1</formula>
    </cfRule>
    <cfRule type="expression" dxfId="307" priority="4" stopIfTrue="1">
      <formula>B5=KeySick</formula>
    </cfRule>
    <cfRule type="expression" dxfId="306" priority="5" stopIfTrue="1">
      <formula>B5=KeyPersonal</formula>
    </cfRule>
    <cfRule type="expression" dxfId="305" priority="6" stopIfTrue="1">
      <formula>B5=KeyVacation</formula>
    </cfRule>
  </conditionalFormatting>
  <conditionalFormatting sqref="AG5:AG9">
    <cfRule type="dataBar" priority="30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G18"/>
  <sheetViews>
    <sheetView showGridLines="0" zoomScaleNormal="100" workbookViewId="0">
      <selection activeCell="A5" sqref="A5:A9"/>
    </sheetView>
  </sheetViews>
  <sheetFormatPr defaultColWidth="7.5703125"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7.57031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49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TEXT(WEEKDAY(DATE(CalendarYear,2,1),1),"aaa")</f>
        <v>Mon</v>
      </c>
      <c r="C3" s="9" t="str">
        <f>TEXT(WEEKDAY(DATE(CalendarYear,2,2),1),"aaa")</f>
        <v>Tue</v>
      </c>
      <c r="D3" s="9" t="str">
        <f>TEXT(WEEKDAY(DATE(CalendarYear,2,3),1),"aaa")</f>
        <v>Wed</v>
      </c>
      <c r="E3" s="9" t="str">
        <f>TEXT(WEEKDAY(DATE(CalendarYear,2,4),1),"aaa")</f>
        <v>Thu</v>
      </c>
      <c r="F3" s="9" t="str">
        <f>TEXT(WEEKDAY(DATE(CalendarYear,2,5),1),"aaa")</f>
        <v>Fri</v>
      </c>
      <c r="G3" s="9" t="str">
        <f>TEXT(WEEKDAY(DATE(CalendarYear,2,6),1),"aaa")</f>
        <v>Sat</v>
      </c>
      <c r="H3" s="9" t="str">
        <f>TEXT(WEEKDAY(DATE(CalendarYear,2,7),1),"aaa")</f>
        <v>Sun</v>
      </c>
      <c r="I3" s="9" t="str">
        <f>TEXT(WEEKDAY(DATE(CalendarYear,2,8),1),"aaa")</f>
        <v>Mon</v>
      </c>
      <c r="J3" s="9" t="str">
        <f>TEXT(WEEKDAY(DATE(CalendarYear,2,9),1),"aaa")</f>
        <v>Tue</v>
      </c>
      <c r="K3" s="9" t="str">
        <f>TEXT(WEEKDAY(DATE(CalendarYear,2,10),1),"aaa")</f>
        <v>Wed</v>
      </c>
      <c r="L3" s="9" t="str">
        <f>TEXT(WEEKDAY(DATE(CalendarYear,2,11),1),"aaa")</f>
        <v>Thu</v>
      </c>
      <c r="M3" s="9" t="str">
        <f>TEXT(WEEKDAY(DATE(CalendarYear,2,12),1),"aaa")</f>
        <v>Fri</v>
      </c>
      <c r="N3" s="9" t="str">
        <f>TEXT(WEEKDAY(DATE(CalendarYear,2,13),1),"aaa")</f>
        <v>Sat</v>
      </c>
      <c r="O3" s="9" t="str">
        <f>TEXT(WEEKDAY(DATE(CalendarYear,2,14),1),"aaa")</f>
        <v>Sun</v>
      </c>
      <c r="P3" s="9" t="str">
        <f>TEXT(WEEKDAY(DATE(CalendarYear,2,15),1),"aaa")</f>
        <v>Mon</v>
      </c>
      <c r="Q3" s="9" t="str">
        <f>TEXT(WEEKDAY(DATE(CalendarYear,2,16),1),"aaa")</f>
        <v>Tue</v>
      </c>
      <c r="R3" s="9" t="str">
        <f>TEXT(WEEKDAY(DATE(CalendarYear,2,17),1),"aaa")</f>
        <v>Wed</v>
      </c>
      <c r="S3" s="9" t="str">
        <f>TEXT(WEEKDAY(DATE(CalendarYear,2,18),1),"aaa")</f>
        <v>Thu</v>
      </c>
      <c r="T3" s="9" t="str">
        <f>TEXT(WEEKDAY(DATE(CalendarYear,2,19),1),"aaa")</f>
        <v>Fri</v>
      </c>
      <c r="U3" s="9" t="str">
        <f>TEXT(WEEKDAY(DATE(CalendarYear,2,20),1),"aaa")</f>
        <v>Sat</v>
      </c>
      <c r="V3" s="9" t="str">
        <f>TEXT(WEEKDAY(DATE(CalendarYear,2,21),1),"aaa")</f>
        <v>Sun</v>
      </c>
      <c r="W3" s="9" t="str">
        <f>TEXT(WEEKDAY(DATE(CalendarYear,2,22),1),"aaa")</f>
        <v>Mon</v>
      </c>
      <c r="X3" s="9" t="str">
        <f>TEXT(WEEKDAY(DATE(CalendarYear,2,23),1),"aaa")</f>
        <v>Tue</v>
      </c>
      <c r="Y3" s="9" t="str">
        <f>TEXT(WEEKDAY(DATE(CalendarYear,2,24),1),"aaa")</f>
        <v>Wed</v>
      </c>
      <c r="Z3" s="9" t="str">
        <f>TEXT(WEEKDAY(DATE(CalendarYear,2,25),1),"aaa")</f>
        <v>Thu</v>
      </c>
      <c r="AA3" s="9" t="str">
        <f>TEXT(WEEKDAY(DATE(CalendarYear,2,26),1),"aaa")</f>
        <v>Fri</v>
      </c>
      <c r="AB3" s="9" t="str">
        <f>TEXT(WEEKDAY(DATE(CalendarYear,2,27),1),"aaa")</f>
        <v>Sat</v>
      </c>
      <c r="AC3" s="9" t="str">
        <f>TEXT(WEEKDAY(DATE(CalendarYear,2,28),1),"aaa")</f>
        <v>Sun</v>
      </c>
      <c r="AD3" s="9" t="str">
        <f>TEXT(WEEKDAY(DATE(CalendarYear,2,29),1),"aaa")</f>
        <v>Mon</v>
      </c>
      <c r="AE3" s="9"/>
      <c r="AF3" s="9"/>
      <c r="AG3" s="49"/>
    </row>
    <row r="4" spans="1:33" x14ac:dyDescent="0.25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39</v>
      </c>
      <c r="AF4" s="14" t="s">
        <v>40</v>
      </c>
      <c r="AG4" s="12" t="s">
        <v>34</v>
      </c>
    </row>
    <row r="5" spans="1:33" x14ac:dyDescent="0.25">
      <c r="A5" s="51" t="s">
        <v>63</v>
      </c>
      <c r="B5" s="11"/>
      <c r="C5" s="11"/>
      <c r="D5" s="11" t="s">
        <v>37</v>
      </c>
      <c r="E5" s="11" t="s">
        <v>37</v>
      </c>
      <c r="F5" s="11" t="s">
        <v>37</v>
      </c>
      <c r="G5" s="11" t="s">
        <v>37</v>
      </c>
      <c r="H5" s="11"/>
      <c r="I5" s="11"/>
      <c r="J5" s="11"/>
      <c r="K5" s="11"/>
      <c r="L5" s="11"/>
      <c r="M5" s="11"/>
      <c r="N5" s="11" t="s">
        <v>37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38">
        <f>COUNTA(tblFebruary[[#This Row],[1]:[29]])</f>
        <v>5</v>
      </c>
    </row>
    <row r="6" spans="1:33" x14ac:dyDescent="0.25">
      <c r="A6" s="51" t="s">
        <v>64</v>
      </c>
      <c r="B6" s="11"/>
      <c r="C6" s="11"/>
      <c r="D6" s="11"/>
      <c r="E6" s="11"/>
      <c r="F6" s="11" t="s">
        <v>36</v>
      </c>
      <c r="G6" s="11" t="s">
        <v>36</v>
      </c>
      <c r="H6" s="11"/>
      <c r="I6" s="11"/>
      <c r="J6" s="11"/>
      <c r="K6" s="11"/>
      <c r="L6" s="11" t="s">
        <v>41</v>
      </c>
      <c r="M6" s="11"/>
      <c r="N6" s="11"/>
      <c r="O6" s="11"/>
      <c r="P6" s="11"/>
      <c r="Q6" s="11"/>
      <c r="R6" s="11"/>
      <c r="S6" s="11"/>
      <c r="T6" s="11"/>
      <c r="U6" s="11" t="s">
        <v>36</v>
      </c>
      <c r="V6" s="11"/>
      <c r="W6" s="11"/>
      <c r="X6" s="11"/>
      <c r="Y6" s="11"/>
      <c r="Z6" s="11" t="s">
        <v>37</v>
      </c>
      <c r="AA6" s="11" t="s">
        <v>37</v>
      </c>
      <c r="AB6" s="11" t="s">
        <v>37</v>
      </c>
      <c r="AC6" s="11"/>
      <c r="AD6" s="11"/>
      <c r="AE6" s="11"/>
      <c r="AF6" s="11"/>
      <c r="AG6" s="38">
        <f>COUNTA(tblFebruary[[#This Row],[1]:[29]])</f>
        <v>7</v>
      </c>
    </row>
    <row r="7" spans="1:33" ht="15" customHeight="1" x14ac:dyDescent="0.25">
      <c r="A7" s="51" t="s">
        <v>65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38">
        <f>COUNTA(tblFebruary[[#This Row],[1]:[29]])</f>
        <v>0</v>
      </c>
    </row>
    <row r="8" spans="1:33" ht="15" customHeight="1" x14ac:dyDescent="0.25">
      <c r="A8" s="51" t="s">
        <v>66</v>
      </c>
      <c r="B8" s="11"/>
      <c r="C8" s="11"/>
      <c r="D8" s="11" t="s">
        <v>36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 t="s">
        <v>36</v>
      </c>
      <c r="P8" s="11"/>
      <c r="Q8" s="11"/>
      <c r="R8" s="11"/>
      <c r="S8" s="11" t="s">
        <v>41</v>
      </c>
      <c r="T8" s="11"/>
      <c r="U8" s="11"/>
      <c r="V8" s="11"/>
      <c r="W8" s="11"/>
      <c r="X8" s="11"/>
      <c r="Y8" s="11"/>
      <c r="Z8" s="11"/>
      <c r="AA8" s="11"/>
      <c r="AB8" s="11"/>
      <c r="AC8" s="11" t="s">
        <v>36</v>
      </c>
      <c r="AD8" s="11"/>
      <c r="AE8" s="11"/>
      <c r="AF8" s="11"/>
      <c r="AG8" s="38">
        <f>COUNTA(tblFebruary[[#This Row],[1]:[29]])</f>
        <v>4</v>
      </c>
    </row>
    <row r="9" spans="1:33" ht="15" customHeight="1" x14ac:dyDescent="0.25">
      <c r="A9" s="51" t="s">
        <v>67</v>
      </c>
      <c r="B9" s="11"/>
      <c r="C9" s="11"/>
      <c r="D9" s="11"/>
      <c r="E9" s="11"/>
      <c r="F9" s="11"/>
      <c r="G9" s="11"/>
      <c r="H9" s="11"/>
      <c r="I9" s="11" t="s">
        <v>37</v>
      </c>
      <c r="J9" s="11" t="s">
        <v>37</v>
      </c>
      <c r="K9" s="11" t="s">
        <v>37</v>
      </c>
      <c r="L9" s="11" t="s">
        <v>37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 t="s">
        <v>36</v>
      </c>
      <c r="Z9" s="11"/>
      <c r="AA9" s="11"/>
      <c r="AB9" s="11"/>
      <c r="AC9" s="11"/>
      <c r="AD9" s="11"/>
      <c r="AE9" s="11"/>
      <c r="AF9" s="11"/>
      <c r="AG9" s="38">
        <f>COUNTA(tblFebruary[[#This Row],[1]:[29]])</f>
        <v>5</v>
      </c>
    </row>
    <row r="10" spans="1:33" ht="15" customHeight="1" x14ac:dyDescent="0.25">
      <c r="A10" s="52" t="str">
        <f>MonthName&amp;" Total"</f>
        <v>February Total</v>
      </c>
      <c r="B10" s="53">
        <f>SUBTOTAL(103,tblFebruary[1])</f>
        <v>0</v>
      </c>
      <c r="C10" s="53">
        <f>SUBTOTAL(103,tblFebruary[2])</f>
        <v>0</v>
      </c>
      <c r="D10" s="53">
        <f>SUBTOTAL(103,tblFebruary[3])</f>
        <v>2</v>
      </c>
      <c r="E10" s="53">
        <f>SUBTOTAL(103,tblFebruary[4])</f>
        <v>1</v>
      </c>
      <c r="F10" s="53">
        <f>SUBTOTAL(103,tblFebruary[5])</f>
        <v>2</v>
      </c>
      <c r="G10" s="53">
        <f>SUBTOTAL(103,tblFebruary[6])</f>
        <v>2</v>
      </c>
      <c r="H10" s="53">
        <f>SUBTOTAL(103,tblFebruary[7])</f>
        <v>0</v>
      </c>
      <c r="I10" s="53">
        <f>SUBTOTAL(103,tblFebruary[8])</f>
        <v>1</v>
      </c>
      <c r="J10" s="53">
        <f>SUBTOTAL(103,tblFebruary[9])</f>
        <v>1</v>
      </c>
      <c r="K10" s="53">
        <f>SUBTOTAL(103,tblFebruary[10])</f>
        <v>1</v>
      </c>
      <c r="L10" s="53">
        <f>SUBTOTAL(103,tblFebruary[11])</f>
        <v>2</v>
      </c>
      <c r="M10" s="53">
        <f>SUBTOTAL(103,tblFebruary[12])</f>
        <v>0</v>
      </c>
      <c r="N10" s="53">
        <f>SUBTOTAL(103,tblFebruary[13])</f>
        <v>1</v>
      </c>
      <c r="O10" s="53">
        <f>SUBTOTAL(103,tblFebruary[14])</f>
        <v>1</v>
      </c>
      <c r="P10" s="53">
        <f>SUBTOTAL(103,tblFebruary[15])</f>
        <v>0</v>
      </c>
      <c r="Q10" s="53">
        <f>SUBTOTAL(103,tblFebruary[16])</f>
        <v>0</v>
      </c>
      <c r="R10" s="53">
        <f>SUBTOTAL(103,tblFebruary[17])</f>
        <v>0</v>
      </c>
      <c r="S10" s="53">
        <f>SUBTOTAL(103,tblFebruary[18])</f>
        <v>1</v>
      </c>
      <c r="T10" s="53">
        <f>SUBTOTAL(103,tblFebruary[19])</f>
        <v>0</v>
      </c>
      <c r="U10" s="53">
        <f>SUBTOTAL(103,tblFebruary[20])</f>
        <v>1</v>
      </c>
      <c r="V10" s="53">
        <f>SUBTOTAL(103,tblFebruary[21])</f>
        <v>0</v>
      </c>
      <c r="W10" s="53">
        <f>SUBTOTAL(103,tblFebruary[22])</f>
        <v>0</v>
      </c>
      <c r="X10" s="53">
        <f>SUBTOTAL(103,tblFebruary[23])</f>
        <v>0</v>
      </c>
      <c r="Y10" s="53">
        <f>SUBTOTAL(103,tblFebruary[24])</f>
        <v>1</v>
      </c>
      <c r="Z10" s="53">
        <f>SUBTOTAL(103,tblFebruary[25])</f>
        <v>1</v>
      </c>
      <c r="AA10" s="53">
        <f>SUBTOTAL(103,tblFebruary[26])</f>
        <v>1</v>
      </c>
      <c r="AB10" s="53">
        <f>SUBTOTAL(103,tblFebruary[27])</f>
        <v>1</v>
      </c>
      <c r="AC10" s="53">
        <f>SUBTOTAL(103,tblFebruary[28])</f>
        <v>1</v>
      </c>
      <c r="AD10" s="53">
        <f>SUBTOTAL(103,tblFebruary[29])</f>
        <v>0</v>
      </c>
      <c r="AE10" s="53"/>
      <c r="AF10" s="53"/>
      <c r="AG10" s="54">
        <f>SUBTOTAL(109,tblFebruary[Total Days])</f>
        <v>21</v>
      </c>
    </row>
    <row r="15" spans="1:33" s="36" customFormat="1" ht="15" customHeight="1" x14ac:dyDescent="0.25"/>
    <row r="18" spans="2:2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B2:AF2"/>
    <mergeCell ref="A2:A3"/>
    <mergeCell ref="AG2:AG3"/>
  </mergeCells>
  <conditionalFormatting sqref="AD4">
    <cfRule type="expression" dxfId="537" priority="16">
      <formula>MONTH(DATE(CalendarYear,2,29))&lt;&gt;2</formula>
    </cfRule>
  </conditionalFormatting>
  <conditionalFormatting sqref="AD3">
    <cfRule type="expression" dxfId="536" priority="15">
      <formula>MONTH(DATE(CalendarYear,2,29))&lt;&gt;2</formula>
    </cfRule>
  </conditionalFormatting>
  <conditionalFormatting sqref="B5:AF9">
    <cfRule type="expression" priority="2" stopIfTrue="1">
      <formula>B5=""</formula>
    </cfRule>
    <cfRule type="expression" dxfId="535" priority="3" stopIfTrue="1">
      <formula>B5=KeyCustom2</formula>
    </cfRule>
  </conditionalFormatting>
  <conditionalFormatting sqref="B5:AF9">
    <cfRule type="expression" dxfId="534" priority="5" stopIfTrue="1">
      <formula>B5=KeyCustom1</formula>
    </cfRule>
    <cfRule type="expression" dxfId="533" priority="6" stopIfTrue="1">
      <formula>B5=KeySick</formula>
    </cfRule>
    <cfRule type="expression" dxfId="532" priority="7" stopIfTrue="1">
      <formula>B5=KeyPersonal</formula>
    </cfRule>
    <cfRule type="expression" dxfId="531" priority="8" stopIfTrue="1">
      <formula>B5=KeyVacation</formula>
    </cfRule>
  </conditionalFormatting>
  <conditionalFormatting sqref="AG5:AG9">
    <cfRule type="dataBar" priority="153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G18"/>
  <sheetViews>
    <sheetView showGridLines="0" zoomScaleNormal="100" workbookViewId="0">
      <selection activeCell="A5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53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TEXT(WEEKDAY(DATE(CalendarYear,3,1),1),"aaa")</f>
        <v>Tue</v>
      </c>
      <c r="C3" s="9" t="str">
        <f>TEXT(WEEKDAY(DATE(CalendarYear,3,2),1),"aaa")</f>
        <v>Wed</v>
      </c>
      <c r="D3" s="9" t="str">
        <f>TEXT(WEEKDAY(DATE(CalendarYear,3,3),1),"aaa")</f>
        <v>Thu</v>
      </c>
      <c r="E3" s="9" t="str">
        <f>TEXT(WEEKDAY(DATE(CalendarYear,3,4),1),"aaa")</f>
        <v>Fri</v>
      </c>
      <c r="F3" s="9" t="str">
        <f>TEXT(WEEKDAY(DATE(CalendarYear,3,5),1),"aaa")</f>
        <v>Sat</v>
      </c>
      <c r="G3" s="9" t="str">
        <f>TEXT(WEEKDAY(DATE(CalendarYear,3,6),1),"aaa")</f>
        <v>Sun</v>
      </c>
      <c r="H3" s="9" t="str">
        <f>TEXT(WEEKDAY(DATE(CalendarYear,3,7),1),"aaa")</f>
        <v>Mon</v>
      </c>
      <c r="I3" s="9" t="str">
        <f>TEXT(WEEKDAY(DATE(CalendarYear,3,8),1),"aaa")</f>
        <v>Tue</v>
      </c>
      <c r="J3" s="9" t="str">
        <f>TEXT(WEEKDAY(DATE(CalendarYear,3,9),1),"aaa")</f>
        <v>Wed</v>
      </c>
      <c r="K3" s="9" t="str">
        <f>TEXT(WEEKDAY(DATE(CalendarYear,3,10),1),"aaa")</f>
        <v>Thu</v>
      </c>
      <c r="L3" s="9" t="str">
        <f>TEXT(WEEKDAY(DATE(CalendarYear,3,11),1),"aaa")</f>
        <v>Fri</v>
      </c>
      <c r="M3" s="9" t="str">
        <f>TEXT(WEEKDAY(DATE(CalendarYear,3,12),1),"aaa")</f>
        <v>Sat</v>
      </c>
      <c r="N3" s="9" t="str">
        <f>TEXT(WEEKDAY(DATE(CalendarYear,3,13),1),"aaa")</f>
        <v>Sun</v>
      </c>
      <c r="O3" s="9" t="str">
        <f>TEXT(WEEKDAY(DATE(CalendarYear,3,14),1),"aaa")</f>
        <v>Mon</v>
      </c>
      <c r="P3" s="9" t="str">
        <f>TEXT(WEEKDAY(DATE(CalendarYear,3,15),1),"aaa")</f>
        <v>Tue</v>
      </c>
      <c r="Q3" s="9" t="str">
        <f>TEXT(WEEKDAY(DATE(CalendarYear,3,16),1),"aaa")</f>
        <v>Wed</v>
      </c>
      <c r="R3" s="9" t="str">
        <f>TEXT(WEEKDAY(DATE(CalendarYear,3,17),1),"aaa")</f>
        <v>Thu</v>
      </c>
      <c r="S3" s="9" t="str">
        <f>TEXT(WEEKDAY(DATE(CalendarYear,3,18),1),"aaa")</f>
        <v>Fri</v>
      </c>
      <c r="T3" s="9" t="str">
        <f>TEXT(WEEKDAY(DATE(CalendarYear,3,19),1),"aaa")</f>
        <v>Sat</v>
      </c>
      <c r="U3" s="9" t="str">
        <f>TEXT(WEEKDAY(DATE(CalendarYear,3,20),1),"aaa")</f>
        <v>Sun</v>
      </c>
      <c r="V3" s="9" t="str">
        <f>TEXT(WEEKDAY(DATE(CalendarYear,3,21),1),"aaa")</f>
        <v>Mon</v>
      </c>
      <c r="W3" s="9" t="str">
        <f>TEXT(WEEKDAY(DATE(CalendarYear,3,22),1),"aaa")</f>
        <v>Tue</v>
      </c>
      <c r="X3" s="9" t="str">
        <f>TEXT(WEEKDAY(DATE(CalendarYear,3,23),1),"aaa")</f>
        <v>Wed</v>
      </c>
      <c r="Y3" s="9" t="str">
        <f>TEXT(WEEKDAY(DATE(CalendarYear,3,24),1),"aaa")</f>
        <v>Thu</v>
      </c>
      <c r="Z3" s="9" t="str">
        <f>TEXT(WEEKDAY(DATE(CalendarYear,3,25),1),"aaa")</f>
        <v>Fri</v>
      </c>
      <c r="AA3" s="9" t="str">
        <f>TEXT(WEEKDAY(DATE(CalendarYear,3,26),1),"aaa")</f>
        <v>Sat</v>
      </c>
      <c r="AB3" s="9" t="str">
        <f>TEXT(WEEKDAY(DATE(CalendarYear,3,27),1),"aaa")</f>
        <v>Sun</v>
      </c>
      <c r="AC3" s="9" t="str">
        <f>TEXT(WEEKDAY(DATE(CalendarYear,3,28),1),"aaa")</f>
        <v>Mon</v>
      </c>
      <c r="AD3" s="9" t="str">
        <f>TEXT(WEEKDAY(DATE(CalendarYear,3,29),1),"aaa")</f>
        <v>Tue</v>
      </c>
      <c r="AE3" s="9" t="str">
        <f>TEXT(WEEKDAY(DATE(CalendarYear,3,30),1),"aaa")</f>
        <v>Wed</v>
      </c>
      <c r="AF3" s="9" t="str">
        <f>TEXT(WEEKDAY(DATE(CalendarYear,3,31),1),"aaa")</f>
        <v>Thu</v>
      </c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6" t="s">
        <v>34</v>
      </c>
    </row>
    <row r="5" spans="1:33" x14ac:dyDescent="0.25">
      <c r="A5" s="51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8">
        <f>COUNTA(tblMarch[[#This Row],[1]:[31]])</f>
        <v>0</v>
      </c>
    </row>
    <row r="6" spans="1:33" x14ac:dyDescent="0.25">
      <c r="A6" s="51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8">
        <f>COUNTA(tblMarch[[#This Row],[1]:[31]])</f>
        <v>0</v>
      </c>
    </row>
    <row r="7" spans="1:33" ht="15" customHeight="1" x14ac:dyDescent="0.25">
      <c r="A7" s="51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8">
        <f>COUNTA(tblMarch[[#This Row],[1]:[31]])</f>
        <v>0</v>
      </c>
    </row>
    <row r="8" spans="1:33" ht="15" customHeight="1" x14ac:dyDescent="0.25">
      <c r="A8" s="51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8">
        <f>COUNTA(tblMarch[[#This Row],[1]:[31]])</f>
        <v>0</v>
      </c>
    </row>
    <row r="9" spans="1:33" ht="15" customHeight="1" x14ac:dyDescent="0.25">
      <c r="A9" s="51" t="s">
        <v>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8">
        <f>COUNTA(tblMarch[[#This Row],[1]:[31]])</f>
        <v>0</v>
      </c>
    </row>
    <row r="10" spans="1:33" ht="15" customHeight="1" x14ac:dyDescent="0.25">
      <c r="A10" s="15" t="str">
        <f>MonthName&amp;" Total"</f>
        <v>March Total</v>
      </c>
      <c r="B10" s="55">
        <f>SUBTOTAL(103,tblMarch[1])</f>
        <v>0</v>
      </c>
      <c r="C10" s="55">
        <f>SUBTOTAL(103,tblMarch[2])</f>
        <v>0</v>
      </c>
      <c r="D10" s="55">
        <f>SUBTOTAL(103,tblMarch[3])</f>
        <v>0</v>
      </c>
      <c r="E10" s="55">
        <f>SUBTOTAL(103,tblMarch[4])</f>
        <v>0</v>
      </c>
      <c r="F10" s="55">
        <f>SUBTOTAL(103,tblMarch[5])</f>
        <v>0</v>
      </c>
      <c r="G10" s="55">
        <f>SUBTOTAL(103,tblMarch[6])</f>
        <v>0</v>
      </c>
      <c r="H10" s="55">
        <f>SUBTOTAL(103,tblMarch[7])</f>
        <v>0</v>
      </c>
      <c r="I10" s="55">
        <f>SUBTOTAL(103,tblMarch[8])</f>
        <v>0</v>
      </c>
      <c r="J10" s="55">
        <f>SUBTOTAL(103,tblMarch[9])</f>
        <v>0</v>
      </c>
      <c r="K10" s="55">
        <f>SUBTOTAL(103,tblMarch[10])</f>
        <v>0</v>
      </c>
      <c r="L10" s="55">
        <f>SUBTOTAL(103,tblMarch[11])</f>
        <v>0</v>
      </c>
      <c r="M10" s="55">
        <f>SUBTOTAL(103,tblMarch[12])</f>
        <v>0</v>
      </c>
      <c r="N10" s="55">
        <f>SUBTOTAL(103,tblMarch[13])</f>
        <v>0</v>
      </c>
      <c r="O10" s="55">
        <f>SUBTOTAL(103,tblMarch[14])</f>
        <v>0</v>
      </c>
      <c r="P10" s="55">
        <f>SUBTOTAL(103,tblMarch[15])</f>
        <v>0</v>
      </c>
      <c r="Q10" s="55">
        <f>SUBTOTAL(103,tblMarch[16])</f>
        <v>0</v>
      </c>
      <c r="R10" s="55">
        <f>SUBTOTAL(103,tblMarch[17])</f>
        <v>0</v>
      </c>
      <c r="S10" s="55">
        <f>SUBTOTAL(103,tblMarch[18])</f>
        <v>0</v>
      </c>
      <c r="T10" s="55">
        <f>SUBTOTAL(103,tblMarch[19])</f>
        <v>0</v>
      </c>
      <c r="U10" s="55">
        <f>SUBTOTAL(103,tblMarch[20])</f>
        <v>0</v>
      </c>
      <c r="V10" s="55">
        <f>SUBTOTAL(103,tblMarch[21])</f>
        <v>0</v>
      </c>
      <c r="W10" s="55">
        <f>SUBTOTAL(103,tblMarch[22])</f>
        <v>0</v>
      </c>
      <c r="X10" s="55">
        <f>SUBTOTAL(103,tblMarch[23])</f>
        <v>0</v>
      </c>
      <c r="Y10" s="55">
        <f>SUBTOTAL(103,tblMarch[24])</f>
        <v>0</v>
      </c>
      <c r="Z10" s="55">
        <f>SUBTOTAL(103,tblMarch[25])</f>
        <v>0</v>
      </c>
      <c r="AA10" s="55">
        <f>SUBTOTAL(103,tblMarch[26])</f>
        <v>0</v>
      </c>
      <c r="AB10" s="55">
        <f>SUBTOTAL(103,tblMarch[27])</f>
        <v>0</v>
      </c>
      <c r="AC10" s="55">
        <f>SUBTOTAL(103,tblMarch[28])</f>
        <v>0</v>
      </c>
      <c r="AD10" s="55">
        <f>SUBTOTAL(103,tblMarch[29])</f>
        <v>0</v>
      </c>
      <c r="AE10" s="55">
        <f>SUBTOTAL(109,tblMarch[30])</f>
        <v>0</v>
      </c>
      <c r="AF10" s="55">
        <f>SUBTOTAL(109,tblMarch[31])</f>
        <v>0</v>
      </c>
      <c r="AG10" s="54">
        <f>SUBTOTAL(109,tblMarch[Total Days])</f>
        <v>0</v>
      </c>
    </row>
    <row r="18" spans="2:23" ht="15" customHeight="1" x14ac:dyDescent="0.25">
      <c r="B18" s="43" t="str">
        <f>January!B18</f>
        <v>Color Key</v>
      </c>
      <c r="C18" s="28"/>
      <c r="D18" s="28"/>
      <c r="E18" s="29" t="str">
        <f>KeyVacation</f>
        <v>V</v>
      </c>
      <c r="F18" s="23" t="str">
        <f>KeyVacationLabel</f>
        <v>Vacation</v>
      </c>
      <c r="G18" s="23"/>
      <c r="H18" s="23"/>
      <c r="I18" s="30" t="str">
        <f>KeyPersonal</f>
        <v>P</v>
      </c>
      <c r="J18" s="23" t="str">
        <f>KeyPersonalLabel</f>
        <v>Personal</v>
      </c>
      <c r="K18" s="23"/>
      <c r="L18" s="23"/>
      <c r="M18" s="31" t="str">
        <f>KeySick</f>
        <v>S</v>
      </c>
      <c r="N18" s="23" t="str">
        <f>KeySickLabel</f>
        <v>Sick</v>
      </c>
      <c r="O18" s="23"/>
      <c r="P18" s="32">
        <f>KeyCustom1</f>
        <v>0</v>
      </c>
      <c r="Q18" s="23" t="str">
        <f>KeyCustom1Label</f>
        <v>Custom 1</v>
      </c>
      <c r="R18" s="23"/>
      <c r="S18" s="23"/>
      <c r="T18" s="33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2" stopIfTrue="1">
      <formula>B5=""</formula>
    </cfRule>
  </conditionalFormatting>
  <conditionalFormatting sqref="B5:AF9">
    <cfRule type="expression" dxfId="526" priority="3" stopIfTrue="1">
      <formula>B5=KeyCustom2</formula>
    </cfRule>
    <cfRule type="expression" dxfId="525" priority="4" stopIfTrue="1">
      <formula>B5=KeyCustom1</formula>
    </cfRule>
    <cfRule type="expression" dxfId="524" priority="5" stopIfTrue="1">
      <formula>B5=KeySick</formula>
    </cfRule>
    <cfRule type="expression" dxfId="523" priority="6" stopIfTrue="1">
      <formula>B5=KeyPersonal</formula>
    </cfRule>
    <cfRule type="expression" dxfId="522" priority="7" stopIfTrue="1">
      <formula>B5=KeyVacation</formula>
    </cfRule>
  </conditionalFormatting>
  <conditionalFormatting sqref="AG5:AG9">
    <cfRule type="dataBar" priority="1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{9EBE03E1-EF8D-4ECF-8CE1-C60D204252EB}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BE03E1-EF8D-4ECF-8CE1-C60D204252EB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G18"/>
  <sheetViews>
    <sheetView showGridLines="0" zoomScaleNormal="100" workbookViewId="0">
      <selection activeCell="A5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54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TEXT(WEEKDAY(DATE(CalendarYear,4,1),1),"aaa")</f>
        <v>Fri</v>
      </c>
      <c r="C3" s="9" t="str">
        <f>TEXT(WEEKDAY(DATE(CalendarYear,4,2),1),"aaa")</f>
        <v>Sat</v>
      </c>
      <c r="D3" s="9" t="str">
        <f>TEXT(WEEKDAY(DATE(CalendarYear,4,3),1),"aaa")</f>
        <v>Sun</v>
      </c>
      <c r="E3" s="9" t="str">
        <f>TEXT(WEEKDAY(DATE(CalendarYear,4,4),1),"aaa")</f>
        <v>Mon</v>
      </c>
      <c r="F3" s="9" t="str">
        <f>TEXT(WEEKDAY(DATE(CalendarYear,4,5),1),"aaa")</f>
        <v>Tue</v>
      </c>
      <c r="G3" s="9" t="str">
        <f>TEXT(WEEKDAY(DATE(CalendarYear,4,6),1),"aaa")</f>
        <v>Wed</v>
      </c>
      <c r="H3" s="9" t="str">
        <f>TEXT(WEEKDAY(DATE(CalendarYear,4,7),1),"aaa")</f>
        <v>Thu</v>
      </c>
      <c r="I3" s="9" t="str">
        <f>TEXT(WEEKDAY(DATE(CalendarYear,4,8),1),"aaa")</f>
        <v>Fri</v>
      </c>
      <c r="J3" s="9" t="str">
        <f>TEXT(WEEKDAY(DATE(CalendarYear,4,9),1),"aaa")</f>
        <v>Sat</v>
      </c>
      <c r="K3" s="9" t="str">
        <f>TEXT(WEEKDAY(DATE(CalendarYear,4,10),1),"aaa")</f>
        <v>Sun</v>
      </c>
      <c r="L3" s="9" t="str">
        <f>TEXT(WEEKDAY(DATE(CalendarYear,4,11),1),"aaa")</f>
        <v>Mon</v>
      </c>
      <c r="M3" s="9" t="str">
        <f>TEXT(WEEKDAY(DATE(CalendarYear,4,12),1),"aaa")</f>
        <v>Tue</v>
      </c>
      <c r="N3" s="9" t="str">
        <f>TEXT(WEEKDAY(DATE(CalendarYear,4,13),1),"aaa")</f>
        <v>Wed</v>
      </c>
      <c r="O3" s="9" t="str">
        <f>TEXT(WEEKDAY(DATE(CalendarYear,4,14),1),"aaa")</f>
        <v>Thu</v>
      </c>
      <c r="P3" s="9" t="str">
        <f>TEXT(WEEKDAY(DATE(CalendarYear,4,15),1),"aaa")</f>
        <v>Fri</v>
      </c>
      <c r="Q3" s="9" t="str">
        <f>TEXT(WEEKDAY(DATE(CalendarYear,4,16),1),"aaa")</f>
        <v>Sat</v>
      </c>
      <c r="R3" s="9" t="str">
        <f>TEXT(WEEKDAY(DATE(CalendarYear,4,17),1),"aaa")</f>
        <v>Sun</v>
      </c>
      <c r="S3" s="9" t="str">
        <f>TEXT(WEEKDAY(DATE(CalendarYear,4,18),1),"aaa")</f>
        <v>Mon</v>
      </c>
      <c r="T3" s="9" t="str">
        <f>TEXT(WEEKDAY(DATE(CalendarYear,4,19),1),"aaa")</f>
        <v>Tue</v>
      </c>
      <c r="U3" s="9" t="str">
        <f>TEXT(WEEKDAY(DATE(CalendarYear,4,20),1),"aaa")</f>
        <v>Wed</v>
      </c>
      <c r="V3" s="9" t="str">
        <f>TEXT(WEEKDAY(DATE(CalendarYear,4,21),1),"aaa")</f>
        <v>Thu</v>
      </c>
      <c r="W3" s="9" t="str">
        <f>TEXT(WEEKDAY(DATE(CalendarYear,4,22),1),"aaa")</f>
        <v>Fri</v>
      </c>
      <c r="X3" s="9" t="str">
        <f>TEXT(WEEKDAY(DATE(CalendarYear,4,23),1),"aaa")</f>
        <v>Sat</v>
      </c>
      <c r="Y3" s="9" t="str">
        <f>TEXT(WEEKDAY(DATE(CalendarYear,4,24),1),"aaa")</f>
        <v>Sun</v>
      </c>
      <c r="Z3" s="9" t="str">
        <f>TEXT(WEEKDAY(DATE(CalendarYear,4,25),1),"aaa")</f>
        <v>Mon</v>
      </c>
      <c r="AA3" s="9" t="str">
        <f>TEXT(WEEKDAY(DATE(CalendarYear,4,26),1),"aaa")</f>
        <v>Tue</v>
      </c>
      <c r="AB3" s="9" t="str">
        <f>TEXT(WEEKDAY(DATE(CalendarYear,4,27),1),"aaa")</f>
        <v>Wed</v>
      </c>
      <c r="AC3" s="9" t="str">
        <f>TEXT(WEEKDAY(DATE(CalendarYear,4,28),1),"aaa")</f>
        <v>Thu</v>
      </c>
      <c r="AD3" s="9" t="str">
        <f>TEXT(WEEKDAY(DATE(CalendarYear,4,29),1),"aaa")</f>
        <v>Fri</v>
      </c>
      <c r="AE3" s="9" t="str">
        <f>TEXT(WEEKDAY(DATE(CalendarYear,4,30),1),"aaa")</f>
        <v>Sat</v>
      </c>
      <c r="AF3" s="9"/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39</v>
      </c>
      <c r="AG4" s="16" t="s">
        <v>34</v>
      </c>
    </row>
    <row r="5" spans="1:33" x14ac:dyDescent="0.25">
      <c r="A5" s="51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COUNTA(tblApril[[#This Row],[1]:[30]])</f>
        <v>0</v>
      </c>
    </row>
    <row r="6" spans="1:33" x14ac:dyDescent="0.25">
      <c r="A6" s="51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COUNTA(tblApril[[#This Row],[1]:[30]])</f>
        <v>0</v>
      </c>
    </row>
    <row r="7" spans="1:33" ht="15" customHeight="1" x14ac:dyDescent="0.25">
      <c r="A7" s="51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COUNTA(tblApril[[#This Row],[1]:[30]])</f>
        <v>0</v>
      </c>
    </row>
    <row r="8" spans="1:33" ht="15" customHeight="1" x14ac:dyDescent="0.25">
      <c r="A8" s="51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COUNTA(tblApril[[#This Row],[1]:[30]])</f>
        <v>0</v>
      </c>
    </row>
    <row r="9" spans="1:33" ht="15" customHeight="1" x14ac:dyDescent="0.25">
      <c r="A9" s="51" t="s">
        <v>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COUNTA(tblApril[[#This Row],[1]:[30]])</f>
        <v>0</v>
      </c>
    </row>
    <row r="10" spans="1:33" ht="15" customHeight="1" x14ac:dyDescent="0.25">
      <c r="A10" s="15" t="str">
        <f>MonthName&amp;" Total"</f>
        <v>April Total</v>
      </c>
      <c r="B10" s="55">
        <f>SUBTOTAL(103,tblApril[1])</f>
        <v>0</v>
      </c>
      <c r="C10" s="55">
        <f>SUBTOTAL(103,tblApril[2])</f>
        <v>0</v>
      </c>
      <c r="D10" s="55">
        <f>SUBTOTAL(103,tblApril[3])</f>
        <v>0</v>
      </c>
      <c r="E10" s="55">
        <f>SUBTOTAL(103,tblApril[4])</f>
        <v>0</v>
      </c>
      <c r="F10" s="55">
        <f>SUBTOTAL(103,tblApril[5])</f>
        <v>0</v>
      </c>
      <c r="G10" s="55">
        <f>SUBTOTAL(103,tblApril[6])</f>
        <v>0</v>
      </c>
      <c r="H10" s="55">
        <f>SUBTOTAL(103,tblApril[7])</f>
        <v>0</v>
      </c>
      <c r="I10" s="55">
        <f>SUBTOTAL(103,tblApril[8])</f>
        <v>0</v>
      </c>
      <c r="J10" s="55">
        <f>SUBTOTAL(103,tblApril[9])</f>
        <v>0</v>
      </c>
      <c r="K10" s="55">
        <f>SUBTOTAL(103,tblApril[10])</f>
        <v>0</v>
      </c>
      <c r="L10" s="55">
        <f>SUBTOTAL(103,tblApril[11])</f>
        <v>0</v>
      </c>
      <c r="M10" s="55">
        <f>SUBTOTAL(103,tblApril[12])</f>
        <v>0</v>
      </c>
      <c r="N10" s="55">
        <f>SUBTOTAL(103,tblApril[13])</f>
        <v>0</v>
      </c>
      <c r="O10" s="55">
        <f>SUBTOTAL(103,tblApril[14])</f>
        <v>0</v>
      </c>
      <c r="P10" s="55">
        <f>SUBTOTAL(103,tblApril[15])</f>
        <v>0</v>
      </c>
      <c r="Q10" s="55">
        <f>SUBTOTAL(103,tblApril[16])</f>
        <v>0</v>
      </c>
      <c r="R10" s="55">
        <f>SUBTOTAL(103,tblApril[17])</f>
        <v>0</v>
      </c>
      <c r="S10" s="55">
        <f>SUBTOTAL(103,tblApril[18])</f>
        <v>0</v>
      </c>
      <c r="T10" s="55">
        <f>SUBTOTAL(103,tblApril[19])</f>
        <v>0</v>
      </c>
      <c r="U10" s="55">
        <f>SUBTOTAL(103,tblApril[20])</f>
        <v>0</v>
      </c>
      <c r="V10" s="55">
        <f>SUBTOTAL(103,tblApril[21])</f>
        <v>0</v>
      </c>
      <c r="W10" s="55">
        <f>SUBTOTAL(103,tblApril[22])</f>
        <v>0</v>
      </c>
      <c r="X10" s="55">
        <f>SUBTOTAL(103,tblApril[23])</f>
        <v>0</v>
      </c>
      <c r="Y10" s="55">
        <f>SUBTOTAL(103,tblApril[24])</f>
        <v>0</v>
      </c>
      <c r="Z10" s="55">
        <f>SUBTOTAL(103,tblApril[25])</f>
        <v>0</v>
      </c>
      <c r="AA10" s="55">
        <f>SUBTOTAL(103,tblApril[26])</f>
        <v>0</v>
      </c>
      <c r="AB10" s="55">
        <f>SUBTOTAL(103,tblApril[27])</f>
        <v>0</v>
      </c>
      <c r="AC10" s="55">
        <f>SUBTOTAL(103,tblApril[28])</f>
        <v>0</v>
      </c>
      <c r="AD10" s="55">
        <f>SUBTOTAL(103,tblApril[29])</f>
        <v>0</v>
      </c>
      <c r="AE10" s="55">
        <f>SUBTOTAL(109,tblApril[30])</f>
        <v>0</v>
      </c>
      <c r="AF10" s="55"/>
      <c r="AG10" s="56">
        <f>SUBTOTAL(109,tblApril[Total Days])</f>
        <v>0</v>
      </c>
    </row>
    <row r="18" spans="2:23" ht="15" customHeight="1" x14ac:dyDescent="0.25">
      <c r="B18" s="43" t="str">
        <f>January!B18</f>
        <v>Color Key</v>
      </c>
      <c r="C18" s="35"/>
      <c r="D18" s="35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517" priority="2" stopIfTrue="1">
      <formula>B5=KeyCustom2</formula>
    </cfRule>
    <cfRule type="expression" dxfId="516" priority="3" stopIfTrue="1">
      <formula>B5=KeyCustom1</formula>
    </cfRule>
    <cfRule type="expression" dxfId="515" priority="4" stopIfTrue="1">
      <formula>B5=KeySick</formula>
    </cfRule>
    <cfRule type="expression" dxfId="514" priority="5" stopIfTrue="1">
      <formula>B5=KeyPersonal</formula>
    </cfRule>
    <cfRule type="expression" dxfId="513" priority="6" stopIfTrue="1">
      <formula>B5=KeyVacation</formula>
    </cfRule>
  </conditionalFormatting>
  <conditionalFormatting sqref="AG5:AG9">
    <cfRule type="dataBar" priority="151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{9F84199F-9F40-4560-9610-01EAA5EACF75}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199F-9F40-4560-9610-01EAA5EACF7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G18"/>
  <sheetViews>
    <sheetView showGridLines="0" zoomScaleNormal="100" workbookViewId="0">
      <selection activeCell="A5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55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TEXT(WEEKDAY(DATE(CalendarYear,5,1),1),"aaa")</f>
        <v>Sun</v>
      </c>
      <c r="C3" s="9" t="str">
        <f>TEXT(WEEKDAY(DATE(CalendarYear,5,2),1),"aaa")</f>
        <v>Mon</v>
      </c>
      <c r="D3" s="9" t="str">
        <f>TEXT(WEEKDAY(DATE(CalendarYear,5,3),1),"aaa")</f>
        <v>Tue</v>
      </c>
      <c r="E3" s="9" t="str">
        <f>TEXT(WEEKDAY(DATE(CalendarYear,5,4),1),"aaa")</f>
        <v>Wed</v>
      </c>
      <c r="F3" s="9" t="str">
        <f>TEXT(WEEKDAY(DATE(CalendarYear,5,5),1),"aaa")</f>
        <v>Thu</v>
      </c>
      <c r="G3" s="9" t="str">
        <f>TEXT(WEEKDAY(DATE(CalendarYear,5,6),1),"aaa")</f>
        <v>Fri</v>
      </c>
      <c r="H3" s="9" t="str">
        <f>TEXT(WEEKDAY(DATE(CalendarYear,5,7),1),"aaa")</f>
        <v>Sat</v>
      </c>
      <c r="I3" s="9" t="str">
        <f>TEXT(WEEKDAY(DATE(CalendarYear,5,8),1),"aaa")</f>
        <v>Sun</v>
      </c>
      <c r="J3" s="9" t="str">
        <f>TEXT(WEEKDAY(DATE(CalendarYear,5,9),1),"aaa")</f>
        <v>Mon</v>
      </c>
      <c r="K3" s="9" t="str">
        <f>TEXT(WEEKDAY(DATE(CalendarYear,5,10),1),"aaa")</f>
        <v>Tue</v>
      </c>
      <c r="L3" s="9" t="str">
        <f>TEXT(WEEKDAY(DATE(CalendarYear,5,11),1),"aaa")</f>
        <v>Wed</v>
      </c>
      <c r="M3" s="9" t="str">
        <f>TEXT(WEEKDAY(DATE(CalendarYear,5,12),1),"aaa")</f>
        <v>Thu</v>
      </c>
      <c r="N3" s="9" t="str">
        <f>TEXT(WEEKDAY(DATE(CalendarYear,5,13),1),"aaa")</f>
        <v>Fri</v>
      </c>
      <c r="O3" s="9" t="str">
        <f>TEXT(WEEKDAY(DATE(CalendarYear,5,14),1),"aaa")</f>
        <v>Sat</v>
      </c>
      <c r="P3" s="9" t="str">
        <f>TEXT(WEEKDAY(DATE(CalendarYear,5,15),1),"aaa")</f>
        <v>Sun</v>
      </c>
      <c r="Q3" s="9" t="str">
        <f>TEXT(WEEKDAY(DATE(CalendarYear,5,16),1),"aaa")</f>
        <v>Mon</v>
      </c>
      <c r="R3" s="9" t="str">
        <f>TEXT(WEEKDAY(DATE(CalendarYear,5,17),1),"aaa")</f>
        <v>Tue</v>
      </c>
      <c r="S3" s="9" t="str">
        <f>TEXT(WEEKDAY(DATE(CalendarYear,5,18),1),"aaa")</f>
        <v>Wed</v>
      </c>
      <c r="T3" s="9" t="str">
        <f>TEXT(WEEKDAY(DATE(CalendarYear,5,19),1),"aaa")</f>
        <v>Thu</v>
      </c>
      <c r="U3" s="9" t="str">
        <f>TEXT(WEEKDAY(DATE(CalendarYear,5,20),1),"aaa")</f>
        <v>Fri</v>
      </c>
      <c r="V3" s="9" t="str">
        <f>TEXT(WEEKDAY(DATE(CalendarYear,5,21),1),"aaa")</f>
        <v>Sat</v>
      </c>
      <c r="W3" s="9" t="str">
        <f>TEXT(WEEKDAY(DATE(CalendarYear,5,22),1),"aaa")</f>
        <v>Sun</v>
      </c>
      <c r="X3" s="9" t="str">
        <f>TEXT(WEEKDAY(DATE(CalendarYear,5,23),1),"aaa")</f>
        <v>Mon</v>
      </c>
      <c r="Y3" s="9" t="str">
        <f>TEXT(WEEKDAY(DATE(CalendarYear,5,24),1),"aaa")</f>
        <v>Tue</v>
      </c>
      <c r="Z3" s="9" t="str">
        <f>TEXT(WEEKDAY(DATE(CalendarYear,5,25),1),"aaa")</f>
        <v>Wed</v>
      </c>
      <c r="AA3" s="9" t="str">
        <f>TEXT(WEEKDAY(DATE(CalendarYear,5,26),1),"aaa")</f>
        <v>Thu</v>
      </c>
      <c r="AB3" s="9" t="str">
        <f>TEXT(WEEKDAY(DATE(CalendarYear,5,27),1),"aaa")</f>
        <v>Fri</v>
      </c>
      <c r="AC3" s="9" t="str">
        <f>TEXT(WEEKDAY(DATE(CalendarYear,5,28),1),"aaa")</f>
        <v>Sat</v>
      </c>
      <c r="AD3" s="9" t="str">
        <f>TEXT(WEEKDAY(DATE(CalendarYear,5,29),1),"aaa")</f>
        <v>Sun</v>
      </c>
      <c r="AE3" s="9" t="str">
        <f>TEXT(WEEKDAY(DATE(CalendarYear,5,30),1),"aaa")</f>
        <v>Mon</v>
      </c>
      <c r="AF3" s="9" t="str">
        <f>TEXT(WEEKDAY(DATE(CalendarYear,5,31),1),"aaa")</f>
        <v>Tue</v>
      </c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8" t="s">
        <v>34</v>
      </c>
    </row>
    <row r="5" spans="1:33" x14ac:dyDescent="0.25">
      <c r="A5" s="51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COUNTA(tblMay[[#This Row],[1]:[31]])</f>
        <v>0</v>
      </c>
    </row>
    <row r="6" spans="1:33" x14ac:dyDescent="0.25">
      <c r="A6" s="51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COUNTA(tblMay[[#This Row],[1]:[31]])</f>
        <v>0</v>
      </c>
    </row>
    <row r="7" spans="1:33" ht="15" customHeight="1" x14ac:dyDescent="0.25">
      <c r="A7" s="51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COUNTA(tblMay[[#This Row],[1]:[31]])</f>
        <v>0</v>
      </c>
    </row>
    <row r="8" spans="1:33" ht="15" customHeight="1" x14ac:dyDescent="0.25">
      <c r="A8" s="51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COUNTA(tblMay[[#This Row],[1]:[31]])</f>
        <v>0</v>
      </c>
    </row>
    <row r="9" spans="1:33" ht="15" customHeight="1" x14ac:dyDescent="0.25">
      <c r="A9" s="51" t="s">
        <v>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COUNTA(tblMay[[#This Row],[1]:[31]])</f>
        <v>0</v>
      </c>
    </row>
    <row r="10" spans="1:33" ht="15" customHeight="1" x14ac:dyDescent="0.25">
      <c r="A10" s="15" t="str">
        <f>MonthName&amp;" Total"</f>
        <v>May Total</v>
      </c>
      <c r="B10" s="55">
        <f>SUBTOTAL(103,tblMay[1])</f>
        <v>0</v>
      </c>
      <c r="C10" s="55">
        <f>SUBTOTAL(103,tblMay[2])</f>
        <v>0</v>
      </c>
      <c r="D10" s="55">
        <f>SUBTOTAL(103,tblMay[3])</f>
        <v>0</v>
      </c>
      <c r="E10" s="55">
        <f>SUBTOTAL(103,tblMay[4])</f>
        <v>0</v>
      </c>
      <c r="F10" s="55">
        <f>SUBTOTAL(103,tblMay[5])</f>
        <v>0</v>
      </c>
      <c r="G10" s="55">
        <f>SUBTOTAL(103,tblMay[6])</f>
        <v>0</v>
      </c>
      <c r="H10" s="55">
        <f>SUBTOTAL(103,tblMay[7])</f>
        <v>0</v>
      </c>
      <c r="I10" s="55">
        <f>SUBTOTAL(103,tblMay[8])</f>
        <v>0</v>
      </c>
      <c r="J10" s="55">
        <f>SUBTOTAL(103,tblMay[9])</f>
        <v>0</v>
      </c>
      <c r="K10" s="55">
        <f>SUBTOTAL(103,tblMay[10])</f>
        <v>0</v>
      </c>
      <c r="L10" s="55">
        <f>SUBTOTAL(103,tblMay[11])</f>
        <v>0</v>
      </c>
      <c r="M10" s="55">
        <f>SUBTOTAL(103,tblMay[12])</f>
        <v>0</v>
      </c>
      <c r="N10" s="55">
        <f>SUBTOTAL(103,tblMay[13])</f>
        <v>0</v>
      </c>
      <c r="O10" s="55">
        <f>SUBTOTAL(103,tblMay[14])</f>
        <v>0</v>
      </c>
      <c r="P10" s="55">
        <f>SUBTOTAL(103,tblMay[15])</f>
        <v>0</v>
      </c>
      <c r="Q10" s="55">
        <f>SUBTOTAL(103,tblMay[16])</f>
        <v>0</v>
      </c>
      <c r="R10" s="55">
        <f>SUBTOTAL(103,tblMay[17])</f>
        <v>0</v>
      </c>
      <c r="S10" s="55">
        <f>SUBTOTAL(103,tblMay[18])</f>
        <v>0</v>
      </c>
      <c r="T10" s="55">
        <f>SUBTOTAL(103,tblMay[19])</f>
        <v>0</v>
      </c>
      <c r="U10" s="55">
        <f>SUBTOTAL(103,tblMay[20])</f>
        <v>0</v>
      </c>
      <c r="V10" s="55">
        <f>SUBTOTAL(103,tblMay[21])</f>
        <v>0</v>
      </c>
      <c r="W10" s="55">
        <f>SUBTOTAL(103,tblMay[22])</f>
        <v>0</v>
      </c>
      <c r="X10" s="55">
        <f>SUBTOTAL(103,tblMay[23])</f>
        <v>0</v>
      </c>
      <c r="Y10" s="55">
        <f>SUBTOTAL(103,tblMay[24])</f>
        <v>0</v>
      </c>
      <c r="Z10" s="55">
        <f>SUBTOTAL(103,tblMay[25])</f>
        <v>0</v>
      </c>
      <c r="AA10" s="55">
        <f>SUBTOTAL(103,tblMay[26])</f>
        <v>0</v>
      </c>
      <c r="AB10" s="55">
        <f>SUBTOTAL(103,tblMay[27])</f>
        <v>0</v>
      </c>
      <c r="AC10" s="55">
        <f>SUBTOTAL(103,tblMay[28])</f>
        <v>0</v>
      </c>
      <c r="AD10" s="55">
        <f>SUBTOTAL(103,tblMay[29])</f>
        <v>0</v>
      </c>
      <c r="AE10" s="55">
        <f>SUBTOTAL(109,tblMay[30])</f>
        <v>0</v>
      </c>
      <c r="AF10" s="55">
        <f>SUBTOTAL(109,tblMay[31])</f>
        <v>0</v>
      </c>
      <c r="AG10" s="56">
        <f>SUBTOTAL(109,tblMay[Total Days])</f>
        <v>0</v>
      </c>
    </row>
    <row r="15" spans="1:33" ht="15" customHeight="1" x14ac:dyDescent="0.25">
      <c r="AE15" s="19"/>
    </row>
    <row r="18" spans="2:23" ht="15" customHeight="1" x14ac:dyDescent="0.25">
      <c r="B18" s="43" t="str">
        <f>January!B18</f>
        <v>Color Key</v>
      </c>
      <c r="C18" s="21"/>
      <c r="D18" s="35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508" priority="2" stopIfTrue="1">
      <formula>B5=KeyCustom2</formula>
    </cfRule>
    <cfRule type="expression" dxfId="507" priority="3" stopIfTrue="1">
      <formula>B5=KeyCustom1</formula>
    </cfRule>
    <cfRule type="expression" dxfId="506" priority="4" stopIfTrue="1">
      <formula>B5=KeySick</formula>
    </cfRule>
    <cfRule type="expression" dxfId="505" priority="5" stopIfTrue="1">
      <formula>B5=KeyPersonal</formula>
    </cfRule>
    <cfRule type="expression" dxfId="504" priority="6" stopIfTrue="1">
      <formula>B5=KeyVacation</formula>
    </cfRule>
  </conditionalFormatting>
  <conditionalFormatting sqref="AG5:AG9">
    <cfRule type="dataBar" priority="23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{21200745-4ED2-4331-A492-FDEB5AAF3195}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200745-4ED2-4331-A492-FDEB5AAF3195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G18"/>
  <sheetViews>
    <sheetView showGridLines="0" zoomScaleNormal="100" workbookViewId="0">
      <selection activeCell="A5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56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TEXT(WEEKDAY(DATE(CalendarYear,6,1),1),"aaa")</f>
        <v>Wed</v>
      </c>
      <c r="C3" s="9" t="str">
        <f>TEXT(WEEKDAY(DATE(CalendarYear,6,2),1),"aaa")</f>
        <v>Thu</v>
      </c>
      <c r="D3" s="9" t="str">
        <f>TEXT(WEEKDAY(DATE(CalendarYear,6,3),1),"aaa")</f>
        <v>Fri</v>
      </c>
      <c r="E3" s="9" t="str">
        <f>TEXT(WEEKDAY(DATE(CalendarYear,6,4),1),"aaa")</f>
        <v>Sat</v>
      </c>
      <c r="F3" s="9" t="str">
        <f>TEXT(WEEKDAY(DATE(CalendarYear,6,5),1),"aaa")</f>
        <v>Sun</v>
      </c>
      <c r="G3" s="9" t="str">
        <f>TEXT(WEEKDAY(DATE(CalendarYear,6,6),1),"aaa")</f>
        <v>Mon</v>
      </c>
      <c r="H3" s="9" t="str">
        <f>TEXT(WEEKDAY(DATE(CalendarYear,6,7),1),"aaa")</f>
        <v>Tue</v>
      </c>
      <c r="I3" s="9" t="str">
        <f>TEXT(WEEKDAY(DATE(CalendarYear,6,8),1),"aaa")</f>
        <v>Wed</v>
      </c>
      <c r="J3" s="9" t="str">
        <f>TEXT(WEEKDAY(DATE(CalendarYear,6,9),1),"aaa")</f>
        <v>Thu</v>
      </c>
      <c r="K3" s="9" t="str">
        <f>TEXT(WEEKDAY(DATE(CalendarYear,6,10),1),"aaa")</f>
        <v>Fri</v>
      </c>
      <c r="L3" s="9" t="str">
        <f>TEXT(WEEKDAY(DATE(CalendarYear,6,11),1),"aaa")</f>
        <v>Sat</v>
      </c>
      <c r="M3" s="9" t="str">
        <f>TEXT(WEEKDAY(DATE(CalendarYear,6,12),1),"aaa")</f>
        <v>Sun</v>
      </c>
      <c r="N3" s="9" t="str">
        <f>TEXT(WEEKDAY(DATE(CalendarYear,6,13),1),"aaa")</f>
        <v>Mon</v>
      </c>
      <c r="O3" s="9" t="str">
        <f>TEXT(WEEKDAY(DATE(CalendarYear,6,14),1),"aaa")</f>
        <v>Tue</v>
      </c>
      <c r="P3" s="9" t="str">
        <f>TEXT(WEEKDAY(DATE(CalendarYear,6,15),1),"aaa")</f>
        <v>Wed</v>
      </c>
      <c r="Q3" s="9" t="str">
        <f>TEXT(WEEKDAY(DATE(CalendarYear,6,16),1),"aaa")</f>
        <v>Thu</v>
      </c>
      <c r="R3" s="9" t="str">
        <f>TEXT(WEEKDAY(DATE(CalendarYear,6,17),1),"aaa")</f>
        <v>Fri</v>
      </c>
      <c r="S3" s="9" t="str">
        <f>TEXT(WEEKDAY(DATE(CalendarYear,6,18),1),"aaa")</f>
        <v>Sat</v>
      </c>
      <c r="T3" s="9" t="str">
        <f>TEXT(WEEKDAY(DATE(CalendarYear,6,19),1),"aaa")</f>
        <v>Sun</v>
      </c>
      <c r="U3" s="9" t="str">
        <f>TEXT(WEEKDAY(DATE(CalendarYear,6,20),1),"aaa")</f>
        <v>Mon</v>
      </c>
      <c r="V3" s="9" t="str">
        <f>TEXT(WEEKDAY(DATE(CalendarYear,6,21),1),"aaa")</f>
        <v>Tue</v>
      </c>
      <c r="W3" s="9" t="str">
        <f>TEXT(WEEKDAY(DATE(CalendarYear,6,22),1),"aaa")</f>
        <v>Wed</v>
      </c>
      <c r="X3" s="9" t="str">
        <f>TEXT(WEEKDAY(DATE(CalendarYear,6,23),1),"aaa")</f>
        <v>Thu</v>
      </c>
      <c r="Y3" s="9" t="str">
        <f>TEXT(WEEKDAY(DATE(CalendarYear,6,24),1),"aaa")</f>
        <v>Fri</v>
      </c>
      <c r="Z3" s="9" t="str">
        <f>TEXT(WEEKDAY(DATE(CalendarYear,6,25),1),"aaa")</f>
        <v>Sat</v>
      </c>
      <c r="AA3" s="9" t="str">
        <f>TEXT(WEEKDAY(DATE(CalendarYear,6,26),1),"aaa")</f>
        <v>Sun</v>
      </c>
      <c r="AB3" s="9" t="str">
        <f>TEXT(WEEKDAY(DATE(CalendarYear,6,27),1),"aaa")</f>
        <v>Mon</v>
      </c>
      <c r="AC3" s="9" t="str">
        <f>TEXT(WEEKDAY(DATE(CalendarYear,6,28),1),"aaa")</f>
        <v>Tue</v>
      </c>
      <c r="AD3" s="9" t="str">
        <f>TEXT(WEEKDAY(DATE(CalendarYear,6,29),1),"aaa")</f>
        <v>Wed</v>
      </c>
      <c r="AE3" s="9" t="str">
        <f>TEXT(WEEKDAY(DATE(CalendarYear,6,30),1),"aaa")</f>
        <v>Thu</v>
      </c>
      <c r="AF3" s="9"/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39</v>
      </c>
      <c r="AG4" s="16" t="s">
        <v>34</v>
      </c>
    </row>
    <row r="5" spans="1:33" x14ac:dyDescent="0.25">
      <c r="A5" s="51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COUNTA(tblJune[[#This Row],[1]:[30]])</f>
        <v>0</v>
      </c>
    </row>
    <row r="6" spans="1:33" x14ac:dyDescent="0.25">
      <c r="A6" s="51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COUNTA(tblJune[[#This Row],[1]:[30]])</f>
        <v>0</v>
      </c>
    </row>
    <row r="7" spans="1:33" ht="15" customHeight="1" x14ac:dyDescent="0.25">
      <c r="A7" s="51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COUNTA(tblJune[[#This Row],[1]:[30]])</f>
        <v>0</v>
      </c>
    </row>
    <row r="8" spans="1:33" ht="15" customHeight="1" x14ac:dyDescent="0.25">
      <c r="A8" s="51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COUNTA(tblJune[[#This Row],[1]:[30]])</f>
        <v>0</v>
      </c>
    </row>
    <row r="9" spans="1:33" ht="15" customHeight="1" x14ac:dyDescent="0.25">
      <c r="A9" s="51" t="s">
        <v>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COUNTA(tblJune[[#This Row],[1]:[30]])</f>
        <v>0</v>
      </c>
    </row>
    <row r="10" spans="1:33" ht="15" customHeight="1" x14ac:dyDescent="0.25">
      <c r="A10" s="15" t="str">
        <f>MonthName&amp;" Total"</f>
        <v>June Total</v>
      </c>
      <c r="B10" s="55">
        <f>SUBTOTAL(103,tblJune[1])</f>
        <v>0</v>
      </c>
      <c r="C10" s="55">
        <f>SUBTOTAL(103,tblJune[2])</f>
        <v>0</v>
      </c>
      <c r="D10" s="55">
        <f>SUBTOTAL(103,tblJune[3])</f>
        <v>0</v>
      </c>
      <c r="E10" s="55">
        <f>SUBTOTAL(103,tblJune[4])</f>
        <v>0</v>
      </c>
      <c r="F10" s="55">
        <f>SUBTOTAL(103,tblJune[5])</f>
        <v>0</v>
      </c>
      <c r="G10" s="55">
        <f>SUBTOTAL(103,tblJune[6])</f>
        <v>0</v>
      </c>
      <c r="H10" s="55">
        <f>SUBTOTAL(103,tblJune[7])</f>
        <v>0</v>
      </c>
      <c r="I10" s="55">
        <f>SUBTOTAL(103,tblJune[8])</f>
        <v>0</v>
      </c>
      <c r="J10" s="55">
        <f>SUBTOTAL(103,tblJune[9])</f>
        <v>0</v>
      </c>
      <c r="K10" s="55">
        <f>SUBTOTAL(103,tblJune[10])</f>
        <v>0</v>
      </c>
      <c r="L10" s="55">
        <f>SUBTOTAL(103,tblJune[11])</f>
        <v>0</v>
      </c>
      <c r="M10" s="55">
        <f>SUBTOTAL(103,tblJune[12])</f>
        <v>0</v>
      </c>
      <c r="N10" s="55">
        <f>SUBTOTAL(103,tblJune[13])</f>
        <v>0</v>
      </c>
      <c r="O10" s="55">
        <f>SUBTOTAL(103,tblJune[14])</f>
        <v>0</v>
      </c>
      <c r="P10" s="55">
        <f>SUBTOTAL(103,tblJune[15])</f>
        <v>0</v>
      </c>
      <c r="Q10" s="55">
        <f>SUBTOTAL(103,tblJune[16])</f>
        <v>0</v>
      </c>
      <c r="R10" s="55">
        <f>SUBTOTAL(103,tblJune[17])</f>
        <v>0</v>
      </c>
      <c r="S10" s="55">
        <f>SUBTOTAL(103,tblJune[18])</f>
        <v>0</v>
      </c>
      <c r="T10" s="55">
        <f>SUBTOTAL(103,tblJune[19])</f>
        <v>0</v>
      </c>
      <c r="U10" s="55">
        <f>SUBTOTAL(103,tblJune[20])</f>
        <v>0</v>
      </c>
      <c r="V10" s="55">
        <f>SUBTOTAL(103,tblJune[21])</f>
        <v>0</v>
      </c>
      <c r="W10" s="55">
        <f>SUBTOTAL(103,tblJune[22])</f>
        <v>0</v>
      </c>
      <c r="X10" s="55">
        <f>SUBTOTAL(103,tblJune[23])</f>
        <v>0</v>
      </c>
      <c r="Y10" s="55">
        <f>SUBTOTAL(103,tblJune[24])</f>
        <v>0</v>
      </c>
      <c r="Z10" s="55">
        <f>SUBTOTAL(103,tblJune[25])</f>
        <v>0</v>
      </c>
      <c r="AA10" s="55">
        <f>SUBTOTAL(103,tblJune[26])</f>
        <v>0</v>
      </c>
      <c r="AB10" s="55">
        <f>SUBTOTAL(103,tblJune[27])</f>
        <v>0</v>
      </c>
      <c r="AC10" s="55">
        <f>SUBTOTAL(103,tblJune[28])</f>
        <v>0</v>
      </c>
      <c r="AD10" s="55">
        <f>SUBTOTAL(103,tblJune[29])</f>
        <v>0</v>
      </c>
      <c r="AE10" s="55">
        <f>SUBTOTAL(109,tblJune[30])</f>
        <v>0</v>
      </c>
      <c r="AF10" s="55"/>
      <c r="AG10" s="56">
        <f>SUBTOTAL(109,tblJune[Total Days])</f>
        <v>0</v>
      </c>
    </row>
    <row r="18" spans="2:2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499" priority="2" stopIfTrue="1">
      <formula>B5=KeyCustom2</formula>
    </cfRule>
    <cfRule type="expression" dxfId="498" priority="3" stopIfTrue="1">
      <formula>B5=KeyCustom1</formula>
    </cfRule>
    <cfRule type="expression" dxfId="497" priority="4" stopIfTrue="1">
      <formula>B5=KeySick</formula>
    </cfRule>
    <cfRule type="expression" dxfId="496" priority="5" stopIfTrue="1">
      <formula>B5=KeyPersonal</formula>
    </cfRule>
    <cfRule type="expression" dxfId="495" priority="6" stopIfTrue="1">
      <formula>B5=KeyVacation</formula>
    </cfRule>
  </conditionalFormatting>
  <conditionalFormatting sqref="AG5:AG9">
    <cfRule type="dataBar" priority="24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{FA2C5745-D9F6-46CB-8A63-694F9E52E516}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5745-D9F6-46CB-8A63-694F9E52E516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G18"/>
  <sheetViews>
    <sheetView showGridLines="0" zoomScaleNormal="100" workbookViewId="0">
      <selection activeCell="A5" sqref="A5:A9"/>
    </sheetView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57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TEXT(WEEKDAY(DATE(CalendarYear,7,1),1),"aaa")</f>
        <v>Fri</v>
      </c>
      <c r="C3" s="9" t="str">
        <f>TEXT(WEEKDAY(DATE(CalendarYear,7,2),1),"aaa")</f>
        <v>Sat</v>
      </c>
      <c r="D3" s="9" t="str">
        <f>TEXT(WEEKDAY(DATE(CalendarYear,7,3),1),"aaa")</f>
        <v>Sun</v>
      </c>
      <c r="E3" s="9" t="str">
        <f>TEXT(WEEKDAY(DATE(CalendarYear,7,4),1),"aaa")</f>
        <v>Mon</v>
      </c>
      <c r="F3" s="9" t="str">
        <f>TEXT(WEEKDAY(DATE(CalendarYear,7,5),1),"aaa")</f>
        <v>Tue</v>
      </c>
      <c r="G3" s="9" t="str">
        <f>TEXT(WEEKDAY(DATE(CalendarYear,7,6),1),"aaa")</f>
        <v>Wed</v>
      </c>
      <c r="H3" s="9" t="str">
        <f>TEXT(WEEKDAY(DATE(CalendarYear,7,7),1),"aaa")</f>
        <v>Thu</v>
      </c>
      <c r="I3" s="9" t="str">
        <f>TEXT(WEEKDAY(DATE(CalendarYear,7,8),1),"aaa")</f>
        <v>Fri</v>
      </c>
      <c r="J3" s="9" t="str">
        <f>TEXT(WEEKDAY(DATE(CalendarYear,7,9),1),"aaa")</f>
        <v>Sat</v>
      </c>
      <c r="K3" s="9" t="str">
        <f>TEXT(WEEKDAY(DATE(CalendarYear,7,10),1),"aaa")</f>
        <v>Sun</v>
      </c>
      <c r="L3" s="9" t="str">
        <f>TEXT(WEEKDAY(DATE(CalendarYear,7,11),1),"aaa")</f>
        <v>Mon</v>
      </c>
      <c r="M3" s="9" t="str">
        <f>TEXT(WEEKDAY(DATE(CalendarYear,7,12),1),"aaa")</f>
        <v>Tue</v>
      </c>
      <c r="N3" s="9" t="str">
        <f>TEXT(WEEKDAY(DATE(CalendarYear,7,13),1),"aaa")</f>
        <v>Wed</v>
      </c>
      <c r="O3" s="9" t="str">
        <f>TEXT(WEEKDAY(DATE(CalendarYear,7,14),1),"aaa")</f>
        <v>Thu</v>
      </c>
      <c r="P3" s="9" t="str">
        <f>TEXT(WEEKDAY(DATE(CalendarYear,7,15),1),"aaa")</f>
        <v>Fri</v>
      </c>
      <c r="Q3" s="9" t="str">
        <f>TEXT(WEEKDAY(DATE(CalendarYear,7,16),1),"aaa")</f>
        <v>Sat</v>
      </c>
      <c r="R3" s="9" t="str">
        <f>TEXT(WEEKDAY(DATE(CalendarYear,7,17),1),"aaa")</f>
        <v>Sun</v>
      </c>
      <c r="S3" s="9" t="str">
        <f>TEXT(WEEKDAY(DATE(CalendarYear,7,18),1),"aaa")</f>
        <v>Mon</v>
      </c>
      <c r="T3" s="9" t="str">
        <f>TEXT(WEEKDAY(DATE(CalendarYear,7,19),1),"aaa")</f>
        <v>Tue</v>
      </c>
      <c r="U3" s="9" t="str">
        <f>TEXT(WEEKDAY(DATE(CalendarYear,7,20),1),"aaa")</f>
        <v>Wed</v>
      </c>
      <c r="V3" s="9" t="str">
        <f>TEXT(WEEKDAY(DATE(CalendarYear,7,21),1),"aaa")</f>
        <v>Thu</v>
      </c>
      <c r="W3" s="9" t="str">
        <f>TEXT(WEEKDAY(DATE(CalendarYear,7,22),1),"aaa")</f>
        <v>Fri</v>
      </c>
      <c r="X3" s="9" t="str">
        <f>TEXT(WEEKDAY(DATE(CalendarYear,7,23),1),"aaa")</f>
        <v>Sat</v>
      </c>
      <c r="Y3" s="9" t="str">
        <f>TEXT(WEEKDAY(DATE(CalendarYear,7,24),1),"aaa")</f>
        <v>Sun</v>
      </c>
      <c r="Z3" s="9" t="str">
        <f>TEXT(WEEKDAY(DATE(CalendarYear,7,25),1),"aaa")</f>
        <v>Mon</v>
      </c>
      <c r="AA3" s="9" t="str">
        <f>TEXT(WEEKDAY(DATE(CalendarYear,7,26),1),"aaa")</f>
        <v>Tue</v>
      </c>
      <c r="AB3" s="9" t="str">
        <f>TEXT(WEEKDAY(DATE(CalendarYear,7,27),1),"aaa")</f>
        <v>Wed</v>
      </c>
      <c r="AC3" s="9" t="str">
        <f>TEXT(WEEKDAY(DATE(CalendarYear,7,28),1),"aaa")</f>
        <v>Thu</v>
      </c>
      <c r="AD3" s="9" t="str">
        <f>TEXT(WEEKDAY(DATE(CalendarYear,7,29),1),"aaa")</f>
        <v>Fri</v>
      </c>
      <c r="AE3" s="9" t="str">
        <f>TEXT(WEEKDAY(DATE(CalendarYear,7,30),1),"aaa")</f>
        <v>Sat</v>
      </c>
      <c r="AF3" s="9" t="str">
        <f>TEXT(WEEKDAY(DATE(CalendarYear,7,31),1),"aaa")</f>
        <v>Sun</v>
      </c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6" t="s">
        <v>34</v>
      </c>
    </row>
    <row r="5" spans="1:33" x14ac:dyDescent="0.25">
      <c r="A5" s="51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COUNTA(tblJuly[[#This Row],[1]:[31]])</f>
        <v>0</v>
      </c>
    </row>
    <row r="6" spans="1:33" x14ac:dyDescent="0.25">
      <c r="A6" s="51" t="s">
        <v>64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COUNTA(tblJuly[[#This Row],[1]:[31]])</f>
        <v>0</v>
      </c>
    </row>
    <row r="7" spans="1:33" ht="15" customHeight="1" x14ac:dyDescent="0.25">
      <c r="A7" s="51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COUNTA(tblJuly[[#This Row],[1]:[31]])</f>
        <v>0</v>
      </c>
    </row>
    <row r="8" spans="1:33" ht="15" customHeight="1" x14ac:dyDescent="0.25">
      <c r="A8" s="51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COUNTA(tblJuly[[#This Row],[1]:[31]])</f>
        <v>0</v>
      </c>
    </row>
    <row r="9" spans="1:33" ht="15" customHeight="1" x14ac:dyDescent="0.25">
      <c r="A9" s="51" t="s">
        <v>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COUNTA(tblJuly[[#This Row],[1]:[31]])</f>
        <v>0</v>
      </c>
    </row>
    <row r="10" spans="1:33" ht="15" customHeight="1" x14ac:dyDescent="0.25">
      <c r="A10" s="15" t="str">
        <f>MonthName&amp;" Total"</f>
        <v>July Total</v>
      </c>
      <c r="B10" s="55">
        <f>SUBTOTAL(103,tblJuly[1])</f>
        <v>0</v>
      </c>
      <c r="C10" s="55">
        <f>SUBTOTAL(103,tblJuly[2])</f>
        <v>0</v>
      </c>
      <c r="D10" s="55">
        <f>SUBTOTAL(103,tblJuly[3])</f>
        <v>0</v>
      </c>
      <c r="E10" s="55">
        <f>SUBTOTAL(103,tblJuly[4])</f>
        <v>0</v>
      </c>
      <c r="F10" s="55">
        <f>SUBTOTAL(103,tblJuly[5])</f>
        <v>0</v>
      </c>
      <c r="G10" s="55">
        <f>SUBTOTAL(103,tblJuly[6])</f>
        <v>0</v>
      </c>
      <c r="H10" s="55">
        <f>SUBTOTAL(103,tblJuly[7])</f>
        <v>0</v>
      </c>
      <c r="I10" s="55">
        <f>SUBTOTAL(103,tblJuly[8])</f>
        <v>0</v>
      </c>
      <c r="J10" s="55">
        <f>SUBTOTAL(103,tblJuly[9])</f>
        <v>0</v>
      </c>
      <c r="K10" s="55">
        <f>SUBTOTAL(103,tblJuly[10])</f>
        <v>0</v>
      </c>
      <c r="L10" s="55">
        <f>SUBTOTAL(103,tblJuly[11])</f>
        <v>0</v>
      </c>
      <c r="M10" s="55">
        <f>SUBTOTAL(103,tblJuly[12])</f>
        <v>0</v>
      </c>
      <c r="N10" s="55">
        <f>SUBTOTAL(103,tblJuly[13])</f>
        <v>0</v>
      </c>
      <c r="O10" s="55">
        <f>SUBTOTAL(103,tblJuly[14])</f>
        <v>0</v>
      </c>
      <c r="P10" s="55">
        <f>SUBTOTAL(103,tblJuly[15])</f>
        <v>0</v>
      </c>
      <c r="Q10" s="55">
        <f>SUBTOTAL(103,tblJuly[16])</f>
        <v>0</v>
      </c>
      <c r="R10" s="55">
        <f>SUBTOTAL(103,tblJuly[17])</f>
        <v>0</v>
      </c>
      <c r="S10" s="55">
        <f>SUBTOTAL(103,tblJuly[18])</f>
        <v>0</v>
      </c>
      <c r="T10" s="55">
        <f>SUBTOTAL(103,tblJuly[19])</f>
        <v>0</v>
      </c>
      <c r="U10" s="55">
        <f>SUBTOTAL(103,tblJuly[20])</f>
        <v>0</v>
      </c>
      <c r="V10" s="55">
        <f>SUBTOTAL(103,tblJuly[21])</f>
        <v>0</v>
      </c>
      <c r="W10" s="55">
        <f>SUBTOTAL(103,tblJuly[22])</f>
        <v>0</v>
      </c>
      <c r="X10" s="55">
        <f>SUBTOTAL(103,tblJuly[23])</f>
        <v>0</v>
      </c>
      <c r="Y10" s="55">
        <f>SUBTOTAL(103,tblJuly[24])</f>
        <v>0</v>
      </c>
      <c r="Z10" s="55">
        <f>SUBTOTAL(103,tblJuly[25])</f>
        <v>0</v>
      </c>
      <c r="AA10" s="55">
        <f>SUBTOTAL(103,tblJuly[26])</f>
        <v>0</v>
      </c>
      <c r="AB10" s="55">
        <f>SUBTOTAL(103,tblJuly[27])</f>
        <v>0</v>
      </c>
      <c r="AC10" s="55">
        <f>SUBTOTAL(103,tblJuly[28])</f>
        <v>0</v>
      </c>
      <c r="AD10" s="55">
        <f>SUBTOTAL(103,tblJuly[29])</f>
        <v>0</v>
      </c>
      <c r="AE10" s="55">
        <f>SUBTOTAL(109,tblJuly[30])</f>
        <v>0</v>
      </c>
      <c r="AF10" s="55">
        <f>SUBTOTAL(109,tblJuly[31])</f>
        <v>0</v>
      </c>
      <c r="AG10" s="56">
        <f>SUBTOTAL(109,tblJuly[Total Days])</f>
        <v>0</v>
      </c>
    </row>
    <row r="17" spans="1:33" ht="15" customHeight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4">
    <mergeCell ref="A2:A3"/>
    <mergeCell ref="B2:AF2"/>
    <mergeCell ref="AG2:AG3"/>
    <mergeCell ref="A17:AG17"/>
  </mergeCells>
  <conditionalFormatting sqref="B5:AF9">
    <cfRule type="expression" priority="1" stopIfTrue="1">
      <formula>B5=""</formula>
    </cfRule>
  </conditionalFormatting>
  <conditionalFormatting sqref="B5:AF9">
    <cfRule type="expression" dxfId="490" priority="2" stopIfTrue="1">
      <formula>B5=KeyCustom2</formula>
    </cfRule>
    <cfRule type="expression" dxfId="489" priority="3" stopIfTrue="1">
      <formula>B5=KeyCustom1</formula>
    </cfRule>
    <cfRule type="expression" dxfId="488" priority="4" stopIfTrue="1">
      <formula>B5=KeySick</formula>
    </cfRule>
    <cfRule type="expression" dxfId="487" priority="5" stopIfTrue="1">
      <formula>B5=KeyPersonal</formula>
    </cfRule>
    <cfRule type="expression" dxfId="486" priority="6" stopIfTrue="1">
      <formula>B5=KeyVacation</formula>
    </cfRule>
  </conditionalFormatting>
  <conditionalFormatting sqref="AG5:AG9">
    <cfRule type="dataBar" priority="25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{15FE6D65-ECEC-46F2-A3C1-0385AFBC7710}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FE6D65-ECEC-46F2-A3C1-0385AFBC7710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G18"/>
  <sheetViews>
    <sheetView showGridLines="0" zoomScaleNormal="100" workbookViewId="0"/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58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TEXT(WEEKDAY(DATE(CalendarYear,8,1),1),"aaa")</f>
        <v>Mon</v>
      </c>
      <c r="C3" s="9" t="str">
        <f>TEXT(WEEKDAY(DATE(CalendarYear,8,2),1),"aaa")</f>
        <v>Tue</v>
      </c>
      <c r="D3" s="9" t="str">
        <f>TEXT(WEEKDAY(DATE(CalendarYear,8,3),1),"aaa")</f>
        <v>Wed</v>
      </c>
      <c r="E3" s="9" t="str">
        <f>TEXT(WEEKDAY(DATE(CalendarYear,8,4),1),"aaa")</f>
        <v>Thu</v>
      </c>
      <c r="F3" s="9" t="str">
        <f>TEXT(WEEKDAY(DATE(CalendarYear,8,5),1),"aaa")</f>
        <v>Fri</v>
      </c>
      <c r="G3" s="9" t="str">
        <f>TEXT(WEEKDAY(DATE(CalendarYear,8,6),1),"aaa")</f>
        <v>Sat</v>
      </c>
      <c r="H3" s="9" t="str">
        <f>TEXT(WEEKDAY(DATE(CalendarYear,8,7),1),"aaa")</f>
        <v>Sun</v>
      </c>
      <c r="I3" s="9" t="str">
        <f>TEXT(WEEKDAY(DATE(CalendarYear,8,8),1),"aaa")</f>
        <v>Mon</v>
      </c>
      <c r="J3" s="9" t="str">
        <f>TEXT(WEEKDAY(DATE(CalendarYear,8,9),1),"aaa")</f>
        <v>Tue</v>
      </c>
      <c r="K3" s="9" t="str">
        <f>TEXT(WEEKDAY(DATE(CalendarYear,8,10),1),"aaa")</f>
        <v>Wed</v>
      </c>
      <c r="L3" s="9" t="str">
        <f>TEXT(WEEKDAY(DATE(CalendarYear,8,11),1),"aaa")</f>
        <v>Thu</v>
      </c>
      <c r="M3" s="9" t="str">
        <f>TEXT(WEEKDAY(DATE(CalendarYear,8,12),1),"aaa")</f>
        <v>Fri</v>
      </c>
      <c r="N3" s="9" t="str">
        <f>TEXT(WEEKDAY(DATE(CalendarYear,8,13),1),"aaa")</f>
        <v>Sat</v>
      </c>
      <c r="O3" s="9" t="str">
        <f>TEXT(WEEKDAY(DATE(CalendarYear,8,14),1),"aaa")</f>
        <v>Sun</v>
      </c>
      <c r="P3" s="9" t="str">
        <f>TEXT(WEEKDAY(DATE(CalendarYear,8,15),1),"aaa")</f>
        <v>Mon</v>
      </c>
      <c r="Q3" s="9" t="str">
        <f>TEXT(WEEKDAY(DATE(CalendarYear,8,16),1),"aaa")</f>
        <v>Tue</v>
      </c>
      <c r="R3" s="9" t="str">
        <f>TEXT(WEEKDAY(DATE(CalendarYear,8,17),1),"aaa")</f>
        <v>Wed</v>
      </c>
      <c r="S3" s="9" t="str">
        <f>TEXT(WEEKDAY(DATE(CalendarYear,8,18),1),"aaa")</f>
        <v>Thu</v>
      </c>
      <c r="T3" s="9" t="str">
        <f>TEXT(WEEKDAY(DATE(CalendarYear,8,19),1),"aaa")</f>
        <v>Fri</v>
      </c>
      <c r="U3" s="9" t="str">
        <f>TEXT(WEEKDAY(DATE(CalendarYear,8,20),1),"aaa")</f>
        <v>Sat</v>
      </c>
      <c r="V3" s="9" t="str">
        <f>TEXT(WEEKDAY(DATE(CalendarYear,8,21),1),"aaa")</f>
        <v>Sun</v>
      </c>
      <c r="W3" s="9" t="str">
        <f>TEXT(WEEKDAY(DATE(CalendarYear,8,22),1),"aaa")</f>
        <v>Mon</v>
      </c>
      <c r="X3" s="9" t="str">
        <f>TEXT(WEEKDAY(DATE(CalendarYear,8,23),1),"aaa")</f>
        <v>Tue</v>
      </c>
      <c r="Y3" s="9" t="str">
        <f>TEXT(WEEKDAY(DATE(CalendarYear,8,24),1),"aaa")</f>
        <v>Wed</v>
      </c>
      <c r="Z3" s="9" t="str">
        <f>TEXT(WEEKDAY(DATE(CalendarYear,8,25),1),"aaa")</f>
        <v>Thu</v>
      </c>
      <c r="AA3" s="9" t="str">
        <f>TEXT(WEEKDAY(DATE(CalendarYear,8,26),1),"aaa")</f>
        <v>Fri</v>
      </c>
      <c r="AB3" s="9" t="str">
        <f>TEXT(WEEKDAY(DATE(CalendarYear,8,27),1),"aaa")</f>
        <v>Sat</v>
      </c>
      <c r="AC3" s="9" t="str">
        <f>TEXT(WEEKDAY(DATE(CalendarYear,8,28),1),"aaa")</f>
        <v>Sun</v>
      </c>
      <c r="AD3" s="9" t="str">
        <f>TEXT(WEEKDAY(DATE(CalendarYear,8,29),1),"aaa")</f>
        <v>Mon</v>
      </c>
      <c r="AE3" s="9" t="str">
        <f>TEXT(WEEKDAY(DATE(CalendarYear,8,30),1),"aaa")</f>
        <v>Tue</v>
      </c>
      <c r="AF3" s="9" t="str">
        <f>TEXT(WEEKDAY(DATE(CalendarYear,8,31),1),"aaa")</f>
        <v>Wed</v>
      </c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16" t="s">
        <v>34</v>
      </c>
    </row>
    <row r="5" spans="1:33" x14ac:dyDescent="0.25">
      <c r="A5" s="37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COUNTA(tblAugust[[#This Row],[1]:[31]])</f>
        <v>0</v>
      </c>
    </row>
    <row r="6" spans="1:33" x14ac:dyDescent="0.25">
      <c r="A6" s="37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COUNTA(tblAugust[[#This Row],[1]:[31]])</f>
        <v>0</v>
      </c>
    </row>
    <row r="7" spans="1:33" ht="15" customHeight="1" x14ac:dyDescent="0.25">
      <c r="A7" s="37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COUNTA(tblAugust[[#This Row],[1]:[31]])</f>
        <v>0</v>
      </c>
    </row>
    <row r="8" spans="1:33" ht="15" customHeight="1" x14ac:dyDescent="0.25">
      <c r="A8" s="37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COUNTA(tblAugust[[#This Row],[1]:[31]])</f>
        <v>0</v>
      </c>
    </row>
    <row r="9" spans="1:33" ht="15" customHeight="1" x14ac:dyDescent="0.25">
      <c r="A9" s="37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COUNTA(tblAugust[[#This Row],[1]:[31]])</f>
        <v>0</v>
      </c>
    </row>
    <row r="10" spans="1:33" ht="15" customHeight="1" x14ac:dyDescent="0.25">
      <c r="A10" s="15" t="str">
        <f>MonthName&amp;" Total"</f>
        <v>August Total</v>
      </c>
      <c r="B10" s="40">
        <f>SUBTOTAL(103,tblAugust[1])</f>
        <v>0</v>
      </c>
      <c r="C10" s="40">
        <f>SUBTOTAL(103,tblAugust[2])</f>
        <v>0</v>
      </c>
      <c r="D10" s="40">
        <f>SUBTOTAL(103,tblAugust[3])</f>
        <v>0</v>
      </c>
      <c r="E10" s="40">
        <f>SUBTOTAL(103,tblAugust[4])</f>
        <v>0</v>
      </c>
      <c r="F10" s="40">
        <f>SUBTOTAL(103,tblAugust[5])</f>
        <v>0</v>
      </c>
      <c r="G10" s="40">
        <f>SUBTOTAL(103,tblAugust[6])</f>
        <v>0</v>
      </c>
      <c r="H10" s="40">
        <f>SUBTOTAL(103,tblAugust[7])</f>
        <v>0</v>
      </c>
      <c r="I10" s="40">
        <f>SUBTOTAL(103,tblAugust[8])</f>
        <v>0</v>
      </c>
      <c r="J10" s="40">
        <f>SUBTOTAL(103,tblAugust[9])</f>
        <v>0</v>
      </c>
      <c r="K10" s="40">
        <f>SUBTOTAL(103,tblAugust[10])</f>
        <v>0</v>
      </c>
      <c r="L10" s="40">
        <f>SUBTOTAL(103,tblAugust[11])</f>
        <v>0</v>
      </c>
      <c r="M10" s="40">
        <f>SUBTOTAL(103,tblAugust[12])</f>
        <v>0</v>
      </c>
      <c r="N10" s="40">
        <f>SUBTOTAL(103,tblAugust[13])</f>
        <v>0</v>
      </c>
      <c r="O10" s="40">
        <f>SUBTOTAL(103,tblAugust[14])</f>
        <v>0</v>
      </c>
      <c r="P10" s="40">
        <f>SUBTOTAL(103,tblAugust[15])</f>
        <v>0</v>
      </c>
      <c r="Q10" s="40">
        <f>SUBTOTAL(103,tblAugust[16])</f>
        <v>0</v>
      </c>
      <c r="R10" s="40">
        <f>SUBTOTAL(103,tblAugust[17])</f>
        <v>0</v>
      </c>
      <c r="S10" s="40">
        <f>SUBTOTAL(103,tblAugust[18])</f>
        <v>0</v>
      </c>
      <c r="T10" s="40">
        <f>SUBTOTAL(103,tblAugust[19])</f>
        <v>0</v>
      </c>
      <c r="U10" s="40">
        <f>SUBTOTAL(103,tblAugust[20])</f>
        <v>0</v>
      </c>
      <c r="V10" s="40">
        <f>SUBTOTAL(103,tblAugust[21])</f>
        <v>0</v>
      </c>
      <c r="W10" s="40">
        <f>SUBTOTAL(103,tblAugust[22])</f>
        <v>0</v>
      </c>
      <c r="X10" s="40">
        <f>SUBTOTAL(103,tblAugust[23])</f>
        <v>0</v>
      </c>
      <c r="Y10" s="40">
        <f>SUBTOTAL(103,tblAugust[24])</f>
        <v>0</v>
      </c>
      <c r="Z10" s="40">
        <f>SUBTOTAL(103,tblAugust[25])</f>
        <v>0</v>
      </c>
      <c r="AA10" s="40">
        <f>SUBTOTAL(103,tblAugust[26])</f>
        <v>0</v>
      </c>
      <c r="AB10" s="40">
        <f>SUBTOTAL(103,tblAugust[27])</f>
        <v>0</v>
      </c>
      <c r="AC10" s="40">
        <f>SUBTOTAL(103,tblAugust[28])</f>
        <v>0</v>
      </c>
      <c r="AD10" s="40">
        <f>SUBTOTAL(103,tblAugust[29])</f>
        <v>0</v>
      </c>
      <c r="AE10" s="40">
        <f>SUBTOTAL(109,tblAugust[30])</f>
        <v>0</v>
      </c>
      <c r="AF10" s="40">
        <f>SUBTOTAL(109,tblAugust[31])</f>
        <v>0</v>
      </c>
      <c r="AG10" s="41">
        <f>SUBTOTAL(109,tblAugust[Total Days])</f>
        <v>0</v>
      </c>
    </row>
    <row r="18" spans="2:2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481" priority="2" stopIfTrue="1">
      <formula>B5=KeyCustom2</formula>
    </cfRule>
    <cfRule type="expression" dxfId="480" priority="3" stopIfTrue="1">
      <formula>B5=KeyCustom1</formula>
    </cfRule>
    <cfRule type="expression" dxfId="479" priority="4" stopIfTrue="1">
      <formula>B5=KeySick</formula>
    </cfRule>
    <cfRule type="expression" dxfId="478" priority="5" stopIfTrue="1">
      <formula>B5=KeyPersonal</formula>
    </cfRule>
    <cfRule type="expression" dxfId="477" priority="6" stopIfTrue="1">
      <formula>B5=KeyVacation</formula>
    </cfRule>
  </conditionalFormatting>
  <conditionalFormatting sqref="AG5:AG9">
    <cfRule type="dataBar" priority="26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{FC085EDD-0205-4B5F-B398-CECC5AA8DBEE}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085EDD-0205-4B5F-B398-CECC5AA8DBEE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G18"/>
  <sheetViews>
    <sheetView showGridLines="0" zoomScaleNormal="100" workbookViewId="0"/>
  </sheetViews>
  <sheetFormatPr defaultRowHeight="15" customHeight="1" x14ac:dyDescent="0.25"/>
  <cols>
    <col min="1" max="1" width="24.28515625" style="2" customWidth="1"/>
    <col min="2" max="32" width="4.7109375" style="2" customWidth="1"/>
    <col min="33" max="33" width="13.5703125" style="2" customWidth="1"/>
    <col min="34" max="16384" width="9.140625" style="2"/>
  </cols>
  <sheetData>
    <row r="1" spans="1:33" ht="50.25" customHeight="1" x14ac:dyDescent="0.25">
      <c r="A1" s="1" t="s">
        <v>0</v>
      </c>
    </row>
    <row r="2" spans="1:33" ht="30" customHeight="1" x14ac:dyDescent="0.25">
      <c r="A2" s="46" t="s">
        <v>59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>
        <f>CalendarYear</f>
        <v>2016</v>
      </c>
    </row>
    <row r="3" spans="1:33" ht="15.75" customHeight="1" x14ac:dyDescent="0.25">
      <c r="A3" s="46"/>
      <c r="B3" s="9" t="str">
        <f>TEXT(WEEKDAY(DATE(CalendarYear,9,1),1),"aaa")</f>
        <v>Thu</v>
      </c>
      <c r="C3" s="9" t="str">
        <f>TEXT(WEEKDAY(DATE(CalendarYear,9,2),1),"aaa")</f>
        <v>Fri</v>
      </c>
      <c r="D3" s="9" t="str">
        <f>TEXT(WEEKDAY(DATE(CalendarYear,9,3),1),"aaa")</f>
        <v>Sat</v>
      </c>
      <c r="E3" s="9" t="str">
        <f>TEXT(WEEKDAY(DATE(CalendarYear,9,4),1),"aaa")</f>
        <v>Sun</v>
      </c>
      <c r="F3" s="9" t="str">
        <f>TEXT(WEEKDAY(DATE(CalendarYear,9,5),1),"aaa")</f>
        <v>Mon</v>
      </c>
      <c r="G3" s="9" t="str">
        <f>TEXT(WEEKDAY(DATE(CalendarYear,9,6),1),"aaa")</f>
        <v>Tue</v>
      </c>
      <c r="H3" s="9" t="str">
        <f>TEXT(WEEKDAY(DATE(CalendarYear,9,7),1),"aaa")</f>
        <v>Wed</v>
      </c>
      <c r="I3" s="9" t="str">
        <f>TEXT(WEEKDAY(DATE(CalendarYear,9,8),1),"aaa")</f>
        <v>Thu</v>
      </c>
      <c r="J3" s="9" t="str">
        <f>TEXT(WEEKDAY(DATE(CalendarYear,9,9),1),"aaa")</f>
        <v>Fri</v>
      </c>
      <c r="K3" s="9" t="str">
        <f>TEXT(WEEKDAY(DATE(CalendarYear,9,10),1),"aaa")</f>
        <v>Sat</v>
      </c>
      <c r="L3" s="9" t="str">
        <f>TEXT(WEEKDAY(DATE(CalendarYear,9,11),1),"aaa")</f>
        <v>Sun</v>
      </c>
      <c r="M3" s="9" t="str">
        <f>TEXT(WEEKDAY(DATE(CalendarYear,9,12),1),"aaa")</f>
        <v>Mon</v>
      </c>
      <c r="N3" s="9" t="str">
        <f>TEXT(WEEKDAY(DATE(CalendarYear,9,13),1),"aaa")</f>
        <v>Tue</v>
      </c>
      <c r="O3" s="9" t="str">
        <f>TEXT(WEEKDAY(DATE(CalendarYear,9,14),1),"aaa")</f>
        <v>Wed</v>
      </c>
      <c r="P3" s="9" t="str">
        <f>TEXT(WEEKDAY(DATE(CalendarYear,9,15),1),"aaa")</f>
        <v>Thu</v>
      </c>
      <c r="Q3" s="9" t="str">
        <f>TEXT(WEEKDAY(DATE(CalendarYear,9,16),1),"aaa")</f>
        <v>Fri</v>
      </c>
      <c r="R3" s="9" t="str">
        <f>TEXT(WEEKDAY(DATE(CalendarYear,9,17),1),"aaa")</f>
        <v>Sat</v>
      </c>
      <c r="S3" s="9" t="str">
        <f>TEXT(WEEKDAY(DATE(CalendarYear,9,18),1),"aaa")</f>
        <v>Sun</v>
      </c>
      <c r="T3" s="9" t="str">
        <f>TEXT(WEEKDAY(DATE(CalendarYear,9,19),1),"aaa")</f>
        <v>Mon</v>
      </c>
      <c r="U3" s="9" t="str">
        <f>TEXT(WEEKDAY(DATE(CalendarYear,9,20),1),"aaa")</f>
        <v>Tue</v>
      </c>
      <c r="V3" s="9" t="str">
        <f>TEXT(WEEKDAY(DATE(CalendarYear,9,21),1),"aaa")</f>
        <v>Wed</v>
      </c>
      <c r="W3" s="9" t="str">
        <f>TEXT(WEEKDAY(DATE(CalendarYear,9,22),1),"aaa")</f>
        <v>Thu</v>
      </c>
      <c r="X3" s="9" t="str">
        <f>TEXT(WEEKDAY(DATE(CalendarYear,9,23),1),"aaa")</f>
        <v>Fri</v>
      </c>
      <c r="Y3" s="9" t="str">
        <f>TEXT(WEEKDAY(DATE(CalendarYear,9,24),1),"aaa")</f>
        <v>Sat</v>
      </c>
      <c r="Z3" s="9" t="str">
        <f>TEXT(WEEKDAY(DATE(CalendarYear,9,25),1),"aaa")</f>
        <v>Sun</v>
      </c>
      <c r="AA3" s="9" t="str">
        <f>TEXT(WEEKDAY(DATE(CalendarYear,9,26),1),"aaa")</f>
        <v>Mon</v>
      </c>
      <c r="AB3" s="9" t="str">
        <f>TEXT(WEEKDAY(DATE(CalendarYear,9,27),1),"aaa")</f>
        <v>Tue</v>
      </c>
      <c r="AC3" s="9" t="str">
        <f>TEXT(WEEKDAY(DATE(CalendarYear,9,28),1),"aaa")</f>
        <v>Wed</v>
      </c>
      <c r="AD3" s="9" t="str">
        <f>TEXT(WEEKDAY(DATE(CalendarYear,9,29),1),"aaa")</f>
        <v>Thu</v>
      </c>
      <c r="AE3" s="9" t="str">
        <f>TEXT(WEEKDAY(DATE(CalendarYear,9,30),1),"aaa")</f>
        <v>Fri</v>
      </c>
      <c r="AF3" s="9"/>
      <c r="AG3" s="49"/>
    </row>
    <row r="4" spans="1:33" x14ac:dyDescent="0.25">
      <c r="A4" s="15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39</v>
      </c>
      <c r="AG4" s="16" t="s">
        <v>34</v>
      </c>
    </row>
    <row r="5" spans="1:33" x14ac:dyDescent="0.25">
      <c r="A5" s="37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1">
        <f>COUNTA(tblSeptember[[#This Row],[1]:[30]])</f>
        <v>0</v>
      </c>
    </row>
    <row r="6" spans="1:33" x14ac:dyDescent="0.25">
      <c r="A6" s="37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1">
        <f>COUNTA(tblSeptember[[#This Row],[1]:[30]])</f>
        <v>0</v>
      </c>
    </row>
    <row r="7" spans="1:33" ht="15" customHeight="1" x14ac:dyDescent="0.25">
      <c r="A7" s="37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1">
        <f>COUNTA(tblSeptember[[#This Row],[1]:[30]])</f>
        <v>0</v>
      </c>
    </row>
    <row r="8" spans="1:33" ht="15" customHeight="1" x14ac:dyDescent="0.25">
      <c r="A8" s="37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1">
        <f>COUNTA(tblSeptember[[#This Row],[1]:[30]])</f>
        <v>0</v>
      </c>
    </row>
    <row r="9" spans="1:33" ht="15" customHeight="1" x14ac:dyDescent="0.25">
      <c r="A9" s="37" t="s">
        <v>52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1">
        <f>COUNTA(tblSeptember[[#This Row],[1]:[30]])</f>
        <v>0</v>
      </c>
    </row>
    <row r="10" spans="1:33" ht="15" customHeight="1" x14ac:dyDescent="0.25">
      <c r="A10" s="15" t="str">
        <f>MonthName&amp;" Total"</f>
        <v>September Total</v>
      </c>
      <c r="B10" s="40">
        <f>SUBTOTAL(103,tblSeptember[1])</f>
        <v>0</v>
      </c>
      <c r="C10" s="40">
        <f>SUBTOTAL(103,tblSeptember[2])</f>
        <v>0</v>
      </c>
      <c r="D10" s="40">
        <f>SUBTOTAL(103,tblSeptember[3])</f>
        <v>0</v>
      </c>
      <c r="E10" s="40">
        <f>SUBTOTAL(103,tblSeptember[4])</f>
        <v>0</v>
      </c>
      <c r="F10" s="40">
        <f>SUBTOTAL(103,tblSeptember[5])</f>
        <v>0</v>
      </c>
      <c r="G10" s="40">
        <f>SUBTOTAL(103,tblSeptember[6])</f>
        <v>0</v>
      </c>
      <c r="H10" s="40">
        <f>SUBTOTAL(103,tblSeptember[7])</f>
        <v>0</v>
      </c>
      <c r="I10" s="40">
        <f>SUBTOTAL(103,tblSeptember[8])</f>
        <v>0</v>
      </c>
      <c r="J10" s="40">
        <f>SUBTOTAL(103,tblSeptember[9])</f>
        <v>0</v>
      </c>
      <c r="K10" s="40">
        <f>SUBTOTAL(103,tblSeptember[10])</f>
        <v>0</v>
      </c>
      <c r="L10" s="40">
        <f>SUBTOTAL(103,tblSeptember[11])</f>
        <v>0</v>
      </c>
      <c r="M10" s="40">
        <f>SUBTOTAL(103,tblSeptember[12])</f>
        <v>0</v>
      </c>
      <c r="N10" s="40">
        <f>SUBTOTAL(103,tblSeptember[13])</f>
        <v>0</v>
      </c>
      <c r="O10" s="40">
        <f>SUBTOTAL(103,tblSeptember[14])</f>
        <v>0</v>
      </c>
      <c r="P10" s="40">
        <f>SUBTOTAL(103,tblSeptember[15])</f>
        <v>0</v>
      </c>
      <c r="Q10" s="40">
        <f>SUBTOTAL(103,tblSeptember[16])</f>
        <v>0</v>
      </c>
      <c r="R10" s="40">
        <f>SUBTOTAL(103,tblSeptember[17])</f>
        <v>0</v>
      </c>
      <c r="S10" s="40">
        <f>SUBTOTAL(103,tblSeptember[18])</f>
        <v>0</v>
      </c>
      <c r="T10" s="40">
        <f>SUBTOTAL(103,tblSeptember[19])</f>
        <v>0</v>
      </c>
      <c r="U10" s="40">
        <f>SUBTOTAL(103,tblSeptember[20])</f>
        <v>0</v>
      </c>
      <c r="V10" s="40">
        <f>SUBTOTAL(103,tblSeptember[21])</f>
        <v>0</v>
      </c>
      <c r="W10" s="40">
        <f>SUBTOTAL(103,tblSeptember[22])</f>
        <v>0</v>
      </c>
      <c r="X10" s="40">
        <f>SUBTOTAL(103,tblSeptember[23])</f>
        <v>0</v>
      </c>
      <c r="Y10" s="40">
        <f>SUBTOTAL(103,tblSeptember[24])</f>
        <v>0</v>
      </c>
      <c r="Z10" s="40">
        <f>SUBTOTAL(103,tblSeptember[25])</f>
        <v>0</v>
      </c>
      <c r="AA10" s="40">
        <f>SUBTOTAL(103,tblSeptember[26])</f>
        <v>0</v>
      </c>
      <c r="AB10" s="40">
        <f>SUBTOTAL(103,tblSeptember[27])</f>
        <v>0</v>
      </c>
      <c r="AC10" s="40">
        <f>SUBTOTAL(103,tblSeptember[28])</f>
        <v>0</v>
      </c>
      <c r="AD10" s="40">
        <f>SUBTOTAL(103,tblSeptember[29])</f>
        <v>0</v>
      </c>
      <c r="AE10" s="40">
        <f>SUBTOTAL(109,tblSeptember[30])</f>
        <v>0</v>
      </c>
      <c r="AF10" s="40"/>
      <c r="AG10" s="41">
        <f>SUBTOTAL(109,tblSeptember[Total Days])</f>
        <v>0</v>
      </c>
    </row>
    <row r="18" spans="2:23" ht="15" customHeight="1" x14ac:dyDescent="0.25">
      <c r="B18" s="43" t="str">
        <f>January!B18</f>
        <v>Color Key</v>
      </c>
      <c r="C18" s="21"/>
      <c r="D18" s="21"/>
      <c r="E18" s="22" t="str">
        <f>KeyVacation</f>
        <v>V</v>
      </c>
      <c r="F18" s="23" t="str">
        <f>KeyVacationLabel</f>
        <v>Vacation</v>
      </c>
      <c r="G18" s="23"/>
      <c r="H18" s="23"/>
      <c r="I18" s="24" t="str">
        <f>KeyPersonal</f>
        <v>P</v>
      </c>
      <c r="J18" s="23" t="str">
        <f>KeyPersonalLabel</f>
        <v>Personal</v>
      </c>
      <c r="K18" s="23"/>
      <c r="L18" s="23"/>
      <c r="M18" s="25" t="str">
        <f>KeySick</f>
        <v>S</v>
      </c>
      <c r="N18" s="23" t="str">
        <f>KeySickLabel</f>
        <v>Sick</v>
      </c>
      <c r="O18" s="23"/>
      <c r="P18" s="26">
        <f>KeyCustom1</f>
        <v>0</v>
      </c>
      <c r="Q18" s="23" t="str">
        <f>KeyCustom1Label</f>
        <v>Custom 1</v>
      </c>
      <c r="R18" s="23"/>
      <c r="S18" s="23"/>
      <c r="T18" s="27">
        <f>KeyCustom2</f>
        <v>0</v>
      </c>
      <c r="U18" s="23" t="str">
        <f>KeyCustom2Label</f>
        <v>Custom 2</v>
      </c>
      <c r="V18" s="23"/>
      <c r="W18" s="23"/>
    </row>
  </sheetData>
  <mergeCells count="3">
    <mergeCell ref="A2:A3"/>
    <mergeCell ref="B2:AF2"/>
    <mergeCell ref="AG2:AG3"/>
  </mergeCells>
  <conditionalFormatting sqref="B5:AF9">
    <cfRule type="expression" priority="1" stopIfTrue="1">
      <formula>B5=""</formula>
    </cfRule>
  </conditionalFormatting>
  <conditionalFormatting sqref="B5:AF9">
    <cfRule type="expression" dxfId="438" priority="2" stopIfTrue="1">
      <formula>B5=KeyCustom2</formula>
    </cfRule>
    <cfRule type="expression" dxfId="437" priority="3" stopIfTrue="1">
      <formula>B5=KeyCustom1</formula>
    </cfRule>
    <cfRule type="expression" dxfId="436" priority="4" stopIfTrue="1">
      <formula>B5=KeySick</formula>
    </cfRule>
    <cfRule type="expression" dxfId="435" priority="5" stopIfTrue="1">
      <formula>B5=KeyPersonal</formula>
    </cfRule>
    <cfRule type="expression" dxfId="434" priority="6" stopIfTrue="1">
      <formula>B5=KeyVacation</formula>
    </cfRule>
  </conditionalFormatting>
  <conditionalFormatting sqref="AG5:AG9">
    <cfRule type="dataBar" priority="2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{1477F465-23A5-4E7F-BDEC-11297175FB9A}</x14:id>
        </ext>
      </extLst>
    </cfRule>
  </conditionalFormatting>
  <printOptions horizontalCentered="1"/>
  <pageMargins left="0.25" right="0.25" top="0.75" bottom="0.75" header="0.3" footer="0.3"/>
  <pageSetup scale="72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77F465-23A5-4E7F-BDEC-11297175FB9A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AG5:AG9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35</vt:i4>
      </vt:variant>
    </vt:vector>
  </HeadingPairs>
  <TitlesOfParts>
    <vt:vector size="47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CalendarYear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April!MonthName</vt:lpstr>
      <vt:lpstr>August!MonthName</vt:lpstr>
      <vt:lpstr>December!MonthName</vt:lpstr>
      <vt:lpstr>February!MonthName</vt:lpstr>
      <vt:lpstr>January!MonthName</vt:lpstr>
      <vt:lpstr>July!MonthName</vt:lpstr>
      <vt:lpstr>June!MonthName</vt:lpstr>
      <vt:lpstr>March!MonthName</vt:lpstr>
      <vt:lpstr>May!MonthName</vt:lpstr>
      <vt:lpstr>November!MonthName</vt:lpstr>
      <vt:lpstr>October!MonthName</vt:lpstr>
      <vt:lpstr>September!MonthName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Martin Shields</dc:creator>
  <cp:lastModifiedBy>Martin Shields</cp:lastModifiedBy>
  <dcterms:created xsi:type="dcterms:W3CDTF">2015-08-27T21:55:46Z</dcterms:created>
  <dcterms:modified xsi:type="dcterms:W3CDTF">2015-12-09T11:26:47Z</dcterms:modified>
</cp:coreProperties>
</file>