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24226"/>
  <mc:AlternateContent xmlns:mc="http://schemas.openxmlformats.org/markup-compatibility/2006">
    <mc:Choice Requires="x15">
      <x15ac:absPath xmlns:x15ac="http://schemas.microsoft.com/office/spreadsheetml/2010/11/ac" url="/Users/martinvalenz/Dropbox/Proyectos/Emporio/docs/"/>
    </mc:Choice>
  </mc:AlternateContent>
  <xr:revisionPtr revIDLastSave="0" documentId="13_ncr:1_{640E582E-9A81-DA42-986F-F74601E2F077}" xr6:coauthVersionLast="36" xr6:coauthVersionMax="36" xr10:uidLastSave="{00000000-0000-0000-0000-000000000000}"/>
  <bookViews>
    <workbookView xWindow="-27320" yWindow="0" windowWidth="27320" windowHeight="15360" xr2:uid="{00000000-000D-0000-FFFF-FFFF00000000}"/>
  </bookViews>
  <sheets>
    <sheet name="IMPI" sheetId="1" r:id="rId1"/>
    <sheet name="IDS" sheetId="9" r:id="rId2"/>
    <sheet name="INDAUTOR" sheetId="2" r:id="rId3"/>
    <sheet name="USA" sheetId="3" r:id="rId4"/>
    <sheet name="FRANQUICIAS" sheetId="5" r:id="rId5"/>
    <sheet name="CODIGO DE BARRAS" sheetId="6" r:id="rId6"/>
    <sheet name="SERV. JURIDICOS" sheetId="8" r:id="rId7"/>
    <sheet name="DISEÑO" sheetId="7" r:id="rId8"/>
    <sheet name="Informe de compatibilidad" sheetId="4" r:id="rId9"/>
  </sheets>
  <definedNames>
    <definedName name="appeal" localSheetId="3">USA!$A$205</definedName>
    <definedName name="comp" localSheetId="3">USA!$A$459</definedName>
    <definedName name="enroll" localSheetId="3">USA!$A$412</definedName>
    <definedName name="exam" localSheetId="3">USA!$A$104</definedName>
    <definedName name="extend" localSheetId="3">USA!$A$126</definedName>
    <definedName name="fast" localSheetId="3">USA!$A$572</definedName>
    <definedName name="fin" localSheetId="3">USA!$A$449</definedName>
    <definedName name="international" localSheetId="3">USA!$A$316</definedName>
    <definedName name="intfees" localSheetId="3">USA!$A$535</definedName>
    <definedName name="issuance" localSheetId="3">USA!$A$181</definedName>
    <definedName name="madrid" localSheetId="3">USA!$A$515</definedName>
    <definedName name="maintain" localSheetId="3">USA!$A$137</definedName>
    <definedName name="misc" localSheetId="3">USA!$A$154</definedName>
    <definedName name="national" localSheetId="3">USA!$A$269</definedName>
    <definedName name="note1a" localSheetId="3">USA!$A$93</definedName>
    <definedName name="note1b" localSheetId="3">USA!$A$267</definedName>
    <definedName name="note1c" localSheetId="3">USA!$A$239</definedName>
    <definedName name="note3" localSheetId="3">USA!$A$357</definedName>
    <definedName name="note4" localSheetId="3">USA!$A$545</definedName>
    <definedName name="patapp" localSheetId="3">USA!$A$40</definedName>
    <definedName name="patservice" localSheetId="3">USA!$A$359</definedName>
    <definedName name="petition" localSheetId="3">USA!$A$241</definedName>
    <definedName name="post" localSheetId="3">USA!$A$113</definedName>
    <definedName name="search" localSheetId="3">USA!$A$95</definedName>
    <definedName name="tm" localSheetId="3">USA!$A$462</definedName>
    <definedName name="tmsvc" localSheetId="3">USA!$A$547</definedName>
    <definedName name="wipo" localSheetId="3">USA!$A$335</definedName>
  </definedNames>
  <calcPr calcId="181029"/>
</workbook>
</file>

<file path=xl/calcChain.xml><?xml version="1.0" encoding="utf-8"?>
<calcChain xmlns="http://schemas.openxmlformats.org/spreadsheetml/2006/main">
  <c r="V48" i="1" l="1"/>
  <c r="Q4" i="6"/>
  <c r="Q5" i="6"/>
  <c r="Q6" i="6"/>
  <c r="M4" i="6"/>
  <c r="M5" i="6"/>
  <c r="M6" i="6"/>
  <c r="M3" i="6"/>
  <c r="Q3" i="6"/>
  <c r="K4" i="6"/>
  <c r="K5" i="6"/>
  <c r="K6" i="6"/>
  <c r="K3" i="6"/>
  <c r="I4" i="6"/>
  <c r="I5" i="6"/>
  <c r="I6" i="6"/>
  <c r="I3" i="6"/>
  <c r="G4" i="6"/>
  <c r="G5" i="6"/>
  <c r="G6" i="6"/>
  <c r="G3" i="6"/>
  <c r="C4" i="6"/>
  <c r="C5" i="6"/>
  <c r="C6" i="6"/>
  <c r="C3" i="6"/>
  <c r="C4" i="5"/>
  <c r="C5" i="5"/>
  <c r="C6" i="5"/>
  <c r="C7" i="5"/>
  <c r="C8" i="5"/>
  <c r="C9" i="5"/>
  <c r="C3" i="5"/>
  <c r="Q5" i="3"/>
  <c r="Q6" i="3"/>
  <c r="Q7" i="3"/>
  <c r="Q8" i="3"/>
  <c r="U8" i="3" s="1"/>
  <c r="Q9" i="3"/>
  <c r="Q10" i="3"/>
  <c r="Q11" i="3"/>
  <c r="Q12" i="3"/>
  <c r="U12" i="3" s="1"/>
  <c r="Q13" i="3"/>
  <c r="Q14" i="3"/>
  <c r="Q15" i="3"/>
  <c r="Q16" i="3"/>
  <c r="U16" i="3" s="1"/>
  <c r="Q4" i="3"/>
  <c r="U5" i="3"/>
  <c r="U6" i="3"/>
  <c r="U7" i="3"/>
  <c r="U9" i="3"/>
  <c r="U10" i="3"/>
  <c r="U11" i="3"/>
  <c r="U13" i="3"/>
  <c r="U14" i="3"/>
  <c r="U15" i="3"/>
  <c r="U4" i="3"/>
  <c r="O16" i="3"/>
  <c r="O15" i="3"/>
  <c r="O14" i="3"/>
  <c r="O13" i="3"/>
  <c r="O12" i="3"/>
  <c r="O11" i="3"/>
  <c r="O10" i="3"/>
  <c r="O9" i="3"/>
  <c r="O8" i="3"/>
  <c r="O7" i="3"/>
  <c r="O6" i="3"/>
  <c r="O5" i="3"/>
  <c r="O4" i="3"/>
  <c r="M5" i="3"/>
  <c r="M6" i="3"/>
  <c r="M7" i="3"/>
  <c r="M8" i="3"/>
  <c r="M9" i="3"/>
  <c r="M10" i="3"/>
  <c r="M11" i="3"/>
  <c r="M12" i="3"/>
  <c r="M13" i="3"/>
  <c r="M14" i="3"/>
  <c r="M15" i="3"/>
  <c r="M16" i="3"/>
  <c r="M4" i="3"/>
  <c r="K5" i="3"/>
  <c r="K6" i="3"/>
  <c r="K7" i="3"/>
  <c r="K8" i="3"/>
  <c r="K9" i="3"/>
  <c r="K10" i="3"/>
  <c r="K11" i="3"/>
  <c r="K12" i="3"/>
  <c r="K13" i="3"/>
  <c r="K14" i="3"/>
  <c r="K15" i="3"/>
  <c r="K16" i="3"/>
  <c r="N16" i="3"/>
  <c r="N15" i="3"/>
  <c r="N14" i="3"/>
  <c r="N13" i="3"/>
  <c r="N12" i="3"/>
  <c r="N11" i="3"/>
  <c r="N10" i="3"/>
  <c r="N9" i="3"/>
  <c r="N8" i="3"/>
  <c r="N7" i="3"/>
  <c r="N6" i="3"/>
  <c r="N5" i="3"/>
  <c r="N4" i="3"/>
  <c r="L16" i="3"/>
  <c r="L15" i="3"/>
  <c r="L14" i="3"/>
  <c r="L13" i="3"/>
  <c r="L12" i="3"/>
  <c r="L11" i="3"/>
  <c r="L7" i="3"/>
  <c r="L6" i="3"/>
  <c r="L5" i="3"/>
  <c r="L4" i="3"/>
  <c r="J15" i="3"/>
  <c r="J14" i="3"/>
  <c r="J8" i="3"/>
  <c r="J7" i="3"/>
  <c r="J6" i="3"/>
  <c r="J5" i="3"/>
  <c r="J4" i="3"/>
  <c r="M55" i="2"/>
  <c r="M54" i="2"/>
  <c r="M53" i="2"/>
  <c r="M52" i="2"/>
  <c r="N52" i="2" s="1"/>
  <c r="M51" i="2"/>
  <c r="M50" i="2"/>
  <c r="M48" i="2"/>
  <c r="M47" i="2"/>
  <c r="M46" i="2"/>
  <c r="M45" i="2"/>
  <c r="M43" i="2"/>
  <c r="M42" i="2"/>
  <c r="N42" i="2" s="1"/>
  <c r="M41" i="2"/>
  <c r="M40" i="2"/>
  <c r="M39" i="2"/>
  <c r="M38" i="2"/>
  <c r="N38" i="2" s="1"/>
  <c r="M37" i="2"/>
  <c r="M36" i="2"/>
  <c r="M35" i="2"/>
  <c r="M34" i="2"/>
  <c r="N34" i="2" s="1"/>
  <c r="M33" i="2"/>
  <c r="M32" i="2"/>
  <c r="M31" i="2"/>
  <c r="M30" i="2"/>
  <c r="N30" i="2" s="1"/>
  <c r="M29" i="2"/>
  <c r="M28" i="2"/>
  <c r="M27" i="2"/>
  <c r="M26" i="2"/>
  <c r="N26" i="2" s="1"/>
  <c r="M25" i="2"/>
  <c r="M24" i="2"/>
  <c r="M23" i="2"/>
  <c r="M21" i="2"/>
  <c r="N21" i="2" s="1"/>
  <c r="M20" i="2"/>
  <c r="M19" i="2"/>
  <c r="M18" i="2"/>
  <c r="M17" i="2"/>
  <c r="N17" i="2" s="1"/>
  <c r="M16" i="2"/>
  <c r="M15" i="2"/>
  <c r="M14" i="2"/>
  <c r="M13" i="2"/>
  <c r="N13" i="2" s="1"/>
  <c r="M12" i="2"/>
  <c r="M11" i="2"/>
  <c r="M10" i="2"/>
  <c r="M8" i="2"/>
  <c r="N8" i="2" s="1"/>
  <c r="M7" i="2"/>
  <c r="M6" i="2"/>
  <c r="M5" i="2"/>
  <c r="M4" i="2"/>
  <c r="N4" i="2" s="1"/>
  <c r="K55" i="2"/>
  <c r="K54" i="2"/>
  <c r="K53" i="2"/>
  <c r="K52" i="2"/>
  <c r="L52" i="2" s="1"/>
  <c r="K51" i="2"/>
  <c r="K50" i="2"/>
  <c r="K48" i="2"/>
  <c r="L48" i="2" s="1"/>
  <c r="K47" i="2"/>
  <c r="L47" i="2" s="1"/>
  <c r="K46" i="2"/>
  <c r="K45" i="2"/>
  <c r="K43" i="2"/>
  <c r="L43" i="2" s="1"/>
  <c r="K42" i="2"/>
  <c r="K41" i="2"/>
  <c r="K40" i="2"/>
  <c r="K39" i="2"/>
  <c r="L39" i="2" s="1"/>
  <c r="K38" i="2"/>
  <c r="K37" i="2"/>
  <c r="K36" i="2"/>
  <c r="K35" i="2"/>
  <c r="L35" i="2" s="1"/>
  <c r="K34" i="2"/>
  <c r="K33" i="2"/>
  <c r="K32" i="2"/>
  <c r="K31" i="2"/>
  <c r="L31" i="2" s="1"/>
  <c r="K30" i="2"/>
  <c r="K29" i="2"/>
  <c r="K28" i="2"/>
  <c r="K27" i="2"/>
  <c r="L27" i="2" s="1"/>
  <c r="K26" i="2"/>
  <c r="K25" i="2"/>
  <c r="K24" i="2"/>
  <c r="K23" i="2"/>
  <c r="L23" i="2" s="1"/>
  <c r="K21" i="2"/>
  <c r="L21" i="2" s="1"/>
  <c r="K20" i="2"/>
  <c r="K19" i="2"/>
  <c r="K18" i="2"/>
  <c r="K17" i="2"/>
  <c r="L17" i="2" s="1"/>
  <c r="K16" i="2"/>
  <c r="K15" i="2"/>
  <c r="K14" i="2"/>
  <c r="K13" i="2"/>
  <c r="L13" i="2" s="1"/>
  <c r="K12" i="2"/>
  <c r="K11" i="2"/>
  <c r="K10" i="2"/>
  <c r="K8" i="2"/>
  <c r="L8" i="2" s="1"/>
  <c r="K7" i="2"/>
  <c r="K6" i="2"/>
  <c r="K5" i="2"/>
  <c r="K4" i="2"/>
  <c r="L4" i="2" s="1"/>
  <c r="I55" i="2"/>
  <c r="I54" i="2"/>
  <c r="I53" i="2"/>
  <c r="I52" i="2"/>
  <c r="I51" i="2"/>
  <c r="I50" i="2"/>
  <c r="I48" i="2"/>
  <c r="I47" i="2"/>
  <c r="I46" i="2"/>
  <c r="I45" i="2"/>
  <c r="I43" i="2"/>
  <c r="I42" i="2"/>
  <c r="I41" i="2"/>
  <c r="I40" i="2"/>
  <c r="I39" i="2"/>
  <c r="I38" i="2"/>
  <c r="I37" i="2"/>
  <c r="I36" i="2"/>
  <c r="I35" i="2"/>
  <c r="I34" i="2"/>
  <c r="I33" i="2"/>
  <c r="I32" i="2"/>
  <c r="I31" i="2"/>
  <c r="I30" i="2"/>
  <c r="I29" i="2"/>
  <c r="I28" i="2"/>
  <c r="I27" i="2"/>
  <c r="I26" i="2"/>
  <c r="I25" i="2"/>
  <c r="I24" i="2"/>
  <c r="I23" i="2"/>
  <c r="I21" i="2"/>
  <c r="I20" i="2"/>
  <c r="I19" i="2"/>
  <c r="I18" i="2"/>
  <c r="I17" i="2"/>
  <c r="I16" i="2"/>
  <c r="I15" i="2"/>
  <c r="I14" i="2"/>
  <c r="I13" i="2"/>
  <c r="I12" i="2"/>
  <c r="I11" i="2"/>
  <c r="I10" i="2"/>
  <c r="I8" i="2"/>
  <c r="I7" i="2"/>
  <c r="I6" i="2"/>
  <c r="I5" i="2"/>
  <c r="I4" i="2"/>
  <c r="O152" i="1"/>
  <c r="O151" i="1"/>
  <c r="O150" i="1"/>
  <c r="O149" i="1"/>
  <c r="P149" i="1" s="1"/>
  <c r="O148" i="1"/>
  <c r="O147" i="1"/>
  <c r="O146" i="1"/>
  <c r="O145" i="1"/>
  <c r="P145" i="1" s="1"/>
  <c r="O144" i="1"/>
  <c r="O143" i="1"/>
  <c r="O142" i="1"/>
  <c r="O141" i="1"/>
  <c r="P141" i="1" s="1"/>
  <c r="O140" i="1"/>
  <c r="O139" i="1"/>
  <c r="O138" i="1"/>
  <c r="O137" i="1"/>
  <c r="P137" i="1" s="1"/>
  <c r="O136" i="1"/>
  <c r="O135" i="1"/>
  <c r="O134" i="1"/>
  <c r="O133" i="1"/>
  <c r="P133" i="1" s="1"/>
  <c r="O132" i="1"/>
  <c r="O131" i="1"/>
  <c r="O130" i="1"/>
  <c r="O129" i="1"/>
  <c r="P129" i="1" s="1"/>
  <c r="O128" i="1"/>
  <c r="O127" i="1"/>
  <c r="O126" i="1"/>
  <c r="O125" i="1"/>
  <c r="P125" i="1" s="1"/>
  <c r="O123" i="1"/>
  <c r="O122" i="1"/>
  <c r="O121" i="1"/>
  <c r="O120" i="1"/>
  <c r="O119" i="1"/>
  <c r="O118" i="1"/>
  <c r="O117" i="1"/>
  <c r="O116" i="1"/>
  <c r="O115" i="1"/>
  <c r="O114" i="1"/>
  <c r="O113" i="1"/>
  <c r="O112" i="1"/>
  <c r="O111" i="1"/>
  <c r="O110" i="1"/>
  <c r="O109" i="1"/>
  <c r="O108" i="1"/>
  <c r="O107" i="1"/>
  <c r="O106" i="1"/>
  <c r="O105" i="1"/>
  <c r="O104" i="1"/>
  <c r="O103" i="1"/>
  <c r="O102" i="1"/>
  <c r="O101" i="1"/>
  <c r="O99" i="1"/>
  <c r="P99" i="1" s="1"/>
  <c r="O98" i="1"/>
  <c r="O97" i="1"/>
  <c r="O96" i="1"/>
  <c r="O95" i="1"/>
  <c r="P95" i="1" s="1"/>
  <c r="O94" i="1"/>
  <c r="O93" i="1"/>
  <c r="O92" i="1"/>
  <c r="O91" i="1"/>
  <c r="P91" i="1" s="1"/>
  <c r="O90" i="1"/>
  <c r="O89" i="1"/>
  <c r="O88" i="1"/>
  <c r="O87" i="1"/>
  <c r="P87" i="1" s="1"/>
  <c r="O86" i="1"/>
  <c r="O85" i="1"/>
  <c r="O84" i="1"/>
  <c r="O83" i="1"/>
  <c r="P83" i="1" s="1"/>
  <c r="O82" i="1"/>
  <c r="O81" i="1"/>
  <c r="O80" i="1"/>
  <c r="O79" i="1"/>
  <c r="P79" i="1" s="1"/>
  <c r="O78" i="1"/>
  <c r="O77" i="1"/>
  <c r="O76" i="1"/>
  <c r="O75" i="1"/>
  <c r="P75" i="1" s="1"/>
  <c r="O74" i="1"/>
  <c r="O73" i="1"/>
  <c r="O72" i="1"/>
  <c r="O70" i="1"/>
  <c r="P70" i="1" s="1"/>
  <c r="O69" i="1"/>
  <c r="O68" i="1"/>
  <c r="O67" i="1"/>
  <c r="O66" i="1"/>
  <c r="P66" i="1" s="1"/>
  <c r="O65" i="1"/>
  <c r="O64" i="1"/>
  <c r="O63" i="1"/>
  <c r="O62" i="1"/>
  <c r="P62" i="1" s="1"/>
  <c r="O61" i="1"/>
  <c r="O60" i="1"/>
  <c r="O59" i="1"/>
  <c r="O58" i="1"/>
  <c r="P58" i="1" s="1"/>
  <c r="O57" i="1"/>
  <c r="O56" i="1"/>
  <c r="O55" i="1"/>
  <c r="O54" i="1"/>
  <c r="P54" i="1" s="1"/>
  <c r="O53" i="1"/>
  <c r="O52" i="1"/>
  <c r="O51" i="1"/>
  <c r="O50" i="1"/>
  <c r="P50" i="1" s="1"/>
  <c r="O49" i="1"/>
  <c r="O48" i="1"/>
  <c r="O46" i="1"/>
  <c r="O45" i="1"/>
  <c r="P45" i="1" s="1"/>
  <c r="O44" i="1"/>
  <c r="O42" i="1"/>
  <c r="O41" i="1"/>
  <c r="O40" i="1"/>
  <c r="O39" i="1"/>
  <c r="O38" i="1"/>
  <c r="O37" i="1"/>
  <c r="O36" i="1"/>
  <c r="O35" i="1"/>
  <c r="O34" i="1"/>
  <c r="O33" i="1"/>
  <c r="O32" i="1"/>
  <c r="O31" i="1"/>
  <c r="O30" i="1"/>
  <c r="O29" i="1"/>
  <c r="O28" i="1"/>
  <c r="O27" i="1"/>
  <c r="O26" i="1"/>
  <c r="O25" i="1"/>
  <c r="O24" i="1"/>
  <c r="O23" i="1"/>
  <c r="O22" i="1"/>
  <c r="O21" i="1"/>
  <c r="O20" i="1"/>
  <c r="P20" i="1" s="1"/>
  <c r="O19" i="1"/>
  <c r="O18" i="1"/>
  <c r="O17" i="1"/>
  <c r="O16" i="1"/>
  <c r="O15" i="1"/>
  <c r="O14" i="1"/>
  <c r="O13" i="1"/>
  <c r="O12" i="1"/>
  <c r="P12" i="1" s="1"/>
  <c r="O11" i="1"/>
  <c r="O10" i="1"/>
  <c r="O9" i="1"/>
  <c r="O8" i="1"/>
  <c r="P8" i="1" s="1"/>
  <c r="O7" i="1"/>
  <c r="O6" i="1"/>
  <c r="O5" i="1"/>
  <c r="O4" i="1"/>
  <c r="M152" i="1"/>
  <c r="M151" i="1"/>
  <c r="M150" i="1"/>
  <c r="M149" i="1"/>
  <c r="N149" i="1" s="1"/>
  <c r="M148" i="1"/>
  <c r="M147" i="1"/>
  <c r="M146" i="1"/>
  <c r="M145" i="1"/>
  <c r="N145" i="1" s="1"/>
  <c r="M144" i="1"/>
  <c r="M143" i="1"/>
  <c r="M142" i="1"/>
  <c r="N142" i="1" s="1"/>
  <c r="M141" i="1"/>
  <c r="M140" i="1"/>
  <c r="M139" i="1"/>
  <c r="M138" i="1"/>
  <c r="M137" i="1"/>
  <c r="N137" i="1" s="1"/>
  <c r="M136" i="1"/>
  <c r="M135" i="1"/>
  <c r="M134" i="1"/>
  <c r="N134" i="1" s="1"/>
  <c r="M133" i="1"/>
  <c r="N133" i="1" s="1"/>
  <c r="M132" i="1"/>
  <c r="M131" i="1"/>
  <c r="M130" i="1"/>
  <c r="M129" i="1"/>
  <c r="N129" i="1" s="1"/>
  <c r="M128" i="1"/>
  <c r="M127" i="1"/>
  <c r="M126" i="1"/>
  <c r="N126" i="1" s="1"/>
  <c r="M125" i="1"/>
  <c r="N125" i="1" s="1"/>
  <c r="M123" i="1"/>
  <c r="M122" i="1"/>
  <c r="M121" i="1"/>
  <c r="N121" i="1" s="1"/>
  <c r="M120" i="1"/>
  <c r="N120" i="1" s="1"/>
  <c r="M119" i="1"/>
  <c r="M118" i="1"/>
  <c r="M117" i="1"/>
  <c r="M116" i="1"/>
  <c r="M115" i="1"/>
  <c r="M114" i="1"/>
  <c r="M113" i="1"/>
  <c r="M112" i="1"/>
  <c r="N112" i="1" s="1"/>
  <c r="M111" i="1"/>
  <c r="M110" i="1"/>
  <c r="M109" i="1"/>
  <c r="N109" i="1" s="1"/>
  <c r="M108" i="1"/>
  <c r="N108" i="1" s="1"/>
  <c r="M107" i="1"/>
  <c r="M106" i="1"/>
  <c r="M105" i="1"/>
  <c r="N105" i="1" s="1"/>
  <c r="M104" i="1"/>
  <c r="M103" i="1"/>
  <c r="M102" i="1"/>
  <c r="M101" i="1"/>
  <c r="M99" i="1"/>
  <c r="N99" i="1" s="1"/>
  <c r="M98" i="1"/>
  <c r="M97" i="1"/>
  <c r="M96" i="1"/>
  <c r="N96" i="1" s="1"/>
  <c r="M95" i="1"/>
  <c r="N95" i="1" s="1"/>
  <c r="M94" i="1"/>
  <c r="M93" i="1"/>
  <c r="M92" i="1"/>
  <c r="N92" i="1" s="1"/>
  <c r="M91" i="1"/>
  <c r="N91" i="1" s="1"/>
  <c r="M90" i="1"/>
  <c r="M89" i="1"/>
  <c r="M88" i="1"/>
  <c r="M87" i="1"/>
  <c r="M86" i="1"/>
  <c r="M85" i="1"/>
  <c r="M84" i="1"/>
  <c r="M83" i="1"/>
  <c r="N83" i="1" s="1"/>
  <c r="M82" i="1"/>
  <c r="M81" i="1"/>
  <c r="M80" i="1"/>
  <c r="N80" i="1" s="1"/>
  <c r="M79" i="1"/>
  <c r="N79" i="1" s="1"/>
  <c r="M78" i="1"/>
  <c r="M77" i="1"/>
  <c r="M76" i="1"/>
  <c r="N76" i="1" s="1"/>
  <c r="M75" i="1"/>
  <c r="N75" i="1" s="1"/>
  <c r="M74" i="1"/>
  <c r="M73" i="1"/>
  <c r="M72" i="1"/>
  <c r="M70" i="1"/>
  <c r="N70" i="1" s="1"/>
  <c r="M69" i="1"/>
  <c r="M68" i="1"/>
  <c r="M67" i="1"/>
  <c r="M66" i="1"/>
  <c r="M65" i="1"/>
  <c r="M64" i="1"/>
  <c r="M63" i="1"/>
  <c r="N63" i="1" s="1"/>
  <c r="M62" i="1"/>
  <c r="N62" i="1" s="1"/>
  <c r="M61" i="1"/>
  <c r="M60" i="1"/>
  <c r="M59" i="1"/>
  <c r="M58" i="1"/>
  <c r="N58" i="1" s="1"/>
  <c r="M57" i="1"/>
  <c r="M56" i="1"/>
  <c r="M55" i="1"/>
  <c r="M54" i="1"/>
  <c r="N54" i="1" s="1"/>
  <c r="M53" i="1"/>
  <c r="M52" i="1"/>
  <c r="M51" i="1"/>
  <c r="N51" i="1" s="1"/>
  <c r="M50" i="1"/>
  <c r="N50" i="1" s="1"/>
  <c r="M49" i="1"/>
  <c r="M48" i="1"/>
  <c r="M46" i="1"/>
  <c r="M45" i="1"/>
  <c r="M44" i="1"/>
  <c r="M42" i="1"/>
  <c r="M41" i="1"/>
  <c r="N41" i="1" s="1"/>
  <c r="M40" i="1"/>
  <c r="M39" i="1"/>
  <c r="M38" i="1"/>
  <c r="M37" i="1"/>
  <c r="M36" i="1"/>
  <c r="N36" i="1" s="1"/>
  <c r="M35" i="1"/>
  <c r="M34" i="1"/>
  <c r="M33" i="1"/>
  <c r="M32" i="1"/>
  <c r="N32" i="1" s="1"/>
  <c r="M31" i="1"/>
  <c r="M30" i="1"/>
  <c r="M29" i="1"/>
  <c r="N29" i="1" s="1"/>
  <c r="M28" i="1"/>
  <c r="N28" i="1" s="1"/>
  <c r="M27" i="1"/>
  <c r="M26" i="1"/>
  <c r="M25" i="1"/>
  <c r="N25" i="1" s="1"/>
  <c r="M24" i="1"/>
  <c r="N24" i="1" s="1"/>
  <c r="M23" i="1"/>
  <c r="M22" i="1"/>
  <c r="M21" i="1"/>
  <c r="M20" i="1"/>
  <c r="M17" i="1"/>
  <c r="M16" i="1"/>
  <c r="M15" i="1"/>
  <c r="M14" i="1"/>
  <c r="N14" i="1" s="1"/>
  <c r="M13" i="1"/>
  <c r="M12" i="1"/>
  <c r="N12" i="1" s="1"/>
  <c r="M11" i="1"/>
  <c r="N11" i="1" s="1"/>
  <c r="M10" i="1"/>
  <c r="N10" i="1" s="1"/>
  <c r="M9" i="1"/>
  <c r="M8" i="1"/>
  <c r="M7" i="1"/>
  <c r="M6" i="1"/>
  <c r="N6" i="1" s="1"/>
  <c r="M5" i="1"/>
  <c r="M4" i="1"/>
  <c r="P16" i="1"/>
  <c r="N141" i="1"/>
  <c r="N116" i="1"/>
  <c r="N87" i="1"/>
  <c r="N66" i="1"/>
  <c r="N45" i="1"/>
  <c r="N20"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3" i="1"/>
  <c r="K122" i="1"/>
  <c r="K121" i="1"/>
  <c r="K120" i="1"/>
  <c r="K119" i="1"/>
  <c r="K118" i="1"/>
  <c r="K117" i="1"/>
  <c r="K116" i="1"/>
  <c r="K115" i="1"/>
  <c r="K114" i="1"/>
  <c r="K113" i="1"/>
  <c r="K112" i="1"/>
  <c r="K111" i="1"/>
  <c r="K110" i="1"/>
  <c r="K109" i="1"/>
  <c r="K108" i="1"/>
  <c r="K107" i="1"/>
  <c r="K106" i="1"/>
  <c r="K105" i="1"/>
  <c r="K104" i="1"/>
  <c r="K103" i="1"/>
  <c r="K101"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0" i="1"/>
  <c r="K69" i="1"/>
  <c r="K68" i="1"/>
  <c r="K67" i="1"/>
  <c r="K66" i="1"/>
  <c r="K65" i="1"/>
  <c r="K64" i="1"/>
  <c r="K63" i="1"/>
  <c r="K62" i="1"/>
  <c r="K61" i="1"/>
  <c r="K60" i="1"/>
  <c r="K59" i="1"/>
  <c r="K58" i="1"/>
  <c r="K57" i="1"/>
  <c r="K56" i="1"/>
  <c r="K55" i="1"/>
  <c r="K54" i="1"/>
  <c r="K53" i="1"/>
  <c r="K52" i="1"/>
  <c r="K51" i="1"/>
  <c r="K50" i="1"/>
  <c r="K48" i="1"/>
  <c r="K46" i="1"/>
  <c r="K45" i="1"/>
  <c r="K44"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4" i="3"/>
  <c r="D5" i="3"/>
  <c r="D6" i="3"/>
  <c r="D7" i="3"/>
  <c r="D8" i="3"/>
  <c r="D9" i="3"/>
  <c r="D10" i="3"/>
  <c r="D11" i="3"/>
  <c r="D12" i="3"/>
  <c r="D13" i="3"/>
  <c r="D14" i="3"/>
  <c r="D15" i="3"/>
  <c r="D16" i="3"/>
  <c r="D4" i="3"/>
  <c r="P9" i="2"/>
  <c r="P22" i="2"/>
  <c r="P37" i="2"/>
  <c r="P44" i="2"/>
  <c r="P49" i="2"/>
  <c r="T9" i="2"/>
  <c r="T10" i="2"/>
  <c r="T11" i="2"/>
  <c r="T12" i="2"/>
  <c r="T13" i="2"/>
  <c r="T14" i="2"/>
  <c r="T15" i="2"/>
  <c r="T16" i="2"/>
  <c r="T17" i="2"/>
  <c r="T18" i="2"/>
  <c r="T19" i="2"/>
  <c r="T20" i="2"/>
  <c r="T21" i="2"/>
  <c r="T22" i="2"/>
  <c r="T30" i="2"/>
  <c r="T31" i="2"/>
  <c r="T32" i="2"/>
  <c r="T33" i="2"/>
  <c r="T34" i="2"/>
  <c r="T36" i="2"/>
  <c r="T37" i="2"/>
  <c r="T38" i="2"/>
  <c r="T39" i="2"/>
  <c r="T40" i="2"/>
  <c r="T41" i="2"/>
  <c r="T42" i="2"/>
  <c r="T43" i="2"/>
  <c r="T44" i="2"/>
  <c r="T45" i="2"/>
  <c r="T46" i="2"/>
  <c r="T47" i="2"/>
  <c r="T48" i="2"/>
  <c r="T49" i="2"/>
  <c r="T50" i="2"/>
  <c r="T51" i="2"/>
  <c r="T52" i="2"/>
  <c r="T53" i="2"/>
  <c r="T54" i="2"/>
  <c r="T55" i="2"/>
  <c r="N5" i="2"/>
  <c r="N6" i="2"/>
  <c r="N7" i="2"/>
  <c r="N9" i="2"/>
  <c r="N10" i="2"/>
  <c r="N11" i="2"/>
  <c r="N12" i="2"/>
  <c r="N14" i="2"/>
  <c r="N15" i="2"/>
  <c r="N16" i="2"/>
  <c r="N18" i="2"/>
  <c r="N19" i="2"/>
  <c r="N20" i="2"/>
  <c r="N22" i="2"/>
  <c r="N23" i="2"/>
  <c r="N24" i="2"/>
  <c r="N25" i="2"/>
  <c r="N27" i="2"/>
  <c r="N28" i="2"/>
  <c r="N29" i="2"/>
  <c r="N31" i="2"/>
  <c r="N32" i="2"/>
  <c r="N33" i="2"/>
  <c r="N35" i="2"/>
  <c r="N36" i="2"/>
  <c r="N37" i="2"/>
  <c r="N39" i="2"/>
  <c r="N40" i="2"/>
  <c r="N41" i="2"/>
  <c r="N43" i="2"/>
  <c r="N44" i="2"/>
  <c r="N45" i="2"/>
  <c r="N46" i="2"/>
  <c r="N47" i="2"/>
  <c r="N48" i="2"/>
  <c r="N49" i="2"/>
  <c r="N50" i="2"/>
  <c r="N51" i="2"/>
  <c r="N53" i="2"/>
  <c r="N54" i="2"/>
  <c r="N55" i="2"/>
  <c r="L5" i="2"/>
  <c r="L6" i="2"/>
  <c r="L7" i="2"/>
  <c r="L9" i="2"/>
  <c r="L10" i="2"/>
  <c r="L11" i="2"/>
  <c r="L12" i="2"/>
  <c r="L14" i="2"/>
  <c r="L15" i="2"/>
  <c r="L16" i="2"/>
  <c r="L18" i="2"/>
  <c r="L19" i="2"/>
  <c r="L20" i="2"/>
  <c r="L22" i="2"/>
  <c r="L24" i="2"/>
  <c r="L25" i="2"/>
  <c r="L26" i="2"/>
  <c r="L28" i="2"/>
  <c r="L29" i="2"/>
  <c r="L30" i="2"/>
  <c r="L32" i="2"/>
  <c r="L33" i="2"/>
  <c r="L34" i="2"/>
  <c r="L36" i="2"/>
  <c r="L37" i="2"/>
  <c r="L38" i="2"/>
  <c r="L40" i="2"/>
  <c r="L41" i="2"/>
  <c r="L42" i="2"/>
  <c r="L44" i="2"/>
  <c r="L45" i="2"/>
  <c r="L46" i="2"/>
  <c r="L49" i="2"/>
  <c r="L50" i="2"/>
  <c r="L51" i="2"/>
  <c r="L53" i="2"/>
  <c r="L54" i="2"/>
  <c r="L55"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4" i="2"/>
  <c r="V43" i="1"/>
  <c r="V44" i="1"/>
  <c r="V45" i="1"/>
  <c r="V46" i="1"/>
  <c r="V47" i="1"/>
  <c r="V49" i="1"/>
  <c r="V53" i="1"/>
  <c r="V54" i="1"/>
  <c r="V55" i="1"/>
  <c r="V57" i="1"/>
  <c r="V58" i="1"/>
  <c r="V59" i="1"/>
  <c r="V60" i="1"/>
  <c r="V61" i="1"/>
  <c r="V62" i="1"/>
  <c r="V63" i="1"/>
  <c r="V64" i="1"/>
  <c r="V65" i="1"/>
  <c r="V66" i="1"/>
  <c r="V67" i="1"/>
  <c r="V68" i="1"/>
  <c r="V69" i="1"/>
  <c r="V70" i="1"/>
  <c r="V71" i="1"/>
  <c r="V75" i="1"/>
  <c r="V76" i="1"/>
  <c r="V78" i="1"/>
  <c r="V79" i="1"/>
  <c r="V80" i="1"/>
  <c r="V81" i="1"/>
  <c r="V82" i="1"/>
  <c r="V83" i="1"/>
  <c r="V85" i="1"/>
  <c r="V86" i="1"/>
  <c r="V87" i="1"/>
  <c r="V92" i="1"/>
  <c r="V93" i="1"/>
  <c r="V94" i="1"/>
  <c r="V95" i="1"/>
  <c r="V96" i="1"/>
  <c r="V97" i="1"/>
  <c r="V98" i="1"/>
  <c r="V99" i="1"/>
  <c r="V100" i="1"/>
  <c r="V102" i="1"/>
  <c r="V106" i="1"/>
  <c r="V107" i="1"/>
  <c r="V108" i="1"/>
  <c r="V110" i="1"/>
  <c r="V111" i="1"/>
  <c r="V112" i="1"/>
  <c r="V113" i="1"/>
  <c r="V114" i="1"/>
  <c r="V115" i="1"/>
  <c r="V116" i="1"/>
  <c r="V117" i="1"/>
  <c r="V118" i="1"/>
  <c r="V119" i="1"/>
  <c r="V120" i="1"/>
  <c r="V121" i="1"/>
  <c r="V122" i="1"/>
  <c r="V123" i="1"/>
  <c r="V124" i="1"/>
  <c r="V128" i="1"/>
  <c r="V129" i="1"/>
  <c r="V131" i="1"/>
  <c r="V132" i="1"/>
  <c r="V133" i="1"/>
  <c r="V134" i="1"/>
  <c r="V135" i="1"/>
  <c r="V136" i="1"/>
  <c r="V138" i="1"/>
  <c r="V139" i="1"/>
  <c r="V140" i="1"/>
  <c r="V145" i="1"/>
  <c r="V146" i="1"/>
  <c r="V147" i="1"/>
  <c r="V148" i="1"/>
  <c r="V149" i="1"/>
  <c r="V150" i="1"/>
  <c r="V151" i="1"/>
  <c r="V152" i="1"/>
  <c r="N8" i="1"/>
  <c r="N16" i="1"/>
  <c r="N40" i="1"/>
  <c r="N44" i="1"/>
  <c r="N48" i="1"/>
  <c r="N52" i="1"/>
  <c r="N56" i="1"/>
  <c r="N60" i="1"/>
  <c r="N64" i="1"/>
  <c r="N68" i="1"/>
  <c r="N72" i="1"/>
  <c r="N84" i="1"/>
  <c r="N88" i="1"/>
  <c r="N100" i="1"/>
  <c r="N104" i="1"/>
  <c r="N124" i="1"/>
  <c r="N128" i="1"/>
  <c r="N132" i="1"/>
  <c r="N136" i="1"/>
  <c r="N140" i="1"/>
  <c r="N144" i="1"/>
  <c r="N148" i="1"/>
  <c r="N152" i="1"/>
  <c r="L8" i="1"/>
  <c r="L12" i="1"/>
  <c r="L16" i="1"/>
  <c r="L20" i="1"/>
  <c r="L24" i="1"/>
  <c r="L27" i="1"/>
  <c r="L4" i="1"/>
  <c r="R43" i="1"/>
  <c r="R47" i="1"/>
  <c r="R71" i="1"/>
  <c r="R100" i="1"/>
  <c r="R124" i="1"/>
  <c r="P5" i="1"/>
  <c r="P6" i="1"/>
  <c r="P7" i="1"/>
  <c r="P9" i="1"/>
  <c r="P10" i="1"/>
  <c r="P11" i="1"/>
  <c r="P13" i="1"/>
  <c r="P14" i="1"/>
  <c r="P15" i="1"/>
  <c r="P17" i="1"/>
  <c r="P18" i="1"/>
  <c r="P19" i="1"/>
  <c r="P21" i="1"/>
  <c r="P22" i="1"/>
  <c r="P23" i="1"/>
  <c r="P24" i="1"/>
  <c r="P25" i="1"/>
  <c r="P26" i="1"/>
  <c r="P27" i="1"/>
  <c r="P28" i="1"/>
  <c r="P29" i="1"/>
  <c r="P30" i="1"/>
  <c r="P31" i="1"/>
  <c r="P32" i="1"/>
  <c r="P33" i="1"/>
  <c r="P34" i="1"/>
  <c r="P35" i="1"/>
  <c r="P36" i="1"/>
  <c r="P37" i="1"/>
  <c r="P38" i="1"/>
  <c r="P39" i="1"/>
  <c r="P40" i="1"/>
  <c r="P41" i="1"/>
  <c r="P42" i="1"/>
  <c r="P43" i="1"/>
  <c r="P44" i="1"/>
  <c r="P46" i="1"/>
  <c r="P47" i="1"/>
  <c r="P48" i="1"/>
  <c r="P49" i="1"/>
  <c r="P51" i="1"/>
  <c r="P52" i="1"/>
  <c r="P53" i="1"/>
  <c r="P55" i="1"/>
  <c r="P56" i="1"/>
  <c r="P57" i="1"/>
  <c r="P59" i="1"/>
  <c r="P60" i="1"/>
  <c r="P61" i="1"/>
  <c r="P63" i="1"/>
  <c r="P64" i="1"/>
  <c r="P65" i="1"/>
  <c r="P67" i="1"/>
  <c r="P68" i="1"/>
  <c r="P69" i="1"/>
  <c r="P71" i="1"/>
  <c r="P72" i="1"/>
  <c r="P73" i="1"/>
  <c r="P74" i="1"/>
  <c r="P76" i="1"/>
  <c r="P77" i="1"/>
  <c r="P78" i="1"/>
  <c r="P80" i="1"/>
  <c r="P81" i="1"/>
  <c r="P82" i="1"/>
  <c r="P84" i="1"/>
  <c r="P85" i="1"/>
  <c r="P86" i="1"/>
  <c r="P88" i="1"/>
  <c r="P89" i="1"/>
  <c r="P90" i="1"/>
  <c r="P92" i="1"/>
  <c r="P93" i="1"/>
  <c r="P94" i="1"/>
  <c r="P96" i="1"/>
  <c r="P97" i="1"/>
  <c r="P98"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6" i="1"/>
  <c r="P127" i="1"/>
  <c r="P128" i="1"/>
  <c r="P130" i="1"/>
  <c r="P131" i="1"/>
  <c r="P132" i="1"/>
  <c r="P134" i="1"/>
  <c r="P135" i="1"/>
  <c r="P136" i="1"/>
  <c r="P138" i="1"/>
  <c r="P139" i="1"/>
  <c r="P140" i="1"/>
  <c r="P142" i="1"/>
  <c r="P143" i="1"/>
  <c r="P144" i="1"/>
  <c r="P146" i="1"/>
  <c r="P147" i="1"/>
  <c r="P148" i="1"/>
  <c r="P150" i="1"/>
  <c r="P151" i="1"/>
  <c r="P152" i="1"/>
  <c r="N43" i="1"/>
  <c r="N46" i="1"/>
  <c r="N47" i="1"/>
  <c r="N49" i="1"/>
  <c r="N53" i="1"/>
  <c r="N55" i="1"/>
  <c r="N57" i="1"/>
  <c r="N59" i="1"/>
  <c r="N61" i="1"/>
  <c r="N65" i="1"/>
  <c r="N67" i="1"/>
  <c r="N69" i="1"/>
  <c r="N71" i="1"/>
  <c r="N73" i="1"/>
  <c r="N74" i="1"/>
  <c r="N77" i="1"/>
  <c r="N78" i="1"/>
  <c r="N81" i="1"/>
  <c r="N82" i="1"/>
  <c r="N85" i="1"/>
  <c r="N86" i="1"/>
  <c r="N89" i="1"/>
  <c r="N90" i="1"/>
  <c r="N93" i="1"/>
  <c r="N94" i="1"/>
  <c r="N97" i="1"/>
  <c r="N98" i="1"/>
  <c r="N101" i="1"/>
  <c r="N102" i="1"/>
  <c r="N103" i="1"/>
  <c r="N106" i="1"/>
  <c r="N107" i="1"/>
  <c r="N110" i="1"/>
  <c r="N111" i="1"/>
  <c r="N113" i="1"/>
  <c r="N114" i="1"/>
  <c r="N115" i="1"/>
  <c r="N117" i="1"/>
  <c r="N118" i="1"/>
  <c r="N119" i="1"/>
  <c r="N122" i="1"/>
  <c r="N123" i="1"/>
  <c r="N127" i="1"/>
  <c r="N130" i="1"/>
  <c r="N131" i="1"/>
  <c r="N135" i="1"/>
  <c r="N138" i="1"/>
  <c r="N139" i="1"/>
  <c r="N143" i="1"/>
  <c r="N146" i="1"/>
  <c r="N147" i="1"/>
  <c r="N150" i="1"/>
  <c r="N151" i="1"/>
  <c r="N5" i="1"/>
  <c r="N7" i="1"/>
  <c r="N9" i="1"/>
  <c r="N13" i="1"/>
  <c r="N15" i="1"/>
  <c r="N17" i="1"/>
  <c r="N18" i="1"/>
  <c r="N19" i="1"/>
  <c r="N21" i="1"/>
  <c r="N22" i="1"/>
  <c r="N23" i="1"/>
  <c r="N26" i="1"/>
  <c r="N27" i="1"/>
  <c r="N30" i="1"/>
  <c r="N31" i="1"/>
  <c r="N33" i="1"/>
  <c r="N34" i="1"/>
  <c r="N35" i="1"/>
  <c r="N37" i="1"/>
  <c r="N38" i="1"/>
  <c r="N39" i="1"/>
  <c r="N42" i="1"/>
  <c r="P4" i="1"/>
  <c r="N4" i="1"/>
  <c r="L5" i="1"/>
  <c r="L6" i="1"/>
  <c r="L7" i="1"/>
  <c r="L9" i="1"/>
  <c r="L10" i="1"/>
  <c r="L11" i="1"/>
  <c r="L13" i="1"/>
  <c r="L14" i="1"/>
  <c r="L15" i="1"/>
  <c r="L17" i="1"/>
  <c r="L18" i="1"/>
  <c r="L19" i="1"/>
  <c r="L21" i="1"/>
  <c r="L22" i="1"/>
  <c r="L23" i="1"/>
  <c r="L25" i="1"/>
  <c r="L26"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4" i="1"/>
  <c r="J15" i="1" l="1"/>
  <c r="G15" i="1"/>
  <c r="H15" i="1" s="1"/>
  <c r="I13" i="8"/>
  <c r="I12" i="8"/>
  <c r="I11" i="8"/>
  <c r="I10" i="8"/>
  <c r="I9" i="8"/>
  <c r="I8" i="8"/>
  <c r="I7" i="8"/>
  <c r="I6" i="8"/>
  <c r="I5" i="8"/>
  <c r="I4" i="8"/>
  <c r="I3" i="8"/>
  <c r="Q9" i="5"/>
  <c r="Q8" i="5"/>
  <c r="Q7" i="5"/>
  <c r="Q6" i="5"/>
  <c r="S55" i="3"/>
  <c r="S54" i="3"/>
  <c r="S53" i="3"/>
  <c r="S52" i="3"/>
  <c r="S51" i="3"/>
  <c r="S50" i="3"/>
  <c r="S49" i="3"/>
  <c r="S48" i="3"/>
  <c r="S47" i="3"/>
  <c r="S46" i="3"/>
  <c r="S45" i="3"/>
  <c r="S44" i="3"/>
  <c r="S43" i="3"/>
  <c r="S42" i="3"/>
  <c r="S41" i="3"/>
  <c r="S40" i="3"/>
  <c r="S39" i="3"/>
  <c r="S38" i="3"/>
  <c r="S37" i="3"/>
  <c r="S36" i="3"/>
  <c r="S35" i="3"/>
  <c r="S34" i="3"/>
  <c r="S33" i="3"/>
  <c r="S32" i="3"/>
  <c r="S31" i="3"/>
  <c r="S30" i="3"/>
  <c r="S29" i="3"/>
  <c r="S28" i="3"/>
  <c r="S27" i="3"/>
  <c r="S26" i="3"/>
  <c r="S25" i="3"/>
  <c r="S24" i="3"/>
  <c r="S23" i="3"/>
  <c r="S22" i="3"/>
  <c r="S21" i="3"/>
  <c r="S20" i="3"/>
  <c r="S19" i="3"/>
  <c r="S18" i="3"/>
  <c r="S17" i="3"/>
  <c r="R51" i="2"/>
  <c r="R49" i="2"/>
  <c r="R44" i="2"/>
  <c r="R39" i="2"/>
  <c r="R36" i="2"/>
  <c r="R32" i="2"/>
  <c r="R22" i="2"/>
  <c r="R9" i="2"/>
  <c r="O42" i="2"/>
  <c r="P42" i="2" s="1"/>
  <c r="R43" i="2"/>
  <c r="R42" i="2"/>
  <c r="R41" i="2"/>
  <c r="R40" i="2"/>
  <c r="R38" i="2"/>
  <c r="R37" i="2"/>
  <c r="R34" i="2"/>
  <c r="R33" i="2"/>
  <c r="R31" i="2"/>
  <c r="R30" i="2"/>
  <c r="G37" i="2"/>
  <c r="H37" i="2"/>
  <c r="G36" i="2"/>
  <c r="H36" i="2" s="1"/>
  <c r="H35" i="2"/>
  <c r="F35" i="2"/>
  <c r="J6" i="6"/>
  <c r="J5" i="6"/>
  <c r="J4" i="6"/>
  <c r="J3" i="6"/>
  <c r="H6" i="6"/>
  <c r="H5" i="6"/>
  <c r="H4" i="6"/>
  <c r="H3" i="6"/>
  <c r="T124" i="1"/>
  <c r="T100" i="1"/>
  <c r="T71" i="1"/>
  <c r="T47" i="1"/>
  <c r="T43" i="1"/>
  <c r="J152" i="1"/>
  <c r="J151" i="1"/>
  <c r="J150" i="1"/>
  <c r="J149" i="1"/>
  <c r="J148" i="1"/>
  <c r="J147" i="1"/>
  <c r="J144" i="1"/>
  <c r="J143" i="1"/>
  <c r="J142" i="1"/>
  <c r="J141" i="1"/>
  <c r="J137" i="1"/>
  <c r="J136" i="1"/>
  <c r="J135" i="1"/>
  <c r="J134" i="1"/>
  <c r="J133" i="1"/>
  <c r="J132" i="1"/>
  <c r="J131" i="1"/>
  <c r="G150" i="1"/>
  <c r="G149" i="1"/>
  <c r="G148" i="1"/>
  <c r="G147" i="1"/>
  <c r="G134" i="1"/>
  <c r="G133" i="1"/>
  <c r="G132" i="1"/>
  <c r="G131" i="1"/>
  <c r="J123" i="1"/>
  <c r="J122" i="1"/>
  <c r="J121" i="1"/>
  <c r="J120" i="1"/>
  <c r="J119" i="1"/>
  <c r="J118" i="1"/>
  <c r="G121" i="1"/>
  <c r="G120" i="1"/>
  <c r="G119" i="1"/>
  <c r="G118" i="1"/>
  <c r="H118" i="1" s="1"/>
  <c r="H121" i="1"/>
  <c r="H120" i="1"/>
  <c r="H119" i="1"/>
  <c r="J102" i="1"/>
  <c r="H102" i="1"/>
  <c r="J64" i="1"/>
  <c r="G64" i="1"/>
  <c r="H64" i="1" s="1"/>
  <c r="J63" i="1"/>
  <c r="G63" i="1"/>
  <c r="H63" i="1" s="1"/>
  <c r="J62" i="1"/>
  <c r="G62" i="1"/>
  <c r="H62" i="1"/>
  <c r="J61" i="1"/>
  <c r="G61" i="1"/>
  <c r="H61" i="1" s="1"/>
  <c r="J117" i="1"/>
  <c r="G117" i="1"/>
  <c r="H117" i="1" s="1"/>
  <c r="J116" i="1"/>
  <c r="G116" i="1"/>
  <c r="H116" i="1" s="1"/>
  <c r="J115" i="1"/>
  <c r="G115" i="1"/>
  <c r="H115" i="1" s="1"/>
  <c r="J114" i="1"/>
  <c r="G114" i="1"/>
  <c r="H114" i="1" s="1"/>
  <c r="J99" i="1"/>
  <c r="G99" i="1"/>
  <c r="H99" i="1" s="1"/>
  <c r="J98" i="1"/>
  <c r="G98" i="1"/>
  <c r="H98" i="1" s="1"/>
  <c r="J97" i="1"/>
  <c r="G97" i="1"/>
  <c r="H97" i="1"/>
  <c r="J96" i="1"/>
  <c r="G96" i="1"/>
  <c r="H96" i="1"/>
  <c r="J95" i="1"/>
  <c r="G95" i="1"/>
  <c r="H95" i="1"/>
  <c r="J94" i="1"/>
  <c r="G94" i="1"/>
  <c r="H94" i="1"/>
  <c r="J83" i="1"/>
  <c r="G83" i="1"/>
  <c r="H83" i="1" s="1"/>
  <c r="J82" i="1"/>
  <c r="G82" i="1"/>
  <c r="H82" i="1" s="1"/>
  <c r="J81" i="1"/>
  <c r="G81" i="1"/>
  <c r="H81" i="1" s="1"/>
  <c r="J80" i="1"/>
  <c r="G80" i="1"/>
  <c r="H80" i="1" s="1"/>
  <c r="J79" i="1"/>
  <c r="G79" i="1"/>
  <c r="H79" i="1" s="1"/>
  <c r="J78" i="1"/>
  <c r="G78" i="1"/>
  <c r="H78" i="1" s="1"/>
  <c r="J70" i="1"/>
  <c r="G70" i="1"/>
  <c r="H70" i="1" s="1"/>
  <c r="J69" i="1"/>
  <c r="G69" i="1"/>
  <c r="H69" i="1" s="1"/>
  <c r="J39" i="1"/>
  <c r="G39" i="1"/>
  <c r="H39" i="1" s="1"/>
  <c r="G38" i="1"/>
  <c r="H38" i="1"/>
  <c r="J38" i="1"/>
  <c r="J67" i="1"/>
  <c r="G67" i="1"/>
  <c r="H67" i="1" s="1"/>
  <c r="J66" i="1"/>
  <c r="G66" i="1"/>
  <c r="H66" i="1" s="1"/>
  <c r="H49" i="1"/>
  <c r="Q49" i="1"/>
  <c r="R49" i="1" s="1"/>
  <c r="T49" i="1"/>
  <c r="J27" i="1"/>
  <c r="G27" i="1"/>
  <c r="H27" i="1"/>
  <c r="J13" i="1"/>
  <c r="G13" i="1"/>
  <c r="H13" i="1" s="1"/>
  <c r="J9" i="1"/>
  <c r="G9" i="1"/>
  <c r="H9" i="1" s="1"/>
  <c r="E5" i="5"/>
  <c r="H5" i="5" s="1"/>
  <c r="H8" i="2"/>
  <c r="F8" i="2"/>
  <c r="J49" i="1"/>
  <c r="D12" i="8"/>
  <c r="D11" i="8"/>
  <c r="D9" i="8"/>
  <c r="D8" i="8"/>
  <c r="D7" i="8"/>
  <c r="D5" i="8"/>
  <c r="D3" i="8"/>
  <c r="J28" i="1"/>
  <c r="G28" i="1"/>
  <c r="H28" i="1" s="1"/>
  <c r="J25" i="1"/>
  <c r="G25" i="1"/>
  <c r="H25" i="1" s="1"/>
  <c r="J16" i="1"/>
  <c r="G16" i="1"/>
  <c r="H16" i="1"/>
  <c r="J8" i="1"/>
  <c r="G8" i="1"/>
  <c r="H8" i="1"/>
  <c r="J11" i="1"/>
  <c r="G11" i="1"/>
  <c r="H11" i="1"/>
  <c r="J21" i="1"/>
  <c r="G21" i="1"/>
  <c r="H21" i="1" s="1"/>
  <c r="J20" i="1"/>
  <c r="G20" i="1"/>
  <c r="H20" i="1"/>
  <c r="J19" i="1"/>
  <c r="G19" i="1"/>
  <c r="H19" i="1" s="1"/>
  <c r="J17" i="1"/>
  <c r="G17" i="1"/>
  <c r="H17" i="1" s="1"/>
  <c r="J18" i="1"/>
  <c r="G18" i="1"/>
  <c r="H18" i="1"/>
  <c r="G5" i="5"/>
  <c r="G4" i="5"/>
  <c r="E4" i="5"/>
  <c r="M4" i="5" s="1"/>
  <c r="G3" i="5"/>
  <c r="E3" i="5"/>
  <c r="J3" i="5"/>
  <c r="K3" i="5" s="1"/>
  <c r="F6" i="6"/>
  <c r="O6" i="6" s="1"/>
  <c r="F5" i="6"/>
  <c r="O5" i="6"/>
  <c r="F4" i="6"/>
  <c r="O4" i="6" s="1"/>
  <c r="F3" i="6"/>
  <c r="E6" i="6"/>
  <c r="E5" i="6"/>
  <c r="E4" i="6"/>
  <c r="E3" i="6"/>
  <c r="R55" i="2"/>
  <c r="O54" i="2"/>
  <c r="P54" i="2" s="1"/>
  <c r="R53" i="2"/>
  <c r="O52" i="2"/>
  <c r="P52" i="2" s="1"/>
  <c r="O50" i="2"/>
  <c r="P50" i="2" s="1"/>
  <c r="R48" i="2"/>
  <c r="O48" i="2"/>
  <c r="P48" i="2" s="1"/>
  <c r="R46" i="2"/>
  <c r="R45" i="2"/>
  <c r="O43" i="2"/>
  <c r="P43" i="2" s="1"/>
  <c r="O38" i="2"/>
  <c r="P38" i="2" s="1"/>
  <c r="O33" i="2"/>
  <c r="P33" i="2" s="1"/>
  <c r="O31" i="2"/>
  <c r="P31" i="2" s="1"/>
  <c r="O30" i="2"/>
  <c r="P30" i="2" s="1"/>
  <c r="F29" i="2"/>
  <c r="F26" i="2"/>
  <c r="F28" i="2"/>
  <c r="H28" i="2"/>
  <c r="F27" i="2"/>
  <c r="F25" i="2"/>
  <c r="F24" i="2"/>
  <c r="F23" i="2"/>
  <c r="H7" i="2"/>
  <c r="F7" i="2"/>
  <c r="F3" i="7"/>
  <c r="G3" i="7"/>
  <c r="F4" i="7"/>
  <c r="G4" i="7"/>
  <c r="F5" i="7"/>
  <c r="G5" i="7"/>
  <c r="G4" i="3"/>
  <c r="I4" i="3"/>
  <c r="G5" i="3"/>
  <c r="I5" i="3"/>
  <c r="G6" i="3"/>
  <c r="I6" i="3"/>
  <c r="G7" i="3"/>
  <c r="I7" i="3"/>
  <c r="G8" i="3"/>
  <c r="I8" i="3"/>
  <c r="G9" i="3"/>
  <c r="S9" i="3" s="1"/>
  <c r="I9" i="3"/>
  <c r="P9" i="3"/>
  <c r="G10" i="3"/>
  <c r="I10" i="3"/>
  <c r="P10" i="3"/>
  <c r="G11" i="3"/>
  <c r="S11" i="3" s="1"/>
  <c r="I11" i="3"/>
  <c r="G12" i="3"/>
  <c r="I12" i="3"/>
  <c r="G13" i="3"/>
  <c r="I13" i="3"/>
  <c r="G14" i="3"/>
  <c r="I14" i="3"/>
  <c r="G15" i="3"/>
  <c r="I15" i="3"/>
  <c r="G16" i="3"/>
  <c r="I16" i="3"/>
  <c r="G17" i="3"/>
  <c r="K17" i="3" s="1"/>
  <c r="I17" i="3"/>
  <c r="G18" i="3"/>
  <c r="K18" i="3"/>
  <c r="I18" i="3"/>
  <c r="G19" i="3"/>
  <c r="K19" i="3" s="1"/>
  <c r="I19" i="3"/>
  <c r="G20" i="3"/>
  <c r="K20" i="3" s="1"/>
  <c r="I20" i="3"/>
  <c r="G21" i="3"/>
  <c r="K21" i="3" s="1"/>
  <c r="I21" i="3"/>
  <c r="G22" i="3"/>
  <c r="K22" i="3"/>
  <c r="I22" i="3"/>
  <c r="G23" i="3"/>
  <c r="K23" i="3" s="1"/>
  <c r="I23" i="3"/>
  <c r="G24" i="3"/>
  <c r="K24" i="3" s="1"/>
  <c r="I24" i="3"/>
  <c r="G25" i="3"/>
  <c r="K25" i="3" s="1"/>
  <c r="I25" i="3"/>
  <c r="G26" i="3"/>
  <c r="K26" i="3"/>
  <c r="I26" i="3"/>
  <c r="G27" i="3"/>
  <c r="K27" i="3" s="1"/>
  <c r="I27" i="3"/>
  <c r="G28" i="3"/>
  <c r="K28" i="3" s="1"/>
  <c r="I28" i="3"/>
  <c r="G29" i="3"/>
  <c r="K29" i="3" s="1"/>
  <c r="I29" i="3"/>
  <c r="G30" i="3"/>
  <c r="K30" i="3"/>
  <c r="I30" i="3"/>
  <c r="G31" i="3"/>
  <c r="K31" i="3" s="1"/>
  <c r="I31" i="3"/>
  <c r="G32" i="3"/>
  <c r="K32" i="3" s="1"/>
  <c r="I32" i="3"/>
  <c r="G33" i="3"/>
  <c r="K33" i="3" s="1"/>
  <c r="I33" i="3"/>
  <c r="G34" i="3"/>
  <c r="K34" i="3"/>
  <c r="I34" i="3"/>
  <c r="G35" i="3"/>
  <c r="K35" i="3" s="1"/>
  <c r="I35" i="3"/>
  <c r="F4" i="2"/>
  <c r="H4" i="2"/>
  <c r="F5" i="2"/>
  <c r="H5" i="2"/>
  <c r="F6" i="2"/>
  <c r="H6" i="2"/>
  <c r="G30" i="2"/>
  <c r="H30" i="2" s="1"/>
  <c r="G31" i="2"/>
  <c r="H31" i="2"/>
  <c r="G32" i="2"/>
  <c r="H32" i="2" s="1"/>
  <c r="G33" i="2"/>
  <c r="H33" i="2"/>
  <c r="G34" i="2"/>
  <c r="H34" i="2" s="1"/>
  <c r="G38" i="2"/>
  <c r="H38" i="2"/>
  <c r="G39" i="2"/>
  <c r="H39" i="2" s="1"/>
  <c r="G40" i="2"/>
  <c r="H40" i="2"/>
  <c r="G41" i="2"/>
  <c r="H41" i="2" s="1"/>
  <c r="G42" i="2"/>
  <c r="H42" i="2"/>
  <c r="G43" i="2"/>
  <c r="H43" i="2" s="1"/>
  <c r="G45" i="2"/>
  <c r="H45" i="2"/>
  <c r="G46" i="2"/>
  <c r="H46" i="2" s="1"/>
  <c r="G47" i="2"/>
  <c r="H47" i="2"/>
  <c r="G48" i="2"/>
  <c r="H48" i="2" s="1"/>
  <c r="G50" i="2"/>
  <c r="H50" i="2"/>
  <c r="G51" i="2"/>
  <c r="H51" i="2" s="1"/>
  <c r="G52" i="2"/>
  <c r="H52" i="2"/>
  <c r="G53" i="2"/>
  <c r="H53" i="2" s="1"/>
  <c r="G54" i="2"/>
  <c r="H54" i="2"/>
  <c r="G55" i="2"/>
  <c r="H55" i="2" s="1"/>
  <c r="G4" i="1"/>
  <c r="H4" i="1"/>
  <c r="J4" i="1"/>
  <c r="G5" i="1"/>
  <c r="H5" i="1"/>
  <c r="J5" i="1"/>
  <c r="G6" i="1"/>
  <c r="H6" i="1"/>
  <c r="J6" i="1"/>
  <c r="G7" i="1"/>
  <c r="H7" i="1"/>
  <c r="J7" i="1"/>
  <c r="G10" i="1"/>
  <c r="H10" i="1" s="1"/>
  <c r="J10" i="1"/>
  <c r="G12" i="1"/>
  <c r="H12" i="1" s="1"/>
  <c r="J12" i="1"/>
  <c r="G14" i="1"/>
  <c r="H14" i="1"/>
  <c r="J14" i="1"/>
  <c r="G22" i="1"/>
  <c r="H22" i="1"/>
  <c r="J22" i="1"/>
  <c r="G23" i="1"/>
  <c r="H23" i="1"/>
  <c r="J23" i="1"/>
  <c r="G24" i="1"/>
  <c r="H24" i="1"/>
  <c r="J24" i="1"/>
  <c r="G26" i="1"/>
  <c r="H26" i="1" s="1"/>
  <c r="J26" i="1"/>
  <c r="G29" i="1"/>
  <c r="H29" i="1"/>
  <c r="J29" i="1"/>
  <c r="G30" i="1"/>
  <c r="H30" i="1"/>
  <c r="J30" i="1"/>
  <c r="G31" i="1"/>
  <c r="H31" i="1"/>
  <c r="J31" i="1"/>
  <c r="G32" i="1"/>
  <c r="H32" i="1" s="1"/>
  <c r="J32" i="1"/>
  <c r="G33" i="1"/>
  <c r="H33" i="1"/>
  <c r="J33" i="1"/>
  <c r="G34" i="1"/>
  <c r="H34" i="1" s="1"/>
  <c r="J34" i="1"/>
  <c r="G35" i="1"/>
  <c r="H35" i="1"/>
  <c r="J35" i="1"/>
  <c r="G36" i="1"/>
  <c r="H36" i="1" s="1"/>
  <c r="J36" i="1"/>
  <c r="G37" i="1"/>
  <c r="H37" i="1" s="1"/>
  <c r="J37" i="1"/>
  <c r="G40" i="1"/>
  <c r="H40" i="1"/>
  <c r="J40" i="1"/>
  <c r="G41" i="1"/>
  <c r="H41" i="1" s="1"/>
  <c r="J41" i="1"/>
  <c r="G42" i="1"/>
  <c r="H42" i="1" s="1"/>
  <c r="J42" i="1"/>
  <c r="G44" i="1"/>
  <c r="H44" i="1" s="1"/>
  <c r="J44" i="1"/>
  <c r="G45" i="1"/>
  <c r="H45" i="1" s="1"/>
  <c r="J45" i="1"/>
  <c r="G46" i="1"/>
  <c r="H46" i="1" s="1"/>
  <c r="J46" i="1"/>
  <c r="G48" i="1"/>
  <c r="H48" i="1" s="1"/>
  <c r="J48" i="1"/>
  <c r="G50" i="1"/>
  <c r="H50" i="1"/>
  <c r="G51" i="1"/>
  <c r="G52" i="1"/>
  <c r="H52" i="1" s="1"/>
  <c r="G53" i="1"/>
  <c r="G54" i="1"/>
  <c r="G55" i="1"/>
  <c r="G56" i="1"/>
  <c r="H56" i="1" s="1"/>
  <c r="G57" i="1"/>
  <c r="G58" i="1"/>
  <c r="G59" i="1"/>
  <c r="G60" i="1"/>
  <c r="G65" i="1"/>
  <c r="H65" i="1"/>
  <c r="J65" i="1"/>
  <c r="G68" i="1"/>
  <c r="H68" i="1"/>
  <c r="J68" i="1"/>
  <c r="G72" i="1"/>
  <c r="H72" i="1" s="1"/>
  <c r="G73" i="1"/>
  <c r="G74" i="1"/>
  <c r="G75" i="1"/>
  <c r="H75" i="1" s="1"/>
  <c r="J75" i="1"/>
  <c r="G76" i="1"/>
  <c r="H76" i="1" s="1"/>
  <c r="J76" i="1"/>
  <c r="G77" i="1"/>
  <c r="H77" i="1" s="1"/>
  <c r="J77" i="1"/>
  <c r="G84" i="1"/>
  <c r="H84" i="1" s="1"/>
  <c r="J84" i="1"/>
  <c r="G85" i="1"/>
  <c r="H85" i="1" s="1"/>
  <c r="J85" i="1"/>
  <c r="G86" i="1"/>
  <c r="G87" i="1"/>
  <c r="H87" i="1" s="1"/>
  <c r="G88" i="1"/>
  <c r="H88" i="1" s="1"/>
  <c r="J88" i="1"/>
  <c r="G89" i="1"/>
  <c r="H89" i="1" s="1"/>
  <c r="J89" i="1"/>
  <c r="G90" i="1"/>
  <c r="H90" i="1" s="1"/>
  <c r="J90" i="1"/>
  <c r="G91" i="1"/>
  <c r="H91" i="1" s="1"/>
  <c r="J91" i="1"/>
  <c r="G92" i="1"/>
  <c r="G93" i="1"/>
  <c r="H93" i="1" s="1"/>
  <c r="J93" i="1"/>
  <c r="G101" i="1"/>
  <c r="H101" i="1"/>
  <c r="J101" i="1"/>
  <c r="G103" i="1"/>
  <c r="G104" i="1"/>
  <c r="G105" i="1"/>
  <c r="G106" i="1"/>
  <c r="H106" i="1" s="1"/>
  <c r="J106" i="1"/>
  <c r="G107" i="1"/>
  <c r="H107" i="1" s="1"/>
  <c r="J107" i="1"/>
  <c r="G108" i="1"/>
  <c r="H108" i="1" s="1"/>
  <c r="J108" i="1"/>
  <c r="G109" i="1"/>
  <c r="H109" i="1" s="1"/>
  <c r="G110" i="1"/>
  <c r="G111" i="1"/>
  <c r="G112" i="1"/>
  <c r="G113" i="1"/>
  <c r="G122" i="1"/>
  <c r="H122" i="1" s="1"/>
  <c r="G123" i="1"/>
  <c r="H123" i="1" s="1"/>
  <c r="G125" i="1"/>
  <c r="G126" i="1"/>
  <c r="G127" i="1"/>
  <c r="G128" i="1"/>
  <c r="G129" i="1"/>
  <c r="G130" i="1"/>
  <c r="G135" i="1"/>
  <c r="G136" i="1"/>
  <c r="G137" i="1"/>
  <c r="G138" i="1"/>
  <c r="G139" i="1"/>
  <c r="G140" i="1"/>
  <c r="G141" i="1"/>
  <c r="G142" i="1"/>
  <c r="G143" i="1"/>
  <c r="G144" i="1"/>
  <c r="G145" i="1"/>
  <c r="G146" i="1"/>
  <c r="G151" i="1"/>
  <c r="G152" i="1"/>
  <c r="O53" i="2"/>
  <c r="P53" i="2" s="1"/>
  <c r="O55" i="2"/>
  <c r="P55" i="2" s="1"/>
  <c r="L5" i="6"/>
  <c r="L4" i="6"/>
  <c r="H24" i="2"/>
  <c r="H29" i="2"/>
  <c r="H26" i="2"/>
  <c r="H23" i="2"/>
  <c r="H25" i="2"/>
  <c r="H27" i="2"/>
  <c r="H4" i="5"/>
  <c r="Q4" i="5"/>
  <c r="N4" i="5"/>
  <c r="O4" i="5" s="1"/>
  <c r="I4" i="5"/>
  <c r="J4" i="5"/>
  <c r="K4" i="5"/>
  <c r="J5" i="5"/>
  <c r="K5" i="5"/>
  <c r="J109" i="1"/>
  <c r="P6" i="3"/>
  <c r="O34" i="2"/>
  <c r="P34" i="2" s="1"/>
  <c r="P5" i="3"/>
  <c r="O46" i="2"/>
  <c r="P46" i="2" s="1"/>
  <c r="O39" i="2"/>
  <c r="P39" i="2" s="1"/>
  <c r="O51" i="2"/>
  <c r="P51" i="2" s="1"/>
  <c r="O45" i="2"/>
  <c r="P45" i="2" s="1"/>
  <c r="J50" i="1"/>
  <c r="L5" i="5"/>
  <c r="M5" i="5"/>
  <c r="J56" i="1"/>
  <c r="T88" i="1"/>
  <c r="J92" i="1"/>
  <c r="H92" i="1"/>
  <c r="J87" i="1"/>
  <c r="Q8" i="1"/>
  <c r="J86" i="1"/>
  <c r="H86" i="1"/>
  <c r="T11" i="1"/>
  <c r="T33" i="1"/>
  <c r="Q85" i="1"/>
  <c r="R85" i="1" s="1"/>
  <c r="Q12" i="1"/>
  <c r="Q88" i="1"/>
  <c r="Q68" i="1"/>
  <c r="R68" i="1" s="1"/>
  <c r="Q25" i="1"/>
  <c r="R25" i="1" s="1"/>
  <c r="Q18" i="1"/>
  <c r="Q26" i="1"/>
  <c r="Q27" i="1"/>
  <c r="R27" i="1" s="1"/>
  <c r="Q33" i="1"/>
  <c r="Q40" i="1"/>
  <c r="Q28" i="1"/>
  <c r="Q31" i="1"/>
  <c r="Q20" i="1"/>
  <c r="Q35" i="1"/>
  <c r="Q22" i="1"/>
  <c r="J51" i="1"/>
  <c r="H51" i="1"/>
  <c r="Q92" i="1"/>
  <c r="R92" i="1" s="1"/>
  <c r="J52" i="1"/>
  <c r="J53" i="1"/>
  <c r="H53" i="1"/>
  <c r="J54" i="1"/>
  <c r="H54" i="1"/>
  <c r="J55" i="1"/>
  <c r="H55" i="1"/>
  <c r="J57" i="1"/>
  <c r="H57" i="1"/>
  <c r="J58" i="1"/>
  <c r="H58" i="1"/>
  <c r="J59" i="1"/>
  <c r="H59" i="1"/>
  <c r="J60" i="1"/>
  <c r="H60" i="1"/>
  <c r="J72" i="1"/>
  <c r="J73" i="1"/>
  <c r="H73" i="1"/>
  <c r="J74" i="1"/>
  <c r="H74" i="1"/>
  <c r="J103" i="1"/>
  <c r="H103" i="1"/>
  <c r="J104" i="1"/>
  <c r="H104" i="1"/>
  <c r="J105" i="1"/>
  <c r="H105" i="1"/>
  <c r="J110" i="1"/>
  <c r="H110" i="1"/>
  <c r="J111" i="1"/>
  <c r="H111" i="1"/>
  <c r="H112" i="1"/>
  <c r="J112" i="1"/>
  <c r="J113" i="1"/>
  <c r="H113" i="1"/>
  <c r="H151" i="1"/>
  <c r="H135" i="1"/>
  <c r="T152" i="1"/>
  <c r="H152" i="1"/>
  <c r="H148" i="1"/>
  <c r="H142" i="1"/>
  <c r="Q142" i="1"/>
  <c r="H141" i="1"/>
  <c r="H136" i="1"/>
  <c r="H132" i="1"/>
  <c r="H149" i="1"/>
  <c r="H134" i="1"/>
  <c r="H137" i="1"/>
  <c r="H147" i="1"/>
  <c r="H143" i="1"/>
  <c r="Q143" i="1"/>
  <c r="H150" i="1"/>
  <c r="H133" i="1"/>
  <c r="H131" i="1"/>
  <c r="H144" i="1"/>
  <c r="Q148" i="1"/>
  <c r="R148" i="1" s="1"/>
  <c r="T137" i="1"/>
  <c r="T151" i="1"/>
  <c r="Q141" i="1"/>
  <c r="Q150" i="1"/>
  <c r="R150" i="1" s="1"/>
  <c r="H125" i="1"/>
  <c r="J125" i="1"/>
  <c r="J126" i="1"/>
  <c r="H126" i="1"/>
  <c r="J127" i="1"/>
  <c r="H127" i="1"/>
  <c r="J128" i="1"/>
  <c r="H128" i="1"/>
  <c r="J129" i="1"/>
  <c r="H129" i="1"/>
  <c r="J130" i="1"/>
  <c r="H130" i="1"/>
  <c r="J138" i="1"/>
  <c r="H138" i="1"/>
  <c r="J139" i="1"/>
  <c r="H139" i="1"/>
  <c r="H140" i="1"/>
  <c r="J140" i="1"/>
  <c r="J145" i="1"/>
  <c r="H145" i="1"/>
  <c r="J146" i="1"/>
  <c r="H146" i="1"/>
  <c r="Q146" i="1"/>
  <c r="R146" i="1" s="1"/>
  <c r="O8" i="2"/>
  <c r="P8" i="2" s="1"/>
  <c r="T8" i="2" s="1"/>
  <c r="R8" i="2"/>
  <c r="O6" i="2"/>
  <c r="O5" i="2"/>
  <c r="R23" i="2"/>
  <c r="R24" i="2"/>
  <c r="R27" i="2"/>
  <c r="O25" i="2"/>
  <c r="L6" i="6"/>
  <c r="N5" i="5"/>
  <c r="O5" i="5"/>
  <c r="H3" i="5"/>
  <c r="Q3" i="5" s="1"/>
  <c r="M3" i="5"/>
  <c r="I5" i="5"/>
  <c r="O40" i="2"/>
  <c r="P40" i="2" s="1"/>
  <c r="O41" i="2"/>
  <c r="P41" i="2" s="1"/>
  <c r="O36" i="2"/>
  <c r="P36" i="2" s="1"/>
  <c r="T16" i="1"/>
  <c r="Q17" i="1"/>
  <c r="Q16" i="1"/>
  <c r="T25" i="2" l="1"/>
  <c r="P25" i="2"/>
  <c r="P5" i="2"/>
  <c r="T5" i="2" s="1"/>
  <c r="T6" i="2"/>
  <c r="P6" i="2"/>
  <c r="V25" i="1"/>
  <c r="V27" i="1"/>
  <c r="R22" i="1"/>
  <c r="V22" i="1" s="1"/>
  <c r="R28" i="1"/>
  <c r="V28" i="1" s="1"/>
  <c r="R26" i="1"/>
  <c r="V26" i="1" s="1"/>
  <c r="R88" i="1"/>
  <c r="V88" i="1" s="1"/>
  <c r="R35" i="1"/>
  <c r="V35" i="1" s="1"/>
  <c r="R40" i="1"/>
  <c r="V40" i="1" s="1"/>
  <c r="R18" i="1"/>
  <c r="V18" i="1" s="1"/>
  <c r="R12" i="1"/>
  <c r="V12" i="1" s="1"/>
  <c r="R16" i="1"/>
  <c r="V16" i="1" s="1"/>
  <c r="R141" i="1"/>
  <c r="V141" i="1" s="1"/>
  <c r="R20" i="1"/>
  <c r="V20" i="1" s="1"/>
  <c r="R33" i="1"/>
  <c r="V33" i="1" s="1"/>
  <c r="R17" i="1"/>
  <c r="V17" i="1" s="1"/>
  <c r="R143" i="1"/>
  <c r="V143" i="1" s="1"/>
  <c r="R142" i="1"/>
  <c r="V142" i="1" s="1"/>
  <c r="R31" i="1"/>
  <c r="V31" i="1" s="1"/>
  <c r="R8" i="1"/>
  <c r="V8" i="1" s="1"/>
  <c r="Q138" i="1"/>
  <c r="R138" i="1" s="1"/>
  <c r="Q132" i="1"/>
  <c r="R132" i="1" s="1"/>
  <c r="Q6" i="1"/>
  <c r="Q79" i="1"/>
  <c r="R79" i="1" s="1"/>
  <c r="Q9" i="1"/>
  <c r="N3" i="5"/>
  <c r="O3" i="5" s="1"/>
  <c r="I3" i="5"/>
  <c r="R25" i="2"/>
  <c r="T140" i="1"/>
  <c r="Q140" i="1"/>
  <c r="R140" i="1" s="1"/>
  <c r="Q130" i="1"/>
  <c r="T125" i="1"/>
  <c r="Q125" i="1"/>
  <c r="Q147" i="1"/>
  <c r="R147" i="1" s="1"/>
  <c r="Q137" i="1"/>
  <c r="Q152" i="1"/>
  <c r="R152" i="1" s="1"/>
  <c r="Q149" i="1"/>
  <c r="R149" i="1" s="1"/>
  <c r="T150" i="1"/>
  <c r="T133" i="1"/>
  <c r="Q133" i="1"/>
  <c r="R133" i="1" s="1"/>
  <c r="Q136" i="1"/>
  <c r="R136" i="1" s="1"/>
  <c r="T148" i="1"/>
  <c r="T74" i="1"/>
  <c r="Q74" i="1"/>
  <c r="T73" i="1"/>
  <c r="Q58" i="1"/>
  <c r="R58" i="1" s="1"/>
  <c r="Q23" i="1"/>
  <c r="T37" i="1"/>
  <c r="Q32" i="1"/>
  <c r="T68" i="1"/>
  <c r="T23" i="1"/>
  <c r="Q4" i="1"/>
  <c r="R5" i="2"/>
  <c r="S8" i="3"/>
  <c r="P8" i="3"/>
  <c r="S4" i="3"/>
  <c r="P4" i="3"/>
  <c r="Q127" i="1"/>
  <c r="T132" i="1"/>
  <c r="T27" i="1"/>
  <c r="T19" i="1"/>
  <c r="Q72" i="1"/>
  <c r="O27" i="2"/>
  <c r="O23" i="2"/>
  <c r="R26" i="2"/>
  <c r="Q126" i="1"/>
  <c r="Q73" i="1"/>
  <c r="Q19" i="1"/>
  <c r="Q86" i="1"/>
  <c r="R86" i="1" s="1"/>
  <c r="T41" i="1"/>
  <c r="T14" i="1"/>
  <c r="Q14" i="1"/>
  <c r="T85" i="1"/>
  <c r="Q91" i="1"/>
  <c r="Q89" i="1"/>
  <c r="Q87" i="1"/>
  <c r="R87" i="1" s="1"/>
  <c r="Q36" i="1"/>
  <c r="T17" i="1"/>
  <c r="O26" i="2"/>
  <c r="O24" i="2"/>
  <c r="R6" i="2"/>
  <c r="T146" i="1"/>
  <c r="Q151" i="1"/>
  <c r="R151" i="1" s="1"/>
  <c r="T147" i="1"/>
  <c r="T136" i="1"/>
  <c r="T143" i="1"/>
  <c r="Q53" i="1"/>
  <c r="R53" i="1" s="1"/>
  <c r="Q11" i="1"/>
  <c r="Q37" i="1"/>
  <c r="Q41" i="1"/>
  <c r="T26" i="1"/>
  <c r="T24" i="1"/>
  <c r="Q24" i="1"/>
  <c r="T25" i="1"/>
  <c r="T12" i="1"/>
  <c r="Q56" i="1"/>
  <c r="T142" i="1"/>
  <c r="Q57" i="1"/>
  <c r="R57" i="1" s="1"/>
  <c r="T20" i="1"/>
  <c r="T8" i="1"/>
  <c r="T84" i="1"/>
  <c r="T90" i="1"/>
  <c r="T65" i="1"/>
  <c r="T40" i="1"/>
  <c r="T35" i="1"/>
  <c r="P16" i="3"/>
  <c r="S6" i="3"/>
  <c r="R47" i="2"/>
  <c r="O47" i="2"/>
  <c r="P47" i="2" s="1"/>
  <c r="T92" i="1"/>
  <c r="T18" i="1"/>
  <c r="T22" i="1"/>
  <c r="T28" i="1"/>
  <c r="T31" i="1"/>
  <c r="Q107" i="1"/>
  <c r="R107" i="1" s="1"/>
  <c r="Q5" i="5"/>
  <c r="T102" i="1"/>
  <c r="Q102" i="1"/>
  <c r="R102" i="1" s="1"/>
  <c r="R52" i="2"/>
  <c r="S5" i="3"/>
  <c r="L3" i="6"/>
  <c r="O3" i="6"/>
  <c r="Q114" i="1"/>
  <c r="R114" i="1" s="1"/>
  <c r="R50" i="2"/>
  <c r="R54" i="2"/>
  <c r="O32" i="2"/>
  <c r="P32" i="2" s="1"/>
  <c r="P24" i="2" l="1"/>
  <c r="T24" i="2"/>
  <c r="T23" i="2"/>
  <c r="P23" i="2"/>
  <c r="P26" i="2"/>
  <c r="T26" i="2" s="1"/>
  <c r="P27" i="2"/>
  <c r="T27" i="2" s="1"/>
  <c r="R23" i="1"/>
  <c r="V23" i="1" s="1"/>
  <c r="R24" i="1"/>
  <c r="V24" i="1" s="1"/>
  <c r="R37" i="1"/>
  <c r="V37" i="1" s="1"/>
  <c r="R14" i="1"/>
  <c r="V14" i="1" s="1"/>
  <c r="R19" i="1"/>
  <c r="V19" i="1" s="1"/>
  <c r="R127" i="1"/>
  <c r="V127" i="1" s="1"/>
  <c r="R32" i="1"/>
  <c r="V32" i="1" s="1"/>
  <c r="R74" i="1"/>
  <c r="V74" i="1" s="1"/>
  <c r="R125" i="1"/>
  <c r="V125" i="1" s="1"/>
  <c r="R130" i="1"/>
  <c r="V130" i="1" s="1"/>
  <c r="R6" i="1"/>
  <c r="V6" i="1" s="1"/>
  <c r="R11" i="1"/>
  <c r="V11" i="1" s="1"/>
  <c r="R36" i="1"/>
  <c r="V36" i="1" s="1"/>
  <c r="R91" i="1"/>
  <c r="V91" i="1" s="1"/>
  <c r="R73" i="1"/>
  <c r="V73" i="1" s="1"/>
  <c r="R9" i="1"/>
  <c r="V9" i="1" s="1"/>
  <c r="R56" i="1"/>
  <c r="V56" i="1" s="1"/>
  <c r="R89" i="1"/>
  <c r="V89" i="1" s="1"/>
  <c r="R126" i="1"/>
  <c r="V126" i="1" s="1"/>
  <c r="R72" i="1"/>
  <c r="V72" i="1" s="1"/>
  <c r="R137" i="1"/>
  <c r="V137" i="1" s="1"/>
  <c r="R41" i="1"/>
  <c r="V41" i="1" s="1"/>
  <c r="R4" i="1"/>
  <c r="V4" i="1" s="1"/>
  <c r="T117" i="1"/>
  <c r="T82" i="1"/>
  <c r="Q82" i="1"/>
  <c r="R82" i="1" s="1"/>
  <c r="T67" i="1"/>
  <c r="Q67" i="1"/>
  <c r="R67" i="1" s="1"/>
  <c r="P11" i="3"/>
  <c r="S7" i="3"/>
  <c r="P7" i="3"/>
  <c r="R4" i="2"/>
  <c r="T98" i="1"/>
  <c r="Q98" i="1"/>
  <c r="R98" i="1" s="1"/>
  <c r="S13" i="3"/>
  <c r="Q90" i="1"/>
  <c r="T66" i="1"/>
  <c r="T5" i="1"/>
  <c r="Q5" i="1"/>
  <c r="T129" i="1"/>
  <c r="Q129" i="1"/>
  <c r="R129" i="1" s="1"/>
  <c r="T134" i="1"/>
  <c r="T120" i="1"/>
  <c r="Q120" i="1"/>
  <c r="R120" i="1" s="1"/>
  <c r="Q108" i="1"/>
  <c r="R108" i="1" s="1"/>
  <c r="T44" i="1"/>
  <c r="Q44" i="1"/>
  <c r="R44" i="1" s="1"/>
  <c r="T52" i="1"/>
  <c r="Q52" i="1"/>
  <c r="T94" i="1"/>
  <c r="Q94" i="1"/>
  <c r="R94" i="1" s="1"/>
  <c r="T96" i="1"/>
  <c r="Q96" i="1"/>
  <c r="R96" i="1" s="1"/>
  <c r="T63" i="1"/>
  <c r="Q63" i="1"/>
  <c r="R63" i="1" s="1"/>
  <c r="T48" i="1"/>
  <c r="Q48" i="1"/>
  <c r="T106" i="1"/>
  <c r="T103" i="1"/>
  <c r="Q103" i="1"/>
  <c r="T111" i="1"/>
  <c r="Q111" i="1"/>
  <c r="R111" i="1" s="1"/>
  <c r="T34" i="1"/>
  <c r="S10" i="3"/>
  <c r="Q81" i="1"/>
  <c r="R81" i="1" s="1"/>
  <c r="Q66" i="1"/>
  <c r="R66" i="1" s="1"/>
  <c r="T78" i="1"/>
  <c r="Q78" i="1"/>
  <c r="R78" i="1" s="1"/>
  <c r="S12" i="3"/>
  <c r="Q34" i="1"/>
  <c r="T55" i="1"/>
  <c r="Q55" i="1"/>
  <c r="R55" i="1" s="1"/>
  <c r="T9" i="1"/>
  <c r="T42" i="1"/>
  <c r="T58" i="1"/>
  <c r="T72" i="1"/>
  <c r="T119" i="1"/>
  <c r="Q119" i="1"/>
  <c r="R119" i="1" s="1"/>
  <c r="T15" i="1"/>
  <c r="T114" i="1"/>
  <c r="T61" i="1"/>
  <c r="Q61" i="1"/>
  <c r="R61" i="1" s="1"/>
  <c r="T83" i="1"/>
  <c r="Q83" i="1"/>
  <c r="R83" i="1" s="1"/>
  <c r="Q97" i="1"/>
  <c r="R97" i="1" s="1"/>
  <c r="Q117" i="1"/>
  <c r="R117" i="1" s="1"/>
  <c r="T80" i="1"/>
  <c r="Q80" i="1"/>
  <c r="R80" i="1" s="1"/>
  <c r="R29" i="2"/>
  <c r="O29" i="2"/>
  <c r="T95" i="1"/>
  <c r="Q95" i="1"/>
  <c r="R95" i="1" s="1"/>
  <c r="R7" i="2"/>
  <c r="O7" i="2"/>
  <c r="T108" i="1"/>
  <c r="T123" i="1"/>
  <c r="Q123" i="1"/>
  <c r="R123" i="1" s="1"/>
  <c r="S14" i="3"/>
  <c r="P14" i="3"/>
  <c r="T46" i="1"/>
  <c r="Q46" i="1"/>
  <c r="R46" i="1" s="1"/>
  <c r="P15" i="3"/>
  <c r="T50" i="1"/>
  <c r="Q50" i="1"/>
  <c r="T76" i="1"/>
  <c r="Q76" i="1"/>
  <c r="R76" i="1" s="1"/>
  <c r="T122" i="1"/>
  <c r="Q122" i="1"/>
  <c r="R122" i="1" s="1"/>
  <c r="T64" i="1"/>
  <c r="T45" i="1"/>
  <c r="Q45" i="1"/>
  <c r="R45" i="1" s="1"/>
  <c r="Q65" i="1"/>
  <c r="R65" i="1" s="1"/>
  <c r="T104" i="1"/>
  <c r="Q104" i="1"/>
  <c r="T105" i="1"/>
  <c r="Q105" i="1"/>
  <c r="Q84" i="1"/>
  <c r="T131" i="1"/>
  <c r="Q131" i="1"/>
  <c r="R131" i="1" s="1"/>
  <c r="T87" i="1"/>
  <c r="T89" i="1"/>
  <c r="T60" i="1"/>
  <c r="T127" i="1"/>
  <c r="T30" i="1"/>
  <c r="Q30" i="1"/>
  <c r="Q112" i="1"/>
  <c r="R112" i="1" s="1"/>
  <c r="T128" i="1"/>
  <c r="Q128" i="1"/>
  <c r="R128" i="1" s="1"/>
  <c r="T149" i="1"/>
  <c r="T79" i="1"/>
  <c r="T51" i="1"/>
  <c r="Q51" i="1"/>
  <c r="T112" i="1"/>
  <c r="T139" i="1"/>
  <c r="R35" i="2"/>
  <c r="O35" i="2"/>
  <c r="T38" i="1"/>
  <c r="P12" i="3"/>
  <c r="T77" i="1"/>
  <c r="Q77" i="1"/>
  <c r="T107" i="1"/>
  <c r="T10" i="1"/>
  <c r="Q10" i="1"/>
  <c r="T59" i="1"/>
  <c r="Q59" i="1"/>
  <c r="R59" i="1" s="1"/>
  <c r="T110" i="1"/>
  <c r="Q110" i="1"/>
  <c r="R110" i="1" s="1"/>
  <c r="T7" i="1"/>
  <c r="T91" i="1"/>
  <c r="T86" i="1"/>
  <c r="T144" i="1"/>
  <c r="Q42" i="1"/>
  <c r="T99" i="1"/>
  <c r="Q99" i="1"/>
  <c r="R99" i="1" s="1"/>
  <c r="O4" i="2"/>
  <c r="T93" i="1"/>
  <c r="Q93" i="1"/>
  <c r="R93" i="1" s="1"/>
  <c r="T57" i="1"/>
  <c r="T56" i="1"/>
  <c r="T4" i="1"/>
  <c r="T21" i="1"/>
  <c r="Q21" i="1"/>
  <c r="T70" i="1"/>
  <c r="Q15" i="1"/>
  <c r="T118" i="1"/>
  <c r="Q118" i="1"/>
  <c r="R118" i="1" s="1"/>
  <c r="T121" i="1"/>
  <c r="Q121" i="1"/>
  <c r="R121" i="1" s="1"/>
  <c r="Q64" i="1"/>
  <c r="R64" i="1" s="1"/>
  <c r="T116" i="1"/>
  <c r="T97" i="1"/>
  <c r="T81" i="1"/>
  <c r="R28" i="2"/>
  <c r="O28" i="2"/>
  <c r="T69" i="1"/>
  <c r="Q69" i="1"/>
  <c r="R69" i="1" s="1"/>
  <c r="T62" i="1"/>
  <c r="Q62" i="1"/>
  <c r="R62" i="1" s="1"/>
  <c r="T115" i="1"/>
  <c r="Q115" i="1"/>
  <c r="R115" i="1" s="1"/>
  <c r="Q38" i="1"/>
  <c r="T109" i="1"/>
  <c r="Q109" i="1"/>
  <c r="T54" i="1"/>
  <c r="Q54" i="1"/>
  <c r="R54" i="1" s="1"/>
  <c r="Q116" i="1"/>
  <c r="R116" i="1" s="1"/>
  <c r="T13" i="1"/>
  <c r="Q13" i="1"/>
  <c r="P13" i="3"/>
  <c r="S15" i="3"/>
  <c r="S16" i="3"/>
  <c r="T101" i="1"/>
  <c r="Q101" i="1"/>
  <c r="T75" i="1"/>
  <c r="Q75" i="1"/>
  <c r="R75" i="1" s="1"/>
  <c r="Q106" i="1"/>
  <c r="R106" i="1" s="1"/>
  <c r="T113" i="1"/>
  <c r="Q113" i="1"/>
  <c r="R113" i="1" s="1"/>
  <c r="Q39" i="1"/>
  <c r="T53" i="1"/>
  <c r="Q7" i="1"/>
  <c r="T29" i="1"/>
  <c r="Q29" i="1"/>
  <c r="T36" i="1"/>
  <c r="T145" i="1"/>
  <c r="Q145" i="1"/>
  <c r="R145" i="1" s="1"/>
  <c r="T39" i="1"/>
  <c r="T141" i="1"/>
  <c r="T130" i="1"/>
  <c r="T32" i="1"/>
  <c r="T135" i="1"/>
  <c r="Q135" i="1"/>
  <c r="R135" i="1" s="1"/>
  <c r="Q144" i="1"/>
  <c r="T138" i="1"/>
  <c r="Q134" i="1"/>
  <c r="R134" i="1" s="1"/>
  <c r="Q139" i="1"/>
  <c r="R139" i="1" s="1"/>
  <c r="Q70" i="1"/>
  <c r="R70" i="1" s="1"/>
  <c r="T6" i="1"/>
  <c r="T126" i="1"/>
  <c r="Q60" i="1"/>
  <c r="R60" i="1" s="1"/>
  <c r="T29" i="2" l="1"/>
  <c r="P29" i="2"/>
  <c r="P35" i="2"/>
  <c r="T35" i="2" s="1"/>
  <c r="P7" i="2"/>
  <c r="T7" i="2" s="1"/>
  <c r="P4" i="2"/>
  <c r="T4" i="2" s="1"/>
  <c r="P28" i="2"/>
  <c r="T28" i="2" s="1"/>
  <c r="R90" i="1"/>
  <c r="V90" i="1" s="1"/>
  <c r="R109" i="1"/>
  <c r="V109" i="1" s="1"/>
  <c r="R15" i="1"/>
  <c r="V15" i="1" s="1"/>
  <c r="R42" i="1"/>
  <c r="V42" i="1" s="1"/>
  <c r="R77" i="1"/>
  <c r="V77" i="1" s="1"/>
  <c r="R104" i="1"/>
  <c r="V104" i="1" s="1"/>
  <c r="R5" i="1"/>
  <c r="V5" i="1" s="1"/>
  <c r="R29" i="1"/>
  <c r="V29" i="1" s="1"/>
  <c r="R39" i="1"/>
  <c r="V39" i="1" s="1"/>
  <c r="R13" i="1"/>
  <c r="V13" i="1" s="1"/>
  <c r="R34" i="1"/>
  <c r="V34" i="1" s="1"/>
  <c r="R103" i="1"/>
  <c r="V103" i="1" s="1"/>
  <c r="R144" i="1"/>
  <c r="V144" i="1" s="1"/>
  <c r="R7" i="1"/>
  <c r="V7" i="1" s="1"/>
  <c r="R101" i="1"/>
  <c r="V101" i="1" s="1"/>
  <c r="R10" i="1"/>
  <c r="V10" i="1" s="1"/>
  <c r="R30" i="1"/>
  <c r="V30" i="1" s="1"/>
  <c r="R84" i="1"/>
  <c r="V84" i="1" s="1"/>
  <c r="R38" i="1"/>
  <c r="V38" i="1" s="1"/>
  <c r="R21" i="1"/>
  <c r="V21" i="1" s="1"/>
  <c r="R51" i="1"/>
  <c r="V51" i="1" s="1"/>
  <c r="R105" i="1"/>
  <c r="V105" i="1" s="1"/>
  <c r="R50" i="1"/>
  <c r="V50" i="1" s="1"/>
  <c r="R48" i="1"/>
  <c r="R52" i="1"/>
  <c r="V52" i="1" s="1"/>
  <c r="H12" i="2"/>
  <c r="H21" i="2"/>
  <c r="H14" i="2"/>
  <c r="H13" i="2"/>
  <c r="H16" i="2"/>
  <c r="H11" i="2"/>
  <c r="H19" i="2"/>
  <c r="H18" i="2"/>
  <c r="F19" i="2"/>
  <c r="H17" i="2"/>
  <c r="R18" i="2"/>
  <c r="R12" i="2"/>
  <c r="F11" i="2"/>
  <c r="R11" i="2"/>
  <c r="H20" i="2"/>
  <c r="F17" i="2"/>
  <c r="F12" i="2"/>
  <c r="O12" i="2" s="1"/>
  <c r="P12" i="2" s="1"/>
  <c r="H10" i="2"/>
  <c r="F18" i="2"/>
  <c r="H15" i="2"/>
  <c r="F21" i="2"/>
  <c r="F20" i="2"/>
  <c r="F16" i="2"/>
  <c r="F15" i="2"/>
  <c r="F14" i="2"/>
  <c r="R14" i="2"/>
  <c r="F13" i="2"/>
  <c r="F10" i="2"/>
  <c r="R17" i="2" l="1"/>
  <c r="O17" i="2"/>
  <c r="P17" i="2" s="1"/>
  <c r="R16" i="2"/>
  <c r="O16" i="2"/>
  <c r="P16" i="2" s="1"/>
  <c r="O15" i="2"/>
  <c r="P15" i="2" s="1"/>
  <c r="O21" i="2"/>
  <c r="P21" i="2" s="1"/>
  <c r="R13" i="2"/>
  <c r="R19" i="2"/>
  <c r="R15" i="2"/>
  <c r="O18" i="2"/>
  <c r="P18" i="2" s="1"/>
  <c r="O20" i="2"/>
  <c r="P20" i="2" s="1"/>
  <c r="R21" i="2"/>
  <c r="O14" i="2"/>
  <c r="P14" i="2" s="1"/>
  <c r="O19" i="2"/>
  <c r="P19" i="2" s="1"/>
  <c r="O11" i="2" l="1"/>
  <c r="P11" i="2" s="1"/>
  <c r="O13" i="2"/>
  <c r="P13" i="2" s="1"/>
  <c r="R10" i="2"/>
  <c r="O10" i="2"/>
  <c r="P10" i="2" s="1"/>
  <c r="R20" i="2"/>
</calcChain>
</file>

<file path=xl/sharedStrings.xml><?xml version="1.0" encoding="utf-8"?>
<sst xmlns="http://schemas.openxmlformats.org/spreadsheetml/2006/main" count="979" uniqueCount="537">
  <si>
    <t>Art.</t>
  </si>
  <si>
    <t>MARCAS, AVISOS Y NOMBRES COMERCIALES</t>
  </si>
  <si>
    <t>14ª</t>
  </si>
  <si>
    <t>14b</t>
  </si>
  <si>
    <t>14c</t>
  </si>
  <si>
    <t>14d</t>
  </si>
  <si>
    <t>14e</t>
  </si>
  <si>
    <t>14f</t>
  </si>
  <si>
    <t>DENOMINACIONES DE ORIGEN</t>
  </si>
  <si>
    <t>Denominación de origen o modificación de la misma</t>
  </si>
  <si>
    <t>Autorización o renovación</t>
  </si>
  <si>
    <t>Inscripción de un permiso otorgado por el usuario</t>
  </si>
  <si>
    <t>Búsqueda técnica de Patente</t>
  </si>
  <si>
    <t>1a</t>
  </si>
  <si>
    <t>1b</t>
  </si>
  <si>
    <t>Entrada a fase nacional (conforme Capitulo 1, oficina designada)</t>
  </si>
  <si>
    <t>1c</t>
  </si>
  <si>
    <t>Entrada a fase nacional (conforme Capitulo 1, oficina elegida)</t>
  </si>
  <si>
    <t>1d</t>
  </si>
  <si>
    <t>Por publicación anticipada</t>
  </si>
  <si>
    <t>1e</t>
  </si>
  <si>
    <t>Por la expedición del título</t>
  </si>
  <si>
    <t>1f</t>
  </si>
  <si>
    <t>Por el cambio de texto o dibujos, cada vez</t>
  </si>
  <si>
    <t>2a</t>
  </si>
  <si>
    <t xml:space="preserve">Por cada anualidad, de la 1ª a la 5ª </t>
  </si>
  <si>
    <t>2b</t>
  </si>
  <si>
    <t>Por cada anualidad, de la 6ª a la 10ª</t>
  </si>
  <si>
    <t>2c</t>
  </si>
  <si>
    <t>Por cada anualidad, de la 11ª a la última</t>
  </si>
  <si>
    <t>9ª</t>
  </si>
  <si>
    <t>9b</t>
  </si>
  <si>
    <t>9c</t>
  </si>
  <si>
    <t>9d</t>
  </si>
  <si>
    <t>10ª</t>
  </si>
  <si>
    <t>Por cada anualidad, de la 1ª a la 3ª</t>
  </si>
  <si>
    <t>10b</t>
  </si>
  <si>
    <t>Por cada anualidad, de la 4ª a la 6ª</t>
  </si>
  <si>
    <t>10c</t>
  </si>
  <si>
    <t>Por cada anualidad, de la 7ª a la ultima</t>
  </si>
  <si>
    <t>HONORARIOS</t>
  </si>
  <si>
    <t>RUBROS</t>
  </si>
  <si>
    <t>Inventores Independientes</t>
  </si>
  <si>
    <t>Instituciones de investigación del sector público</t>
  </si>
  <si>
    <t>Instituciones Educativas</t>
  </si>
  <si>
    <t>micro y pequeña empresa</t>
  </si>
  <si>
    <t>Poderes</t>
  </si>
  <si>
    <t>Mandatos de Percepción</t>
  </si>
  <si>
    <t>Contratos</t>
  </si>
  <si>
    <t>Contratos Tipo</t>
  </si>
  <si>
    <t>Escrituras y Estatutos de Sociedades de Gestión Colectiva</t>
  </si>
  <si>
    <t>Búsqueda de Antecedentes Registrales</t>
  </si>
  <si>
    <t>Anotaciones Marginales</t>
  </si>
  <si>
    <t>Anotación Marginal de Revocación del Poder</t>
  </si>
  <si>
    <t>Duplicados</t>
  </si>
  <si>
    <t>Corrección</t>
  </si>
  <si>
    <t>Apertura de Sobre de Seudónimo</t>
  </si>
  <si>
    <t>Reserva de Derechos al Uso Exclusivo para Publicaciones y Difusiones Periódicas</t>
  </si>
  <si>
    <t>Renovación de Reserva de Derechos al Uso Exclusivo para Publicaciones y Difusiones Periódicas</t>
  </si>
  <si>
    <t>Anotación Marginal en Expedientes</t>
  </si>
  <si>
    <t xml:space="preserve">Copias Simples </t>
  </si>
  <si>
    <t>Copias Certificadas</t>
  </si>
  <si>
    <t>Solicitud de Declaración Administrativa de Nulidad de Reservas de Derechos</t>
  </si>
  <si>
    <t>Solicitud de Declaración Administrativa de Cancelación de los Actos Emitidos por el INDAUTOR</t>
  </si>
  <si>
    <t>Solicitud Subsiguiente de ISBN</t>
  </si>
  <si>
    <t>Solicitud ISSN</t>
  </si>
  <si>
    <r>
      <t>Cedula de Integración Solicitud ISSN Solicitud de Digito identificador del ISSN (Para ayudarle en el llenado del formato están los documentos</t>
    </r>
    <r>
      <rPr>
        <sz val="10"/>
        <color indexed="12"/>
        <rFont val="Arial"/>
        <family val="2"/>
      </rPr>
      <t xml:space="preserve"> Naturaleza Jurídica de la Empresa </t>
    </r>
    <r>
      <rPr>
        <sz val="10"/>
        <rFont val="Arial"/>
        <family val="2"/>
      </rPr>
      <t>y</t>
    </r>
    <r>
      <rPr>
        <sz val="10"/>
        <color indexed="12"/>
        <rFont val="Arial"/>
        <family val="2"/>
      </rPr>
      <t xml:space="preserve"> Tabla de Materias)</t>
    </r>
  </si>
  <si>
    <t>Ficha catalografica ISSN</t>
  </si>
  <si>
    <t>DIRECCION JURIDICA</t>
  </si>
  <si>
    <t>Procedimiento de Avenencia</t>
  </si>
  <si>
    <t>Consultas por Escrito</t>
  </si>
  <si>
    <t>Recurso Administrativo de Revisión</t>
  </si>
  <si>
    <t>DIRECCION DE PROTECCION CONTRA LA VIOLACION DEL DERECHO DE AUTOR</t>
  </si>
  <si>
    <t>Autorización para Operar como Sociedad de Gestión Colectiva</t>
  </si>
  <si>
    <t>Procedimiento para el Establecimiento de Tarifas para el Pago de Regalías</t>
  </si>
  <si>
    <t>Procedimiento para la Autorización de Apoderados para la Gestión Individual de Derechos Patrimoniales</t>
  </si>
  <si>
    <t>Presentación del Escrito que de Inicio al Procedimiento de Infracción Administrativa en Materia de Derechos de Autor</t>
  </si>
  <si>
    <t>Solicitud de Revocación de Operación como Sociedad de Gestión Colectiva</t>
  </si>
  <si>
    <t>DERECHO DE AUTOR</t>
  </si>
  <si>
    <t>* tiene incluido el 50% de descuento en costos del IMPI:</t>
  </si>
  <si>
    <t>*PATENTES (para Micro y Pequeña Empresa, Instituciones Educativas  o de investigación del sector público e Inventores independientes)</t>
  </si>
  <si>
    <t>PATENTES</t>
  </si>
  <si>
    <t>15a</t>
  </si>
  <si>
    <t>15b</t>
  </si>
  <si>
    <t>15c</t>
  </si>
  <si>
    <t>E.L. + IVA</t>
  </si>
  <si>
    <t>E.L. NETO</t>
  </si>
  <si>
    <t>Por cada anualidad, de la 1ª a la 9ª</t>
  </si>
  <si>
    <t>Por cada anualidad, de la 10ª a la ultima</t>
  </si>
  <si>
    <t>Rediseño de Logotipo</t>
  </si>
  <si>
    <t>Diseño de Logotipo</t>
  </si>
  <si>
    <t>11a</t>
  </si>
  <si>
    <t>11b</t>
  </si>
  <si>
    <t>Grapho</t>
  </si>
  <si>
    <t>Publimagen</t>
  </si>
  <si>
    <t>Copia Certificada de Titulos a color</t>
  </si>
  <si>
    <t>27a BIS</t>
  </si>
  <si>
    <t>Por el estudio de una solicitud de licencia obligatoria o de modificación de sus condiciones.</t>
  </si>
  <si>
    <t>Por el estudio de la solicitud de rehabilitación de una patente caduca por falta de pago oportuno de la anualidad correspondiente</t>
  </si>
  <si>
    <t>Por la transformación de una solicitud de patente a una de registro de modelo de utilidad o de diseño industrial, o viceversa</t>
  </si>
  <si>
    <t>Por la reconsideración interpuesta en contra de una denegación de patente</t>
  </si>
  <si>
    <t xml:space="preserve">Por la presentación de solicitudes de registros de esquemas de trazado de circuitos integrados, así como por los servicios a que se refiere el artículo 38
de la Ley, hasta la conclusión del trámite o, en su caso, expedición del título de registro
</t>
  </si>
  <si>
    <t>9e</t>
  </si>
  <si>
    <t>Pago por requerimientos en plazo adicional de 2 meses, por cada uno</t>
  </si>
  <si>
    <t>Cédula de Integración Solicitud Subsiguiente de ISBN</t>
  </si>
  <si>
    <t>Solicitud de Diseño Industrial (PYMES)</t>
  </si>
  <si>
    <t>Solicitud de Diseño Industrial (MICROS)</t>
  </si>
  <si>
    <t>Solicitud de Diseño Industrial (MACROS)</t>
  </si>
  <si>
    <t>INDAUTOR NETO</t>
  </si>
  <si>
    <t>IMPI + iva</t>
  </si>
  <si>
    <t>IMPI NETO</t>
  </si>
  <si>
    <t>Entrada a fase nacional (conforme Capitulo 2, oficina elegida)</t>
  </si>
  <si>
    <t>Informe de compatibilidad para TARIFARIO IMPI-INDAUTOR.xls</t>
  </si>
  <si>
    <t>Ejecutar el 15/03/2013 12:22</t>
  </si>
  <si>
    <t>Las siguientes características de este libro no son compatibles con versiones anteriores de Excel. Estas características podrían perderse o degradarse si abre el libro con una versión anterior de Excel o si lo guarda con un formato de archivo anterior.</t>
  </si>
  <si>
    <t>Pérdida menor de fidelidad</t>
  </si>
  <si>
    <t>Nº de apariciones</t>
  </si>
  <si>
    <t>Versión</t>
  </si>
  <si>
    <t>Algunas celdas o estilos de este libro contienen un formato no admitido en el formato de archivo seleccionado. Estos formatos se convertirán al formato más cercano disponible.</t>
  </si>
  <si>
    <t>Excel 97-2003</t>
  </si>
  <si>
    <t>USPTO</t>
  </si>
  <si>
    <t>Estudio de Factibilidad Fonético y Figurativo</t>
  </si>
  <si>
    <t>TARIFARIO USPTO (precios en $$USD)</t>
  </si>
  <si>
    <t>NOMBRE DEL SERVICIO</t>
  </si>
  <si>
    <t>COSTO</t>
  </si>
  <si>
    <t>Inscripción o cancelacion de contratos de Franquicias</t>
  </si>
  <si>
    <t>*MODELO DE UTILIDAD, CIRCUITOS INTEGRADOS Y DISEÑOS INDUSTRIALES (para Micro y Pequeña Empresa, Instituciones Educativas  o de investigación del sector público e Inventores independientes)</t>
  </si>
  <si>
    <t>MODELO DE UTILIDAD, CIRCUITOS INTEGRADOS Y DISEÑOS INDUSTRIALES</t>
  </si>
  <si>
    <t>ADRIANA</t>
  </si>
  <si>
    <t>Diseño de Imagen Corporativa:                                                                                                    Entrega de 2 propuestas de logotipo
Tarjeta de presentación
Hoja membretada tamaño carta
Sobre Tamaño carta
Recibos (si se utilizan)
Flotilla
Uniformes
Promocionales
Carpeta corporativa
Facturas
Gafetes para personal</t>
  </si>
  <si>
    <t>Dictamen Previo para Publicaciones o Difusiones Periódicas, Personas o Grupos dedicados a Actividades Artísticas</t>
  </si>
  <si>
    <t>Reserva de Derechos al Uso Exclusivo para Personas o Grupos dedicados a Actividades Artísticas, Personajes Ficticios o Humanos de Caracterización y Promociones Publicitarias</t>
  </si>
  <si>
    <t>Renovación de Reserva de Derechos al Uso Exclusivo para Personas o Grupos dedicados a Actividades Artísticas, Personajes Ficticios o Humanos de Caracterización y Promociones Publicitarias</t>
  </si>
  <si>
    <t>COMISION VENTA</t>
  </si>
  <si>
    <t>COMISION OPERATIVA</t>
  </si>
  <si>
    <t>UTILIDAD FINAL</t>
  </si>
  <si>
    <t>Estudio de Factibilidad subsecuente hasta máximo 3</t>
  </si>
  <si>
    <t>Solicitud de Declaración Administrativa de nulidad (los honorarios son base y pueden variar)</t>
  </si>
  <si>
    <t>Solicitud de Declaración Administrativa de caducidad, cancelación (los honorarios son base y pueden variar)</t>
  </si>
  <si>
    <t>Solicitud de Declaración Administrativa de infracción (los honorarios son base y pueden variar)</t>
  </si>
  <si>
    <t>Transmisión o cesión de derechos, cambio de nombre (Incluye contrato e inscripción)</t>
  </si>
  <si>
    <t>%</t>
  </si>
  <si>
    <t>Juicio de Nulidad ente el TFJA x Negativa de Marca</t>
  </si>
  <si>
    <t>Juicio de Nulidad ente el TFJA x Sentencia de Declaracion Adminitrativa</t>
  </si>
  <si>
    <t>Pago final por sentencia favorable a juicio de nulidad x Negativa de Marca</t>
  </si>
  <si>
    <t>COMISION GESTION</t>
  </si>
  <si>
    <t>14g</t>
  </si>
  <si>
    <t>14h</t>
  </si>
  <si>
    <t>14i</t>
  </si>
  <si>
    <t>14j</t>
  </si>
  <si>
    <t>Marca notoriamente conocida</t>
  </si>
  <si>
    <t>Marca Famosa</t>
  </si>
  <si>
    <t>Emisión de la declaración de marca notoriamente conocida, por cada clase en la que se reconoce</t>
  </si>
  <si>
    <t>Emisión de la declaración de marca famosa</t>
  </si>
  <si>
    <t>Actualización de una declaración de marca notoriamente conocida, por cada clase en la que se reconozca la notoriedad</t>
  </si>
  <si>
    <t>Actualización de una declaración de marca famosa</t>
  </si>
  <si>
    <t>Oposición a una solicitud de registro de marca, aviso o nombre comercial</t>
  </si>
  <si>
    <t>Estudio de Factibilidad (el IMPI cobra $102.62, pero no se solicitara)</t>
  </si>
  <si>
    <t>Cambio de apoderado legal (para cliente que nos contraten)</t>
  </si>
  <si>
    <t>Cambio de domicilio Social o del Titular, (cambio para oir y recibir notificaciones no tiene costo)</t>
  </si>
  <si>
    <t>Solicitud de práctica de Visitas de Inspección a Establecimientos Comerciales a petición de parte</t>
  </si>
  <si>
    <t>REGISTRO DE OBRAS</t>
  </si>
  <si>
    <t>REGISTRO DE DOCUMENTOS</t>
  </si>
  <si>
    <t>JUICIO DE AMPARO</t>
  </si>
  <si>
    <t>2.6(a)(1)(iv)</t>
  </si>
  <si>
    <t>Application for registration, per international class (electronic filing, TEAS Plus application)</t>
  </si>
  <si>
    <t>2.6(a)(2)</t>
  </si>
  <si>
    <t>Filing an amendment to allege use under §1(c), per class</t>
  </si>
  <si>
    <t>2.6(a)(3)</t>
  </si>
  <si>
    <t>2.6(a)(4)</t>
  </si>
  <si>
    <t>2.6(a)(15)</t>
  </si>
  <si>
    <t>2.6(a)(19)</t>
  </si>
  <si>
    <t>Dividing an application, per new application (file wrapper) created</t>
  </si>
  <si>
    <t>2.6(a)(1)(v)</t>
  </si>
  <si>
    <t>Additional fee for application that doesn't meet TEAS Plus or TEAS RF filing requirements, per class</t>
  </si>
  <si>
    <t>2.6(a)(5)</t>
  </si>
  <si>
    <t>Application for renewal under §9, per class</t>
  </si>
  <si>
    <t>2.6(a)(6)</t>
  </si>
  <si>
    <t>Additional fee for filing renewal application during grace period, per class</t>
  </si>
  <si>
    <t>2.6(a)(21)</t>
  </si>
  <si>
    <t>Correcting a deficiency in a renewal application</t>
  </si>
  <si>
    <t>2.6(a)(12)</t>
  </si>
  <si>
    <t>Filing §8 affidavit, per class</t>
  </si>
  <si>
    <t>2.6(a)(14)</t>
  </si>
  <si>
    <t>Additional fee for filing §8 affidavit during grace period, per class</t>
  </si>
  <si>
    <t>2.6(a)(20)</t>
  </si>
  <si>
    <t>Correcting a deficiency in a §8 affidavit</t>
  </si>
  <si>
    <t>2.6(a)(13)</t>
  </si>
  <si>
    <t>Filing §15 affidavit, per class</t>
  </si>
  <si>
    <t>2.6(a)(7)</t>
  </si>
  <si>
    <t>Publication of mark under §12(c), per class</t>
  </si>
  <si>
    <t>2.6(a)(8)</t>
  </si>
  <si>
    <t>Issuing new certificate of registration</t>
  </si>
  <si>
    <t>2.6(a)(9)</t>
  </si>
  <si>
    <t>Certificate of correction, registrant's error</t>
  </si>
  <si>
    <t>2.6(a)(10)</t>
  </si>
  <si>
    <t>Filing disclaimer to registration</t>
  </si>
  <si>
    <t>2.6(a)(11)</t>
  </si>
  <si>
    <t>Filing amendment to registration</t>
  </si>
  <si>
    <t>2.6(a)(16)</t>
  </si>
  <si>
    <t>Petition for cancellation, per class</t>
  </si>
  <si>
    <t>2.6(a)(17)</t>
  </si>
  <si>
    <t>Notice of opposition, per class</t>
  </si>
  <si>
    <t>2.6(a)(18)</t>
  </si>
  <si>
    <t>Ex parte appeal, per class</t>
  </si>
  <si>
    <t>2.6(a)(22)</t>
  </si>
  <si>
    <t>Filing a request for an extension of time to file a notice of opposition under §2.102(c)(1)(ii) or (c)(2)</t>
  </si>
  <si>
    <t>2.6(a)(23)</t>
  </si>
  <si>
    <t>Filing a request for an extension of time to file a notice of opposition under §2.102(c)(3)</t>
  </si>
  <si>
    <t>Búsqueda Figurativa (logotipo)</t>
  </si>
  <si>
    <t>Estudio de Factibilidad Fonético o Figurativo</t>
  </si>
  <si>
    <t>Titulo de registro de Marca en EU</t>
  </si>
  <si>
    <t>Filing a statement of use under §1(d)(1), per class (DECLARACION DE USO A CLIENTES EN PROCESO DE REGISTRO)</t>
  </si>
  <si>
    <t>Filing a request for a six-month extension of time for filing a statement of use under §1(d)(1), per class (EXTENSION DE 6 MESES DE PLAZO PARA UN SOU A CLIENTES EN PROCESO DE REGISTRO)</t>
  </si>
  <si>
    <t>Filing a statement of use under §1(d)(1), per class (DECLARACION DE USO A CLIENTES QUE DEBEN HACERLO EN SU QUINTO AÑO)</t>
  </si>
  <si>
    <t>Filing a request for a six-month extension of time for filing a statement of use under §1(d)(1), per class (EXTENSION DE 6 MESES DE PLAZO PARA UN SOU A CLIENTES QUE DEBEN HACERLO EN SU QUINTO AÑO)</t>
  </si>
  <si>
    <t>Petitions to the Director (POR REVIVIR UN PROCESO DE REGISTRO)</t>
  </si>
  <si>
    <t>Contestación de Requisitos</t>
  </si>
  <si>
    <t>Contestación a Impedimentos y Anterioridades (A TRAVES DE DESPACHO EN EU Y DESCONTANDO SUS HONORARIOS)</t>
  </si>
  <si>
    <t>Programas computacionales, Softwares, APPs</t>
  </si>
  <si>
    <t>Cinematográfica y demás Obras Audiovisuales</t>
  </si>
  <si>
    <t>Literaria; Musical, con o sin Letra; Dramática; Danza; Pictórica o de Dibujo; Escultórica y de Carácter Plástico; Caricatura e Historieta; Arquitectónica; Programa de Radio y Televisión; Fotográfica; Obras de Arte Aplicado; Colecciones de Obras; y demás obras que por analogía puedan considerarse obras literarías o artísticas, se incluirán en la rama que les sea más afín a su naturaleza.</t>
  </si>
  <si>
    <t>Certificado de Registro de Obras</t>
  </si>
  <si>
    <t>Certificado de Reserva de Derechos al Uso Exclusivo para Personas o Grupos dedicados a Actividades Artísticas, Personajes Ficticios o Humanos de Caracterización y Promociones Publicitarias</t>
  </si>
  <si>
    <t>Dictamen Previo para Personajes Ficticios o Simbólicos, o Humanos de Caracterización, Promociones Publicitarias.</t>
  </si>
  <si>
    <t>CODIGO DE BARRAS (ingresos anuales hasta 500 mil)</t>
  </si>
  <si>
    <t>RENOVACION CODIGO DE BARRAS (ingresos anuales hasta 500 mil)</t>
  </si>
  <si>
    <t>CODIGO DE BARRAS (ingresos anuales arriba de 500 mil)</t>
  </si>
  <si>
    <t>RENOVACION CODIGO DE BARRAS (ingresos anuales arriba de 500 mil)</t>
  </si>
  <si>
    <t>CODIGO DE BARRAS</t>
  </si>
  <si>
    <t>HONORARIOS NETO</t>
  </si>
  <si>
    <t>FRANQUICIAS</t>
  </si>
  <si>
    <t>CONSULTORIA PARA PERFILAR UN NEGOCIO EN FRANQUICIA</t>
  </si>
  <si>
    <t>REP. LEGAL EN FIRMA DE CONTRATOS DE FRANQUICIA</t>
  </si>
  <si>
    <t>X</t>
  </si>
  <si>
    <t>20%/CI</t>
  </si>
  <si>
    <t>X PROYECTO</t>
  </si>
  <si>
    <t xml:space="preserve">*(1) PROYECTO LEGAL DE FRANQUICIA O LICENCIA DE USO Y PROGRAMA DE COMERCIALIZACIÓN </t>
  </si>
  <si>
    <t>*(2) CONSULTORIA DE FRANQUICIA EMPORIO LEGAL</t>
  </si>
  <si>
    <t>*(3) CONSULTORIA DE FRANQUICIA FEHER&amp;FEHER</t>
  </si>
  <si>
    <t>*(4) REP. COMERCIAL DE FRANQUICIA (TIENDA DE FRANQUICIAS) A SU VENTA</t>
  </si>
  <si>
    <t>*(5) VENTA DE FRANQUICIA O NEGOCIO (TIENDA DE FRANQUICIAS)</t>
  </si>
  <si>
    <t>Por la Declaracion de uso de Marca</t>
  </si>
  <si>
    <t>Renovacion de un Registro de Marca, Aviso o Nombre Comercial</t>
  </si>
  <si>
    <t>Titulo de Registro de Marca, Aviso o Nombre Comercial</t>
  </si>
  <si>
    <t>Marca, Aviso Comercial o Nombre Comercial (EN FISICO)</t>
  </si>
  <si>
    <t>Marca, Aviso Comercial o Nombre Comercial (EN LINEA)</t>
  </si>
  <si>
    <t>ESTUDIO DE FACTIBILIDAD (inicial figurativo o nominativo)</t>
  </si>
  <si>
    <t>ESTUDIO DE FACTIBILIDAD (complementario figurativo o nominativo)</t>
  </si>
  <si>
    <t>ESTUDIO DE FACTIBILIDAD (subsecuente) hasta maximo 3</t>
  </si>
  <si>
    <t>EF</t>
  </si>
  <si>
    <t>EFC</t>
  </si>
  <si>
    <t>EF(s)</t>
  </si>
  <si>
    <t>REGISTRO DE MARCA, AVISO O NOMBRE COMERCIAL</t>
  </si>
  <si>
    <t>RM</t>
  </si>
  <si>
    <t>TITULO DE MARCA, AVISO O NOMBRE COMERCIAL</t>
  </si>
  <si>
    <t>TITRM</t>
  </si>
  <si>
    <t>RENOVACION DE MARCA, AVISO O NOMBRE COMERCIAL</t>
  </si>
  <si>
    <t>REN</t>
  </si>
  <si>
    <t>DECLARACION DE USO DE MARCA, AVISO O NOMBRE COMERCIAL</t>
  </si>
  <si>
    <t>DUSO</t>
  </si>
  <si>
    <t>MARCA NOTORIAMENTE CONOCIDA</t>
  </si>
  <si>
    <t>MNC</t>
  </si>
  <si>
    <t>MARCA FAMOSA</t>
  </si>
  <si>
    <t>MF</t>
  </si>
  <si>
    <t>TITULO DE MARCA NOTORIAMENTE CONOCIDA</t>
  </si>
  <si>
    <t>TITMNC</t>
  </si>
  <si>
    <t>TITULO DE MARCA FAMOSA</t>
  </si>
  <si>
    <t>TITMF</t>
  </si>
  <si>
    <t>OP</t>
  </si>
  <si>
    <t>RM*</t>
  </si>
  <si>
    <t>COPIA CERTIFICADA DE TITULOS A COLOR</t>
  </si>
  <si>
    <t>CCERT</t>
  </si>
  <si>
    <t>CONTESTACION DE REQUERIMIENTOS  (para clientes de registro con nosotros)</t>
  </si>
  <si>
    <t>CR</t>
  </si>
  <si>
    <t>CONTESTACION DE ANTERIORIDADES  (para clientes de registro con nosotros)</t>
  </si>
  <si>
    <t>CANT</t>
  </si>
  <si>
    <t>CONTESTACION DE IMPEDIMENTO LEGAL (para clientes de registro con nosotros)</t>
  </si>
  <si>
    <t>CIMP</t>
  </si>
  <si>
    <t>CONTESTACION DE REQUERIMIENTOS (NO CLIENTES) (siempre proponer salvamento)</t>
  </si>
  <si>
    <t>CR*</t>
  </si>
  <si>
    <t>CONTESTACION DE ANTERIORIDADES (NO CLIENTES) (siempre proponer salvamento)</t>
  </si>
  <si>
    <t>CANT*</t>
  </si>
  <si>
    <t>CONTESTACION DE IMPEDIMENTO LEGAL  (NO CLIENTES) (siempre proponer salvamento)</t>
  </si>
  <si>
    <t>CIMP*</t>
  </si>
  <si>
    <t>PAGO POR REQUERIMIENTOS EN PLAZO ADICIONAL DE 2 MESES POR C/U</t>
  </si>
  <si>
    <t>PLAD</t>
  </si>
  <si>
    <t>TRANSMISION O CESION DE DERECHOS (incluye 1 signo distintivo)</t>
  </si>
  <si>
    <t>CDER</t>
  </si>
  <si>
    <t>INSCRIPCION DE LICENCIAS, REGLAS DE USO, CONTRATO DE FRANQUICIAS  (incluye 1 signo distintivo)</t>
  </si>
  <si>
    <t>INSCONT</t>
  </si>
  <si>
    <t>ACREDITAMIENTO O CAMBIO DE APODERADO LEGAL (para clientes que contraten algo mas y esto sea necesario)</t>
  </si>
  <si>
    <t>CAPO</t>
  </si>
  <si>
    <t>CAMBIO DE DOMICILIO SOCIAL O DEL TITULAR, CAMBIO DE APODERADO LEGAL</t>
  </si>
  <si>
    <t>CDOM</t>
  </si>
  <si>
    <t>ESTUDIO DE FACTIBILIDAD EN EU FONETICO O FIGURATIVO</t>
  </si>
  <si>
    <t>EFEU</t>
  </si>
  <si>
    <t>ESTUDIO DE FACTIBILIDAD EN EU FONETICO Y FIGURATIVO</t>
  </si>
  <si>
    <t>EFEUD</t>
  </si>
  <si>
    <t>ESTUDIO DE FACTIBILIDAD SUBSECUENTE (FONETICO O FIGURATIVO)</t>
  </si>
  <si>
    <t>EFEUS</t>
  </si>
  <si>
    <t>REGISTRO DE MARCA EN EU</t>
  </si>
  <si>
    <t>RMEU</t>
  </si>
  <si>
    <t>TITULO DE REGISTRO DE MARCA EN EU</t>
  </si>
  <si>
    <t>TITRMEU</t>
  </si>
  <si>
    <t>CONTESTACION DE REQUERIMIENTOS EN EU</t>
  </si>
  <si>
    <t>CREU</t>
  </si>
  <si>
    <t>CONTESTACION DE IMPEDIMENTOS Y ANTERIORIDADES EN EU (*hay que sumar los honorarios del despacho en EU)</t>
  </si>
  <si>
    <t>CANTEU</t>
  </si>
  <si>
    <t>DECLARACION DE USO A CLIENTES EN PROCESO DE REGISTRO (STATEMENT OF USE)</t>
  </si>
  <si>
    <t>SOU</t>
  </si>
  <si>
    <t>EXTENSION DE PLAZO 6 MESES A CLIENTES EN PROCESO DE REGISTRO</t>
  </si>
  <si>
    <t>EXTIME</t>
  </si>
  <si>
    <t>DECLARACION DE USO A CLIENTES EN SU 5o AÑO (STATEMENT OF USE)</t>
  </si>
  <si>
    <t>SOU5</t>
  </si>
  <si>
    <t>EXTENSION DE PLAZO 6 MESES A CLIENTES EN SU 5o AÑO</t>
  </si>
  <si>
    <t>EXTIME5</t>
  </si>
  <si>
    <t>REVIVIR PROCESO DE REGISTRO (Petitions to the Director)</t>
  </si>
  <si>
    <t>PTD</t>
  </si>
  <si>
    <t>BUSQUEDA TECNICA (micros, inventores Independientes, escuelas)</t>
  </si>
  <si>
    <t>BT</t>
  </si>
  <si>
    <t>PAT</t>
  </si>
  <si>
    <t>TITULO DE PATENTE</t>
  </si>
  <si>
    <t>TITPAT</t>
  </si>
  <si>
    <t>PATENTE (x proyecto)</t>
  </si>
  <si>
    <t xml:space="preserve">MODELO DE UTILIDAD </t>
  </si>
  <si>
    <t>MU</t>
  </si>
  <si>
    <t>ESQUEMAS DE TRAZADO DE CIRCUITOS INTEGRADOS (persona fisica)</t>
  </si>
  <si>
    <t>ETCIF</t>
  </si>
  <si>
    <t>DISEÑO INDUSTRIAL (microempresa persona física)</t>
  </si>
  <si>
    <t>DIMICROF</t>
  </si>
  <si>
    <t>DISEÑO INDUSTRIAL (pymes persona física)</t>
  </si>
  <si>
    <t>DIPYMEF</t>
  </si>
  <si>
    <t>ANUALIDADES DE DISEÑO INDUSTRIAL</t>
  </si>
  <si>
    <t>TITULO DISEÑO INDUSTRIAL (microempresa, pymes y macros persona física)</t>
  </si>
  <si>
    <t>TDIMICROF</t>
  </si>
  <si>
    <t>DISEÑO INDUSTRIAL (grandes y macro persona física)</t>
  </si>
  <si>
    <t>DIMACROF</t>
  </si>
  <si>
    <t>PNFRAN</t>
  </si>
  <si>
    <t>REPLCF</t>
  </si>
  <si>
    <t>PLFYC</t>
  </si>
  <si>
    <t>CFEL</t>
  </si>
  <si>
    <t>CF&amp;F</t>
  </si>
  <si>
    <t>REPFRAN</t>
  </si>
  <si>
    <t>VTAFRAN</t>
  </si>
  <si>
    <t>RO</t>
  </si>
  <si>
    <t>REGISTRO DE OBRA DE PROGRAMAS COMPUTACIONALES</t>
  </si>
  <si>
    <t>RPROG</t>
  </si>
  <si>
    <t>REGISTRO DE OBRAS AUDIOVISUALES</t>
  </si>
  <si>
    <t>ROA</t>
  </si>
  <si>
    <t>ENTREGA CERTIFICADO DE REGISTRO OBRAS</t>
  </si>
  <si>
    <t>CERTRO</t>
  </si>
  <si>
    <t>DICTAMEN PREVIO: PUBLICACIONES PERIODICAS Y NOMBRES ARTISTICOS</t>
  </si>
  <si>
    <t>DPPN</t>
  </si>
  <si>
    <t>DICTAMEN PREVIO: PERSONAJES FICTICIOS Y PROMOCIONES PUBLICITARIAS</t>
  </si>
  <si>
    <t>DPPP</t>
  </si>
  <si>
    <t>RESERVA DERECHOS: PUBLICACIONES Y DIFUSIONES PERIODICAS</t>
  </si>
  <si>
    <t>RDPD</t>
  </si>
  <si>
    <t>RENOVACION RESERVA DERECHOS: PUBLICACIONES Y DIFUSIONES PERIODICAS</t>
  </si>
  <si>
    <t>RENRDPD</t>
  </si>
  <si>
    <t>RESERVA DERECHOS: Nombres Artísticos, Personajes Ficticios y Promociones Publicitarias</t>
  </si>
  <si>
    <t>RDNPP</t>
  </si>
  <si>
    <t>ENTREGA CERTIFICADO RESERVA DERECHOS: Nombres Artísticos, Personajes Ficticios y Promociones Publicitarias</t>
  </si>
  <si>
    <t>CERTRD</t>
  </si>
  <si>
    <t>RENOVACION RESERVA DERECHOS: Nombres Artísticos, Personajes Ficticios y Promociones Publicitarias</t>
  </si>
  <si>
    <t>RENRDNPP</t>
  </si>
  <si>
    <t>CBAR(-500)</t>
  </si>
  <si>
    <t>RENCB(-500)</t>
  </si>
  <si>
    <t>CBAR(+500)</t>
  </si>
  <si>
    <t>RENCB(+500)</t>
  </si>
  <si>
    <t>SERVICIOS JURÍDICOS</t>
  </si>
  <si>
    <t>AVISO DE PRIVACIDAD</t>
  </si>
  <si>
    <t>AVP</t>
  </si>
  <si>
    <t>AUDITORÍA, MEDIOS Y PROCEDIMIENTOS X SECRETOS INDUSTRIALES</t>
  </si>
  <si>
    <t>AMPSI</t>
  </si>
  <si>
    <t>X PROYECTO (min. 6 hrs)</t>
  </si>
  <si>
    <t>20% sobre utilidad</t>
  </si>
  <si>
    <t>CONTRATOS DE CONFIDENCIALIDAD X SECRETOS INDUSTRIALES</t>
  </si>
  <si>
    <t>CCONF</t>
  </si>
  <si>
    <t>CONTRATOS LEGALES DE TRANSFERENCIA DE TECNOLOGÍA, REPRESENTACIÓN, LICENCIA, PROMISORIO, COLABORACION COMERCIAL, ADENDUMS O CUALQUIER TIPO DE CONTRATO</t>
  </si>
  <si>
    <t>CLEG</t>
  </si>
  <si>
    <t>CONTRATO DE OBRA POR ENCARGO</t>
  </si>
  <si>
    <t>COPE</t>
  </si>
  <si>
    <t>NOTIFICACIÓN EXTRAJUDICIAL POR INFRACCIÓN, NULIDAD, CANCELACION…</t>
  </si>
  <si>
    <t>NOTIF</t>
  </si>
  <si>
    <t>SOLICITUD DE DECLARACIÓN ADMINISTRATIVA DE INFRACCIÓN, NULIDAD, CADUCIDAD, CANCELACIÓN Y EN MATERIA DE COMERCIO</t>
  </si>
  <si>
    <t>SOLADM</t>
  </si>
  <si>
    <t>JUICIO DE NULIDAD ANTE EL TFJA VS RESOLUCION NEGATIVA DEL IMPI</t>
  </si>
  <si>
    <t>JNUL</t>
  </si>
  <si>
    <t>POR RESOLUCION FAVORABLE DE JUICIO DE NULIDAD ANTE EL TFJFA VS RESOLUCION NEGAVA DEL IMPI</t>
  </si>
  <si>
    <t>TITJNUL</t>
  </si>
  <si>
    <t>AMPARO VS RESOLUCION NEGATIVA DEL TFJA</t>
  </si>
  <si>
    <t>AMP</t>
  </si>
  <si>
    <t>POR RESOLUCION FAVORABLE DE AMPARO VS RESOLUCION NEGAVA DEL IMPI</t>
  </si>
  <si>
    <t>TITAMP</t>
  </si>
  <si>
    <t>COSTO POR HORA DE ALEGATOS EN NULIDAD O AMPARO POR NEGATIVA</t>
  </si>
  <si>
    <t>ALEG</t>
  </si>
  <si>
    <t>JUICIO CONTENCIOSO ADMINISTRATIVO ANTE EL TFJA</t>
  </si>
  <si>
    <t>JCADM</t>
  </si>
  <si>
    <t>JAMP</t>
  </si>
  <si>
    <t>JUICIO CIVIL (Daños y perjuicios, incumplimiento de contrato, etc)</t>
  </si>
  <si>
    <t>JCIL</t>
  </si>
  <si>
    <t>COSTO POR HORA DE HONORARIOS EN ASESORÍA O SERVICIOS JURIDICOS ESPECIALIZADOS EN PROPIEDAD INTELECTUAL</t>
  </si>
  <si>
    <t>HXHE</t>
  </si>
  <si>
    <t>COSTO POR HORA DE HONORARIOS EN ASESORÍA O SERVICIOS JURIDICOS GENERALES</t>
  </si>
  <si>
    <t>HXHG</t>
  </si>
  <si>
    <t>GESTIONES NOTARIALES</t>
  </si>
  <si>
    <t>GN</t>
  </si>
  <si>
    <t>30%/CT</t>
  </si>
  <si>
    <t>ISBN</t>
  </si>
  <si>
    <t>ISBN1</t>
  </si>
  <si>
    <t>INGENIERO ESPECIALISTA</t>
  </si>
  <si>
    <t>IE</t>
  </si>
  <si>
    <t>PAQUETERÍA</t>
  </si>
  <si>
    <t>PAQ</t>
  </si>
  <si>
    <t>TITMU</t>
  </si>
  <si>
    <t>TITULO DE MODELO DE UTILIDAD</t>
  </si>
  <si>
    <t>$100 x envio o $350 personal</t>
  </si>
  <si>
    <t>DIRECCION DEL REGISTRO PUBLICO  (todo + $300.00 de paqueteria)</t>
  </si>
  <si>
    <t>Marca, Aviso Comercial o Nombre Comercial (EN LINEA) mipymes</t>
  </si>
  <si>
    <t>RM(m)</t>
  </si>
  <si>
    <t>REN(m)</t>
  </si>
  <si>
    <t>Renovacion de un Registro de Marca, Aviso o Nombre Comercial (mipymes)</t>
  </si>
  <si>
    <t>Contestación de Requerimientos (mipymes)</t>
  </si>
  <si>
    <t>Contestación de Requerimientos (siempre proponer salvamento cuando no sean clientes)</t>
  </si>
  <si>
    <t>Contestación de Anterioridades (siempre proponer salvamento cuando no sean clientes)</t>
  </si>
  <si>
    <t>Contestación de Impedimentos (siempre proponer salvamento cuando no sean clientes)</t>
  </si>
  <si>
    <t>Contestación de Anterioridades (mipymes)</t>
  </si>
  <si>
    <t>Contestación de Impedimentos (mipymes)</t>
  </si>
  <si>
    <t>ANUPAT5</t>
  </si>
  <si>
    <t>ANUPAT10</t>
  </si>
  <si>
    <t>ANUPAT20</t>
  </si>
  <si>
    <r>
      <t xml:space="preserve">Solicitud de Patente (MICROS) (los honorarios son base y pueden variar) </t>
    </r>
    <r>
      <rPr>
        <b/>
        <sz val="10"/>
        <color indexed="10"/>
        <rFont val="Arial"/>
        <family val="2"/>
      </rPr>
      <t>falta sumar en honorarios costo de ingeniero especialista</t>
    </r>
  </si>
  <si>
    <r>
      <t xml:space="preserve">Solicitud de Patente (PYMES) (los honorarios son base y pueden variar) </t>
    </r>
    <r>
      <rPr>
        <b/>
        <sz val="10"/>
        <color indexed="10"/>
        <rFont val="Arial"/>
        <family val="2"/>
      </rPr>
      <t>falta sumar en honorarios costo de ingeniero especialista</t>
    </r>
  </si>
  <si>
    <r>
      <t>Solicitud de Patente (MACRO) (los honorarios son base y pueden variar)</t>
    </r>
    <r>
      <rPr>
        <b/>
        <sz val="10"/>
        <color indexed="10"/>
        <rFont val="Arial"/>
        <family val="2"/>
      </rPr>
      <t xml:space="preserve"> falta sumar en honorarios costo de ingeniero especialista</t>
    </r>
  </si>
  <si>
    <r>
      <t xml:space="preserve">Solicitud de Modelo de Utilidad (MICROS) (los honorarios son base y pueden variar)  </t>
    </r>
    <r>
      <rPr>
        <b/>
        <sz val="10"/>
        <color indexed="10"/>
        <rFont val="Arial"/>
        <family val="2"/>
      </rPr>
      <t>falta sumar en honorarios costo de ingeniero especialista</t>
    </r>
  </si>
  <si>
    <r>
      <t xml:space="preserve">Solicitud de Modelo de Utilidad (PYMES) (los honorarios son base y pueden variar)  </t>
    </r>
    <r>
      <rPr>
        <b/>
        <sz val="10"/>
        <color indexed="10"/>
        <rFont val="Arial"/>
        <family val="2"/>
      </rPr>
      <t>falta sumar en honorarios costo de ingeniero especialista</t>
    </r>
  </si>
  <si>
    <r>
      <t xml:space="preserve">Solicitud de Modelo de Utilidad (MACROS) (los honorarios son base y pueden variar)  </t>
    </r>
    <r>
      <rPr>
        <b/>
        <sz val="10"/>
        <color indexed="10"/>
        <rFont val="Arial"/>
        <family val="2"/>
      </rPr>
      <t>falta sumar en honorarios costo de ingeniero especialista</t>
    </r>
  </si>
  <si>
    <t>Analisis y opinion de Ingeniero Especialista</t>
  </si>
  <si>
    <t>CRPC</t>
  </si>
  <si>
    <t>CRPNC</t>
  </si>
  <si>
    <t>CANTPC</t>
  </si>
  <si>
    <t>CANTPNC</t>
  </si>
  <si>
    <t>DOR</t>
  </si>
  <si>
    <t>AUTDO</t>
  </si>
  <si>
    <t>IPDO</t>
  </si>
  <si>
    <t>ADMNC</t>
  </si>
  <si>
    <t>ADMF</t>
  </si>
  <si>
    <t>PANTPAT</t>
  </si>
  <si>
    <t>CTODPAT</t>
  </si>
  <si>
    <t>EFNODPAT</t>
  </si>
  <si>
    <t>EFNOEPAT</t>
  </si>
  <si>
    <t>EFNOEMU</t>
  </si>
  <si>
    <t>EFNODMU</t>
  </si>
  <si>
    <t>CRMC</t>
  </si>
  <si>
    <t>ANUALIDADES DE PATENTE</t>
  </si>
  <si>
    <t>DENOMINACION DE ORIGEN</t>
  </si>
  <si>
    <t>AUTORIZCION O RENOVACION DE DENOMINACION DE ORIGEN</t>
  </si>
  <si>
    <t>INSCRIPCION DE PERMISO DE DENOMINACION DE OROGEN</t>
  </si>
  <si>
    <t>CAMBIO DE TEXTO O DIBUJOS DE PATENTE</t>
  </si>
  <si>
    <t>ACTUALIZACION DE DECLARACION DE MARCA NOTORIAMENTE CONOCIDA</t>
  </si>
  <si>
    <t>ACTUALIZACION DE MARCA FAMOSA</t>
  </si>
  <si>
    <t>CIMPPC</t>
  </si>
  <si>
    <t>CIMPPNC</t>
  </si>
  <si>
    <r>
      <t xml:space="preserve">Contestacion de Anterioridades (CLIENTES) (los honorarios son base y pueden variar) </t>
    </r>
    <r>
      <rPr>
        <b/>
        <sz val="10"/>
        <color indexed="10"/>
        <rFont val="Arial"/>
        <family val="2"/>
      </rPr>
      <t>falta sumar en honorarios costo de ingeniero especialista</t>
    </r>
  </si>
  <si>
    <r>
      <t>Contestacion de Anterioridades (NO CLIENTES) (los honorarios son base y pueden variar)</t>
    </r>
    <r>
      <rPr>
        <b/>
        <sz val="10"/>
        <color indexed="10"/>
        <rFont val="Arial"/>
        <family val="2"/>
      </rPr>
      <t xml:space="preserve"> falta sumar en honorarios costo de ingeniero especialista</t>
    </r>
  </si>
  <si>
    <r>
      <t>Contestacion de Impedimentos Legales (CLIENTES) (los honorarios son base y pueden variar)</t>
    </r>
    <r>
      <rPr>
        <b/>
        <sz val="10"/>
        <color indexed="10"/>
        <rFont val="Arial"/>
        <family val="2"/>
      </rPr>
      <t xml:space="preserve"> falta sumar en honorarios costo de ingeniero especialista</t>
    </r>
  </si>
  <si>
    <r>
      <t>Contestacion de Impedimentos Legales (NO CLIENTES) (los honorarios son base y pueden variar)</t>
    </r>
    <r>
      <rPr>
        <b/>
        <sz val="10"/>
        <color indexed="10"/>
        <rFont val="Arial"/>
        <family val="2"/>
      </rPr>
      <t xml:space="preserve"> falta sumar en honorarios costo de ingeniero especialista</t>
    </r>
  </si>
  <si>
    <t>CRMNC</t>
  </si>
  <si>
    <t>CANTMC</t>
  </si>
  <si>
    <t>CANTMNC</t>
  </si>
  <si>
    <t>CIMPMC</t>
  </si>
  <si>
    <t>CIMPMNC</t>
  </si>
  <si>
    <t>ANUMC3</t>
  </si>
  <si>
    <t>ANUMC6</t>
  </si>
  <si>
    <t>ANUMC10</t>
  </si>
  <si>
    <t>ANUDI9</t>
  </si>
  <si>
    <t>ANUDI10</t>
  </si>
  <si>
    <t>ANUALIDADES DE MODELOS DE UTILIDAD Y CIRCUITOS INTEGRADOS</t>
  </si>
  <si>
    <t>CRDIC</t>
  </si>
  <si>
    <t>CRDINC</t>
  </si>
  <si>
    <t>CANTDIC</t>
  </si>
  <si>
    <t>CANTDINC</t>
  </si>
  <si>
    <t>CIMPDIC</t>
  </si>
  <si>
    <t>CIMPDINC</t>
  </si>
  <si>
    <t>LICOB</t>
  </si>
  <si>
    <t>REHAB</t>
  </si>
  <si>
    <t>TRANSPAT</t>
  </si>
  <si>
    <t>RECONS</t>
  </si>
  <si>
    <t>LICENCIA OBLIGATORIA O SU MODIFICACION</t>
  </si>
  <si>
    <t>REHABILITACION DE PATENTE CADUCA POR PAGO</t>
  </si>
  <si>
    <t>TRANSFORMACION DE PATENTE A MODELO DE UTILIDAD O DISEÑO, O VICEVERSA</t>
  </si>
  <si>
    <t>RECONSIDERACION CONTRAT NEGATIVA DE PATENTE</t>
  </si>
  <si>
    <t>COMISION VENTA Y GESTION</t>
  </si>
  <si>
    <t xml:space="preserve">Contestacion de Requisitos (NO CLIENTES) </t>
  </si>
  <si>
    <t xml:space="preserve">Contestacion de Requisitos (CLIENTES) </t>
  </si>
  <si>
    <t>TARIFARIO IMPI (actualizado JUNIO 2019)</t>
  </si>
  <si>
    <t>REGISTRO DE MARCA, AVISO O NOMBRE COMERCIAL (fisico)</t>
  </si>
  <si>
    <t>REGISTRO DE MARCA, AVISO O NOMBRE COMERCIAL (mipymes)</t>
  </si>
  <si>
    <t>RENOVACION DE MARCA, AVISO O NOMBRE COMERCIAL (mipymes)</t>
  </si>
  <si>
    <t>Descripcion detallada oficial</t>
  </si>
  <si>
    <t>DESCUENTO/ COMISION ALIADO</t>
  </si>
  <si>
    <t>DIRECCION DE RESERVAS DE DERECHO  (todo + $300.00 de paqueteria)</t>
  </si>
  <si>
    <t>Incluye: Solicitud ISBN y Registro en el Padron Nacional de Editores</t>
  </si>
  <si>
    <t>Certificado ISBN y Código de Barras</t>
  </si>
  <si>
    <t>ISBN2</t>
  </si>
  <si>
    <t>Constancia de registro en el Padrón Nacional de Editores. Es obligatoria si es la
primera vez que solicita un número ISBN. La solicitud de alta en el Padrón
Nacional de Editores y número ISBN se realizan conjuntamente, es por ello el
trámite debe solicita</t>
  </si>
  <si>
    <t>COMPROBACION VOLUNTARIA DE USO DE MARCA, AC O NC</t>
  </si>
  <si>
    <t>Comprobacion voluntaria cada 3 años cuando NO es obligatoria</t>
  </si>
  <si>
    <t>CUSO</t>
  </si>
  <si>
    <t>AC</t>
  </si>
  <si>
    <t>ANUDI</t>
  </si>
  <si>
    <t>ANUPAT</t>
  </si>
  <si>
    <t>BAR</t>
  </si>
  <si>
    <t>CBLFS</t>
  </si>
  <si>
    <t>DIMACROM</t>
  </si>
  <si>
    <t>DIMICROM</t>
  </si>
  <si>
    <t>DIPYMEM</t>
  </si>
  <si>
    <t>DUSO(R)</t>
  </si>
  <si>
    <t>EF(mixto)</t>
  </si>
  <si>
    <t>ETCIM</t>
  </si>
  <si>
    <t>LUSO</t>
  </si>
  <si>
    <t>NC</t>
  </si>
  <si>
    <t>NEG</t>
  </si>
  <si>
    <t>OFC</t>
  </si>
  <si>
    <t>OFD</t>
  </si>
  <si>
    <t>RENAC</t>
  </si>
  <si>
    <t>RENDUSO</t>
  </si>
  <si>
    <t>RENNC</t>
  </si>
  <si>
    <t>RMCAN</t>
  </si>
  <si>
    <t>TDIMICROM</t>
  </si>
  <si>
    <t>TITAC</t>
  </si>
  <si>
    <t>TITNC</t>
  </si>
  <si>
    <t>TITRENAC</t>
  </si>
  <si>
    <t>TITRENM</t>
  </si>
  <si>
    <t>TITRENNC</t>
  </si>
  <si>
    <t>TRAD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</si>
</sst>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8" formatCode="&quot;$&quot;#,##0.00;[Red]\-&quot;$&quot;#,##0.00"/>
    <numFmt numFmtId="44" formatCode="_-&quot;$&quot;* #,##0.00_-;\-&quot;$&quot;* #,##0.00_-;_-&quot;$&quot;* &quot;-&quot;??_-;_-@_-"/>
    <numFmt numFmtId="164" formatCode="&quot;$&quot;#,##0.00"/>
    <numFmt numFmtId="165" formatCode="0.0%"/>
    <numFmt numFmtId="166" formatCode="&quot;$&quot;#,##0"/>
  </numFmts>
  <fonts count="17" x14ac:knownFonts="1">
    <font>
      <sz val="10"/>
      <name val="Arial"/>
    </font>
    <font>
      <sz val="10"/>
      <name val="Arial"/>
    </font>
    <font>
      <b/>
      <sz val="10"/>
      <name val="Arial"/>
      <family val="2"/>
    </font>
    <font>
      <sz val="10"/>
      <name val="Arial"/>
      <family val="2"/>
    </font>
    <font>
      <sz val="10"/>
      <color indexed="12"/>
      <name val="Arial"/>
      <family val="2"/>
    </font>
    <font>
      <i/>
      <sz val="10"/>
      <name val="Arial"/>
      <family val="2"/>
    </font>
    <font>
      <b/>
      <i/>
      <sz val="10"/>
      <name val="Arial"/>
      <family val="2"/>
    </font>
    <font>
      <b/>
      <sz val="10"/>
      <name val="Arial"/>
      <family val="2"/>
    </font>
    <font>
      <b/>
      <sz val="10"/>
      <color indexed="10"/>
      <name val="Arial"/>
      <family val="2"/>
    </font>
    <font>
      <b/>
      <sz val="11"/>
      <color theme="1"/>
      <name val="Calibri"/>
      <family val="2"/>
      <scheme val="minor"/>
    </font>
    <font>
      <sz val="10"/>
      <color rgb="FFFF0000"/>
      <name val="Arial"/>
      <family val="2"/>
    </font>
    <font>
      <sz val="10"/>
      <color theme="1"/>
      <name val="Calibri"/>
      <family val="2"/>
      <scheme val="minor"/>
    </font>
    <font>
      <sz val="10"/>
      <color theme="1"/>
      <name val="Arial"/>
      <family val="2"/>
    </font>
    <font>
      <b/>
      <sz val="10"/>
      <color theme="1"/>
      <name val="Calibri"/>
      <family val="2"/>
      <scheme val="minor"/>
    </font>
    <font>
      <i/>
      <sz val="10"/>
      <color rgb="FFFF0000"/>
      <name val="Arial"/>
      <family val="2"/>
    </font>
    <font>
      <b/>
      <sz val="10"/>
      <color rgb="FFFF0000"/>
      <name val="Arial"/>
      <family val="2"/>
    </font>
    <font>
      <b/>
      <sz val="11"/>
      <name val="Calibri"/>
      <family val="2"/>
      <scheme val="minor"/>
    </font>
  </fonts>
  <fills count="17">
    <fill>
      <patternFill patternType="none"/>
    </fill>
    <fill>
      <patternFill patternType="gray125"/>
    </fill>
    <fill>
      <patternFill patternType="solid">
        <fgColor indexed="44"/>
        <bgColor indexed="64"/>
      </patternFill>
    </fill>
    <fill>
      <patternFill patternType="solid">
        <fgColor indexed="47"/>
        <bgColor indexed="64"/>
      </patternFill>
    </fill>
    <fill>
      <patternFill patternType="solid">
        <fgColor indexed="42"/>
        <bgColor indexed="64"/>
      </patternFill>
    </fill>
    <fill>
      <patternFill patternType="solid">
        <fgColor theme="4" tint="0.59999389629810485"/>
        <bgColor indexed="64"/>
      </patternFill>
    </fill>
    <fill>
      <patternFill patternType="solid">
        <fgColor theme="0"/>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rgb="FF92D050"/>
        <bgColor indexed="64"/>
      </patternFill>
    </fill>
    <fill>
      <patternFill patternType="solid">
        <fgColor theme="2" tint="-0.499984740745262"/>
        <bgColor indexed="64"/>
      </patternFill>
    </fill>
  </fills>
  <borders count="77">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diagonal/>
    </border>
    <border>
      <left style="thin">
        <color indexed="8"/>
      </left>
      <right style="thin">
        <color indexed="8"/>
      </right>
      <top style="medium">
        <color indexed="64"/>
      </top>
      <bottom style="thin">
        <color indexed="8"/>
      </bottom>
      <diagonal/>
    </border>
    <border>
      <left style="thin">
        <color indexed="8"/>
      </left>
      <right style="thin">
        <color indexed="8"/>
      </right>
      <top style="thin">
        <color indexed="8"/>
      </top>
      <bottom style="medium">
        <color indexed="64"/>
      </bottom>
      <diagonal/>
    </border>
    <border>
      <left style="thin">
        <color indexed="64"/>
      </left>
      <right style="thin">
        <color indexed="64"/>
      </right>
      <top style="thin">
        <color indexed="64"/>
      </top>
      <bottom/>
      <diagonal/>
    </border>
    <border>
      <left style="thin">
        <color indexed="8"/>
      </left>
      <right style="thin">
        <color indexed="8"/>
      </right>
      <top/>
      <bottom style="thin">
        <color indexed="8"/>
      </bottom>
      <diagonal/>
    </border>
    <border>
      <left style="thin">
        <color indexed="8"/>
      </left>
      <right style="medium">
        <color indexed="64"/>
      </right>
      <top/>
      <bottom style="thin">
        <color indexed="8"/>
      </bottom>
      <diagonal/>
    </border>
    <border>
      <left style="thin">
        <color indexed="8"/>
      </left>
      <right style="thin">
        <color indexed="8"/>
      </right>
      <top style="medium">
        <color indexed="64"/>
      </top>
      <bottom style="medium">
        <color indexed="64"/>
      </bottom>
      <diagonal/>
    </border>
    <border>
      <left style="thin">
        <color indexed="8"/>
      </left>
      <right style="medium">
        <color indexed="64"/>
      </right>
      <top style="medium">
        <color indexed="64"/>
      </top>
      <bottom style="medium">
        <color indexed="64"/>
      </bottom>
      <diagonal/>
    </border>
    <border>
      <left style="medium">
        <color indexed="64"/>
      </left>
      <right style="thin">
        <color indexed="8"/>
      </right>
      <top/>
      <bottom style="thin">
        <color indexed="8"/>
      </bottom>
      <diagonal/>
    </border>
    <border>
      <left style="medium">
        <color indexed="64"/>
      </left>
      <right style="thin">
        <color indexed="8"/>
      </right>
      <top style="thin">
        <color indexed="8"/>
      </top>
      <bottom style="thin">
        <color indexed="8"/>
      </bottom>
      <diagonal/>
    </border>
    <border>
      <left style="medium">
        <color indexed="64"/>
      </left>
      <right style="thin">
        <color indexed="8"/>
      </right>
      <top style="thin">
        <color indexed="8"/>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8"/>
      </right>
      <top style="medium">
        <color indexed="64"/>
      </top>
      <bottom style="thin">
        <color indexed="8"/>
      </bottom>
      <diagonal/>
    </border>
    <border>
      <left style="medium">
        <color indexed="64"/>
      </left>
      <right style="thin">
        <color indexed="8"/>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8"/>
      </left>
      <right style="medium">
        <color indexed="64"/>
      </right>
      <top style="medium">
        <color indexed="64"/>
      </top>
      <bottom style="thin">
        <color indexed="8"/>
      </bottom>
      <diagonal/>
    </border>
    <border>
      <left style="thin">
        <color indexed="8"/>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8"/>
      </right>
      <top/>
      <bottom style="medium">
        <color indexed="64"/>
      </bottom>
      <diagonal/>
    </border>
    <border>
      <left style="thin">
        <color indexed="8"/>
      </left>
      <right style="thin">
        <color indexed="8"/>
      </right>
      <top/>
      <bottom style="medium">
        <color indexed="64"/>
      </bottom>
      <diagonal/>
    </border>
    <border>
      <left style="medium">
        <color indexed="64"/>
      </left>
      <right style="thin">
        <color indexed="8"/>
      </right>
      <top/>
      <bottom/>
      <diagonal/>
    </border>
    <border>
      <left style="medium">
        <color indexed="64"/>
      </left>
      <right/>
      <top style="medium">
        <color indexed="64"/>
      </top>
      <bottom/>
      <diagonal/>
    </border>
    <border>
      <left style="thin">
        <color indexed="8"/>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bottom/>
      <diagonal/>
    </border>
    <border>
      <left style="thin">
        <color indexed="8"/>
      </left>
      <right/>
      <top style="thin">
        <color indexed="8"/>
      </top>
      <bottom style="thin">
        <color indexed="8"/>
      </bottom>
      <diagonal/>
    </border>
    <border>
      <left style="thin">
        <color indexed="8"/>
      </left>
      <right/>
      <top/>
      <bottom style="thin">
        <color indexed="8"/>
      </bottom>
      <diagonal/>
    </border>
    <border>
      <left style="medium">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8"/>
      </left>
      <right/>
      <top/>
      <bottom/>
      <diagonal/>
    </border>
    <border>
      <left style="thin">
        <color indexed="64"/>
      </left>
      <right style="thin">
        <color indexed="64"/>
      </right>
      <top/>
      <bottom/>
      <diagonal/>
    </border>
    <border>
      <left/>
      <right style="thin">
        <color indexed="8"/>
      </right>
      <top style="thin">
        <color indexed="8"/>
      </top>
      <bottom style="thin">
        <color indexed="8"/>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thin">
        <color indexed="64"/>
      </top>
      <bottom/>
      <diagonal/>
    </border>
    <border>
      <left/>
      <right style="thin">
        <color indexed="64"/>
      </right>
      <top style="medium">
        <color indexed="64"/>
      </top>
      <bottom style="thin">
        <color indexed="64"/>
      </bottom>
      <diagonal/>
    </border>
    <border>
      <left/>
      <right style="thin">
        <color indexed="64"/>
      </right>
      <top style="medium">
        <color indexed="64"/>
      </top>
      <bottom/>
      <diagonal/>
    </border>
    <border>
      <left style="medium">
        <color indexed="64"/>
      </left>
      <right/>
      <top/>
      <bottom style="thin">
        <color indexed="8"/>
      </bottom>
      <diagonal/>
    </border>
    <border>
      <left/>
      <right style="thin">
        <color indexed="8"/>
      </right>
      <top/>
      <bottom style="thin">
        <color indexed="8"/>
      </bottom>
      <diagonal/>
    </border>
    <border>
      <left style="medium">
        <color indexed="64"/>
      </left>
      <right/>
      <top/>
      <bottom style="medium">
        <color indexed="64"/>
      </bottom>
      <diagonal/>
    </border>
    <border>
      <left style="medium">
        <color indexed="64"/>
      </left>
      <right/>
      <top/>
      <bottom/>
      <diagonal/>
    </border>
    <border>
      <left style="thin">
        <color indexed="8"/>
      </left>
      <right style="medium">
        <color indexed="64"/>
      </right>
      <top/>
      <bottom/>
      <diagonal/>
    </border>
    <border>
      <left/>
      <right style="medium">
        <color indexed="64"/>
      </right>
      <top/>
      <bottom style="thin">
        <color indexed="8"/>
      </bottom>
      <diagonal/>
    </border>
    <border>
      <left/>
      <right style="medium">
        <color indexed="64"/>
      </right>
      <top/>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s>
  <cellStyleXfs count="2">
    <xf numFmtId="0" fontId="0" fillId="0" borderId="0"/>
    <xf numFmtId="44" fontId="1" fillId="0" borderId="0" applyFont="0" applyFill="0" applyBorder="0" applyAlignment="0" applyProtection="0"/>
  </cellStyleXfs>
  <cellXfs count="344">
    <xf numFmtId="0" fontId="0" fillId="0" borderId="0" xfId="0"/>
    <xf numFmtId="0" fontId="3" fillId="0" borderId="1" xfId="0" applyFont="1" applyBorder="1" applyAlignment="1">
      <alignment vertical="top" wrapText="1"/>
    </xf>
    <xf numFmtId="4" fontId="3" fillId="0" borderId="1" xfId="0" applyNumberFormat="1" applyFont="1" applyBorder="1" applyAlignment="1">
      <alignment horizontal="right" vertical="top" wrapText="1"/>
    </xf>
    <xf numFmtId="0" fontId="2" fillId="0" borderId="0" xfId="0" applyFont="1"/>
    <xf numFmtId="0" fontId="3" fillId="0" borderId="2" xfId="0" applyFont="1" applyBorder="1" applyAlignment="1">
      <alignment vertical="top" wrapText="1"/>
    </xf>
    <xf numFmtId="4" fontId="3" fillId="0" borderId="2" xfId="0" applyNumberFormat="1" applyFont="1" applyBorder="1" applyAlignment="1">
      <alignment horizontal="right" vertical="top" wrapText="1"/>
    </xf>
    <xf numFmtId="0" fontId="2" fillId="0" borderId="0" xfId="0" applyFont="1" applyBorder="1" applyAlignment="1">
      <alignment horizontal="center" vertical="top" wrapText="1"/>
    </xf>
    <xf numFmtId="0" fontId="3" fillId="0" borderId="3" xfId="0" applyFont="1" applyBorder="1" applyAlignment="1">
      <alignment vertical="top" wrapText="1"/>
    </xf>
    <xf numFmtId="4" fontId="5" fillId="0" borderId="1" xfId="0" applyNumberFormat="1" applyFont="1" applyBorder="1" applyAlignment="1">
      <alignment horizontal="right" vertical="top" wrapText="1"/>
    </xf>
    <xf numFmtId="4" fontId="5" fillId="0" borderId="2" xfId="0" applyNumberFormat="1" applyFont="1" applyBorder="1" applyAlignment="1">
      <alignment horizontal="right" vertical="top" wrapText="1"/>
    </xf>
    <xf numFmtId="0" fontId="3" fillId="0" borderId="4" xfId="0" applyFont="1" applyBorder="1" applyAlignment="1">
      <alignment vertical="top" wrapText="1"/>
    </xf>
    <xf numFmtId="4" fontId="5" fillId="0" borderId="4" xfId="0" applyNumberFormat="1" applyFont="1" applyBorder="1" applyAlignment="1">
      <alignment horizontal="right" vertical="top" wrapText="1"/>
    </xf>
    <xf numFmtId="0" fontId="3" fillId="0" borderId="5" xfId="0" applyFont="1" applyBorder="1" applyAlignment="1">
      <alignment vertical="top" wrapText="1"/>
    </xf>
    <xf numFmtId="0" fontId="3" fillId="0" borderId="6" xfId="0" applyFont="1" applyBorder="1" applyAlignment="1">
      <alignment vertical="top" wrapText="1"/>
    </xf>
    <xf numFmtId="0" fontId="3" fillId="0" borderId="7" xfId="0" applyFont="1" applyBorder="1" applyAlignment="1">
      <alignment vertical="top" wrapText="1"/>
    </xf>
    <xf numFmtId="4" fontId="5" fillId="0" borderId="7" xfId="0" applyNumberFormat="1" applyFont="1" applyBorder="1" applyAlignment="1">
      <alignment horizontal="right" vertical="top" wrapText="1"/>
    </xf>
    <xf numFmtId="4" fontId="5" fillId="0" borderId="8" xfId="0" applyNumberFormat="1" applyFont="1" applyBorder="1" applyAlignment="1">
      <alignment horizontal="right" vertical="top" wrapText="1"/>
    </xf>
    <xf numFmtId="4" fontId="2" fillId="2" borderId="9" xfId="0" applyNumberFormat="1" applyFont="1" applyFill="1" applyBorder="1" applyAlignment="1">
      <alignment horizontal="center" vertical="top" wrapText="1"/>
    </xf>
    <xf numFmtId="4" fontId="2" fillId="2" borderId="10" xfId="0" applyNumberFormat="1" applyFont="1" applyFill="1" applyBorder="1" applyAlignment="1">
      <alignment horizontal="center" vertical="top" wrapText="1"/>
    </xf>
    <xf numFmtId="0" fontId="3" fillId="0" borderId="11" xfId="0" applyFont="1" applyBorder="1" applyAlignment="1">
      <alignment horizontal="left" vertical="top" wrapText="1"/>
    </xf>
    <xf numFmtId="0" fontId="3" fillId="0" borderId="12" xfId="0" applyFont="1" applyBorder="1" applyAlignment="1">
      <alignment horizontal="left" vertical="top" wrapText="1"/>
    </xf>
    <xf numFmtId="0" fontId="3" fillId="0" borderId="13" xfId="0" applyFont="1" applyBorder="1" applyAlignment="1">
      <alignment horizontal="left" vertical="top" wrapText="1"/>
    </xf>
    <xf numFmtId="0" fontId="3" fillId="0" borderId="14" xfId="0" applyFont="1" applyBorder="1" applyAlignment="1">
      <alignment horizontal="left" vertical="top" wrapText="1"/>
    </xf>
    <xf numFmtId="0" fontId="3" fillId="0" borderId="15" xfId="0" applyFont="1" applyBorder="1" applyAlignment="1">
      <alignment horizontal="left" vertical="top" wrapText="1"/>
    </xf>
    <xf numFmtId="0" fontId="3" fillId="0" borderId="16" xfId="0" applyFont="1" applyBorder="1" applyAlignment="1">
      <alignment horizontal="left" vertical="top" wrapText="1"/>
    </xf>
    <xf numFmtId="0" fontId="3" fillId="0" borderId="17" xfId="0" applyFont="1" applyBorder="1" applyAlignment="1">
      <alignment horizontal="left" vertical="top" wrapText="1"/>
    </xf>
    <xf numFmtId="0" fontId="3" fillId="0" borderId="18" xfId="0" applyFont="1" applyBorder="1" applyAlignment="1">
      <alignment horizontal="left" vertical="top" wrapText="1"/>
    </xf>
    <xf numFmtId="0" fontId="3" fillId="0" borderId="0" xfId="0" applyFont="1" applyBorder="1" applyAlignment="1">
      <alignment horizontal="left" vertical="top" wrapText="1"/>
    </xf>
    <xf numFmtId="0" fontId="2" fillId="2" borderId="19" xfId="0" applyFont="1" applyFill="1" applyBorder="1" applyAlignment="1">
      <alignment horizontal="left" vertical="top" wrapText="1"/>
    </xf>
    <xf numFmtId="0" fontId="3" fillId="0" borderId="2" xfId="0" applyFont="1" applyBorder="1" applyAlignment="1">
      <alignment horizontal="left" vertical="top" wrapText="1"/>
    </xf>
    <xf numFmtId="4" fontId="3" fillId="0" borderId="20" xfId="0" applyNumberFormat="1" applyFont="1" applyBorder="1" applyAlignment="1">
      <alignment horizontal="right" vertical="top" wrapText="1"/>
    </xf>
    <xf numFmtId="4" fontId="3" fillId="0" borderId="21" xfId="0" applyNumberFormat="1" applyFont="1" applyBorder="1" applyAlignment="1">
      <alignment horizontal="right" vertical="top" wrapText="1"/>
    </xf>
    <xf numFmtId="0" fontId="3" fillId="0" borderId="0" xfId="0" applyFont="1" applyAlignment="1">
      <alignment horizontal="left"/>
    </xf>
    <xf numFmtId="0" fontId="3" fillId="0" borderId="0" xfId="0" applyFont="1"/>
    <xf numFmtId="4" fontId="3" fillId="0" borderId="0" xfId="0" applyNumberFormat="1" applyFont="1"/>
    <xf numFmtId="0" fontId="3" fillId="0" borderId="0" xfId="0" applyFont="1" applyAlignment="1">
      <alignment horizontal="right"/>
    </xf>
    <xf numFmtId="0" fontId="3" fillId="0" borderId="0" xfId="0" applyFont="1" applyBorder="1"/>
    <xf numFmtId="4" fontId="5" fillId="0" borderId="22" xfId="0" applyNumberFormat="1" applyFont="1" applyBorder="1" applyAlignment="1">
      <alignment horizontal="right" vertical="top" wrapText="1"/>
    </xf>
    <xf numFmtId="4" fontId="5" fillId="0" borderId="23" xfId="0" applyNumberFormat="1" applyFont="1" applyBorder="1" applyAlignment="1">
      <alignment horizontal="right" vertical="top" wrapText="1"/>
    </xf>
    <xf numFmtId="4" fontId="5" fillId="0" borderId="20" xfId="0" applyNumberFormat="1" applyFont="1" applyBorder="1" applyAlignment="1">
      <alignment horizontal="right" vertical="top" wrapText="1"/>
    </xf>
    <xf numFmtId="0" fontId="3" fillId="0" borderId="21" xfId="0" applyFont="1" applyBorder="1" applyAlignment="1">
      <alignment vertical="top" wrapText="1"/>
    </xf>
    <xf numFmtId="8" fontId="3" fillId="0" borderId="2" xfId="0" applyNumberFormat="1" applyFont="1" applyBorder="1" applyAlignment="1">
      <alignment horizontal="right" vertical="top" wrapText="1"/>
    </xf>
    <xf numFmtId="0" fontId="3" fillId="0" borderId="6" xfId="0" applyFont="1" applyBorder="1" applyAlignment="1">
      <alignment horizontal="left" vertical="top" wrapText="1"/>
    </xf>
    <xf numFmtId="0" fontId="3" fillId="0" borderId="20" xfId="0" applyFont="1" applyBorder="1" applyAlignment="1">
      <alignment horizontal="left" vertical="top" wrapText="1"/>
    </xf>
    <xf numFmtId="0" fontId="3" fillId="0" borderId="20" xfId="0" applyFont="1" applyBorder="1" applyAlignment="1">
      <alignment vertical="top" wrapText="1"/>
    </xf>
    <xf numFmtId="8" fontId="3" fillId="0" borderId="6" xfId="0" applyNumberFormat="1" applyFont="1" applyBorder="1" applyAlignment="1">
      <alignment horizontal="right" vertical="top" wrapText="1"/>
    </xf>
    <xf numFmtId="8" fontId="3" fillId="0" borderId="20" xfId="0" applyNumberFormat="1" applyFont="1" applyBorder="1" applyAlignment="1">
      <alignment horizontal="right" vertical="top" wrapText="1"/>
    </xf>
    <xf numFmtId="0" fontId="3" fillId="0" borderId="24" xfId="0" applyFont="1" applyBorder="1" applyAlignment="1">
      <alignment horizontal="left" vertical="top" wrapText="1"/>
    </xf>
    <xf numFmtId="0" fontId="3" fillId="0" borderId="25" xfId="0" applyFont="1" applyBorder="1" applyAlignment="1">
      <alignment vertical="top" wrapText="1"/>
    </xf>
    <xf numFmtId="4" fontId="5" fillId="0" borderId="5" xfId="0" applyNumberFormat="1" applyFont="1" applyBorder="1" applyAlignment="1">
      <alignment horizontal="right" vertical="top" wrapText="1"/>
    </xf>
    <xf numFmtId="0" fontId="2" fillId="0" borderId="25" xfId="0" applyFont="1" applyBorder="1" applyAlignment="1">
      <alignment vertical="top" wrapText="1"/>
    </xf>
    <xf numFmtId="0" fontId="7" fillId="0" borderId="0" xfId="0" applyNumberFormat="1" applyFont="1" applyAlignment="1">
      <alignment vertical="top" wrapText="1"/>
    </xf>
    <xf numFmtId="0" fontId="0" fillId="0" borderId="0" xfId="0" applyNumberFormat="1" applyAlignment="1">
      <alignment vertical="top" wrapText="1"/>
    </xf>
    <xf numFmtId="0" fontId="0" fillId="0" borderId="26" xfId="0" applyNumberFormat="1" applyBorder="1" applyAlignment="1">
      <alignment vertical="top" wrapText="1"/>
    </xf>
    <xf numFmtId="0" fontId="0" fillId="0" borderId="27" xfId="0" applyNumberFormat="1" applyBorder="1" applyAlignment="1">
      <alignment vertical="top" wrapText="1"/>
    </xf>
    <xf numFmtId="0" fontId="7"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27" xfId="0" applyNumberFormat="1" applyBorder="1" applyAlignment="1">
      <alignment horizontal="center" vertical="top" wrapText="1"/>
    </xf>
    <xf numFmtId="0" fontId="0" fillId="0" borderId="28" xfId="0" applyNumberFormat="1" applyBorder="1" applyAlignment="1">
      <alignment horizontal="center" vertical="top" wrapText="1"/>
    </xf>
    <xf numFmtId="0" fontId="2" fillId="5" borderId="29" xfId="0" applyFont="1" applyFill="1" applyBorder="1" applyAlignment="1">
      <alignment horizontal="center" wrapText="1"/>
    </xf>
    <xf numFmtId="0" fontId="3" fillId="0" borderId="30" xfId="0" applyFont="1" applyBorder="1" applyAlignment="1">
      <alignment horizontal="left" vertical="top" wrapText="1"/>
    </xf>
    <xf numFmtId="0" fontId="3" fillId="0" borderId="19" xfId="0" applyFont="1" applyBorder="1" applyAlignment="1">
      <alignment horizontal="left" vertical="top" wrapText="1"/>
    </xf>
    <xf numFmtId="0" fontId="3" fillId="0" borderId="31" xfId="0" applyFont="1" applyBorder="1" applyAlignment="1">
      <alignment horizontal="left" vertical="top" wrapText="1"/>
    </xf>
    <xf numFmtId="0" fontId="2" fillId="0" borderId="32" xfId="0" applyFont="1" applyBorder="1" applyAlignment="1">
      <alignment vertical="top" wrapText="1"/>
    </xf>
    <xf numFmtId="0" fontId="2" fillId="0" borderId="2" xfId="0" applyFont="1" applyBorder="1" applyAlignment="1">
      <alignment vertical="top" wrapText="1"/>
    </xf>
    <xf numFmtId="0" fontId="3" fillId="0" borderId="33" xfId="0" applyFont="1" applyBorder="1" applyAlignment="1">
      <alignment horizontal="left" vertical="top" wrapText="1"/>
    </xf>
    <xf numFmtId="4" fontId="2" fillId="2" borderId="34" xfId="0" applyNumberFormat="1" applyFont="1" applyFill="1" applyBorder="1" applyAlignment="1">
      <alignment horizontal="center" vertical="top" wrapText="1"/>
    </xf>
    <xf numFmtId="4" fontId="2" fillId="2" borderId="35" xfId="0" applyNumberFormat="1" applyFont="1" applyFill="1" applyBorder="1" applyAlignment="1">
      <alignment horizontal="center" vertical="top" wrapText="1"/>
    </xf>
    <xf numFmtId="0" fontId="3" fillId="0" borderId="24" xfId="0" applyFont="1" applyBorder="1"/>
    <xf numFmtId="0" fontId="3" fillId="0" borderId="36" xfId="0" applyFont="1" applyBorder="1"/>
    <xf numFmtId="0" fontId="3" fillId="0" borderId="14" xfId="0" applyFont="1" applyBorder="1"/>
    <xf numFmtId="0" fontId="3" fillId="0" borderId="37" xfId="0" applyFont="1" applyBorder="1"/>
    <xf numFmtId="0" fontId="3" fillId="0" borderId="15" xfId="0" applyFont="1" applyBorder="1"/>
    <xf numFmtId="0" fontId="3" fillId="0" borderId="38" xfId="0" applyFont="1" applyBorder="1"/>
    <xf numFmtId="0" fontId="3" fillId="0" borderId="39" xfId="0" applyFont="1" applyBorder="1" applyAlignment="1">
      <alignment horizontal="left" vertical="top" wrapText="1"/>
    </xf>
    <xf numFmtId="4" fontId="3" fillId="0" borderId="5" xfId="0" applyNumberFormat="1" applyFont="1" applyBorder="1" applyAlignment="1">
      <alignment horizontal="right" vertical="top" wrapText="1"/>
    </xf>
    <xf numFmtId="0" fontId="3" fillId="0" borderId="0" xfId="0" applyFont="1" applyFill="1"/>
    <xf numFmtId="4" fontId="3" fillId="0" borderId="2" xfId="0" applyNumberFormat="1" applyFont="1" applyBorder="1"/>
    <xf numFmtId="0" fontId="3" fillId="6" borderId="2" xfId="0" applyFont="1" applyFill="1" applyBorder="1" applyAlignment="1">
      <alignment horizontal="left" vertical="top" wrapText="1"/>
    </xf>
    <xf numFmtId="9" fontId="3" fillId="0" borderId="2" xfId="0" applyNumberFormat="1" applyFont="1" applyBorder="1" applyAlignment="1">
      <alignment horizontal="right" vertical="top" wrapText="1"/>
    </xf>
    <xf numFmtId="4" fontId="3" fillId="0" borderId="2" xfId="0" applyNumberFormat="1" applyFont="1" applyFill="1" applyBorder="1" applyAlignment="1">
      <alignment horizontal="right" vertical="top" wrapText="1"/>
    </xf>
    <xf numFmtId="10" fontId="3" fillId="0" borderId="2" xfId="0" applyNumberFormat="1" applyFont="1" applyBorder="1" applyAlignment="1">
      <alignment horizontal="right" vertical="top" wrapText="1"/>
    </xf>
    <xf numFmtId="10" fontId="3" fillId="0" borderId="0" xfId="0" applyNumberFormat="1" applyFont="1"/>
    <xf numFmtId="10" fontId="3" fillId="0" borderId="0" xfId="0" applyNumberFormat="1" applyFont="1" applyBorder="1"/>
    <xf numFmtId="8" fontId="3" fillId="0" borderId="2" xfId="0" applyNumberFormat="1" applyFont="1" applyFill="1" applyBorder="1" applyAlignment="1">
      <alignment horizontal="right" vertical="top" wrapText="1"/>
    </xf>
    <xf numFmtId="4" fontId="3" fillId="0" borderId="20" xfId="0" applyNumberFormat="1" applyFont="1" applyFill="1" applyBorder="1" applyAlignment="1">
      <alignment horizontal="right" vertical="top" wrapText="1"/>
    </xf>
    <xf numFmtId="4" fontId="3" fillId="0" borderId="25" xfId="0" applyNumberFormat="1" applyFont="1" applyFill="1" applyBorder="1" applyAlignment="1">
      <alignment horizontal="right" vertical="top" wrapText="1"/>
    </xf>
    <xf numFmtId="4" fontId="3" fillId="0" borderId="21" xfId="0" applyNumberFormat="1" applyFont="1" applyFill="1" applyBorder="1" applyAlignment="1">
      <alignment horizontal="right" vertical="top" wrapText="1"/>
    </xf>
    <xf numFmtId="0" fontId="3" fillId="0" borderId="2" xfId="0" applyFont="1" applyFill="1" applyBorder="1" applyAlignment="1">
      <alignment horizontal="left" vertical="top" wrapText="1"/>
    </xf>
    <xf numFmtId="0" fontId="3" fillId="0" borderId="2" xfId="0" applyFont="1" applyFill="1" applyBorder="1" applyAlignment="1">
      <alignment vertical="top" wrapText="1"/>
    </xf>
    <xf numFmtId="0" fontId="2" fillId="2" borderId="40" xfId="0" applyFont="1" applyFill="1" applyBorder="1" applyAlignment="1">
      <alignment horizontal="left" vertical="top" wrapText="1"/>
    </xf>
    <xf numFmtId="4" fontId="2" fillId="2" borderId="40" xfId="0" applyNumberFormat="1" applyFont="1" applyFill="1" applyBorder="1" applyAlignment="1">
      <alignment horizontal="center" vertical="top" wrapText="1"/>
    </xf>
    <xf numFmtId="4" fontId="2" fillId="2" borderId="6" xfId="0" applyNumberFormat="1" applyFont="1" applyFill="1" applyBorder="1" applyAlignment="1">
      <alignment horizontal="center" vertical="top" wrapText="1"/>
    </xf>
    <xf numFmtId="10" fontId="2" fillId="2" borderId="6" xfId="0" applyNumberFormat="1" applyFont="1" applyFill="1" applyBorder="1" applyAlignment="1">
      <alignment horizontal="center" vertical="top" wrapText="1"/>
    </xf>
    <xf numFmtId="0" fontId="3" fillId="0" borderId="2" xfId="0" applyFont="1" applyBorder="1"/>
    <xf numFmtId="4" fontId="5" fillId="0" borderId="41" xfId="0" applyNumberFormat="1" applyFont="1" applyBorder="1" applyAlignment="1">
      <alignment horizontal="right" vertical="top" wrapText="1"/>
    </xf>
    <xf numFmtId="4" fontId="5" fillId="0" borderId="42" xfId="0" applyNumberFormat="1" applyFont="1" applyBorder="1" applyAlignment="1">
      <alignment horizontal="right" vertical="top" wrapText="1"/>
    </xf>
    <xf numFmtId="0" fontId="3" fillId="0" borderId="43" xfId="0" applyFont="1" applyBorder="1" applyAlignment="1">
      <alignment horizontal="left" vertical="top" wrapText="1"/>
    </xf>
    <xf numFmtId="0" fontId="3" fillId="6" borderId="20" xfId="0" applyFont="1" applyFill="1" applyBorder="1" applyAlignment="1">
      <alignment horizontal="left" vertical="top" wrapText="1"/>
    </xf>
    <xf numFmtId="4" fontId="3" fillId="0" borderId="20" xfId="0" applyNumberFormat="1" applyFont="1" applyBorder="1"/>
    <xf numFmtId="4" fontId="2" fillId="2" borderId="44" xfId="0" applyNumberFormat="1" applyFont="1" applyFill="1" applyBorder="1" applyAlignment="1">
      <alignment horizontal="center" vertical="top" wrapText="1"/>
    </xf>
    <xf numFmtId="10" fontId="2" fillId="2" borderId="44" xfId="0" applyNumberFormat="1" applyFont="1" applyFill="1" applyBorder="1" applyAlignment="1">
      <alignment horizontal="center" vertical="top" wrapText="1"/>
    </xf>
    <xf numFmtId="4" fontId="2" fillId="2" borderId="45" xfId="0" applyNumberFormat="1" applyFont="1" applyFill="1" applyBorder="1" applyAlignment="1">
      <alignment horizontal="center" vertical="top" wrapText="1"/>
    </xf>
    <xf numFmtId="4" fontId="3" fillId="0" borderId="2" xfId="0" applyNumberFormat="1" applyFont="1" applyFill="1" applyBorder="1" applyAlignment="1">
      <alignment vertical="top"/>
    </xf>
    <xf numFmtId="4" fontId="3" fillId="0" borderId="6" xfId="0" applyNumberFormat="1" applyFont="1" applyFill="1" applyBorder="1" applyAlignment="1">
      <alignment vertical="top"/>
    </xf>
    <xf numFmtId="4" fontId="3" fillId="0" borderId="20" xfId="0" applyNumberFormat="1" applyFont="1" applyFill="1" applyBorder="1" applyAlignment="1">
      <alignment vertical="top"/>
    </xf>
    <xf numFmtId="4" fontId="10" fillId="0" borderId="6" xfId="0" applyNumberFormat="1" applyFont="1" applyBorder="1" applyAlignment="1">
      <alignment horizontal="right" vertical="top" wrapText="1"/>
    </xf>
    <xf numFmtId="8" fontId="3" fillId="0" borderId="20" xfId="0" applyNumberFormat="1" applyFont="1" applyFill="1" applyBorder="1" applyAlignment="1">
      <alignment horizontal="right" vertical="top" wrapText="1"/>
    </xf>
    <xf numFmtId="4" fontId="3" fillId="0" borderId="25" xfId="0" applyNumberFormat="1" applyFont="1" applyFill="1" applyBorder="1" applyAlignment="1">
      <alignment vertical="top"/>
    </xf>
    <xf numFmtId="4" fontId="3" fillId="0" borderId="21" xfId="0" applyNumberFormat="1" applyFont="1" applyFill="1" applyBorder="1" applyAlignment="1">
      <alignment vertical="top"/>
    </xf>
    <xf numFmtId="8" fontId="3" fillId="0" borderId="25" xfId="0" applyNumberFormat="1" applyFont="1" applyBorder="1" applyAlignment="1">
      <alignment horizontal="right" vertical="top" wrapText="1"/>
    </xf>
    <xf numFmtId="0" fontId="2" fillId="7" borderId="46" xfId="0" applyFont="1" applyFill="1" applyBorder="1" applyAlignment="1">
      <alignment horizontal="left" vertical="top" wrapText="1"/>
    </xf>
    <xf numFmtId="0" fontId="2" fillId="7" borderId="47" xfId="0" applyFont="1" applyFill="1" applyBorder="1" applyAlignment="1">
      <alignment horizontal="center" vertical="top" wrapText="1"/>
    </xf>
    <xf numFmtId="4" fontId="2" fillId="7" borderId="47" xfId="0" applyNumberFormat="1" applyFont="1" applyFill="1" applyBorder="1" applyAlignment="1">
      <alignment horizontal="center" vertical="top" wrapText="1"/>
    </xf>
    <xf numFmtId="4" fontId="2" fillId="7" borderId="48" xfId="0" applyNumberFormat="1" applyFont="1" applyFill="1" applyBorder="1" applyAlignment="1">
      <alignment horizontal="center" vertical="top" wrapText="1"/>
    </xf>
    <xf numFmtId="4" fontId="3" fillId="8" borderId="2" xfId="0" applyNumberFormat="1" applyFont="1" applyFill="1" applyBorder="1" applyAlignment="1">
      <alignment horizontal="right" vertical="top" wrapText="1"/>
    </xf>
    <xf numFmtId="4" fontId="3" fillId="8" borderId="2" xfId="0" applyNumberFormat="1" applyFont="1" applyFill="1" applyBorder="1"/>
    <xf numFmtId="4" fontId="3" fillId="8" borderId="20" xfId="0" applyNumberFormat="1" applyFont="1" applyFill="1" applyBorder="1" applyAlignment="1">
      <alignment horizontal="right" vertical="top" wrapText="1"/>
    </xf>
    <xf numFmtId="4" fontId="3" fillId="8" borderId="20" xfId="0" applyNumberFormat="1" applyFont="1" applyFill="1" applyBorder="1"/>
    <xf numFmtId="0" fontId="2" fillId="5" borderId="50" xfId="0" applyFont="1" applyFill="1" applyBorder="1" applyAlignment="1">
      <alignment horizontal="center"/>
    </xf>
    <xf numFmtId="0" fontId="2" fillId="5" borderId="50" xfId="0" applyFont="1" applyFill="1" applyBorder="1" applyAlignment="1">
      <alignment horizontal="center" wrapText="1"/>
    </xf>
    <xf numFmtId="0" fontId="11" fillId="8" borderId="2" xfId="0" applyFont="1" applyFill="1" applyBorder="1" applyAlignment="1"/>
    <xf numFmtId="44" fontId="11" fillId="8" borderId="2" xfId="1" applyFont="1" applyFill="1" applyBorder="1" applyAlignment="1">
      <alignment horizontal="center" vertical="center"/>
    </xf>
    <xf numFmtId="164" fontId="11" fillId="8" borderId="2" xfId="1" applyNumberFormat="1" applyFont="1" applyFill="1" applyBorder="1" applyAlignment="1">
      <alignment horizontal="center" vertical="center"/>
    </xf>
    <xf numFmtId="0" fontId="11" fillId="8" borderId="20" xfId="0" applyFont="1" applyFill="1" applyBorder="1" applyAlignment="1"/>
    <xf numFmtId="44" fontId="11" fillId="8" borderId="20" xfId="1" applyFont="1" applyFill="1" applyBorder="1" applyAlignment="1">
      <alignment horizontal="center" vertical="center"/>
    </xf>
    <xf numFmtId="164" fontId="11" fillId="8" borderId="20" xfId="1" applyNumberFormat="1" applyFont="1" applyFill="1" applyBorder="1" applyAlignment="1">
      <alignment horizontal="center" vertical="center"/>
    </xf>
    <xf numFmtId="0" fontId="0" fillId="0" borderId="0" xfId="0" applyAlignment="1">
      <alignment wrapText="1"/>
    </xf>
    <xf numFmtId="0" fontId="2" fillId="2" borderId="51" xfId="0" applyFont="1" applyFill="1" applyBorder="1" applyAlignment="1">
      <alignment horizontal="left" vertical="top" wrapText="1"/>
    </xf>
    <xf numFmtId="4" fontId="2" fillId="2" borderId="52" xfId="0" applyNumberFormat="1" applyFont="1" applyFill="1" applyBorder="1" applyAlignment="1">
      <alignment horizontal="center" vertical="top" wrapText="1"/>
    </xf>
    <xf numFmtId="10" fontId="3" fillId="0" borderId="2" xfId="0" applyNumberFormat="1" applyFont="1" applyBorder="1" applyAlignment="1">
      <alignment horizontal="center" vertical="top" wrapText="1"/>
    </xf>
    <xf numFmtId="0" fontId="12" fillId="9" borderId="50" xfId="0" applyFont="1" applyFill="1" applyBorder="1" applyAlignment="1"/>
    <xf numFmtId="4" fontId="5" fillId="0" borderId="53" xfId="0" applyNumberFormat="1" applyFont="1" applyBorder="1" applyAlignment="1">
      <alignment horizontal="right" vertical="top" wrapText="1"/>
    </xf>
    <xf numFmtId="10" fontId="3" fillId="0" borderId="6" xfId="0" applyNumberFormat="1" applyFont="1" applyBorder="1" applyAlignment="1">
      <alignment horizontal="right" vertical="top" wrapText="1"/>
    </xf>
    <xf numFmtId="0" fontId="12" fillId="9" borderId="51" xfId="0" applyFont="1" applyFill="1" applyBorder="1" applyAlignment="1"/>
    <xf numFmtId="0" fontId="12" fillId="9" borderId="51" xfId="0" applyFont="1" applyFill="1" applyBorder="1" applyAlignment="1">
      <alignment wrapText="1"/>
    </xf>
    <xf numFmtId="4" fontId="5" fillId="0" borderId="40" xfId="0" applyNumberFormat="1" applyFont="1" applyBorder="1" applyAlignment="1">
      <alignment horizontal="right" vertical="top" wrapText="1"/>
    </xf>
    <xf numFmtId="4" fontId="5" fillId="0" borderId="54" xfId="0" applyNumberFormat="1" applyFont="1" applyBorder="1" applyAlignment="1">
      <alignment horizontal="right" vertical="top" wrapText="1"/>
    </xf>
    <xf numFmtId="4" fontId="3" fillId="0" borderId="6" xfId="0" applyNumberFormat="1" applyFont="1" applyBorder="1"/>
    <xf numFmtId="9" fontId="3" fillId="0" borderId="6" xfId="0" applyNumberFormat="1" applyFont="1" applyBorder="1" applyAlignment="1">
      <alignment horizontal="right" vertical="top" wrapText="1"/>
    </xf>
    <xf numFmtId="4" fontId="3" fillId="6" borderId="2" xfId="0" applyNumberFormat="1" applyFont="1" applyFill="1" applyBorder="1"/>
    <xf numFmtId="4" fontId="3" fillId="0" borderId="2" xfId="0" applyNumberFormat="1" applyFont="1" applyFill="1" applyBorder="1"/>
    <xf numFmtId="0" fontId="3" fillId="0" borderId="55" xfId="0" applyFont="1" applyBorder="1" applyAlignment="1">
      <alignment horizontal="left" vertical="top" wrapText="1"/>
    </xf>
    <xf numFmtId="0" fontId="3" fillId="0" borderId="56" xfId="0" applyFont="1" applyBorder="1" applyAlignment="1">
      <alignment horizontal="left" vertical="top" wrapText="1"/>
    </xf>
    <xf numFmtId="0" fontId="3" fillId="0" borderId="57" xfId="0" applyFont="1" applyBorder="1" applyAlignment="1">
      <alignment horizontal="left" vertical="top" wrapText="1"/>
    </xf>
    <xf numFmtId="0" fontId="3" fillId="0" borderId="58" xfId="0" applyFont="1" applyBorder="1" applyAlignment="1">
      <alignment horizontal="left" vertical="top" wrapText="1"/>
    </xf>
    <xf numFmtId="0" fontId="3" fillId="0" borderId="59" xfId="0" applyFont="1" applyBorder="1" applyAlignment="1">
      <alignment horizontal="left" vertical="top" wrapText="1"/>
    </xf>
    <xf numFmtId="0" fontId="3" fillId="0" borderId="60" xfId="0" applyFont="1" applyBorder="1" applyAlignment="1">
      <alignment horizontal="left" vertical="top" wrapText="1"/>
    </xf>
    <xf numFmtId="0" fontId="11" fillId="10" borderId="50" xfId="0" applyFont="1" applyFill="1" applyBorder="1" applyAlignment="1"/>
    <xf numFmtId="0" fontId="11" fillId="11" borderId="50" xfId="0" applyFont="1" applyFill="1" applyBorder="1" applyAlignment="1">
      <alignment horizontal="center"/>
    </xf>
    <xf numFmtId="0" fontId="11" fillId="10" borderId="50" xfId="0" applyFont="1" applyFill="1" applyBorder="1" applyAlignment="1">
      <alignment wrapText="1"/>
    </xf>
    <xf numFmtId="0" fontId="11" fillId="11" borderId="50" xfId="0" applyFont="1" applyFill="1" applyBorder="1" applyAlignment="1">
      <alignment wrapText="1"/>
    </xf>
    <xf numFmtId="0" fontId="11" fillId="11" borderId="50" xfId="0" applyFont="1" applyFill="1" applyBorder="1" applyAlignment="1">
      <alignment horizontal="center" vertical="center"/>
    </xf>
    <xf numFmtId="0" fontId="11" fillId="11" borderId="50" xfId="0" applyFont="1" applyFill="1" applyBorder="1" applyAlignment="1">
      <alignment vertical="center" wrapText="1"/>
    </xf>
    <xf numFmtId="0" fontId="11" fillId="12" borderId="50" xfId="0" applyFont="1" applyFill="1" applyBorder="1" applyAlignment="1">
      <alignment horizontal="center"/>
    </xf>
    <xf numFmtId="0" fontId="11" fillId="12" borderId="50" xfId="0" applyFont="1" applyFill="1" applyBorder="1" applyAlignment="1"/>
    <xf numFmtId="0" fontId="11" fillId="12" borderId="50" xfId="0" applyFont="1" applyFill="1" applyBorder="1" applyAlignment="1">
      <alignment wrapText="1"/>
    </xf>
    <xf numFmtId="0" fontId="11" fillId="12" borderId="50" xfId="0" applyFont="1" applyFill="1" applyBorder="1" applyAlignment="1">
      <alignment horizontal="center" vertical="center"/>
    </xf>
    <xf numFmtId="0" fontId="11" fillId="13" borderId="50" xfId="0" applyFont="1" applyFill="1" applyBorder="1" applyAlignment="1">
      <alignment horizontal="center"/>
    </xf>
    <xf numFmtId="0" fontId="11" fillId="9" borderId="50" xfId="0" applyFont="1" applyFill="1" applyBorder="1" applyAlignment="1">
      <alignment horizontal="center"/>
    </xf>
    <xf numFmtId="0" fontId="2" fillId="7" borderId="61" xfId="0" applyFont="1" applyFill="1" applyBorder="1" applyAlignment="1">
      <alignment horizontal="left" vertical="top" wrapText="1"/>
    </xf>
    <xf numFmtId="0" fontId="11" fillId="14" borderId="50" xfId="0" applyFont="1" applyFill="1" applyBorder="1" applyAlignment="1">
      <alignment horizontal="center"/>
    </xf>
    <xf numFmtId="0" fontId="11" fillId="14" borderId="50" xfId="0" applyFont="1" applyFill="1" applyBorder="1" applyAlignment="1">
      <alignment wrapText="1"/>
    </xf>
    <xf numFmtId="0" fontId="11" fillId="14" borderId="50" xfId="0" applyFont="1" applyFill="1" applyBorder="1" applyAlignment="1">
      <alignment horizontal="center" vertical="center"/>
    </xf>
    <xf numFmtId="0" fontId="11" fillId="14" borderId="50" xfId="0" applyFont="1" applyFill="1" applyBorder="1" applyAlignment="1">
      <alignment vertical="center" wrapText="1"/>
    </xf>
    <xf numFmtId="0" fontId="11" fillId="8" borderId="50" xfId="0" applyFont="1" applyFill="1" applyBorder="1" applyAlignment="1">
      <alignment horizontal="center"/>
    </xf>
    <xf numFmtId="164" fontId="11" fillId="12" borderId="50" xfId="0" applyNumberFormat="1" applyFont="1" applyFill="1" applyBorder="1" applyAlignment="1">
      <alignment horizontal="center" vertical="center"/>
    </xf>
    <xf numFmtId="44" fontId="11" fillId="12" borderId="50" xfId="1" applyFont="1" applyFill="1" applyBorder="1" applyAlignment="1">
      <alignment horizontal="center" vertical="center"/>
    </xf>
    <xf numFmtId="164" fontId="13" fillId="12" borderId="50" xfId="0" applyNumberFormat="1" applyFont="1" applyFill="1" applyBorder="1" applyAlignment="1">
      <alignment horizontal="center" vertical="center"/>
    </xf>
    <xf numFmtId="9" fontId="11" fillId="12" borderId="50" xfId="0" applyNumberFormat="1" applyFont="1" applyFill="1" applyBorder="1" applyAlignment="1">
      <alignment horizontal="center" vertical="center"/>
    </xf>
    <xf numFmtId="10" fontId="13" fillId="12" borderId="50" xfId="0" applyNumberFormat="1" applyFont="1" applyFill="1" applyBorder="1" applyAlignment="1">
      <alignment horizontal="center" vertical="center"/>
    </xf>
    <xf numFmtId="165" fontId="11" fillId="12" borderId="50" xfId="0" applyNumberFormat="1" applyFont="1" applyFill="1" applyBorder="1" applyAlignment="1">
      <alignment horizontal="center" vertical="center"/>
    </xf>
    <xf numFmtId="10" fontId="11" fillId="12" borderId="50" xfId="0" applyNumberFormat="1" applyFont="1" applyFill="1" applyBorder="1" applyAlignment="1">
      <alignment horizontal="center" vertical="center"/>
    </xf>
    <xf numFmtId="0" fontId="11" fillId="13" borderId="29" xfId="0" applyFont="1" applyFill="1" applyBorder="1" applyAlignment="1">
      <alignment horizontal="center"/>
    </xf>
    <xf numFmtId="0" fontId="11" fillId="13" borderId="2" xfId="0" applyFont="1" applyFill="1" applyBorder="1" applyAlignment="1">
      <alignment horizontal="center"/>
    </xf>
    <xf numFmtId="0" fontId="3" fillId="0" borderId="62" xfId="0" applyFont="1" applyBorder="1" applyAlignment="1">
      <alignment horizontal="left" vertical="top" wrapText="1"/>
    </xf>
    <xf numFmtId="0" fontId="3" fillId="12" borderId="2" xfId="0" applyFont="1" applyFill="1" applyBorder="1" applyAlignment="1">
      <alignment vertical="top" wrapText="1"/>
    </xf>
    <xf numFmtId="4" fontId="3" fillId="12" borderId="2" xfId="0" applyNumberFormat="1" applyFont="1" applyFill="1" applyBorder="1"/>
    <xf numFmtId="0" fontId="3" fillId="12" borderId="6" xfId="0" applyFont="1" applyFill="1" applyBorder="1" applyAlignment="1">
      <alignment vertical="top" wrapText="1"/>
    </xf>
    <xf numFmtId="4" fontId="3" fillId="12" borderId="6" xfId="0" applyNumberFormat="1" applyFont="1" applyFill="1" applyBorder="1"/>
    <xf numFmtId="0" fontId="3" fillId="12" borderId="7" xfId="0" applyFont="1" applyFill="1" applyBorder="1" applyAlignment="1">
      <alignment vertical="top" wrapText="1"/>
    </xf>
    <xf numFmtId="0" fontId="3" fillId="12" borderId="63" xfId="0" applyFont="1" applyFill="1" applyBorder="1" applyAlignment="1">
      <alignment vertical="top" wrapText="1"/>
    </xf>
    <xf numFmtId="0" fontId="2" fillId="12" borderId="1" xfId="0" applyFont="1" applyFill="1" applyBorder="1" applyAlignment="1">
      <alignment vertical="top" wrapText="1"/>
    </xf>
    <xf numFmtId="0" fontId="2" fillId="12" borderId="20" xfId="0" applyFont="1" applyFill="1" applyBorder="1" applyAlignment="1">
      <alignment vertical="top" wrapText="1"/>
    </xf>
    <xf numFmtId="0" fontId="2" fillId="12" borderId="2" xfId="0" applyFont="1" applyFill="1" applyBorder="1" applyAlignment="1">
      <alignment vertical="top" wrapText="1"/>
    </xf>
    <xf numFmtId="0" fontId="3" fillId="0" borderId="64" xfId="0" applyFont="1" applyBorder="1" applyAlignment="1">
      <alignment horizontal="left" vertical="top" wrapText="1"/>
    </xf>
    <xf numFmtId="0" fontId="3" fillId="0" borderId="65" xfId="0" applyFont="1" applyBorder="1" applyAlignment="1">
      <alignment horizontal="left" vertical="top" wrapText="1"/>
    </xf>
    <xf numFmtId="0" fontId="11" fillId="10" borderId="29" xfId="0" applyFont="1" applyFill="1" applyBorder="1" applyAlignment="1">
      <alignment wrapText="1"/>
    </xf>
    <xf numFmtId="0" fontId="11" fillId="10" borderId="2" xfId="0" applyFont="1" applyFill="1" applyBorder="1" applyAlignment="1">
      <alignment wrapText="1"/>
    </xf>
    <xf numFmtId="0" fontId="11" fillId="13" borderId="50" xfId="0" applyFont="1" applyFill="1" applyBorder="1" applyAlignment="1">
      <alignment wrapText="1"/>
    </xf>
    <xf numFmtId="0" fontId="3" fillId="0" borderId="0" xfId="0" applyFont="1" applyAlignment="1">
      <alignment horizontal="left" wrapText="1"/>
    </xf>
    <xf numFmtId="0" fontId="3" fillId="0" borderId="6" xfId="0" applyFont="1" applyFill="1" applyBorder="1" applyAlignment="1">
      <alignment vertical="top" wrapText="1"/>
    </xf>
    <xf numFmtId="4" fontId="3" fillId="0" borderId="20" xfId="0" applyNumberFormat="1" applyFont="1" applyFill="1" applyBorder="1"/>
    <xf numFmtId="4" fontId="3" fillId="0" borderId="6" xfId="0" applyNumberFormat="1" applyFont="1" applyFill="1" applyBorder="1"/>
    <xf numFmtId="164" fontId="2" fillId="2" borderId="44" xfId="0" applyNumberFormat="1" applyFont="1" applyFill="1" applyBorder="1" applyAlignment="1">
      <alignment horizontal="center" vertical="top" wrapText="1"/>
    </xf>
    <xf numFmtId="164" fontId="3" fillId="0" borderId="2" xfId="0" applyNumberFormat="1" applyFont="1" applyBorder="1" applyAlignment="1">
      <alignment horizontal="right" vertical="top" wrapText="1"/>
    </xf>
    <xf numFmtId="164" fontId="3" fillId="12" borderId="2" xfId="0" applyNumberFormat="1" applyFont="1" applyFill="1" applyBorder="1" applyAlignment="1">
      <alignment horizontal="right" vertical="top" wrapText="1"/>
    </xf>
    <xf numFmtId="164" fontId="3" fillId="12" borderId="6" xfId="0" applyNumberFormat="1" applyFont="1" applyFill="1" applyBorder="1" applyAlignment="1">
      <alignment horizontal="right" vertical="top" wrapText="1"/>
    </xf>
    <xf numFmtId="164" fontId="3" fillId="0" borderId="2" xfId="0" applyNumberFormat="1" applyFont="1" applyFill="1" applyBorder="1" applyAlignment="1">
      <alignment horizontal="right" vertical="top" wrapText="1"/>
    </xf>
    <xf numFmtId="164" fontId="3" fillId="0" borderId="6" xfId="0" applyNumberFormat="1" applyFont="1" applyFill="1" applyBorder="1" applyAlignment="1">
      <alignment horizontal="right" vertical="top" wrapText="1"/>
    </xf>
    <xf numFmtId="164" fontId="3" fillId="12" borderId="20" xfId="0" applyNumberFormat="1" applyFont="1" applyFill="1" applyBorder="1" applyAlignment="1">
      <alignment horizontal="right" vertical="top" wrapText="1"/>
    </xf>
    <xf numFmtId="164" fontId="3" fillId="0" borderId="0" xfId="0" applyNumberFormat="1" applyFont="1"/>
    <xf numFmtId="166" fontId="2" fillId="2" borderId="44" xfId="0" applyNumberFormat="1" applyFont="1" applyFill="1" applyBorder="1" applyAlignment="1">
      <alignment horizontal="center" vertical="top" wrapText="1"/>
    </xf>
    <xf numFmtId="166" fontId="3" fillId="0" borderId="2" xfId="0" applyNumberFormat="1" applyFont="1" applyBorder="1" applyAlignment="1">
      <alignment horizontal="right" vertical="top" wrapText="1"/>
    </xf>
    <xf numFmtId="166" fontId="3" fillId="12" borderId="2" xfId="0" applyNumberFormat="1" applyFont="1" applyFill="1" applyBorder="1" applyAlignment="1">
      <alignment horizontal="right" vertical="top" wrapText="1"/>
    </xf>
    <xf numFmtId="166" fontId="3" fillId="12" borderId="6" xfId="0" applyNumberFormat="1" applyFont="1" applyFill="1" applyBorder="1" applyAlignment="1">
      <alignment horizontal="right" vertical="top" wrapText="1"/>
    </xf>
    <xf numFmtId="166" fontId="3" fillId="0" borderId="20" xfId="0" applyNumberFormat="1" applyFont="1" applyFill="1" applyBorder="1" applyAlignment="1">
      <alignment horizontal="right" vertical="top" wrapText="1"/>
    </xf>
    <xf numFmtId="166" fontId="3" fillId="0" borderId="2" xfId="0" applyNumberFormat="1" applyFont="1" applyFill="1" applyBorder="1" applyAlignment="1">
      <alignment horizontal="right" vertical="top" wrapText="1"/>
    </xf>
    <xf numFmtId="166" fontId="3" fillId="0" borderId="6" xfId="0" applyNumberFormat="1" applyFont="1" applyFill="1" applyBorder="1" applyAlignment="1">
      <alignment horizontal="right" vertical="top" wrapText="1"/>
    </xf>
    <xf numFmtId="166" fontId="3" fillId="12" borderId="20" xfId="0" applyNumberFormat="1" applyFont="1" applyFill="1" applyBorder="1" applyAlignment="1">
      <alignment horizontal="right" vertical="top" wrapText="1"/>
    </xf>
    <xf numFmtId="166" fontId="3" fillId="0" borderId="0" xfId="0" applyNumberFormat="1" applyFont="1"/>
    <xf numFmtId="166" fontId="3" fillId="0" borderId="0" xfId="0" applyNumberFormat="1" applyFont="1" applyBorder="1"/>
    <xf numFmtId="166" fontId="3" fillId="0" borderId="6" xfId="0" applyNumberFormat="1" applyFont="1" applyBorder="1" applyAlignment="1">
      <alignment horizontal="right" vertical="top" wrapText="1"/>
    </xf>
    <xf numFmtId="166" fontId="3" fillId="6" borderId="20" xfId="0" applyNumberFormat="1" applyFont="1" applyFill="1" applyBorder="1" applyAlignment="1">
      <alignment horizontal="right" vertical="top" wrapText="1"/>
    </xf>
    <xf numFmtId="166" fontId="3" fillId="0" borderId="2" xfId="0" applyNumberFormat="1" applyFont="1" applyBorder="1"/>
    <xf numFmtId="166" fontId="2" fillId="7" borderId="47" xfId="0" applyNumberFormat="1" applyFont="1" applyFill="1" applyBorder="1" applyAlignment="1">
      <alignment horizontal="center" vertical="top" wrapText="1"/>
    </xf>
    <xf numFmtId="164" fontId="2" fillId="7" borderId="47" xfId="0" applyNumberFormat="1" applyFont="1" applyFill="1" applyBorder="1" applyAlignment="1">
      <alignment horizontal="center" vertical="top" wrapText="1"/>
    </xf>
    <xf numFmtId="164" fontId="3" fillId="0" borderId="20" xfId="0" applyNumberFormat="1" applyFont="1" applyBorder="1" applyAlignment="1">
      <alignment horizontal="right" vertical="top" wrapText="1"/>
    </xf>
    <xf numFmtId="164" fontId="6" fillId="0" borderId="20" xfId="0" applyNumberFormat="1" applyFont="1" applyBorder="1" applyAlignment="1">
      <alignment horizontal="right" vertical="top" wrapText="1"/>
    </xf>
    <xf numFmtId="164" fontId="5" fillId="0" borderId="20" xfId="0" applyNumberFormat="1" applyFont="1" applyBorder="1" applyAlignment="1">
      <alignment horizontal="right" vertical="top" wrapText="1"/>
    </xf>
    <xf numFmtId="164" fontId="6" fillId="0" borderId="2" xfId="0" applyNumberFormat="1" applyFont="1" applyBorder="1" applyAlignment="1">
      <alignment horizontal="right" vertical="top" wrapText="1"/>
    </xf>
    <xf numFmtId="164" fontId="5" fillId="0" borderId="2" xfId="0" applyNumberFormat="1" applyFont="1" applyBorder="1" applyAlignment="1">
      <alignment horizontal="right" vertical="top" wrapText="1"/>
    </xf>
    <xf numFmtId="164" fontId="3" fillId="0" borderId="6" xfId="0" applyNumberFormat="1" applyFont="1" applyBorder="1" applyAlignment="1">
      <alignment horizontal="right" vertical="top" wrapText="1"/>
    </xf>
    <xf numFmtId="164" fontId="6" fillId="0" borderId="6" xfId="0" applyNumberFormat="1" applyFont="1" applyBorder="1" applyAlignment="1">
      <alignment horizontal="right" vertical="top" wrapText="1"/>
    </xf>
    <xf numFmtId="164" fontId="5" fillId="0" borderId="6" xfId="0" applyNumberFormat="1" applyFont="1" applyBorder="1" applyAlignment="1">
      <alignment horizontal="right" vertical="top" wrapText="1"/>
    </xf>
    <xf numFmtId="164" fontId="14" fillId="0" borderId="25" xfId="0" applyNumberFormat="1" applyFont="1" applyBorder="1" applyAlignment="1">
      <alignment horizontal="right" vertical="top" wrapText="1"/>
    </xf>
    <xf numFmtId="164" fontId="5" fillId="0" borderId="25" xfId="0" applyNumberFormat="1" applyFont="1" applyBorder="1" applyAlignment="1">
      <alignment horizontal="right" vertical="top" wrapText="1"/>
    </xf>
    <xf numFmtId="164" fontId="14" fillId="0" borderId="2" xfId="0" applyNumberFormat="1" applyFont="1" applyBorder="1" applyAlignment="1">
      <alignment horizontal="right" vertical="top" wrapText="1"/>
    </xf>
    <xf numFmtId="164" fontId="14" fillId="0" borderId="21" xfId="0" applyNumberFormat="1" applyFont="1" applyBorder="1" applyAlignment="1">
      <alignment horizontal="right" vertical="top" wrapText="1"/>
    </xf>
    <xf numFmtId="164" fontId="5" fillId="0" borderId="21" xfId="0" applyNumberFormat="1" applyFont="1" applyBorder="1" applyAlignment="1">
      <alignment horizontal="right" vertical="top" wrapText="1"/>
    </xf>
    <xf numFmtId="164" fontId="3" fillId="0" borderId="25" xfId="0" applyNumberFormat="1" applyFont="1" applyBorder="1" applyAlignment="1">
      <alignment horizontal="right" vertical="top" wrapText="1"/>
    </xf>
    <xf numFmtId="164" fontId="3" fillId="0" borderId="21" xfId="0" applyNumberFormat="1" applyFont="1" applyBorder="1" applyAlignment="1">
      <alignment horizontal="right" vertical="top" wrapText="1"/>
    </xf>
    <xf numFmtId="164" fontId="14" fillId="0" borderId="20" xfId="0" applyNumberFormat="1" applyFont="1" applyBorder="1" applyAlignment="1">
      <alignment horizontal="right" vertical="top" wrapText="1"/>
    </xf>
    <xf numFmtId="164" fontId="14" fillId="0" borderId="7" xfId="0" applyNumberFormat="1" applyFont="1" applyBorder="1" applyAlignment="1">
      <alignment horizontal="right" vertical="top" wrapText="1"/>
    </xf>
    <xf numFmtId="164" fontId="5" fillId="0" borderId="8" xfId="0" applyNumberFormat="1" applyFont="1" applyBorder="1" applyAlignment="1">
      <alignment horizontal="right" vertical="top" wrapText="1"/>
    </xf>
    <xf numFmtId="164" fontId="14" fillId="0" borderId="1" xfId="0" applyNumberFormat="1" applyFont="1" applyBorder="1" applyAlignment="1">
      <alignment horizontal="right" vertical="top" wrapText="1"/>
    </xf>
    <xf numFmtId="164" fontId="14" fillId="0" borderId="3" xfId="0" applyNumberFormat="1" applyFont="1" applyBorder="1" applyAlignment="1">
      <alignment horizontal="right" vertical="top" wrapText="1"/>
    </xf>
    <xf numFmtId="164" fontId="5" fillId="0" borderId="66" xfId="0" applyNumberFormat="1" applyFont="1" applyBorder="1" applyAlignment="1">
      <alignment horizontal="right" vertical="top" wrapText="1"/>
    </xf>
    <xf numFmtId="164" fontId="6" fillId="0" borderId="20" xfId="0" applyNumberFormat="1" applyFont="1" applyFill="1" applyBorder="1" applyAlignment="1">
      <alignment horizontal="right" vertical="top" wrapText="1"/>
    </xf>
    <xf numFmtId="164" fontId="6" fillId="0" borderId="2" xfId="0" applyNumberFormat="1" applyFont="1" applyFill="1" applyBorder="1" applyAlignment="1">
      <alignment horizontal="right" vertical="top" wrapText="1"/>
    </xf>
    <xf numFmtId="164" fontId="12" fillId="12" borderId="2" xfId="0" applyNumberFormat="1" applyFont="1" applyFill="1" applyBorder="1" applyAlignment="1">
      <alignment horizontal="right" vertical="top" wrapText="1"/>
    </xf>
    <xf numFmtId="164" fontId="6" fillId="10" borderId="2" xfId="0" applyNumberFormat="1" applyFont="1" applyFill="1" applyBorder="1" applyAlignment="1">
      <alignment horizontal="right" vertical="top" wrapText="1"/>
    </xf>
    <xf numFmtId="164" fontId="5" fillId="12" borderId="2" xfId="0" applyNumberFormat="1" applyFont="1" applyFill="1" applyBorder="1" applyAlignment="1">
      <alignment horizontal="right" vertical="top" wrapText="1"/>
    </xf>
    <xf numFmtId="164" fontId="5" fillId="6" borderId="2" xfId="0" applyNumberFormat="1" applyFont="1" applyFill="1" applyBorder="1" applyAlignment="1">
      <alignment horizontal="right" vertical="top" wrapText="1"/>
    </xf>
    <xf numFmtId="164" fontId="6" fillId="12" borderId="2" xfId="0" applyNumberFormat="1" applyFont="1" applyFill="1" applyBorder="1" applyAlignment="1">
      <alignment horizontal="right" vertical="top" wrapText="1"/>
    </xf>
    <xf numFmtId="164" fontId="6" fillId="12" borderId="6" xfId="0" applyNumberFormat="1" applyFont="1" applyFill="1" applyBorder="1" applyAlignment="1">
      <alignment horizontal="right" vertical="top" wrapText="1"/>
    </xf>
    <xf numFmtId="164" fontId="5" fillId="12" borderId="6" xfId="0" applyNumberFormat="1" applyFont="1" applyFill="1" applyBorder="1" applyAlignment="1">
      <alignment horizontal="right" vertical="top" wrapText="1"/>
    </xf>
    <xf numFmtId="164" fontId="3" fillId="0" borderId="7" xfId="0" applyNumberFormat="1" applyFont="1" applyBorder="1" applyAlignment="1">
      <alignment horizontal="right" vertical="top" wrapText="1"/>
    </xf>
    <xf numFmtId="164" fontId="5" fillId="10" borderId="7" xfId="0" applyNumberFormat="1" applyFont="1" applyFill="1" applyBorder="1" applyAlignment="1">
      <alignment horizontal="right" vertical="top" wrapText="1"/>
    </xf>
    <xf numFmtId="164" fontId="5" fillId="0" borderId="8" xfId="0" applyNumberFormat="1" applyFont="1" applyFill="1" applyBorder="1" applyAlignment="1">
      <alignment horizontal="right" vertical="top" wrapText="1"/>
    </xf>
    <xf numFmtId="164" fontId="3" fillId="0" borderId="1" xfId="0" applyNumberFormat="1" applyFont="1" applyBorder="1" applyAlignment="1">
      <alignment horizontal="right" vertical="top" wrapText="1"/>
    </xf>
    <xf numFmtId="164" fontId="5" fillId="10" borderId="1" xfId="0" applyNumberFormat="1" applyFont="1" applyFill="1" applyBorder="1" applyAlignment="1">
      <alignment horizontal="right" vertical="top" wrapText="1"/>
    </xf>
    <xf numFmtId="164" fontId="3" fillId="0" borderId="3" xfId="0" applyNumberFormat="1" applyFont="1" applyBorder="1" applyAlignment="1">
      <alignment horizontal="right" vertical="top" wrapText="1"/>
    </xf>
    <xf numFmtId="164" fontId="5" fillId="10" borderId="3" xfId="0" applyNumberFormat="1" applyFont="1" applyFill="1" applyBorder="1" applyAlignment="1">
      <alignment horizontal="right" vertical="top" wrapText="1"/>
    </xf>
    <xf numFmtId="164" fontId="5" fillId="0" borderId="66" xfId="0" applyNumberFormat="1" applyFont="1" applyFill="1" applyBorder="1" applyAlignment="1">
      <alignment horizontal="right" vertical="top" wrapText="1"/>
    </xf>
    <xf numFmtId="164" fontId="3" fillId="12" borderId="7" xfId="0" applyNumberFormat="1" applyFont="1" applyFill="1" applyBorder="1" applyAlignment="1">
      <alignment horizontal="right" vertical="top" wrapText="1"/>
    </xf>
    <xf numFmtId="164" fontId="6" fillId="12" borderId="7" xfId="0" applyNumberFormat="1" applyFont="1" applyFill="1" applyBorder="1" applyAlignment="1">
      <alignment horizontal="right" vertical="top" wrapText="1"/>
    </xf>
    <xf numFmtId="164" fontId="5" fillId="12" borderId="8" xfId="0" applyNumberFormat="1" applyFont="1" applyFill="1" applyBorder="1" applyAlignment="1">
      <alignment horizontal="right" vertical="top" wrapText="1"/>
    </xf>
    <xf numFmtId="164" fontId="15" fillId="12" borderId="7" xfId="0" applyNumberFormat="1" applyFont="1" applyFill="1" applyBorder="1" applyAlignment="1">
      <alignment horizontal="right" vertical="top" wrapText="1"/>
    </xf>
    <xf numFmtId="164" fontId="5" fillId="12" borderId="1" xfId="0" applyNumberFormat="1" applyFont="1" applyFill="1" applyBorder="1" applyAlignment="1">
      <alignment horizontal="right" vertical="top" wrapText="1"/>
    </xf>
    <xf numFmtId="164" fontId="5" fillId="0" borderId="1" xfId="0" applyNumberFormat="1" applyFont="1" applyBorder="1" applyAlignment="1">
      <alignment horizontal="right" vertical="top" wrapText="1"/>
    </xf>
    <xf numFmtId="164" fontId="5" fillId="0" borderId="1" xfId="0" applyNumberFormat="1" applyFont="1" applyFill="1" applyBorder="1" applyAlignment="1">
      <alignment horizontal="right" vertical="top" wrapText="1"/>
    </xf>
    <xf numFmtId="164" fontId="6" fillId="0" borderId="7" xfId="0" applyNumberFormat="1" applyFont="1" applyFill="1" applyBorder="1" applyAlignment="1">
      <alignment horizontal="right" vertical="top" wrapText="1"/>
    </xf>
    <xf numFmtId="164" fontId="5" fillId="0" borderId="3" xfId="0" applyNumberFormat="1" applyFont="1" applyBorder="1" applyAlignment="1">
      <alignment horizontal="right" vertical="top" wrapText="1"/>
    </xf>
    <xf numFmtId="164" fontId="5" fillId="0" borderId="67" xfId="0" applyNumberFormat="1" applyFont="1" applyBorder="1" applyAlignment="1">
      <alignment horizontal="right" vertical="top" wrapText="1"/>
    </xf>
    <xf numFmtId="164" fontId="3" fillId="0" borderId="7" xfId="0" applyNumberFormat="1" applyFont="1" applyFill="1" applyBorder="1" applyAlignment="1">
      <alignment horizontal="right" vertical="top" wrapText="1"/>
    </xf>
    <xf numFmtId="164" fontId="5" fillId="0" borderId="67" xfId="0" applyNumberFormat="1" applyFont="1" applyFill="1" applyBorder="1" applyAlignment="1">
      <alignment horizontal="right" vertical="top" wrapText="1"/>
    </xf>
    <xf numFmtId="164" fontId="3" fillId="0" borderId="40" xfId="0" applyNumberFormat="1" applyFont="1" applyFill="1" applyBorder="1" applyAlignment="1">
      <alignment horizontal="right" vertical="top" wrapText="1"/>
    </xf>
    <xf numFmtId="164" fontId="6" fillId="0" borderId="40" xfId="0" applyNumberFormat="1" applyFont="1" applyFill="1" applyBorder="1" applyAlignment="1">
      <alignment horizontal="right" vertical="top" wrapText="1"/>
    </xf>
    <xf numFmtId="164" fontId="5" fillId="0" borderId="68" xfId="0" applyNumberFormat="1" applyFont="1" applyFill="1" applyBorder="1" applyAlignment="1">
      <alignment horizontal="right" vertical="top" wrapText="1"/>
    </xf>
    <xf numFmtId="164" fontId="5" fillId="12" borderId="20" xfId="0" applyNumberFormat="1" applyFont="1" applyFill="1" applyBorder="1" applyAlignment="1">
      <alignment horizontal="right" vertical="top" wrapText="1"/>
    </xf>
    <xf numFmtId="164" fontId="5" fillId="12" borderId="49" xfId="0" applyNumberFormat="1" applyFont="1" applyFill="1" applyBorder="1" applyAlignment="1">
      <alignment horizontal="right" vertical="top" wrapText="1"/>
    </xf>
    <xf numFmtId="164" fontId="5" fillId="12" borderId="37" xfId="0" applyNumberFormat="1" applyFont="1" applyFill="1" applyBorder="1" applyAlignment="1">
      <alignment horizontal="right" vertical="top" wrapText="1"/>
    </xf>
    <xf numFmtId="164" fontId="5" fillId="0" borderId="37" xfId="0" applyNumberFormat="1" applyFont="1" applyBorder="1" applyAlignment="1">
      <alignment horizontal="right" vertical="top" wrapText="1"/>
    </xf>
    <xf numFmtId="164" fontId="3" fillId="0" borderId="32" xfId="0" applyNumberFormat="1" applyFont="1" applyBorder="1" applyAlignment="1">
      <alignment horizontal="right" vertical="top" wrapText="1"/>
    </xf>
    <xf numFmtId="164" fontId="3" fillId="0" borderId="69" xfId="0" applyNumberFormat="1" applyFont="1" applyBorder="1" applyAlignment="1">
      <alignment horizontal="right" vertical="top" wrapText="1"/>
    </xf>
    <xf numFmtId="164" fontId="6" fillId="0" borderId="32" xfId="0" applyNumberFormat="1" applyFont="1" applyFill="1" applyBorder="1" applyAlignment="1">
      <alignment horizontal="right" vertical="top" wrapText="1"/>
    </xf>
    <xf numFmtId="164" fontId="5" fillId="0" borderId="23" xfId="0" applyNumberFormat="1" applyFont="1" applyBorder="1" applyAlignment="1">
      <alignment horizontal="right" vertical="top" wrapText="1"/>
    </xf>
    <xf numFmtId="164" fontId="5" fillId="0" borderId="70" xfId="0" applyNumberFormat="1" applyFont="1" applyBorder="1" applyAlignment="1">
      <alignment horizontal="right" vertical="top" wrapText="1"/>
    </xf>
    <xf numFmtId="164" fontId="6" fillId="0" borderId="25" xfId="0" applyNumberFormat="1" applyFont="1" applyFill="1" applyBorder="1" applyAlignment="1">
      <alignment horizontal="right" vertical="top" wrapText="1"/>
    </xf>
    <xf numFmtId="164" fontId="5" fillId="0" borderId="36" xfId="0" applyNumberFormat="1" applyFont="1" applyBorder="1" applyAlignment="1">
      <alignment horizontal="right" vertical="top" wrapText="1"/>
    </xf>
    <xf numFmtId="164" fontId="5" fillId="0" borderId="2" xfId="0" applyNumberFormat="1" applyFont="1" applyFill="1" applyBorder="1" applyAlignment="1">
      <alignment horizontal="right" vertical="top" wrapText="1"/>
    </xf>
    <xf numFmtId="164" fontId="6" fillId="0" borderId="1" xfId="0" applyNumberFormat="1" applyFont="1" applyFill="1" applyBorder="1" applyAlignment="1">
      <alignment horizontal="right" vertical="top" wrapText="1"/>
    </xf>
    <xf numFmtId="164" fontId="5" fillId="12" borderId="67" xfId="0" applyNumberFormat="1" applyFont="1" applyFill="1" applyBorder="1" applyAlignment="1">
      <alignment horizontal="right" vertical="top" wrapText="1"/>
    </xf>
    <xf numFmtId="164" fontId="3" fillId="12" borderId="54" xfId="0" applyNumberFormat="1" applyFont="1" applyFill="1" applyBorder="1" applyAlignment="1">
      <alignment horizontal="right" vertical="top" wrapText="1"/>
    </xf>
    <xf numFmtId="164" fontId="5" fillId="12" borderId="7" xfId="0" applyNumberFormat="1" applyFont="1" applyFill="1" applyBorder="1" applyAlignment="1">
      <alignment horizontal="right" vertical="top" wrapText="1"/>
    </xf>
    <xf numFmtId="164" fontId="5" fillId="0" borderId="7" xfId="0" applyNumberFormat="1" applyFont="1" applyFill="1" applyBorder="1" applyAlignment="1">
      <alignment horizontal="right" vertical="top" wrapText="1"/>
    </xf>
    <xf numFmtId="164" fontId="5" fillId="0" borderId="37" xfId="0" applyNumberFormat="1" applyFont="1" applyFill="1" applyBorder="1" applyAlignment="1">
      <alignment horizontal="right" vertical="top" wrapText="1"/>
    </xf>
    <xf numFmtId="164" fontId="3" fillId="12" borderId="69" xfId="0" applyNumberFormat="1" applyFont="1" applyFill="1" applyBorder="1" applyAlignment="1">
      <alignment horizontal="right" vertical="top" wrapText="1"/>
    </xf>
    <xf numFmtId="164" fontId="3" fillId="0" borderId="9" xfId="0" applyNumberFormat="1" applyFont="1" applyBorder="1" applyAlignment="1">
      <alignment horizontal="right" vertical="top" wrapText="1"/>
    </xf>
    <xf numFmtId="164" fontId="3" fillId="0" borderId="44" xfId="0" applyNumberFormat="1" applyFont="1" applyBorder="1" applyAlignment="1">
      <alignment horizontal="right" vertical="top" wrapText="1"/>
    </xf>
    <xf numFmtId="164" fontId="6" fillId="10" borderId="9" xfId="0" applyNumberFormat="1" applyFont="1" applyFill="1" applyBorder="1" applyAlignment="1">
      <alignment horizontal="right" vertical="top" wrapText="1"/>
    </xf>
    <xf numFmtId="164" fontId="3" fillId="0" borderId="40" xfId="0" applyNumberFormat="1" applyFont="1" applyBorder="1" applyAlignment="1">
      <alignment horizontal="right" vertical="top" wrapText="1"/>
    </xf>
    <xf numFmtId="164" fontId="5" fillId="0" borderId="7" xfId="0" applyNumberFormat="1" applyFont="1" applyBorder="1" applyAlignment="1">
      <alignment horizontal="right" vertical="top" wrapText="1"/>
    </xf>
    <xf numFmtId="164" fontId="6" fillId="10" borderId="7" xfId="0" applyNumberFormat="1" applyFont="1" applyFill="1" applyBorder="1" applyAlignment="1">
      <alignment horizontal="right" vertical="top" wrapText="1"/>
    </xf>
    <xf numFmtId="164" fontId="6" fillId="10" borderId="1" xfId="0" applyNumberFormat="1" applyFont="1" applyFill="1" applyBorder="1" applyAlignment="1">
      <alignment horizontal="right" vertical="top" wrapText="1"/>
    </xf>
    <xf numFmtId="164" fontId="5" fillId="0" borderId="5" xfId="0" applyNumberFormat="1" applyFont="1" applyBorder="1" applyAlignment="1">
      <alignment horizontal="right" vertical="top" wrapText="1"/>
    </xf>
    <xf numFmtId="164" fontId="3" fillId="12" borderId="25" xfId="0" applyNumberFormat="1" applyFont="1" applyFill="1" applyBorder="1" applyAlignment="1">
      <alignment horizontal="right" vertical="top" wrapText="1"/>
    </xf>
    <xf numFmtId="164" fontId="2" fillId="0" borderId="0" xfId="0" applyNumberFormat="1" applyFont="1" applyBorder="1" applyAlignment="1">
      <alignment horizontal="center" vertical="top" wrapText="1"/>
    </xf>
    <xf numFmtId="164" fontId="3" fillId="0" borderId="0" xfId="0" applyNumberFormat="1" applyFont="1" applyBorder="1" applyAlignment="1">
      <alignment horizontal="right" vertical="top" wrapText="1"/>
    </xf>
    <xf numFmtId="164" fontId="2" fillId="0" borderId="0" xfId="0" applyNumberFormat="1" applyFont="1"/>
    <xf numFmtId="164" fontId="3" fillId="0" borderId="0" xfId="0" applyNumberFormat="1" applyFont="1" applyAlignment="1">
      <alignment horizontal="right"/>
    </xf>
    <xf numFmtId="0" fontId="3" fillId="15" borderId="2" xfId="0" applyFont="1" applyFill="1" applyBorder="1" applyAlignment="1">
      <alignment vertical="top" wrapText="1"/>
    </xf>
    <xf numFmtId="164" fontId="3" fillId="15" borderId="2" xfId="0" applyNumberFormat="1" applyFont="1" applyFill="1" applyBorder="1" applyAlignment="1">
      <alignment horizontal="right" vertical="top" wrapText="1"/>
    </xf>
    <xf numFmtId="164" fontId="3" fillId="15" borderId="20" xfId="0" applyNumberFormat="1" applyFont="1" applyFill="1" applyBorder="1" applyAlignment="1">
      <alignment horizontal="right" vertical="top" wrapText="1"/>
    </xf>
    <xf numFmtId="164" fontId="6" fillId="15" borderId="2" xfId="0" applyNumberFormat="1" applyFont="1" applyFill="1" applyBorder="1" applyAlignment="1">
      <alignment horizontal="right" vertical="top" wrapText="1"/>
    </xf>
    <xf numFmtId="164" fontId="5" fillId="15" borderId="2" xfId="0" applyNumberFormat="1" applyFont="1" applyFill="1" applyBorder="1" applyAlignment="1">
      <alignment horizontal="right" vertical="top" wrapText="1"/>
    </xf>
    <xf numFmtId="166" fontId="3" fillId="15" borderId="2" xfId="0" applyNumberFormat="1" applyFont="1" applyFill="1" applyBorder="1" applyAlignment="1">
      <alignment horizontal="right" vertical="top" wrapText="1"/>
    </xf>
    <xf numFmtId="4" fontId="3" fillId="15" borderId="2" xfId="0" applyNumberFormat="1" applyFont="1" applyFill="1" applyBorder="1"/>
    <xf numFmtId="0" fontId="3" fillId="15" borderId="0" xfId="0" applyFont="1" applyFill="1"/>
    <xf numFmtId="166" fontId="3" fillId="15" borderId="2" xfId="0" applyNumberFormat="1" applyFont="1" applyFill="1" applyBorder="1"/>
    <xf numFmtId="0" fontId="3" fillId="0" borderId="57" xfId="0" applyFont="1" applyBorder="1" applyAlignment="1">
      <alignment vertical="top" wrapText="1"/>
    </xf>
    <xf numFmtId="166" fontId="2" fillId="2" borderId="47" xfId="0" applyNumberFormat="1" applyFont="1" applyFill="1" applyBorder="1" applyAlignment="1">
      <alignment horizontal="center" vertical="top" wrapText="1"/>
    </xf>
    <xf numFmtId="0" fontId="16" fillId="16" borderId="34" xfId="0" applyFont="1" applyFill="1" applyBorder="1" applyAlignment="1">
      <alignment horizontal="center" vertical="top" wrapText="1"/>
    </xf>
    <xf numFmtId="0" fontId="16" fillId="16" borderId="74" xfId="0" applyFont="1" applyFill="1" applyBorder="1" applyAlignment="1">
      <alignment horizontal="center" vertical="top" wrapText="1"/>
    </xf>
    <xf numFmtId="0" fontId="16" fillId="16" borderId="75" xfId="0" applyFont="1" applyFill="1" applyBorder="1" applyAlignment="1">
      <alignment horizontal="center" vertical="top" wrapText="1"/>
    </xf>
    <xf numFmtId="0" fontId="2" fillId="3" borderId="51" xfId="0" applyFont="1" applyFill="1" applyBorder="1" applyAlignment="1">
      <alignment vertical="top" wrapText="1"/>
    </xf>
    <xf numFmtId="0" fontId="2" fillId="3" borderId="71" xfId="0" applyFont="1" applyFill="1" applyBorder="1" applyAlignment="1">
      <alignment vertical="top" wrapText="1"/>
    </xf>
    <xf numFmtId="0" fontId="2" fillId="3" borderId="72" xfId="0" applyFont="1" applyFill="1" applyBorder="1" applyAlignment="1">
      <alignment vertical="top" wrapText="1"/>
    </xf>
    <xf numFmtId="0" fontId="2" fillId="4" borderId="51" xfId="0" applyFont="1" applyFill="1" applyBorder="1" applyAlignment="1"/>
    <xf numFmtId="0" fontId="2" fillId="4" borderId="71" xfId="0" applyFont="1" applyFill="1" applyBorder="1" applyAlignment="1"/>
    <xf numFmtId="0" fontId="2" fillId="4" borderId="72" xfId="0" applyFont="1" applyFill="1" applyBorder="1" applyAlignment="1"/>
    <xf numFmtId="0" fontId="11" fillId="11" borderId="0" xfId="0" applyFont="1" applyFill="1" applyBorder="1" applyAlignment="1">
      <alignment horizontal="center"/>
    </xf>
    <xf numFmtId="0" fontId="3" fillId="0" borderId="20" xfId="0" applyNumberFormat="1" applyFont="1" applyBorder="1" applyAlignment="1">
      <alignment horizontal="right" vertical="top" wrapText="1"/>
    </xf>
    <xf numFmtId="2" fontId="3" fillId="0" borderId="20" xfId="0" applyNumberFormat="1" applyFont="1" applyBorder="1" applyAlignment="1">
      <alignment horizontal="right" vertical="top" wrapText="1"/>
    </xf>
    <xf numFmtId="0" fontId="2" fillId="14" borderId="51" xfId="0" applyFont="1" applyFill="1" applyBorder="1" applyAlignment="1">
      <alignment vertical="top" wrapText="1"/>
    </xf>
    <xf numFmtId="0" fontId="2" fillId="14" borderId="71" xfId="0" applyFont="1" applyFill="1" applyBorder="1" applyAlignment="1">
      <alignment vertical="top" wrapText="1"/>
    </xf>
    <xf numFmtId="0" fontId="2" fillId="14" borderId="52" xfId="0" applyFont="1" applyFill="1" applyBorder="1" applyAlignment="1"/>
    <xf numFmtId="0" fontId="2" fillId="14" borderId="73" xfId="0" applyFont="1" applyFill="1" applyBorder="1" applyAlignment="1"/>
    <xf numFmtId="0" fontId="2" fillId="14" borderId="44" xfId="0" applyFont="1" applyFill="1" applyBorder="1" applyAlignment="1"/>
    <xf numFmtId="0" fontId="2" fillId="14" borderId="45" xfId="0" applyFont="1" applyFill="1" applyBorder="1" applyAlignment="1"/>
    <xf numFmtId="0" fontId="2" fillId="14" borderId="34" xfId="0" applyFont="1" applyFill="1" applyBorder="1" applyAlignment="1"/>
    <xf numFmtId="0" fontId="2" fillId="14" borderId="74" xfId="0" applyFont="1" applyFill="1" applyBorder="1" applyAlignment="1"/>
    <xf numFmtId="0" fontId="2" fillId="14" borderId="64" xfId="0" applyFont="1" applyFill="1" applyBorder="1" applyAlignment="1">
      <alignment vertical="top" wrapText="1"/>
    </xf>
    <xf numFmtId="0" fontId="2" fillId="14" borderId="76" xfId="0" applyFont="1" applyFill="1" applyBorder="1" applyAlignment="1">
      <alignment vertical="top" wrapText="1"/>
    </xf>
    <xf numFmtId="0" fontId="3" fillId="0" borderId="20" xfId="0" applyNumberFormat="1" applyFont="1" applyFill="1" applyBorder="1" applyAlignment="1">
      <alignment horizontal="right" vertical="top" wrapText="1"/>
    </xf>
    <xf numFmtId="0" fontId="3" fillId="0" borderId="2" xfId="0" applyNumberFormat="1" applyFont="1" applyBorder="1" applyAlignment="1">
      <alignment horizontal="right" vertical="top" wrapText="1"/>
    </xf>
    <xf numFmtId="0" fontId="2" fillId="7" borderId="51" xfId="0" applyFont="1" applyFill="1" applyBorder="1" applyAlignment="1"/>
    <xf numFmtId="0" fontId="2" fillId="7" borderId="71" xfId="0" applyFont="1" applyFill="1" applyBorder="1" applyAlignment="1"/>
    <xf numFmtId="0" fontId="2" fillId="7" borderId="73" xfId="0" applyFont="1" applyFill="1" applyBorder="1" applyAlignment="1"/>
    <xf numFmtId="0" fontId="9" fillId="7" borderId="51" xfId="0" applyFont="1" applyFill="1" applyBorder="1" applyAlignment="1"/>
    <xf numFmtId="0" fontId="9" fillId="7" borderId="71" xfId="0" applyFont="1" applyFill="1" applyBorder="1" applyAlignment="1"/>
    <xf numFmtId="0" fontId="9" fillId="7" borderId="72" xfId="0" applyFont="1" applyFill="1" applyBorder="1" applyAlignment="1"/>
    <xf numFmtId="0" fontId="3" fillId="8" borderId="20" xfId="0" applyNumberFormat="1" applyFont="1" applyFill="1" applyBorder="1" applyAlignment="1">
      <alignment horizontal="right" vertical="top" wrapText="1"/>
    </xf>
  </cellXfs>
  <cellStyles count="2">
    <cellStyle name="Moneda" xfId="1"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68"/>
  <sheetViews>
    <sheetView tabSelected="1" topLeftCell="B1" zoomScaleNormal="100" workbookViewId="0">
      <pane ySplit="1" topLeftCell="A2" activePane="bottomLeft" state="frozen"/>
      <selection pane="bottomLeft" activeCell="K4" sqref="K4"/>
    </sheetView>
  </sheetViews>
  <sheetFormatPr baseColWidth="10" defaultColWidth="11.5" defaultRowHeight="13" x14ac:dyDescent="0.15"/>
  <cols>
    <col min="1" max="1" width="5.6640625" style="32" customWidth="1"/>
    <col min="2" max="2" width="52.6640625" style="190" customWidth="1"/>
    <col min="3" max="4" width="10" style="32" customWidth="1"/>
    <col min="5" max="5" width="54" style="33" customWidth="1"/>
    <col min="6" max="6" width="10.1640625" style="201" customWidth="1"/>
    <col min="7" max="7" width="10.5" style="201" customWidth="1"/>
    <col min="8" max="8" width="13.5" style="201" customWidth="1"/>
    <col min="9" max="10" width="11.5" style="201" bestFit="1" customWidth="1"/>
    <col min="11" max="11" width="10.5" style="210" bestFit="1" customWidth="1"/>
    <col min="12" max="12" width="7.33203125" style="82" customWidth="1"/>
    <col min="13" max="13" width="11.83203125" style="210" bestFit="1" customWidth="1"/>
    <col min="14" max="14" width="7.33203125" style="82" customWidth="1"/>
    <col min="15" max="15" width="10.5" style="210" customWidth="1"/>
    <col min="16" max="16" width="7.33203125" style="82" customWidth="1"/>
    <col min="17" max="17" width="9.5" style="33" customWidth="1"/>
    <col min="18" max="18" width="7.33203125" style="33" bestFit="1" customWidth="1"/>
    <col min="19" max="19" width="4.5" style="33" customWidth="1"/>
    <col min="20" max="20" width="12" style="210" customWidth="1"/>
    <col min="21" max="21" width="2.33203125" style="33" customWidth="1"/>
    <col min="22" max="16384" width="11.5" style="33"/>
  </cols>
  <sheetData>
    <row r="1" spans="1:22" ht="41" customHeight="1" thickBot="1" x14ac:dyDescent="0.2">
      <c r="A1" s="128" t="s">
        <v>0</v>
      </c>
      <c r="B1" s="129" t="s">
        <v>41</v>
      </c>
      <c r="C1" s="128"/>
      <c r="D1" s="128"/>
      <c r="E1" s="129" t="s">
        <v>500</v>
      </c>
      <c r="F1" s="194" t="s">
        <v>109</v>
      </c>
      <c r="G1" s="194" t="s">
        <v>110</v>
      </c>
      <c r="H1" s="194" t="s">
        <v>40</v>
      </c>
      <c r="I1" s="194" t="s">
        <v>85</v>
      </c>
      <c r="J1" s="194" t="s">
        <v>86</v>
      </c>
      <c r="K1" s="202" t="s">
        <v>493</v>
      </c>
      <c r="L1" s="101" t="s">
        <v>141</v>
      </c>
      <c r="M1" s="202" t="s">
        <v>134</v>
      </c>
      <c r="N1" s="101" t="s">
        <v>141</v>
      </c>
      <c r="O1" s="202" t="s">
        <v>145</v>
      </c>
      <c r="P1" s="101" t="s">
        <v>141</v>
      </c>
      <c r="Q1" s="100" t="s">
        <v>135</v>
      </c>
      <c r="R1" s="102" t="s">
        <v>141</v>
      </c>
      <c r="T1" s="202" t="s">
        <v>501</v>
      </c>
    </row>
    <row r="2" spans="1:22" ht="14" thickBot="1" x14ac:dyDescent="0.2">
      <c r="A2" s="319" t="s">
        <v>496</v>
      </c>
      <c r="B2" s="320"/>
      <c r="C2" s="320"/>
      <c r="D2" s="320"/>
      <c r="E2" s="320"/>
      <c r="F2" s="320"/>
      <c r="G2" s="320"/>
      <c r="H2" s="320"/>
      <c r="I2" s="320"/>
      <c r="J2" s="320"/>
      <c r="K2" s="320"/>
      <c r="L2" s="320"/>
      <c r="M2" s="320"/>
      <c r="N2" s="320"/>
      <c r="O2" s="320"/>
      <c r="P2" s="320"/>
      <c r="Q2" s="320"/>
      <c r="R2" s="321"/>
    </row>
    <row r="3" spans="1:22" ht="13.5" customHeight="1" thickBot="1" x14ac:dyDescent="0.2">
      <c r="A3" s="316" t="s">
        <v>1</v>
      </c>
      <c r="B3" s="317"/>
      <c r="C3" s="317"/>
      <c r="D3" s="317"/>
      <c r="E3" s="317"/>
      <c r="F3" s="317"/>
      <c r="G3" s="317"/>
      <c r="H3" s="317"/>
      <c r="I3" s="317"/>
      <c r="J3" s="317"/>
      <c r="K3" s="317"/>
      <c r="L3" s="317"/>
      <c r="M3" s="317"/>
      <c r="N3" s="317"/>
      <c r="O3" s="317"/>
      <c r="P3" s="317"/>
      <c r="Q3" s="317"/>
      <c r="R3" s="318"/>
    </row>
    <row r="4" spans="1:22" ht="29" thickBot="1" x14ac:dyDescent="0.25">
      <c r="A4" s="98"/>
      <c r="B4" s="150" t="s">
        <v>247</v>
      </c>
      <c r="C4" s="149" t="s">
        <v>250</v>
      </c>
      <c r="D4" s="322">
        <f>IFERROR(VLOOKUP(C4,IDS!$A$1:$B$121,2,0),"")</f>
        <v>73</v>
      </c>
      <c r="E4" s="44" t="s">
        <v>157</v>
      </c>
      <c r="F4" s="217">
        <v>0</v>
      </c>
      <c r="G4" s="217">
        <f t="shared" ref="G4:G17" si="0">(F4*0.16)+F4</f>
        <v>0</v>
      </c>
      <c r="H4" s="217">
        <f>I4-G4</f>
        <v>400</v>
      </c>
      <c r="I4" s="238">
        <v>400</v>
      </c>
      <c r="J4" s="219">
        <f t="shared" ref="J4:J42" si="1">(I4*0.16)+I4</f>
        <v>464</v>
      </c>
      <c r="K4" s="203">
        <f>(H4*0.1)</f>
        <v>40</v>
      </c>
      <c r="L4" s="324">
        <f>IFERROR(ROUND(K4/$H4*100,0),0)</f>
        <v>10</v>
      </c>
      <c r="M4" s="203">
        <f>(H4*0.05)</f>
        <v>20</v>
      </c>
      <c r="N4" s="324">
        <f>IFERROR(ROUND(M4/$H4*100,0),0)</f>
        <v>5</v>
      </c>
      <c r="O4" s="203">
        <f>(H4*0.05)</f>
        <v>20</v>
      </c>
      <c r="P4" s="324">
        <f>IFERROR(ROUND(O4/$H4*100,0),0)</f>
        <v>5</v>
      </c>
      <c r="Q4" s="99">
        <f t="shared" ref="Q4:Q36" si="2">(H4-K4-M4)</f>
        <v>340</v>
      </c>
      <c r="R4" s="323">
        <f>Q4/H4*100</f>
        <v>85</v>
      </c>
      <c r="T4" s="214">
        <f>K4-O4</f>
        <v>20</v>
      </c>
      <c r="V4" s="33" t="str">
        <f>IF(D4="","",CONCATENATE("update catalogo_servicios set costo =",I4,", costo_servicio=",G4,", honorarios=",H4,", utilidad=",Q4,", comision_venta = 'Porcentaje', comision_operativa='Porcentaje', comision_gestion='Porcentaje', comision_venta_monto=",K4,", porcentaje_venta=",L4,", comision_operativa_monto=",M4,", porcentaje_operativa=",N4,", comision_gestion_monto=",O4,", porcentaje_gestion=",P4,", porcentaje_utilidad=",R4," where id=",D4,";"))</f>
        <v>update catalogo_servicios set costo =400, costo_servicio=0, honorarios=400, utilidad=340, comision_venta = 'Porcentaje', comision_operativa='Porcentaje', comision_gestion='Porcentaje', comision_venta_monto=40, porcentaje_venta=10, comision_operativa_monto=20, porcentaje_operativa=5, comision_gestion_monto=20, porcentaje_gestion=5, porcentaje_utilidad=85 where id=73;</v>
      </c>
    </row>
    <row r="5" spans="1:22" ht="16" thickBot="1" x14ac:dyDescent="0.25">
      <c r="A5" s="78">
        <v>24</v>
      </c>
      <c r="B5" s="151" t="s">
        <v>248</v>
      </c>
      <c r="C5" s="149" t="s">
        <v>251</v>
      </c>
      <c r="D5" s="322">
        <f>IFERROR(VLOOKUP(C5,IDS!$A$1:$B$121,2,0),"")</f>
        <v>72</v>
      </c>
      <c r="E5" s="4" t="s">
        <v>209</v>
      </c>
      <c r="F5" s="195">
        <v>0</v>
      </c>
      <c r="G5" s="195">
        <f t="shared" si="0"/>
        <v>0</v>
      </c>
      <c r="H5" s="217">
        <f t="shared" ref="H5:H33" si="3">I5-G5</f>
        <v>100</v>
      </c>
      <c r="I5" s="239">
        <v>100</v>
      </c>
      <c r="J5" s="221">
        <f t="shared" si="1"/>
        <v>116</v>
      </c>
      <c r="K5" s="203">
        <f>(H5*0.1)</f>
        <v>10</v>
      </c>
      <c r="L5" s="324">
        <f t="shared" ref="L5:L68" si="4">IFERROR(ROUND(K5/$H5*100,0),0)</f>
        <v>10</v>
      </c>
      <c r="M5" s="203">
        <f>(H5*0.05)</f>
        <v>5</v>
      </c>
      <c r="N5" s="324">
        <f t="shared" ref="N5:N68" si="5">IFERROR(ROUND(M5/$H5*100,0),0)</f>
        <v>5</v>
      </c>
      <c r="O5" s="203">
        <f>(H5*0.05)</f>
        <v>5</v>
      </c>
      <c r="P5" s="324">
        <f t="shared" ref="P5:P68" si="6">IFERROR(ROUND(O5/$H5*100,0),0)</f>
        <v>5</v>
      </c>
      <c r="Q5" s="77">
        <f t="shared" si="2"/>
        <v>85</v>
      </c>
      <c r="R5" s="323">
        <f t="shared" ref="R5:R68" si="7">Q5/H5*100</f>
        <v>85</v>
      </c>
      <c r="T5" s="214">
        <f>K5-O5</f>
        <v>5</v>
      </c>
      <c r="V5" s="33" t="str">
        <f t="shared" ref="V5:V68" si="8">IF(D5="","",CONCATENATE("update catalogo_servicios set costo =",I5,", costo_servicio=",G5,", honorarios=",H5,", utilidad=",Q5,", comision_venta = 'Porcentaje', comision_operativa='Porcentaje', comision_gestion='Porcentaje', comision_venta_monto=",K5,", porcentaje_venta=",L5,", comision_operativa_monto=",M5,", porcentaje_operativa=",N5,", comision_gestion_monto=",O5,", porcentaje_gestion=",P5,", porcentaje_utilidad=",R5," where id=",D5,";"))</f>
        <v>update catalogo_servicios set costo =100, costo_servicio=0, honorarios=100, utilidad=85, comision_venta = 'Porcentaje', comision_operativa='Porcentaje', comision_gestion='Porcentaje', comision_venta_monto=10, porcentaje_venta=10, comision_operativa_monto=5, porcentaje_operativa=5, comision_gestion_monto=5, porcentaje_gestion=5, porcentaje_utilidad=85 where id=72;</v>
      </c>
    </row>
    <row r="6" spans="1:22" ht="16" thickBot="1" x14ac:dyDescent="0.25">
      <c r="A6" s="88"/>
      <c r="B6" s="151" t="s">
        <v>249</v>
      </c>
      <c r="C6" s="149" t="s">
        <v>252</v>
      </c>
      <c r="D6" s="322">
        <f>IFERROR(VLOOKUP(C6,IDS!$A$1:$B$121,2,0),"")</f>
        <v>71</v>
      </c>
      <c r="E6" s="4" t="s">
        <v>136</v>
      </c>
      <c r="F6" s="195">
        <v>0</v>
      </c>
      <c r="G6" s="195">
        <f t="shared" si="0"/>
        <v>0</v>
      </c>
      <c r="H6" s="217">
        <f t="shared" si="3"/>
        <v>200</v>
      </c>
      <c r="I6" s="239">
        <v>200</v>
      </c>
      <c r="J6" s="221">
        <f t="shared" si="1"/>
        <v>232</v>
      </c>
      <c r="K6" s="203">
        <f>(H6*0.1)</f>
        <v>20</v>
      </c>
      <c r="L6" s="324">
        <f t="shared" si="4"/>
        <v>10</v>
      </c>
      <c r="M6" s="203">
        <f>(H6*0.05)</f>
        <v>10</v>
      </c>
      <c r="N6" s="324">
        <f t="shared" si="5"/>
        <v>5</v>
      </c>
      <c r="O6" s="203">
        <f>(H6*0.05)</f>
        <v>10</v>
      </c>
      <c r="P6" s="324">
        <f t="shared" si="6"/>
        <v>5</v>
      </c>
      <c r="Q6" s="77">
        <f t="shared" si="2"/>
        <v>170</v>
      </c>
      <c r="R6" s="323">
        <f t="shared" si="7"/>
        <v>85</v>
      </c>
      <c r="T6" s="214">
        <f t="shared" ref="T6:T70" si="9">K6-O6</f>
        <v>10</v>
      </c>
      <c r="V6" s="33" t="str">
        <f t="shared" si="8"/>
        <v>update catalogo_servicios set costo =200, costo_servicio=0, honorarios=200, utilidad=170, comision_venta = 'Porcentaje', comision_operativa='Porcentaje', comision_gestion='Porcentaje', comision_venta_monto=20, porcentaje_venta=10, comision_operativa_monto=10, porcentaje_operativa=5, comision_gestion_monto=10, porcentaje_gestion=5, porcentaje_utilidad=85 where id=71;</v>
      </c>
    </row>
    <row r="7" spans="1:22" ht="16" thickBot="1" x14ac:dyDescent="0.25">
      <c r="A7" s="88" t="s">
        <v>2</v>
      </c>
      <c r="B7" s="150" t="s">
        <v>497</v>
      </c>
      <c r="C7" s="149" t="s">
        <v>270</v>
      </c>
      <c r="D7" s="322">
        <f>IFERROR(VLOOKUP(C7,IDS!$A$1:$B$121,2,0),"")</f>
        <v>60</v>
      </c>
      <c r="E7" s="4" t="s">
        <v>245</v>
      </c>
      <c r="F7" s="198">
        <v>2695.18</v>
      </c>
      <c r="G7" s="198">
        <f t="shared" si="0"/>
        <v>3126.4087999999997</v>
      </c>
      <c r="H7" s="217">
        <f t="shared" si="3"/>
        <v>3523.5912000000003</v>
      </c>
      <c r="I7" s="239">
        <v>6650</v>
      </c>
      <c r="J7" s="221">
        <f t="shared" si="1"/>
        <v>7714</v>
      </c>
      <c r="K7" s="203">
        <f t="shared" ref="K7:K22" si="10">(H7*0.1)</f>
        <v>352.35912000000008</v>
      </c>
      <c r="L7" s="324">
        <f t="shared" si="4"/>
        <v>10</v>
      </c>
      <c r="M7" s="203">
        <f t="shared" ref="M7:M13" si="11">(H7*0.05)</f>
        <v>176.17956000000004</v>
      </c>
      <c r="N7" s="324">
        <f t="shared" si="5"/>
        <v>5</v>
      </c>
      <c r="O7" s="203">
        <f>(H7*0.02)</f>
        <v>70.471824000000012</v>
      </c>
      <c r="P7" s="324">
        <f t="shared" si="6"/>
        <v>2</v>
      </c>
      <c r="Q7" s="77">
        <f t="shared" si="2"/>
        <v>2995.0525200000002</v>
      </c>
      <c r="R7" s="323">
        <f t="shared" si="7"/>
        <v>85</v>
      </c>
      <c r="T7" s="214">
        <f t="shared" si="9"/>
        <v>281.88729600000005</v>
      </c>
      <c r="V7" s="33" t="str">
        <f t="shared" si="8"/>
        <v>update catalogo_servicios set costo =6650, costo_servicio=3126.4088, honorarios=3523.5912, utilidad=2995.05252, comision_venta = 'Porcentaje', comision_operativa='Porcentaje', comision_gestion='Porcentaje', comision_venta_monto=352.35912, porcentaje_venta=10, comision_operativa_monto=176.17956, porcentaje_operativa=5, comision_gestion_monto=70.471824, porcentaje_gestion=2, porcentaje_utilidad=85 where id=60;</v>
      </c>
    </row>
    <row r="8" spans="1:22" ht="16" thickBot="1" x14ac:dyDescent="0.25">
      <c r="A8" s="88" t="s">
        <v>2</v>
      </c>
      <c r="B8" s="150" t="s">
        <v>498</v>
      </c>
      <c r="C8" s="149" t="s">
        <v>420</v>
      </c>
      <c r="D8" s="322">
        <f>IFERROR(VLOOKUP(C8,IDS!$A$1:$B$121,2,0),"")</f>
        <v>116</v>
      </c>
      <c r="E8" s="302" t="s">
        <v>419</v>
      </c>
      <c r="F8" s="303">
        <v>2425.66</v>
      </c>
      <c r="G8" s="303">
        <f>(F8*0.16)+F8</f>
        <v>2813.7655999999997</v>
      </c>
      <c r="H8" s="304">
        <f t="shared" si="3"/>
        <v>3536.2344000000003</v>
      </c>
      <c r="I8" s="305">
        <v>6350</v>
      </c>
      <c r="J8" s="306">
        <f>(I8*0.16)+I8</f>
        <v>7366</v>
      </c>
      <c r="K8" s="307">
        <f t="shared" si="10"/>
        <v>353.62344000000007</v>
      </c>
      <c r="L8" s="324">
        <f t="shared" si="4"/>
        <v>10</v>
      </c>
      <c r="M8" s="307">
        <f t="shared" si="11"/>
        <v>176.81172000000004</v>
      </c>
      <c r="N8" s="324">
        <f t="shared" si="5"/>
        <v>5</v>
      </c>
      <c r="O8" s="307">
        <f>(H8*0.02)</f>
        <v>70.724688</v>
      </c>
      <c r="P8" s="324">
        <f t="shared" si="6"/>
        <v>2</v>
      </c>
      <c r="Q8" s="308">
        <f>(H8-K8-M8)</f>
        <v>3005.7992399999998</v>
      </c>
      <c r="R8" s="323">
        <f t="shared" si="7"/>
        <v>84.999999999999986</v>
      </c>
      <c r="S8" s="309"/>
      <c r="T8" s="310">
        <f t="shared" si="9"/>
        <v>282.89875200000006</v>
      </c>
      <c r="V8" s="33" t="str">
        <f t="shared" si="8"/>
        <v>update catalogo_servicios set costo =6350, costo_servicio=2813.7656, honorarios=3536.2344, utilidad=3005.79924, comision_venta = 'Porcentaje', comision_operativa='Porcentaje', comision_gestion='Porcentaje', comision_venta_monto=353.62344, porcentaje_venta=10, comision_operativa_monto=176.81172, porcentaje_operativa=5, comision_gestion_monto=70.724688, porcentaje_gestion=2, porcentaje_utilidad=85 where id=116;</v>
      </c>
    </row>
    <row r="9" spans="1:22" ht="16" thickBot="1" x14ac:dyDescent="0.25">
      <c r="A9" s="88" t="s">
        <v>2</v>
      </c>
      <c r="B9" s="150" t="s">
        <v>253</v>
      </c>
      <c r="C9" s="149" t="s">
        <v>254</v>
      </c>
      <c r="D9" s="322">
        <f>IFERROR(VLOOKUP(C9,IDS!$A$1:$B$121,2,0),"")</f>
        <v>60</v>
      </c>
      <c r="E9" s="4" t="s">
        <v>246</v>
      </c>
      <c r="F9" s="198">
        <v>2425.66</v>
      </c>
      <c r="G9" s="198">
        <f>(F9*0.16)+F9</f>
        <v>2813.7655999999997</v>
      </c>
      <c r="H9" s="217">
        <f>I9-G9</f>
        <v>5036.2344000000003</v>
      </c>
      <c r="I9" s="239">
        <v>7850</v>
      </c>
      <c r="J9" s="221">
        <f>(I9*0.16)+I9</f>
        <v>9106</v>
      </c>
      <c r="K9" s="203">
        <f>(H9*0.1)</f>
        <v>503.62344000000007</v>
      </c>
      <c r="L9" s="324">
        <f t="shared" si="4"/>
        <v>10</v>
      </c>
      <c r="M9" s="203">
        <f t="shared" si="11"/>
        <v>251.81172000000004</v>
      </c>
      <c r="N9" s="324">
        <f t="shared" si="5"/>
        <v>5</v>
      </c>
      <c r="O9" s="203">
        <f>(H9*0.02)</f>
        <v>100.72468800000001</v>
      </c>
      <c r="P9" s="324">
        <f t="shared" si="6"/>
        <v>2</v>
      </c>
      <c r="Q9" s="77">
        <f>(H9-K9-M9)</f>
        <v>4280.7992400000003</v>
      </c>
      <c r="R9" s="323">
        <f t="shared" si="7"/>
        <v>85</v>
      </c>
      <c r="T9" s="214">
        <f t="shared" si="9"/>
        <v>402.89875200000006</v>
      </c>
      <c r="V9" s="33" t="str">
        <f t="shared" si="8"/>
        <v>update catalogo_servicios set costo =7850, costo_servicio=2813.7656, honorarios=5036.2344, utilidad=4280.79924, comision_venta = 'Porcentaje', comision_operativa='Porcentaje', comision_gestion='Porcentaje', comision_venta_monto=503.62344, porcentaje_venta=10, comision_operativa_monto=251.81172, porcentaje_operativa=5, comision_gestion_monto=100.724688, porcentaje_gestion=2, porcentaje_utilidad=85 where id=60;</v>
      </c>
    </row>
    <row r="10" spans="1:22" ht="16" thickBot="1" x14ac:dyDescent="0.25">
      <c r="A10" s="88"/>
      <c r="B10" s="151" t="s">
        <v>255</v>
      </c>
      <c r="C10" s="149" t="s">
        <v>256</v>
      </c>
      <c r="D10" s="322">
        <f>IFERROR(VLOOKUP(C10,IDS!$A$1:$B$121,2,0),"")</f>
        <v>52</v>
      </c>
      <c r="E10" s="4" t="s">
        <v>244</v>
      </c>
      <c r="F10" s="198">
        <v>0</v>
      </c>
      <c r="G10" s="198">
        <f t="shared" si="0"/>
        <v>0</v>
      </c>
      <c r="H10" s="217">
        <f t="shared" si="3"/>
        <v>1500</v>
      </c>
      <c r="I10" s="239">
        <v>1500</v>
      </c>
      <c r="J10" s="221">
        <f t="shared" si="1"/>
        <v>1740</v>
      </c>
      <c r="K10" s="203">
        <f t="shared" si="10"/>
        <v>150</v>
      </c>
      <c r="L10" s="324">
        <f t="shared" si="4"/>
        <v>10</v>
      </c>
      <c r="M10" s="203">
        <f>(H10*0)</f>
        <v>0</v>
      </c>
      <c r="N10" s="324">
        <f t="shared" si="5"/>
        <v>0</v>
      </c>
      <c r="O10" s="203">
        <f>(H10*0.02)</f>
        <v>30</v>
      </c>
      <c r="P10" s="324">
        <f t="shared" si="6"/>
        <v>2</v>
      </c>
      <c r="Q10" s="77">
        <f t="shared" si="2"/>
        <v>1350</v>
      </c>
      <c r="R10" s="323">
        <f t="shared" si="7"/>
        <v>90</v>
      </c>
      <c r="T10" s="214">
        <f t="shared" si="9"/>
        <v>120</v>
      </c>
      <c r="V10" s="33" t="str">
        <f t="shared" si="8"/>
        <v>update catalogo_servicios set costo =1500, costo_servicio=0, honorarios=1500, utilidad=1350, comision_venta = 'Porcentaje', comision_operativa='Porcentaje', comision_gestion='Porcentaje', comision_venta_monto=150, porcentaje_venta=10, comision_operativa_monto=0, porcentaje_operativa=0, comision_gestion_monto=30, porcentaje_gestion=2, porcentaje_utilidad=90 where id=52;</v>
      </c>
    </row>
    <row r="11" spans="1:22" ht="29" thickBot="1" x14ac:dyDescent="0.25">
      <c r="A11" s="88" t="s">
        <v>3</v>
      </c>
      <c r="B11" s="151" t="s">
        <v>156</v>
      </c>
      <c r="C11" s="149" t="s">
        <v>269</v>
      </c>
      <c r="D11" s="322">
        <f>IFERROR(VLOOKUP(C11,IDS!$A$1:$B$121,2,0),"")</f>
        <v>65</v>
      </c>
      <c r="E11" s="176" t="s">
        <v>156</v>
      </c>
      <c r="F11" s="240">
        <v>3704.09</v>
      </c>
      <c r="G11" s="196">
        <f t="shared" si="0"/>
        <v>4296.7444000000005</v>
      </c>
      <c r="H11" s="200">
        <f t="shared" si="3"/>
        <v>7703.2555999999995</v>
      </c>
      <c r="I11" s="241">
        <v>12000</v>
      </c>
      <c r="J11" s="242">
        <f>(I11*0.16)+I11</f>
        <v>13920</v>
      </c>
      <c r="K11" s="204">
        <f>(H11*0.06)</f>
        <v>462.19533599999994</v>
      </c>
      <c r="L11" s="324">
        <f t="shared" si="4"/>
        <v>6</v>
      </c>
      <c r="M11" s="204">
        <f>(H11*0.1)</f>
        <v>770.32556</v>
      </c>
      <c r="N11" s="324">
        <f t="shared" si="5"/>
        <v>10</v>
      </c>
      <c r="O11" s="203">
        <f>(H11*0.01)</f>
        <v>77.032556</v>
      </c>
      <c r="P11" s="324">
        <f t="shared" si="6"/>
        <v>1</v>
      </c>
      <c r="Q11" s="141">
        <f>(H11-K11-M11)</f>
        <v>6470.7347039999995</v>
      </c>
      <c r="R11" s="323">
        <f t="shared" si="7"/>
        <v>84</v>
      </c>
      <c r="T11" s="214">
        <f t="shared" si="9"/>
        <v>385.16277999999994</v>
      </c>
      <c r="V11" s="33" t="str">
        <f t="shared" si="8"/>
        <v>update catalogo_servicios set costo =12000, costo_servicio=4296.7444, honorarios=7703.2556, utilidad=6470.734704, comision_venta = 'Porcentaje', comision_operativa='Porcentaje', comision_gestion='Porcentaje', comision_venta_monto=462.195336, porcentaje_venta=6, comision_operativa_monto=770.32556, porcentaje_operativa=10, comision_gestion_monto=77.032556, porcentaje_gestion=1, porcentaje_utilidad=84 where id=65;</v>
      </c>
    </row>
    <row r="12" spans="1:22" ht="29" thickBot="1" x14ac:dyDescent="0.25">
      <c r="A12" s="88" t="s">
        <v>4</v>
      </c>
      <c r="B12" s="150" t="s">
        <v>499</v>
      </c>
      <c r="C12" s="149" t="s">
        <v>421</v>
      </c>
      <c r="D12" s="322">
        <f>IFERROR(VLOOKUP(C12,IDS!$A$1:$B$121,2,0),"")</f>
        <v>117</v>
      </c>
      <c r="E12" s="4" t="s">
        <v>422</v>
      </c>
      <c r="F12" s="198">
        <v>2597.77</v>
      </c>
      <c r="G12" s="198">
        <f t="shared" si="0"/>
        <v>3013.4132</v>
      </c>
      <c r="H12" s="217">
        <f t="shared" si="3"/>
        <v>3536.5868</v>
      </c>
      <c r="I12" s="239">
        <v>6550</v>
      </c>
      <c r="J12" s="221">
        <f t="shared" si="1"/>
        <v>7598</v>
      </c>
      <c r="K12" s="203">
        <f t="shared" si="10"/>
        <v>353.65868</v>
      </c>
      <c r="L12" s="324">
        <f t="shared" si="4"/>
        <v>10</v>
      </c>
      <c r="M12" s="203">
        <f t="shared" si="11"/>
        <v>176.82934</v>
      </c>
      <c r="N12" s="324">
        <f t="shared" si="5"/>
        <v>5</v>
      </c>
      <c r="O12" s="203">
        <f>(H12*0.02)</f>
        <v>70.731735999999998</v>
      </c>
      <c r="P12" s="324">
        <f t="shared" si="6"/>
        <v>2</v>
      </c>
      <c r="Q12" s="77">
        <f t="shared" si="2"/>
        <v>3006.0987800000003</v>
      </c>
      <c r="R12" s="323">
        <f t="shared" si="7"/>
        <v>85.000000000000014</v>
      </c>
      <c r="T12" s="214">
        <f t="shared" si="9"/>
        <v>282.92694399999999</v>
      </c>
      <c r="V12" s="33" t="str">
        <f t="shared" si="8"/>
        <v>update catalogo_servicios set costo =6550, costo_servicio=3013.4132, honorarios=3536.5868, utilidad=3006.09878, comision_venta = 'Porcentaje', comision_operativa='Porcentaje', comision_gestion='Porcentaje', comision_venta_monto=353.65868, porcentaje_venta=10, comision_operativa_monto=176.82934, porcentaje_operativa=5, comision_gestion_monto=70.731736, porcentaje_gestion=2, porcentaje_utilidad=85 where id=117;</v>
      </c>
    </row>
    <row r="13" spans="1:22" ht="16" thickBot="1" x14ac:dyDescent="0.25">
      <c r="A13" s="88" t="s">
        <v>4</v>
      </c>
      <c r="B13" s="150" t="s">
        <v>257</v>
      </c>
      <c r="C13" s="149" t="s">
        <v>258</v>
      </c>
      <c r="D13" s="322">
        <f>IFERROR(VLOOKUP(C13,IDS!$A$1:$B$121,2,0),"")</f>
        <v>63</v>
      </c>
      <c r="E13" s="4" t="s">
        <v>243</v>
      </c>
      <c r="F13" s="198">
        <v>2597.77</v>
      </c>
      <c r="G13" s="198">
        <f>(F13*0.16)+F13</f>
        <v>3013.4132</v>
      </c>
      <c r="H13" s="217">
        <f>I13-G13</f>
        <v>4986.5868</v>
      </c>
      <c r="I13" s="239">
        <v>8000</v>
      </c>
      <c r="J13" s="221">
        <f>(I13*0.16)+I13</f>
        <v>9280</v>
      </c>
      <c r="K13" s="203">
        <f>(H13*0.1)</f>
        <v>498.65868</v>
      </c>
      <c r="L13" s="324">
        <f t="shared" si="4"/>
        <v>10</v>
      </c>
      <c r="M13" s="203">
        <f t="shared" si="11"/>
        <v>249.32934</v>
      </c>
      <c r="N13" s="324">
        <f t="shared" si="5"/>
        <v>5</v>
      </c>
      <c r="O13" s="203">
        <f>(H13*0.02)</f>
        <v>99.731735999999998</v>
      </c>
      <c r="P13" s="324">
        <f t="shared" si="6"/>
        <v>2</v>
      </c>
      <c r="Q13" s="77">
        <f>(H13-K13-M13)</f>
        <v>4238.5987800000003</v>
      </c>
      <c r="R13" s="323">
        <f t="shared" si="7"/>
        <v>85.000000000000014</v>
      </c>
      <c r="T13" s="214">
        <f t="shared" si="9"/>
        <v>398.92694399999999</v>
      </c>
      <c r="V13" s="33" t="str">
        <f t="shared" si="8"/>
        <v>update catalogo_servicios set costo =8000, costo_servicio=3013.4132, honorarios=4986.5868, utilidad=4238.59878, comision_venta = 'Porcentaje', comision_operativa='Porcentaje', comision_gestion='Porcentaje', comision_venta_monto=498.65868, porcentaje_venta=10, comision_operativa_monto=249.32934, porcentaje_operativa=5, comision_gestion_monto=99.731736, porcentaje_gestion=2, porcentaje_utilidad=85 where id=63;</v>
      </c>
    </row>
    <row r="14" spans="1:22" ht="16" thickBot="1" x14ac:dyDescent="0.25">
      <c r="A14" s="88" t="s">
        <v>5</v>
      </c>
      <c r="B14" s="150" t="s">
        <v>259</v>
      </c>
      <c r="C14" s="149" t="s">
        <v>260</v>
      </c>
      <c r="D14" s="322">
        <f>IFERROR(VLOOKUP(C14,IDS!$A$1:$B$121,2,0),"")</f>
        <v>107</v>
      </c>
      <c r="E14" s="4" t="s">
        <v>242</v>
      </c>
      <c r="F14" s="198">
        <v>985.67</v>
      </c>
      <c r="G14" s="198">
        <f t="shared" si="0"/>
        <v>1143.3771999999999</v>
      </c>
      <c r="H14" s="217">
        <f t="shared" si="3"/>
        <v>846.6228000000001</v>
      </c>
      <c r="I14" s="239">
        <v>1990</v>
      </c>
      <c r="J14" s="221">
        <f t="shared" si="1"/>
        <v>2308.4</v>
      </c>
      <c r="K14" s="203">
        <f t="shared" si="10"/>
        <v>84.66228000000001</v>
      </c>
      <c r="L14" s="324">
        <f t="shared" si="4"/>
        <v>10</v>
      </c>
      <c r="M14" s="203">
        <f>(H14*0.05)</f>
        <v>42.331140000000005</v>
      </c>
      <c r="N14" s="324">
        <f t="shared" si="5"/>
        <v>5</v>
      </c>
      <c r="O14" s="203">
        <f>(H14*0.03)</f>
        <v>25.398684000000003</v>
      </c>
      <c r="P14" s="324">
        <f t="shared" si="6"/>
        <v>3</v>
      </c>
      <c r="Q14" s="77">
        <f t="shared" si="2"/>
        <v>719.62938000000008</v>
      </c>
      <c r="R14" s="323">
        <f t="shared" si="7"/>
        <v>85</v>
      </c>
      <c r="T14" s="214">
        <f t="shared" si="9"/>
        <v>59.263596000000007</v>
      </c>
      <c r="V14" s="33" t="str">
        <f t="shared" si="8"/>
        <v>update catalogo_servicios set costo =1990, costo_servicio=1143.3772, honorarios=846.6228, utilidad=719.62938, comision_venta = 'Porcentaje', comision_operativa='Porcentaje', comision_gestion='Porcentaje', comision_venta_monto=84.66228, porcentaje_venta=10, comision_operativa_monto=42.33114, porcentaje_operativa=5, comision_gestion_monto=25.398684, porcentaje_gestion=3, porcentaje_utilidad=85 where id=107;</v>
      </c>
    </row>
    <row r="15" spans="1:22" ht="16" thickBot="1" x14ac:dyDescent="0.25">
      <c r="A15" s="88"/>
      <c r="B15" s="151" t="s">
        <v>507</v>
      </c>
      <c r="C15" s="149" t="s">
        <v>509</v>
      </c>
      <c r="D15" s="322">
        <f>IFERROR(VLOOKUP(C15,IDS!$A$1:$B$121,2,0),"")</f>
        <v>74</v>
      </c>
      <c r="E15" s="4" t="s">
        <v>508</v>
      </c>
      <c r="F15" s="198">
        <v>0</v>
      </c>
      <c r="G15" s="198">
        <f t="shared" si="0"/>
        <v>0</v>
      </c>
      <c r="H15" s="217">
        <f t="shared" si="3"/>
        <v>1000</v>
      </c>
      <c r="I15" s="239">
        <v>1000</v>
      </c>
      <c r="J15" s="221">
        <f t="shared" si="1"/>
        <v>1160</v>
      </c>
      <c r="K15" s="203">
        <f t="shared" si="10"/>
        <v>100</v>
      </c>
      <c r="L15" s="324">
        <f t="shared" si="4"/>
        <v>10</v>
      </c>
      <c r="M15" s="203">
        <f>(H15*0.05)</f>
        <v>50</v>
      </c>
      <c r="N15" s="324">
        <f t="shared" si="5"/>
        <v>5</v>
      </c>
      <c r="O15" s="203">
        <f>(H15*0.03)</f>
        <v>30</v>
      </c>
      <c r="P15" s="324">
        <f t="shared" si="6"/>
        <v>3</v>
      </c>
      <c r="Q15" s="77">
        <f>(H15-K15-M15)</f>
        <v>850</v>
      </c>
      <c r="R15" s="323">
        <f t="shared" si="7"/>
        <v>85</v>
      </c>
      <c r="T15" s="214">
        <f>K15-O15</f>
        <v>70</v>
      </c>
      <c r="V15" s="33" t="str">
        <f t="shared" si="8"/>
        <v>update catalogo_servicios set costo =1000, costo_servicio=0, honorarios=1000, utilidad=850, comision_venta = 'Porcentaje', comision_operativa='Porcentaje', comision_gestion='Porcentaje', comision_venta_monto=100, porcentaje_venta=10, comision_operativa_monto=50, porcentaje_operativa=5, comision_gestion_monto=30, porcentaje_gestion=3, porcentaje_utilidad=85 where id=74;</v>
      </c>
    </row>
    <row r="16" spans="1:22" ht="16" thickBot="1" x14ac:dyDescent="0.25">
      <c r="A16" s="88" t="s">
        <v>6</v>
      </c>
      <c r="B16" s="151" t="s">
        <v>261</v>
      </c>
      <c r="C16" s="149" t="s">
        <v>262</v>
      </c>
      <c r="D16" s="322">
        <f>IFERROR(VLOOKUP(C16,IDS!$A$1:$B$121,2,0),"")</f>
        <v>68</v>
      </c>
      <c r="E16" s="4" t="s">
        <v>150</v>
      </c>
      <c r="F16" s="195">
        <v>2599.2199999999998</v>
      </c>
      <c r="G16" s="195">
        <f t="shared" si="0"/>
        <v>3015.0951999999997</v>
      </c>
      <c r="H16" s="217">
        <f t="shared" si="3"/>
        <v>50484.904800000004</v>
      </c>
      <c r="I16" s="241">
        <v>53500</v>
      </c>
      <c r="J16" s="221">
        <f t="shared" si="1"/>
        <v>62060</v>
      </c>
      <c r="K16" s="203">
        <f t="shared" si="10"/>
        <v>5048.4904800000004</v>
      </c>
      <c r="L16" s="324">
        <f t="shared" si="4"/>
        <v>10</v>
      </c>
      <c r="M16" s="203">
        <f>(H16*0.05)</f>
        <v>2524.2452400000002</v>
      </c>
      <c r="N16" s="324">
        <f t="shared" si="5"/>
        <v>5</v>
      </c>
      <c r="O16" s="203">
        <f t="shared" ref="O16:O22" si="12">(H16*0.02)</f>
        <v>1009.6980960000001</v>
      </c>
      <c r="P16" s="324">
        <f t="shared" si="6"/>
        <v>2</v>
      </c>
      <c r="Q16" s="77">
        <f t="shared" si="2"/>
        <v>42912.169080000007</v>
      </c>
      <c r="R16" s="323">
        <f t="shared" si="7"/>
        <v>85.000000000000014</v>
      </c>
      <c r="T16" s="214">
        <f t="shared" si="9"/>
        <v>4038.7923840000003</v>
      </c>
      <c r="V16" s="33" t="str">
        <f t="shared" si="8"/>
        <v>update catalogo_servicios set costo =53500, costo_servicio=3015.0952, honorarios=50484.9048, utilidad=42912.16908, comision_venta = 'Porcentaje', comision_operativa='Porcentaje', comision_gestion='Porcentaje', comision_venta_monto=5048.49048, porcentaje_venta=10, comision_operativa_monto=2524.24524, porcentaje_operativa=5, comision_gestion_monto=1009.698096, porcentaje_gestion=2, porcentaje_utilidad=85 where id=68;</v>
      </c>
    </row>
    <row r="17" spans="1:22" ht="16" thickBot="1" x14ac:dyDescent="0.25">
      <c r="A17" s="88" t="s">
        <v>7</v>
      </c>
      <c r="B17" s="151" t="s">
        <v>263</v>
      </c>
      <c r="C17" s="149" t="s">
        <v>264</v>
      </c>
      <c r="D17" s="322">
        <f>IFERROR(VLOOKUP(C17,IDS!$A$1:$B$121,2,0),"")</f>
        <v>69</v>
      </c>
      <c r="E17" s="4" t="s">
        <v>151</v>
      </c>
      <c r="F17" s="195">
        <v>2521.09</v>
      </c>
      <c r="G17" s="195">
        <f t="shared" si="0"/>
        <v>2924.4644000000003</v>
      </c>
      <c r="H17" s="217">
        <f t="shared" si="3"/>
        <v>102075.5356</v>
      </c>
      <c r="I17" s="241">
        <v>105000</v>
      </c>
      <c r="J17" s="221">
        <f>(I17*0.16)+I17</f>
        <v>121800</v>
      </c>
      <c r="K17" s="203">
        <f t="shared" si="10"/>
        <v>10207.55356</v>
      </c>
      <c r="L17" s="324">
        <f t="shared" si="4"/>
        <v>10</v>
      </c>
      <c r="M17" s="203">
        <f>(H17*0.05)</f>
        <v>5103.7767800000001</v>
      </c>
      <c r="N17" s="324">
        <f t="shared" si="5"/>
        <v>5</v>
      </c>
      <c r="O17" s="203">
        <f t="shared" si="12"/>
        <v>2041.510712</v>
      </c>
      <c r="P17" s="324">
        <f t="shared" si="6"/>
        <v>2</v>
      </c>
      <c r="Q17" s="77">
        <f>(H17-K17-M17)</f>
        <v>86764.205260000002</v>
      </c>
      <c r="R17" s="323">
        <f t="shared" si="7"/>
        <v>85</v>
      </c>
      <c r="T17" s="214">
        <f t="shared" si="9"/>
        <v>8166.042848</v>
      </c>
      <c r="V17" s="33" t="str">
        <f t="shared" si="8"/>
        <v>update catalogo_servicios set costo =105000, costo_servicio=2924.4644, honorarios=102075.5356, utilidad=86764.20526, comision_venta = 'Porcentaje', comision_operativa='Porcentaje', comision_gestion='Porcentaje', comision_venta_monto=10207.55356, porcentaje_venta=10, comision_operativa_monto=5103.77678, porcentaje_operativa=5, comision_gestion_monto=2041.510712, porcentaje_gestion=2, porcentaje_utilidad=85 where id=69;</v>
      </c>
    </row>
    <row r="18" spans="1:22" ht="29" thickBot="1" x14ac:dyDescent="0.25">
      <c r="A18" s="88" t="s">
        <v>146</v>
      </c>
      <c r="B18" s="151" t="s">
        <v>265</v>
      </c>
      <c r="C18" s="149" t="s">
        <v>266</v>
      </c>
      <c r="D18" s="322">
        <f>IFERROR(VLOOKUP(C18,IDS!$A$1:$B$121,2,0),"")</f>
        <v>57</v>
      </c>
      <c r="E18" s="4" t="s">
        <v>152</v>
      </c>
      <c r="F18" s="195">
        <v>975.34</v>
      </c>
      <c r="G18" s="195">
        <f>(F18*0.16)+F18</f>
        <v>1131.3944000000001</v>
      </c>
      <c r="H18" s="217">
        <f t="shared" si="3"/>
        <v>3868.6055999999999</v>
      </c>
      <c r="I18" s="241">
        <v>5000</v>
      </c>
      <c r="J18" s="221">
        <f>(I18*0.16)+I18</f>
        <v>5800</v>
      </c>
      <c r="K18" s="203">
        <f t="shared" si="10"/>
        <v>386.86056000000002</v>
      </c>
      <c r="L18" s="324">
        <f t="shared" si="4"/>
        <v>10</v>
      </c>
      <c r="M18" s="203">
        <v>0</v>
      </c>
      <c r="N18" s="324">
        <f t="shared" si="5"/>
        <v>0</v>
      </c>
      <c r="O18" s="203">
        <f t="shared" si="12"/>
        <v>77.372112000000001</v>
      </c>
      <c r="P18" s="324">
        <f t="shared" si="6"/>
        <v>2</v>
      </c>
      <c r="Q18" s="77">
        <f>(H18-K18-M18)</f>
        <v>3481.7450399999998</v>
      </c>
      <c r="R18" s="323">
        <f t="shared" si="7"/>
        <v>90</v>
      </c>
      <c r="T18" s="214">
        <f t="shared" si="9"/>
        <v>309.48844800000001</v>
      </c>
      <c r="V18" s="33" t="str">
        <f t="shared" si="8"/>
        <v>update catalogo_servicios set costo =5000, costo_servicio=1131.3944, honorarios=3868.6056, utilidad=3481.74504, comision_venta = 'Porcentaje', comision_operativa='Porcentaje', comision_gestion='Porcentaje', comision_venta_monto=386.86056, porcentaje_venta=10, comision_operativa_monto=0, porcentaje_operativa=0, comision_gestion_monto=77.372112, porcentaje_gestion=2, porcentaje_utilidad=90 where id=57;</v>
      </c>
    </row>
    <row r="19" spans="1:22" ht="16" thickBot="1" x14ac:dyDescent="0.25">
      <c r="A19" s="88" t="s">
        <v>147</v>
      </c>
      <c r="B19" s="151" t="s">
        <v>267</v>
      </c>
      <c r="C19" s="149" t="s">
        <v>268</v>
      </c>
      <c r="D19" s="322">
        <f>IFERROR(VLOOKUP(C19,IDS!$A$1:$B$121,2,0),"")</f>
        <v>58</v>
      </c>
      <c r="E19" s="4" t="s">
        <v>153</v>
      </c>
      <c r="F19" s="195">
        <v>45873.279999999999</v>
      </c>
      <c r="G19" s="195">
        <f>(F19*0.16)+F19</f>
        <v>53213.004799999995</v>
      </c>
      <c r="H19" s="217">
        <f t="shared" si="3"/>
        <v>1786.9952000000048</v>
      </c>
      <c r="I19" s="241">
        <v>55000</v>
      </c>
      <c r="J19" s="221">
        <f>(I19*0.16)+I19</f>
        <v>63800</v>
      </c>
      <c r="K19" s="203">
        <f t="shared" si="10"/>
        <v>178.69952000000049</v>
      </c>
      <c r="L19" s="324">
        <f t="shared" si="4"/>
        <v>10</v>
      </c>
      <c r="M19" s="203">
        <v>0</v>
      </c>
      <c r="N19" s="324">
        <f t="shared" si="5"/>
        <v>0</v>
      </c>
      <c r="O19" s="203">
        <f t="shared" si="12"/>
        <v>35.739904000000095</v>
      </c>
      <c r="P19" s="324">
        <f t="shared" si="6"/>
        <v>2</v>
      </c>
      <c r="Q19" s="77">
        <f>(H19-K19-M19)</f>
        <v>1608.2956800000043</v>
      </c>
      <c r="R19" s="323">
        <f t="shared" si="7"/>
        <v>89.999999999999986</v>
      </c>
      <c r="T19" s="214">
        <f t="shared" si="9"/>
        <v>142.95961600000038</v>
      </c>
      <c r="V19" s="33" t="str">
        <f t="shared" si="8"/>
        <v>update catalogo_servicios set costo =55000, costo_servicio=53213.0048, honorarios=1786.9952, utilidad=1608.29568, comision_venta = 'Porcentaje', comision_operativa='Porcentaje', comision_gestion='Porcentaje', comision_venta_monto=178.69952, porcentaje_venta=10, comision_operativa_monto=0, porcentaje_operativa=0, comision_gestion_monto=35.7399040000001, porcentaje_gestion=2, porcentaje_utilidad=90 where id=58;</v>
      </c>
    </row>
    <row r="20" spans="1:22" ht="31" thickBot="1" x14ac:dyDescent="0.25">
      <c r="A20" s="88" t="s">
        <v>148</v>
      </c>
      <c r="B20" s="151" t="s">
        <v>460</v>
      </c>
      <c r="C20" s="149" t="s">
        <v>446</v>
      </c>
      <c r="D20" s="322">
        <f>IFERROR(VLOOKUP(C20,IDS!$A$1:$B$121,2,0),"")</f>
        <v>118</v>
      </c>
      <c r="E20" s="4" t="s">
        <v>154</v>
      </c>
      <c r="F20" s="195">
        <v>1234.31</v>
      </c>
      <c r="G20" s="195">
        <f>(F20*0.16)+F20</f>
        <v>1431.7995999999998</v>
      </c>
      <c r="H20" s="217">
        <f t="shared" si="3"/>
        <v>1368.2004000000002</v>
      </c>
      <c r="I20" s="241">
        <v>2800</v>
      </c>
      <c r="J20" s="221">
        <f>(I20*0.16)+I20</f>
        <v>3248</v>
      </c>
      <c r="K20" s="203">
        <f t="shared" si="10"/>
        <v>136.82004000000003</v>
      </c>
      <c r="L20" s="324">
        <f t="shared" si="4"/>
        <v>10</v>
      </c>
      <c r="M20" s="203">
        <f>(H20*0.05)</f>
        <v>68.410020000000017</v>
      </c>
      <c r="N20" s="324">
        <f t="shared" si="5"/>
        <v>5</v>
      </c>
      <c r="O20" s="203">
        <f t="shared" si="12"/>
        <v>27.364008000000005</v>
      </c>
      <c r="P20" s="324">
        <f t="shared" si="6"/>
        <v>2</v>
      </c>
      <c r="Q20" s="77">
        <f>(H20-K20-M20)</f>
        <v>1162.9703400000001</v>
      </c>
      <c r="R20" s="323">
        <f t="shared" si="7"/>
        <v>85</v>
      </c>
      <c r="T20" s="214">
        <f t="shared" si="9"/>
        <v>109.45603200000002</v>
      </c>
      <c r="V20" s="33" t="str">
        <f t="shared" si="8"/>
        <v>update catalogo_servicios set costo =2800, costo_servicio=1431.7996, honorarios=1368.2004, utilidad=1162.97034, comision_venta = 'Porcentaje', comision_operativa='Porcentaje', comision_gestion='Porcentaje', comision_venta_monto=136.82004, porcentaje_venta=10, comision_operativa_monto=68.41002, porcentaje_operativa=5, comision_gestion_monto=27.364008, porcentaje_gestion=2, porcentaje_utilidad=85 where id=118;</v>
      </c>
    </row>
    <row r="21" spans="1:22" ht="16" thickBot="1" x14ac:dyDescent="0.25">
      <c r="A21" s="88" t="s">
        <v>149</v>
      </c>
      <c r="B21" s="151" t="s">
        <v>461</v>
      </c>
      <c r="C21" s="149" t="s">
        <v>447</v>
      </c>
      <c r="D21" s="322">
        <f>IFERROR(VLOOKUP(C21,IDS!$A$1:$B$121,2,0),"")</f>
        <v>119</v>
      </c>
      <c r="E21" s="4" t="s">
        <v>155</v>
      </c>
      <c r="F21" s="195">
        <v>44567.37</v>
      </c>
      <c r="G21" s="195">
        <f>(F21*0.16)+F21</f>
        <v>51698.1492</v>
      </c>
      <c r="H21" s="217">
        <f t="shared" si="3"/>
        <v>3301.8508000000002</v>
      </c>
      <c r="I21" s="241">
        <v>55000</v>
      </c>
      <c r="J21" s="221">
        <f>(I21*0.16)+I21</f>
        <v>63800</v>
      </c>
      <c r="K21" s="203">
        <f t="shared" si="10"/>
        <v>330.18508000000003</v>
      </c>
      <c r="L21" s="324">
        <f t="shared" si="4"/>
        <v>10</v>
      </c>
      <c r="M21" s="203">
        <f>(H21*0.05)</f>
        <v>165.09254000000001</v>
      </c>
      <c r="N21" s="324">
        <f t="shared" si="5"/>
        <v>5</v>
      </c>
      <c r="O21" s="203">
        <f t="shared" si="12"/>
        <v>66.037016000000008</v>
      </c>
      <c r="P21" s="324">
        <f t="shared" si="6"/>
        <v>2</v>
      </c>
      <c r="Q21" s="77">
        <f>(H21-K21-M21)</f>
        <v>2806.5731799999999</v>
      </c>
      <c r="R21" s="323">
        <f t="shared" si="7"/>
        <v>84.999999999999986</v>
      </c>
      <c r="T21" s="214">
        <f t="shared" si="9"/>
        <v>264.14806400000003</v>
      </c>
      <c r="V21" s="33" t="str">
        <f t="shared" si="8"/>
        <v>update catalogo_servicios set costo =55000, costo_servicio=51698.1492, honorarios=3301.8508, utilidad=2806.57318, comision_venta = 'Porcentaje', comision_operativa='Porcentaje', comision_gestion='Porcentaje', comision_venta_monto=330.18508, porcentaje_venta=10, comision_operativa_monto=165.09254, porcentaje_operativa=5, comision_gestion_monto=66.037016, porcentaje_gestion=2, porcentaje_utilidad=85 where id=119;</v>
      </c>
    </row>
    <row r="22" spans="1:22" ht="29" thickBot="1" x14ac:dyDescent="0.25">
      <c r="A22" s="29" t="s">
        <v>96</v>
      </c>
      <c r="B22" s="151" t="s">
        <v>271</v>
      </c>
      <c r="C22" s="149" t="s">
        <v>272</v>
      </c>
      <c r="D22" s="322">
        <f>IFERROR(VLOOKUP(C22,IDS!$A$1:$B$121,2,0),"")</f>
        <v>81</v>
      </c>
      <c r="E22" s="4" t="s">
        <v>95</v>
      </c>
      <c r="F22" s="195">
        <v>14.6</v>
      </c>
      <c r="G22" s="195">
        <f t="shared" ref="G22:G36" si="13">(F22*0.16)+F22</f>
        <v>16.936</v>
      </c>
      <c r="H22" s="217">
        <f t="shared" si="3"/>
        <v>933.06399999999996</v>
      </c>
      <c r="I22" s="239">
        <v>950</v>
      </c>
      <c r="J22" s="221">
        <f t="shared" si="1"/>
        <v>1102</v>
      </c>
      <c r="K22" s="203">
        <f t="shared" si="10"/>
        <v>93.306399999999996</v>
      </c>
      <c r="L22" s="324">
        <f t="shared" si="4"/>
        <v>10</v>
      </c>
      <c r="M22" s="203">
        <f>(H22*0.05)</f>
        <v>46.653199999999998</v>
      </c>
      <c r="N22" s="324">
        <f t="shared" si="5"/>
        <v>5</v>
      </c>
      <c r="O22" s="203">
        <f t="shared" si="12"/>
        <v>18.661280000000001</v>
      </c>
      <c r="P22" s="324">
        <f t="shared" si="6"/>
        <v>2</v>
      </c>
      <c r="Q22" s="77">
        <f t="shared" si="2"/>
        <v>793.10439999999994</v>
      </c>
      <c r="R22" s="323">
        <f t="shared" si="7"/>
        <v>85</v>
      </c>
      <c r="T22" s="214">
        <f t="shared" si="9"/>
        <v>74.645119999999991</v>
      </c>
      <c r="V22" s="33" t="str">
        <f t="shared" si="8"/>
        <v>update catalogo_servicios set costo =950, costo_servicio=16.936, honorarios=933.064, utilidad=793.1044, comision_venta = 'Porcentaje', comision_operativa='Porcentaje', comision_gestion='Porcentaje', comision_venta_monto=93.3064, porcentaje_venta=10, comision_operativa_monto=46.6532, porcentaje_operativa=5, comision_gestion_monto=18.66128, porcentaje_gestion=2, porcentaje_utilidad=85 where id=81;</v>
      </c>
    </row>
    <row r="23" spans="1:22" ht="31" thickBot="1" x14ac:dyDescent="0.25">
      <c r="A23" s="29">
        <v>29</v>
      </c>
      <c r="B23" s="151" t="s">
        <v>273</v>
      </c>
      <c r="C23" s="149" t="s">
        <v>274</v>
      </c>
      <c r="D23" s="322">
        <f>IFERROR(VLOOKUP(C23,IDS!$A$1:$B$121,2,0),"")</f>
        <v>76</v>
      </c>
      <c r="E23" s="29" t="s">
        <v>423</v>
      </c>
      <c r="F23" s="195">
        <v>325.77</v>
      </c>
      <c r="G23" s="195">
        <f t="shared" si="13"/>
        <v>377.89319999999998</v>
      </c>
      <c r="H23" s="217">
        <f t="shared" si="3"/>
        <v>572.10680000000002</v>
      </c>
      <c r="I23" s="239">
        <v>950</v>
      </c>
      <c r="J23" s="221">
        <f t="shared" si="1"/>
        <v>1102</v>
      </c>
      <c r="K23" s="203">
        <f>(H23*0)</f>
        <v>0</v>
      </c>
      <c r="L23" s="324">
        <f t="shared" si="4"/>
        <v>0</v>
      </c>
      <c r="M23" s="203">
        <f>(H23*0.1)</f>
        <v>57.210680000000004</v>
      </c>
      <c r="N23" s="324">
        <f t="shared" si="5"/>
        <v>10</v>
      </c>
      <c r="O23" s="203">
        <f>(H23*0.03495)</f>
        <v>19.995132660000003</v>
      </c>
      <c r="P23" s="324">
        <f t="shared" si="6"/>
        <v>3</v>
      </c>
      <c r="Q23" s="77">
        <f>(H23-M23-O23)</f>
        <v>494.90098733999997</v>
      </c>
      <c r="R23" s="323">
        <f t="shared" si="7"/>
        <v>86.504999999999981</v>
      </c>
      <c r="S23" s="76"/>
      <c r="T23" s="214">
        <f t="shared" si="9"/>
        <v>-19.995132660000003</v>
      </c>
      <c r="V23" s="33" t="str">
        <f t="shared" si="8"/>
        <v>update catalogo_servicios set costo =950, costo_servicio=377.8932, honorarios=572.1068, utilidad=494.90098734, comision_venta = 'Porcentaje', comision_operativa='Porcentaje', comision_gestion='Porcentaje', comision_venta_monto=0, porcentaje_venta=0, comision_operativa_monto=57.21068, porcentaje_operativa=10, comision_gestion_monto=19.99513266, porcentaje_gestion=3, porcentaje_utilidad=86.505 where id=76;</v>
      </c>
    </row>
    <row r="24" spans="1:22" ht="31" thickBot="1" x14ac:dyDescent="0.25">
      <c r="A24" s="29">
        <v>29</v>
      </c>
      <c r="B24" s="151" t="s">
        <v>279</v>
      </c>
      <c r="C24" s="152" t="s">
        <v>280</v>
      </c>
      <c r="D24" s="322">
        <f>IFERROR(VLOOKUP(C24,IDS!$A$1:$B$121,2,0),"")</f>
        <v>76</v>
      </c>
      <c r="E24" s="29" t="s">
        <v>424</v>
      </c>
      <c r="F24" s="195">
        <v>325.77</v>
      </c>
      <c r="G24" s="195">
        <f>(F24*0.16)+F24</f>
        <v>377.89319999999998</v>
      </c>
      <c r="H24" s="217">
        <f>I24-G24</f>
        <v>1522.1068</v>
      </c>
      <c r="I24" s="239">
        <v>1900</v>
      </c>
      <c r="J24" s="221">
        <f>(I24*0.16)+I24</f>
        <v>2204</v>
      </c>
      <c r="K24" s="203">
        <f>(H24*0.06)</f>
        <v>91.326408000000001</v>
      </c>
      <c r="L24" s="324">
        <f t="shared" si="4"/>
        <v>6</v>
      </c>
      <c r="M24" s="203">
        <f>(H24*0.2)</f>
        <v>304.42135999999999</v>
      </c>
      <c r="N24" s="324">
        <f t="shared" si="5"/>
        <v>20</v>
      </c>
      <c r="O24" s="203">
        <f>(H24*0.01314)</f>
        <v>20.000483352</v>
      </c>
      <c r="P24" s="324">
        <f t="shared" si="6"/>
        <v>1</v>
      </c>
      <c r="Q24" s="77">
        <f>(H24-K24-M24)</f>
        <v>1126.3590320000001</v>
      </c>
      <c r="R24" s="323">
        <f t="shared" si="7"/>
        <v>74</v>
      </c>
      <c r="S24" s="76"/>
      <c r="T24" s="214">
        <f t="shared" si="9"/>
        <v>71.325924647999997</v>
      </c>
      <c r="V24" s="33" t="str">
        <f t="shared" si="8"/>
        <v>update catalogo_servicios set costo =1900, costo_servicio=377.8932, honorarios=1522.1068, utilidad=1126.359032, comision_venta = 'Porcentaje', comision_operativa='Porcentaje', comision_gestion='Porcentaje', comision_venta_monto=91.326408, porcentaje_venta=6, comision_operativa_monto=304.42136, porcentaje_operativa=20, comision_gestion_monto=20.000483352, porcentaje_gestion=1, porcentaje_utilidad=74 where id=76;</v>
      </c>
    </row>
    <row r="25" spans="1:22" ht="31" thickBot="1" x14ac:dyDescent="0.25">
      <c r="A25" s="29">
        <v>29</v>
      </c>
      <c r="B25" s="151" t="s">
        <v>275</v>
      </c>
      <c r="C25" s="149" t="s">
        <v>276</v>
      </c>
      <c r="D25" s="322">
        <f>IFERROR(VLOOKUP(C25,IDS!$A$1:$B$121,2,0),"")</f>
        <v>84</v>
      </c>
      <c r="E25" s="29" t="s">
        <v>427</v>
      </c>
      <c r="F25" s="195">
        <v>325.77</v>
      </c>
      <c r="G25" s="195">
        <f>(F25*0.16)+F25</f>
        <v>377.89319999999998</v>
      </c>
      <c r="H25" s="217">
        <f t="shared" si="3"/>
        <v>772.10680000000002</v>
      </c>
      <c r="I25" s="239">
        <v>1150</v>
      </c>
      <c r="J25" s="221">
        <f>(I25*0.16)+I25</f>
        <v>1334</v>
      </c>
      <c r="K25" s="203">
        <f>(H25*0)</f>
        <v>0</v>
      </c>
      <c r="L25" s="324">
        <f t="shared" si="4"/>
        <v>0</v>
      </c>
      <c r="M25" s="203">
        <f>(H25*0.4)</f>
        <v>308.84272000000004</v>
      </c>
      <c r="N25" s="324">
        <f t="shared" si="5"/>
        <v>40</v>
      </c>
      <c r="O25" s="203">
        <f>(H25*0.0259)</f>
        <v>19.997566119999998</v>
      </c>
      <c r="P25" s="324">
        <f t="shared" si="6"/>
        <v>3</v>
      </c>
      <c r="Q25" s="77">
        <f>(H25-M25-O25)</f>
        <v>443.26651387999999</v>
      </c>
      <c r="R25" s="323">
        <f t="shared" si="7"/>
        <v>57.41</v>
      </c>
      <c r="S25" s="76"/>
      <c r="T25" s="214">
        <f t="shared" si="9"/>
        <v>-19.997566119999998</v>
      </c>
      <c r="V25" s="33" t="str">
        <f t="shared" si="8"/>
        <v>update catalogo_servicios set costo =1150, costo_servicio=377.8932, honorarios=772.1068, utilidad=443.26651388, comision_venta = 'Porcentaje', comision_operativa='Porcentaje', comision_gestion='Porcentaje', comision_venta_monto=0, porcentaje_venta=0, comision_operativa_monto=308.84272, porcentaje_operativa=40, comision_gestion_monto=19.99756612, porcentaje_gestion=3, porcentaje_utilidad=57.41 where id=84;</v>
      </c>
    </row>
    <row r="26" spans="1:22" ht="31" thickBot="1" x14ac:dyDescent="0.25">
      <c r="A26" s="29">
        <v>29</v>
      </c>
      <c r="B26" s="151" t="s">
        <v>281</v>
      </c>
      <c r="C26" s="152" t="s">
        <v>282</v>
      </c>
      <c r="D26" s="322">
        <f>IFERROR(VLOOKUP(C26,IDS!$A$1:$B$121,2,0),"")</f>
        <v>84</v>
      </c>
      <c r="E26" s="29" t="s">
        <v>425</v>
      </c>
      <c r="F26" s="195">
        <v>325.77</v>
      </c>
      <c r="G26" s="195">
        <f>(F26*0.16)+F26</f>
        <v>377.89319999999998</v>
      </c>
      <c r="H26" s="217">
        <f>I26-G26</f>
        <v>3522.1068</v>
      </c>
      <c r="I26" s="239">
        <v>3900</v>
      </c>
      <c r="J26" s="243">
        <f>(I26*0.16)+I26</f>
        <v>4524</v>
      </c>
      <c r="K26" s="203">
        <f>(H26*0.06)</f>
        <v>211.32640799999999</v>
      </c>
      <c r="L26" s="324">
        <f t="shared" si="4"/>
        <v>6</v>
      </c>
      <c r="M26" s="203">
        <f>(H26*0.2)</f>
        <v>704.42136000000005</v>
      </c>
      <c r="N26" s="324">
        <f t="shared" si="5"/>
        <v>20</v>
      </c>
      <c r="O26" s="203">
        <f>(H26*0.01)</f>
        <v>35.221068000000002</v>
      </c>
      <c r="P26" s="324">
        <f t="shared" si="6"/>
        <v>1</v>
      </c>
      <c r="Q26" s="77">
        <f>(H26-K26-M26)</f>
        <v>2606.3590320000003</v>
      </c>
      <c r="R26" s="323">
        <f t="shared" si="7"/>
        <v>74.000000000000014</v>
      </c>
      <c r="S26" s="76"/>
      <c r="T26" s="214">
        <f t="shared" si="9"/>
        <v>176.10533999999998</v>
      </c>
      <c r="V26" s="33" t="str">
        <f t="shared" si="8"/>
        <v>update catalogo_servicios set costo =3900, costo_servicio=377.8932, honorarios=3522.1068, utilidad=2606.359032, comision_venta = 'Porcentaje', comision_operativa='Porcentaje', comision_gestion='Porcentaje', comision_venta_monto=211.326408, porcentaje_venta=6, comision_operativa_monto=704.42136, porcentaje_operativa=20, comision_gestion_monto=35.221068, porcentaje_gestion=1, porcentaje_utilidad=74 where id=84;</v>
      </c>
    </row>
    <row r="27" spans="1:22" ht="31" thickBot="1" x14ac:dyDescent="0.25">
      <c r="A27" s="29">
        <v>29</v>
      </c>
      <c r="B27" s="151" t="s">
        <v>277</v>
      </c>
      <c r="C27" s="152" t="s">
        <v>278</v>
      </c>
      <c r="D27" s="322">
        <f>IFERROR(VLOOKUP(C27,IDS!$A$1:$B$121,2,0),"")</f>
        <v>78</v>
      </c>
      <c r="E27" s="29" t="s">
        <v>428</v>
      </c>
      <c r="F27" s="195">
        <v>325.77</v>
      </c>
      <c r="G27" s="195">
        <f>(F27*0.16)+F27</f>
        <v>377.89319999999998</v>
      </c>
      <c r="H27" s="217">
        <f>I27-G27</f>
        <v>772.10680000000002</v>
      </c>
      <c r="I27" s="239">
        <v>1150</v>
      </c>
      <c r="J27" s="221">
        <f>(I27*0.16)+I27</f>
        <v>1334</v>
      </c>
      <c r="K27" s="203">
        <f>(H27*0)</f>
        <v>0</v>
      </c>
      <c r="L27" s="324">
        <f t="shared" si="4"/>
        <v>0</v>
      </c>
      <c r="M27" s="203">
        <f>(H27*0.4)</f>
        <v>308.84272000000004</v>
      </c>
      <c r="N27" s="324">
        <f t="shared" si="5"/>
        <v>40</v>
      </c>
      <c r="O27" s="203">
        <f>(H27*0.0259)</f>
        <v>19.997566119999998</v>
      </c>
      <c r="P27" s="324">
        <f t="shared" si="6"/>
        <v>3</v>
      </c>
      <c r="Q27" s="77">
        <f>(H27-M27-O27)</f>
        <v>443.26651387999999</v>
      </c>
      <c r="R27" s="323">
        <f t="shared" si="7"/>
        <v>57.41</v>
      </c>
      <c r="S27" s="76"/>
      <c r="T27" s="214">
        <f t="shared" si="9"/>
        <v>-19.997566119999998</v>
      </c>
      <c r="V27" s="33" t="str">
        <f t="shared" si="8"/>
        <v>update catalogo_servicios set costo =1150, costo_servicio=377.8932, honorarios=772.1068, utilidad=443.26651388, comision_venta = 'Porcentaje', comision_operativa='Porcentaje', comision_gestion='Porcentaje', comision_venta_monto=0, porcentaje_venta=0, comision_operativa_monto=308.84272, porcentaje_operativa=40, comision_gestion_monto=19.99756612, porcentaje_gestion=3, porcentaje_utilidad=57.41 where id=78;</v>
      </c>
    </row>
    <row r="28" spans="1:22" ht="31" thickBot="1" x14ac:dyDescent="0.25">
      <c r="A28" s="29">
        <v>29</v>
      </c>
      <c r="B28" s="151" t="s">
        <v>283</v>
      </c>
      <c r="C28" s="152" t="s">
        <v>284</v>
      </c>
      <c r="D28" s="322">
        <f>IFERROR(VLOOKUP(C28,IDS!$A$1:$B$121,2,0),"")</f>
        <v>78</v>
      </c>
      <c r="E28" s="29" t="s">
        <v>426</v>
      </c>
      <c r="F28" s="195">
        <v>325.77</v>
      </c>
      <c r="G28" s="195">
        <f>(F28*0.16)+F28</f>
        <v>377.89319999999998</v>
      </c>
      <c r="H28" s="217">
        <f>I28-G28</f>
        <v>3522.1068</v>
      </c>
      <c r="I28" s="239">
        <v>3900</v>
      </c>
      <c r="J28" s="243">
        <f>(I28*0.16)+I28</f>
        <v>4524</v>
      </c>
      <c r="K28" s="203">
        <f>(H28*0.06)</f>
        <v>211.32640799999999</v>
      </c>
      <c r="L28" s="324">
        <f t="shared" si="4"/>
        <v>6</v>
      </c>
      <c r="M28" s="203">
        <f>(H28*0.2)</f>
        <v>704.42136000000005</v>
      </c>
      <c r="N28" s="324">
        <f t="shared" si="5"/>
        <v>20</v>
      </c>
      <c r="O28" s="203">
        <f>(H28*0.01)</f>
        <v>35.221068000000002</v>
      </c>
      <c r="P28" s="324">
        <f t="shared" si="6"/>
        <v>1</v>
      </c>
      <c r="Q28" s="77">
        <f>(H28-K28-M28)</f>
        <v>2606.3590320000003</v>
      </c>
      <c r="R28" s="323">
        <f t="shared" si="7"/>
        <v>74.000000000000014</v>
      </c>
      <c r="S28" s="76"/>
      <c r="T28" s="214">
        <f t="shared" si="9"/>
        <v>176.10533999999998</v>
      </c>
      <c r="V28" s="33" t="str">
        <f t="shared" si="8"/>
        <v>update catalogo_servicios set costo =3900, costo_servicio=377.8932, honorarios=3522.1068, utilidad=2606.359032, comision_venta = 'Porcentaje', comision_operativa='Porcentaje', comision_gestion='Porcentaje', comision_venta_monto=211.326408, porcentaje_venta=6, comision_operativa_monto=704.42136, porcentaje_operativa=20, comision_gestion_monto=35.221068, porcentaje_gestion=1, porcentaje_utilidad=74 where id=78;</v>
      </c>
    </row>
    <row r="29" spans="1:22" ht="29" thickBot="1" x14ac:dyDescent="0.25">
      <c r="A29" s="29">
        <v>31</v>
      </c>
      <c r="B29" s="151" t="s">
        <v>285</v>
      </c>
      <c r="C29" s="149" t="s">
        <v>286</v>
      </c>
      <c r="D29" s="322">
        <f>IFERROR(VLOOKUP(C29,IDS!$A$1:$B$121,2,0),"")</f>
        <v>64</v>
      </c>
      <c r="E29" s="4" t="s">
        <v>103</v>
      </c>
      <c r="F29" s="195">
        <v>154</v>
      </c>
      <c r="G29" s="195">
        <f t="shared" si="13"/>
        <v>178.64</v>
      </c>
      <c r="H29" s="217">
        <f t="shared" si="3"/>
        <v>146.36000000000001</v>
      </c>
      <c r="I29" s="239">
        <v>325</v>
      </c>
      <c r="J29" s="221">
        <f t="shared" si="1"/>
        <v>377</v>
      </c>
      <c r="K29" s="203">
        <f>(H29*0)</f>
        <v>0</v>
      </c>
      <c r="L29" s="324">
        <f t="shared" si="4"/>
        <v>0</v>
      </c>
      <c r="M29" s="203">
        <f>(H29*0)</f>
        <v>0</v>
      </c>
      <c r="N29" s="324">
        <f t="shared" si="5"/>
        <v>0</v>
      </c>
      <c r="O29" s="203">
        <f>(H29*0)</f>
        <v>0</v>
      </c>
      <c r="P29" s="324">
        <f t="shared" si="6"/>
        <v>0</v>
      </c>
      <c r="Q29" s="77">
        <f t="shared" si="2"/>
        <v>146.36000000000001</v>
      </c>
      <c r="R29" s="323">
        <f t="shared" si="7"/>
        <v>100</v>
      </c>
      <c r="S29" s="76"/>
      <c r="T29" s="214">
        <f t="shared" si="9"/>
        <v>0</v>
      </c>
      <c r="V29" s="33" t="str">
        <f t="shared" si="8"/>
        <v>update catalogo_servicios set costo =325, costo_servicio=178.64, honorarios=146.36, utilidad=146.36, comision_venta = 'Porcentaje', comision_operativa='Porcentaje', comision_gestion='Porcentaje', comision_venta_monto=0, porcentaje_venta=0, comision_operativa_monto=0, porcentaje_operativa=0, comision_gestion_monto=0, porcentaje_gestion=0, porcentaje_utilidad=100 where id=64;</v>
      </c>
    </row>
    <row r="30" spans="1:22" ht="29" thickBot="1" x14ac:dyDescent="0.25">
      <c r="A30" s="29">
        <v>32</v>
      </c>
      <c r="B30" s="151" t="s">
        <v>287</v>
      </c>
      <c r="C30" s="149" t="s">
        <v>288</v>
      </c>
      <c r="D30" s="322">
        <f>IFERROR(VLOOKUP(C30,IDS!$A$1:$B$121,2,0),"")</f>
        <v>80</v>
      </c>
      <c r="E30" s="4" t="s">
        <v>140</v>
      </c>
      <c r="F30" s="195">
        <v>331.7</v>
      </c>
      <c r="G30" s="195">
        <f t="shared" si="13"/>
        <v>384.77199999999999</v>
      </c>
      <c r="H30" s="217">
        <f t="shared" si="3"/>
        <v>3505.2280000000001</v>
      </c>
      <c r="I30" s="239">
        <v>3890</v>
      </c>
      <c r="J30" s="221">
        <f t="shared" si="1"/>
        <v>4512.3999999999996</v>
      </c>
      <c r="K30" s="203">
        <f>(H30*0.1)</f>
        <v>350.52280000000002</v>
      </c>
      <c r="L30" s="324">
        <f t="shared" si="4"/>
        <v>10</v>
      </c>
      <c r="M30" s="203">
        <f>(H30*0.05)</f>
        <v>175.26140000000001</v>
      </c>
      <c r="N30" s="324">
        <f t="shared" si="5"/>
        <v>5</v>
      </c>
      <c r="O30" s="203">
        <f>(H30*0.02)</f>
        <v>70.104560000000006</v>
      </c>
      <c r="P30" s="324">
        <f t="shared" si="6"/>
        <v>2</v>
      </c>
      <c r="Q30" s="77">
        <f t="shared" si="2"/>
        <v>2979.4438</v>
      </c>
      <c r="R30" s="323">
        <f t="shared" si="7"/>
        <v>85</v>
      </c>
      <c r="S30" s="76"/>
      <c r="T30" s="214">
        <f t="shared" si="9"/>
        <v>280.41824000000003</v>
      </c>
      <c r="V30" s="33" t="str">
        <f t="shared" si="8"/>
        <v>update catalogo_servicios set costo =3890, costo_servicio=384.772, honorarios=3505.228, utilidad=2979.4438, comision_venta = 'Porcentaje', comision_operativa='Porcentaje', comision_gestion='Porcentaje', comision_venta_monto=350.5228, porcentaje_venta=10, comision_operativa_monto=175.2614, porcentaje_operativa=5, comision_gestion_monto=70.10456, porcentaje_gestion=2, porcentaje_utilidad=85 where id=80;</v>
      </c>
    </row>
    <row r="31" spans="1:22" ht="31" thickBot="1" x14ac:dyDescent="0.25">
      <c r="A31" s="29">
        <v>32</v>
      </c>
      <c r="B31" s="153" t="s">
        <v>289</v>
      </c>
      <c r="C31" s="152" t="s">
        <v>290</v>
      </c>
      <c r="D31" s="322">
        <f>IFERROR(VLOOKUP(C31,IDS!$A$1:$B$121,2,0),"")</f>
        <v>70</v>
      </c>
      <c r="E31" s="4" t="s">
        <v>125</v>
      </c>
      <c r="F31" s="195">
        <v>331.7</v>
      </c>
      <c r="G31" s="195">
        <f t="shared" si="13"/>
        <v>384.77199999999999</v>
      </c>
      <c r="H31" s="217">
        <f t="shared" si="3"/>
        <v>3505.2280000000001</v>
      </c>
      <c r="I31" s="239">
        <v>3890</v>
      </c>
      <c r="J31" s="221">
        <f t="shared" si="1"/>
        <v>4512.3999999999996</v>
      </c>
      <c r="K31" s="203">
        <f>(H31*0.1)</f>
        <v>350.52280000000002</v>
      </c>
      <c r="L31" s="324">
        <f t="shared" si="4"/>
        <v>10</v>
      </c>
      <c r="M31" s="203">
        <f>(H31*0.05)</f>
        <v>175.26140000000001</v>
      </c>
      <c r="N31" s="324">
        <f t="shared" si="5"/>
        <v>5</v>
      </c>
      <c r="O31" s="203">
        <f>(H31*0.02)</f>
        <v>70.104560000000006</v>
      </c>
      <c r="P31" s="324">
        <f t="shared" si="6"/>
        <v>2</v>
      </c>
      <c r="Q31" s="77">
        <f t="shared" si="2"/>
        <v>2979.4438</v>
      </c>
      <c r="R31" s="323">
        <f t="shared" si="7"/>
        <v>85</v>
      </c>
      <c r="S31" s="76"/>
      <c r="T31" s="214">
        <f t="shared" si="9"/>
        <v>280.41824000000003</v>
      </c>
      <c r="V31" s="33" t="str">
        <f t="shared" si="8"/>
        <v>update catalogo_servicios set costo =3890, costo_servicio=384.772, honorarios=3505.228, utilidad=2979.4438, comision_venta = 'Porcentaje', comision_operativa='Porcentaje', comision_gestion='Porcentaje', comision_venta_monto=350.5228, porcentaje_venta=10, comision_operativa_monto=175.2614, porcentaje_operativa=5, comision_gestion_monto=70.10456, porcentaje_gestion=2, porcentaje_utilidad=85 where id=70;</v>
      </c>
    </row>
    <row r="32" spans="1:22" ht="31" thickBot="1" x14ac:dyDescent="0.25">
      <c r="A32" s="29">
        <v>34</v>
      </c>
      <c r="B32" s="151" t="s">
        <v>291</v>
      </c>
      <c r="C32" s="152" t="s">
        <v>292</v>
      </c>
      <c r="D32" s="322">
        <f>IFERROR(VLOOKUP(C32,IDS!$A$1:$B$121,2,0),"")</f>
        <v>82</v>
      </c>
      <c r="E32" s="4" t="s">
        <v>158</v>
      </c>
      <c r="F32" s="195">
        <v>88.85</v>
      </c>
      <c r="G32" s="195">
        <f>(F32*0.16)+F32</f>
        <v>103.06599999999999</v>
      </c>
      <c r="H32" s="217">
        <f t="shared" si="3"/>
        <v>46.934000000000012</v>
      </c>
      <c r="I32" s="239">
        <v>150</v>
      </c>
      <c r="J32" s="221">
        <f>(I32*0.16)+I32</f>
        <v>174</v>
      </c>
      <c r="K32" s="203">
        <f>(H32*0)</f>
        <v>0</v>
      </c>
      <c r="L32" s="324">
        <f t="shared" si="4"/>
        <v>0</v>
      </c>
      <c r="M32" s="203">
        <f>(H32*0)</f>
        <v>0</v>
      </c>
      <c r="N32" s="324">
        <f t="shared" si="5"/>
        <v>0</v>
      </c>
      <c r="O32" s="203">
        <f>(H32*0)</f>
        <v>0</v>
      </c>
      <c r="P32" s="324">
        <f t="shared" si="6"/>
        <v>0</v>
      </c>
      <c r="Q32" s="77">
        <f>(H32-K32-M32)</f>
        <v>46.934000000000012</v>
      </c>
      <c r="R32" s="323">
        <f t="shared" si="7"/>
        <v>100</v>
      </c>
      <c r="S32" s="76"/>
      <c r="T32" s="214">
        <f t="shared" si="9"/>
        <v>0</v>
      </c>
      <c r="V32" s="33" t="str">
        <f t="shared" si="8"/>
        <v>update catalogo_servicios set costo =150, costo_servicio=103.066, honorarios=46.934, utilidad=46.934, comision_venta = 'Porcentaje', comision_operativa='Porcentaje', comision_gestion='Porcentaje', comision_venta_monto=0, porcentaje_venta=0, comision_operativa_monto=0, porcentaje_operativa=0, comision_gestion_monto=0, porcentaje_gestion=0, porcentaje_utilidad=100 where id=82;</v>
      </c>
    </row>
    <row r="33" spans="1:22" ht="31" thickBot="1" x14ac:dyDescent="0.25">
      <c r="A33" s="29">
        <v>34</v>
      </c>
      <c r="B33" s="151" t="s">
        <v>293</v>
      </c>
      <c r="C33" s="149" t="s">
        <v>294</v>
      </c>
      <c r="D33" s="322">
        <f>IFERROR(VLOOKUP(C33,IDS!$A$1:$B$121,2,0),"")</f>
        <v>79</v>
      </c>
      <c r="E33" s="4" t="s">
        <v>159</v>
      </c>
      <c r="F33" s="195">
        <v>88.85</v>
      </c>
      <c r="G33" s="195">
        <f t="shared" si="13"/>
        <v>103.06599999999999</v>
      </c>
      <c r="H33" s="217">
        <f t="shared" si="3"/>
        <v>546.93399999999997</v>
      </c>
      <c r="I33" s="239">
        <v>650</v>
      </c>
      <c r="J33" s="221">
        <f t="shared" si="1"/>
        <v>754</v>
      </c>
      <c r="K33" s="203">
        <f>(H33*0.1)</f>
        <v>54.693399999999997</v>
      </c>
      <c r="L33" s="324">
        <f t="shared" si="4"/>
        <v>10</v>
      </c>
      <c r="M33" s="203">
        <f>(H33*0.05)</f>
        <v>27.346699999999998</v>
      </c>
      <c r="N33" s="324">
        <f t="shared" si="5"/>
        <v>5</v>
      </c>
      <c r="O33" s="203">
        <f>(H33*0.02)</f>
        <v>10.93868</v>
      </c>
      <c r="P33" s="324">
        <f t="shared" si="6"/>
        <v>2</v>
      </c>
      <c r="Q33" s="77">
        <f t="shared" si="2"/>
        <v>464.89389999999997</v>
      </c>
      <c r="R33" s="323">
        <f t="shared" si="7"/>
        <v>85</v>
      </c>
      <c r="S33" s="76"/>
      <c r="T33" s="214">
        <f t="shared" si="9"/>
        <v>43.754719999999999</v>
      </c>
      <c r="V33" s="33" t="str">
        <f t="shared" si="8"/>
        <v>update catalogo_servicios set costo =650, costo_servicio=103.066, honorarios=546.934, utilidad=464.8939, comision_venta = 'Porcentaje', comision_operativa='Porcentaje', comision_gestion='Porcentaje', comision_venta_monto=54.6934, porcentaje_venta=10, comision_operativa_monto=27.3467, porcentaje_operativa=5, comision_gestion_monto=10.93868, porcentaje_gestion=2, porcentaje_utilidad=85 where id=79;</v>
      </c>
    </row>
    <row r="34" spans="1:22" ht="31" thickBot="1" x14ac:dyDescent="0.25">
      <c r="A34" s="29">
        <v>16</v>
      </c>
      <c r="B34" s="156" t="s">
        <v>385</v>
      </c>
      <c r="C34" s="154" t="s">
        <v>386</v>
      </c>
      <c r="D34" s="322">
        <f>IFERROR(VLOOKUP(C34,IDS!$A$1:$B$121,2,0),"")</f>
        <v>40</v>
      </c>
      <c r="E34" s="176" t="s">
        <v>137</v>
      </c>
      <c r="F34" s="196">
        <v>1348.51</v>
      </c>
      <c r="G34" s="196">
        <f t="shared" si="13"/>
        <v>1564.2716</v>
      </c>
      <c r="H34" s="196">
        <f>I34-G34</f>
        <v>29999.9984</v>
      </c>
      <c r="I34" s="244">
        <v>31564.27</v>
      </c>
      <c r="J34" s="242">
        <f t="shared" si="1"/>
        <v>36614.553200000002</v>
      </c>
      <c r="K34" s="204">
        <f t="shared" ref="K34:K42" si="14">(H34*0.06)</f>
        <v>1799.999904</v>
      </c>
      <c r="L34" s="324">
        <f t="shared" si="4"/>
        <v>6</v>
      </c>
      <c r="M34" s="204">
        <f>(H34*0.1)</f>
        <v>2999.9998400000004</v>
      </c>
      <c r="N34" s="324">
        <f t="shared" si="5"/>
        <v>10</v>
      </c>
      <c r="O34" s="203">
        <f t="shared" ref="O34:O42" si="15">(H34*0.01)</f>
        <v>299.99998399999998</v>
      </c>
      <c r="P34" s="324">
        <f t="shared" si="6"/>
        <v>1</v>
      </c>
      <c r="Q34" s="177">
        <f t="shared" si="2"/>
        <v>25199.998656</v>
      </c>
      <c r="R34" s="323">
        <f t="shared" si="7"/>
        <v>84</v>
      </c>
      <c r="S34" s="76"/>
      <c r="T34" s="214">
        <f t="shared" si="9"/>
        <v>1499.99992</v>
      </c>
      <c r="V34" s="33" t="str">
        <f t="shared" si="8"/>
        <v>update catalogo_servicios set costo =31564.27, costo_servicio=1564.2716, honorarios=29999.9984, utilidad=25199.998656, comision_venta = 'Porcentaje', comision_operativa='Porcentaje', comision_gestion='Porcentaje', comision_venta_monto=1799.999904, porcentaje_venta=6, comision_operativa_monto=2999.99984, porcentaje_operativa=10, comision_gestion_monto=299.999984, porcentaje_gestion=1, porcentaje_utilidad=84 where id=40;</v>
      </c>
    </row>
    <row r="35" spans="1:22" ht="31" thickBot="1" x14ac:dyDescent="0.25">
      <c r="A35" s="29">
        <v>16</v>
      </c>
      <c r="B35" s="156" t="s">
        <v>385</v>
      </c>
      <c r="C35" s="154" t="s">
        <v>386</v>
      </c>
      <c r="D35" s="322">
        <f>IFERROR(VLOOKUP(C35,IDS!$A$1:$B$121,2,0),"")</f>
        <v>40</v>
      </c>
      <c r="E35" s="176" t="s">
        <v>138</v>
      </c>
      <c r="F35" s="196">
        <v>1348.51</v>
      </c>
      <c r="G35" s="196">
        <f t="shared" si="13"/>
        <v>1564.2716</v>
      </c>
      <c r="H35" s="196">
        <f t="shared" ref="H35:H42" si="16">I35-G35</f>
        <v>34999.998399999997</v>
      </c>
      <c r="I35" s="244">
        <v>36564.269999999997</v>
      </c>
      <c r="J35" s="242">
        <f t="shared" si="1"/>
        <v>42414.553199999995</v>
      </c>
      <c r="K35" s="204">
        <f t="shared" si="14"/>
        <v>2099.9999039999998</v>
      </c>
      <c r="L35" s="324">
        <f t="shared" si="4"/>
        <v>6</v>
      </c>
      <c r="M35" s="204">
        <f t="shared" ref="M35:M42" si="17">(H35*0.1)</f>
        <v>3499.9998399999999</v>
      </c>
      <c r="N35" s="324">
        <f t="shared" si="5"/>
        <v>10</v>
      </c>
      <c r="O35" s="203">
        <f t="shared" si="15"/>
        <v>349.99998399999998</v>
      </c>
      <c r="P35" s="324">
        <f t="shared" si="6"/>
        <v>1</v>
      </c>
      <c r="Q35" s="177">
        <f t="shared" si="2"/>
        <v>29399.998656</v>
      </c>
      <c r="R35" s="323">
        <f t="shared" si="7"/>
        <v>84.000000000000014</v>
      </c>
      <c r="S35" s="76"/>
      <c r="T35" s="214">
        <f t="shared" si="9"/>
        <v>1749.9999199999997</v>
      </c>
      <c r="V35" s="33" t="str">
        <f t="shared" si="8"/>
        <v>update catalogo_servicios set costo =36564.27, costo_servicio=1564.2716, honorarios=34999.9984, utilidad=29399.998656, comision_venta = 'Porcentaje', comision_operativa='Porcentaje', comision_gestion='Porcentaje', comision_venta_monto=2099.999904, porcentaje_venta=6, comision_operativa_monto=3499.99984, porcentaje_operativa=10, comision_gestion_monto=349.999984, porcentaje_gestion=1, porcentaje_utilidad=84 where id=40;</v>
      </c>
    </row>
    <row r="36" spans="1:22" ht="31" thickBot="1" x14ac:dyDescent="0.25">
      <c r="A36" s="29">
        <v>16</v>
      </c>
      <c r="B36" s="156" t="s">
        <v>385</v>
      </c>
      <c r="C36" s="154" t="s">
        <v>386</v>
      </c>
      <c r="D36" s="322">
        <f>IFERROR(VLOOKUP(C36,IDS!$A$1:$B$121,2,0),"")</f>
        <v>40</v>
      </c>
      <c r="E36" s="176" t="s">
        <v>139</v>
      </c>
      <c r="F36" s="196">
        <v>1348.51</v>
      </c>
      <c r="G36" s="196">
        <f t="shared" si="13"/>
        <v>1564.2716</v>
      </c>
      <c r="H36" s="196">
        <f t="shared" si="16"/>
        <v>44999.998399999997</v>
      </c>
      <c r="I36" s="244">
        <v>46564.27</v>
      </c>
      <c r="J36" s="242">
        <f t="shared" si="1"/>
        <v>54014.553199999995</v>
      </c>
      <c r="K36" s="204">
        <f t="shared" si="14"/>
        <v>2699.9999039999998</v>
      </c>
      <c r="L36" s="324">
        <f t="shared" si="4"/>
        <v>6</v>
      </c>
      <c r="M36" s="204">
        <f t="shared" si="17"/>
        <v>4499.9998399999995</v>
      </c>
      <c r="N36" s="324">
        <f t="shared" si="5"/>
        <v>10</v>
      </c>
      <c r="O36" s="203">
        <f t="shared" si="15"/>
        <v>449.99998399999998</v>
      </c>
      <c r="P36" s="324">
        <f t="shared" si="6"/>
        <v>1</v>
      </c>
      <c r="Q36" s="177">
        <f t="shared" si="2"/>
        <v>37799.998656000003</v>
      </c>
      <c r="R36" s="323">
        <f t="shared" si="7"/>
        <v>84.000000000000014</v>
      </c>
      <c r="S36" s="76"/>
      <c r="T36" s="214">
        <f t="shared" si="9"/>
        <v>2249.9999199999997</v>
      </c>
      <c r="V36" s="33" t="str">
        <f t="shared" si="8"/>
        <v>update catalogo_servicios set costo =46564.27, costo_servicio=1564.2716, honorarios=44999.9984, utilidad=37799.998656, comision_venta = 'Porcentaje', comision_operativa='Porcentaje', comision_gestion='Porcentaje', comision_venta_monto=2699.999904, porcentaje_venta=6, comision_operativa_monto=4499.99984, porcentaje_operativa=10, comision_gestion_monto=449.999984, porcentaje_gestion=1, porcentaje_utilidad=84 where id=40;</v>
      </c>
    </row>
    <row r="37" spans="1:22" ht="16" thickBot="1" x14ac:dyDescent="0.25">
      <c r="A37" s="29"/>
      <c r="B37" s="156" t="s">
        <v>387</v>
      </c>
      <c r="C37" s="154" t="s">
        <v>388</v>
      </c>
      <c r="D37" s="322">
        <f>IFERROR(VLOOKUP(C37,IDS!$A$1:$B$121,2,0),"")</f>
        <v>42</v>
      </c>
      <c r="E37" s="176" t="s">
        <v>142</v>
      </c>
      <c r="F37" s="196">
        <v>0</v>
      </c>
      <c r="G37" s="196">
        <f t="shared" ref="G37:G42" si="18">(F37*0.16)+F37</f>
        <v>0</v>
      </c>
      <c r="H37" s="196">
        <f t="shared" si="16"/>
        <v>8500</v>
      </c>
      <c r="I37" s="244">
        <v>8500</v>
      </c>
      <c r="J37" s="242">
        <f t="shared" si="1"/>
        <v>9860</v>
      </c>
      <c r="K37" s="204">
        <f t="shared" si="14"/>
        <v>510</v>
      </c>
      <c r="L37" s="324">
        <f t="shared" si="4"/>
        <v>6</v>
      </c>
      <c r="M37" s="204">
        <f t="shared" si="17"/>
        <v>850</v>
      </c>
      <c r="N37" s="324">
        <f t="shared" si="5"/>
        <v>10</v>
      </c>
      <c r="O37" s="203">
        <f t="shared" si="15"/>
        <v>85</v>
      </c>
      <c r="P37" s="324">
        <f t="shared" si="6"/>
        <v>1</v>
      </c>
      <c r="Q37" s="177">
        <f t="shared" ref="Q37:Q42" si="19">(H37-K37-M37)</f>
        <v>7140</v>
      </c>
      <c r="R37" s="323">
        <f t="shared" si="7"/>
        <v>84</v>
      </c>
      <c r="S37" s="76"/>
      <c r="T37" s="214">
        <f t="shared" si="9"/>
        <v>425</v>
      </c>
      <c r="V37" s="33" t="str">
        <f t="shared" si="8"/>
        <v>update catalogo_servicios set costo =8500, costo_servicio=0, honorarios=8500, utilidad=7140, comision_venta = 'Porcentaje', comision_operativa='Porcentaje', comision_gestion='Porcentaje', comision_venta_monto=510, porcentaje_venta=6, comision_operativa_monto=850, porcentaje_operativa=10, comision_gestion_monto=85, porcentaje_gestion=1, porcentaje_utilidad=84 where id=42;</v>
      </c>
    </row>
    <row r="38" spans="1:22" ht="16" thickBot="1" x14ac:dyDescent="0.25">
      <c r="A38" s="29"/>
      <c r="B38" s="156" t="s">
        <v>391</v>
      </c>
      <c r="C38" s="154" t="s">
        <v>392</v>
      </c>
      <c r="D38" s="322">
        <f>IFERROR(VLOOKUP(C38,IDS!$A$1:$B$121,2,0),"")</f>
        <v>103</v>
      </c>
      <c r="E38" s="156" t="s">
        <v>391</v>
      </c>
      <c r="F38" s="196">
        <v>0</v>
      </c>
      <c r="G38" s="196">
        <f t="shared" si="18"/>
        <v>0</v>
      </c>
      <c r="H38" s="196">
        <f>I38-G38</f>
        <v>10500</v>
      </c>
      <c r="I38" s="244">
        <v>10500</v>
      </c>
      <c r="J38" s="242">
        <f t="shared" si="1"/>
        <v>12180</v>
      </c>
      <c r="K38" s="204">
        <f>(H38*0.06)</f>
        <v>630</v>
      </c>
      <c r="L38" s="324">
        <f t="shared" si="4"/>
        <v>6</v>
      </c>
      <c r="M38" s="204">
        <f>(H38*0.1)</f>
        <v>1050</v>
      </c>
      <c r="N38" s="324">
        <f t="shared" si="5"/>
        <v>10</v>
      </c>
      <c r="O38" s="203">
        <f t="shared" si="15"/>
        <v>105</v>
      </c>
      <c r="P38" s="324">
        <f t="shared" si="6"/>
        <v>1</v>
      </c>
      <c r="Q38" s="177">
        <f t="shared" si="19"/>
        <v>8820</v>
      </c>
      <c r="R38" s="323">
        <f t="shared" si="7"/>
        <v>84</v>
      </c>
      <c r="S38" s="76"/>
      <c r="T38" s="214">
        <f t="shared" si="9"/>
        <v>525</v>
      </c>
      <c r="V38" s="33" t="str">
        <f t="shared" si="8"/>
        <v>update catalogo_servicios set costo =10500, costo_servicio=0, honorarios=10500, utilidad=8820, comision_venta = 'Porcentaje', comision_operativa='Porcentaje', comision_gestion='Porcentaje', comision_venta_monto=630, porcentaje_venta=6, comision_operativa_monto=1050, porcentaje_operativa=10, comision_gestion_monto=105, porcentaje_gestion=1, porcentaje_utilidad=84 where id=103;</v>
      </c>
    </row>
    <row r="39" spans="1:22" ht="31" thickBot="1" x14ac:dyDescent="0.25">
      <c r="A39" s="29"/>
      <c r="B39" s="156" t="s">
        <v>393</v>
      </c>
      <c r="C39" s="154" t="s">
        <v>394</v>
      </c>
      <c r="D39" s="322">
        <f>IFERROR(VLOOKUP(C39,IDS!$A$1:$B$121,2,0),"")</f>
        <v>104</v>
      </c>
      <c r="E39" s="156" t="s">
        <v>393</v>
      </c>
      <c r="F39" s="196">
        <v>0</v>
      </c>
      <c r="G39" s="196">
        <f t="shared" si="18"/>
        <v>0</v>
      </c>
      <c r="H39" s="196">
        <f>I39-G39</f>
        <v>10500</v>
      </c>
      <c r="I39" s="244">
        <v>10500</v>
      </c>
      <c r="J39" s="242">
        <f>(I39*0.16)+I39</f>
        <v>12180</v>
      </c>
      <c r="K39" s="204">
        <f>(H39*0.06)</f>
        <v>630</v>
      </c>
      <c r="L39" s="324">
        <f t="shared" si="4"/>
        <v>6</v>
      </c>
      <c r="M39" s="204">
        <f>(H39*0.1)</f>
        <v>1050</v>
      </c>
      <c r="N39" s="324">
        <f t="shared" si="5"/>
        <v>10</v>
      </c>
      <c r="O39" s="203">
        <f t="shared" si="15"/>
        <v>105</v>
      </c>
      <c r="P39" s="324">
        <f t="shared" si="6"/>
        <v>1</v>
      </c>
      <c r="Q39" s="177">
        <f t="shared" si="19"/>
        <v>8820</v>
      </c>
      <c r="R39" s="323">
        <f t="shared" si="7"/>
        <v>84</v>
      </c>
      <c r="S39" s="76"/>
      <c r="T39" s="214">
        <f t="shared" si="9"/>
        <v>525</v>
      </c>
      <c r="V39" s="33" t="str">
        <f t="shared" si="8"/>
        <v>update catalogo_servicios set costo =10500, costo_servicio=0, honorarios=10500, utilidad=8820, comision_venta = 'Porcentaje', comision_operativa='Porcentaje', comision_gestion='Porcentaje', comision_venta_monto=630, porcentaje_venta=6, comision_operativa_monto=1050, porcentaje_operativa=10, comision_gestion_monto=105, porcentaje_gestion=1, porcentaje_utilidad=84 where id=104;</v>
      </c>
    </row>
    <row r="40" spans="1:22" ht="31" thickBot="1" x14ac:dyDescent="0.25">
      <c r="A40" s="29"/>
      <c r="B40" s="156" t="s">
        <v>389</v>
      </c>
      <c r="C40" s="154" t="s">
        <v>390</v>
      </c>
      <c r="D40" s="322">
        <f>IFERROR(VLOOKUP(C40,IDS!$A$1:$B$121,2,0),"")</f>
        <v>39</v>
      </c>
      <c r="E40" s="176" t="s">
        <v>144</v>
      </c>
      <c r="F40" s="196">
        <v>0</v>
      </c>
      <c r="G40" s="196">
        <f t="shared" si="18"/>
        <v>0</v>
      </c>
      <c r="H40" s="196">
        <f t="shared" si="16"/>
        <v>7000</v>
      </c>
      <c r="I40" s="244">
        <v>7000</v>
      </c>
      <c r="J40" s="242">
        <f t="shared" si="1"/>
        <v>8120</v>
      </c>
      <c r="K40" s="204">
        <f t="shared" si="14"/>
        <v>420</v>
      </c>
      <c r="L40" s="324">
        <f t="shared" si="4"/>
        <v>6</v>
      </c>
      <c r="M40" s="204">
        <f t="shared" si="17"/>
        <v>700</v>
      </c>
      <c r="N40" s="324">
        <f t="shared" si="5"/>
        <v>10</v>
      </c>
      <c r="O40" s="203">
        <f t="shared" si="15"/>
        <v>70</v>
      </c>
      <c r="P40" s="324">
        <f t="shared" si="6"/>
        <v>1</v>
      </c>
      <c r="Q40" s="177">
        <f t="shared" si="19"/>
        <v>5880</v>
      </c>
      <c r="R40" s="323">
        <f t="shared" si="7"/>
        <v>84</v>
      </c>
      <c r="S40" s="76"/>
      <c r="T40" s="214">
        <f t="shared" si="9"/>
        <v>350</v>
      </c>
      <c r="V40" s="33" t="str">
        <f t="shared" si="8"/>
        <v>update catalogo_servicios set costo =7000, costo_servicio=0, honorarios=7000, utilidad=5880, comision_venta = 'Porcentaje', comision_operativa='Porcentaje', comision_gestion='Porcentaje', comision_venta_monto=420, porcentaje_venta=6, comision_operativa_monto=700, porcentaje_operativa=10, comision_gestion_monto=70, porcentaje_gestion=1, porcentaje_utilidad=84 where id=39;</v>
      </c>
    </row>
    <row r="41" spans="1:22" ht="29" thickBot="1" x14ac:dyDescent="0.25">
      <c r="A41" s="29"/>
      <c r="B41" s="156" t="s">
        <v>397</v>
      </c>
      <c r="C41" s="154" t="s">
        <v>398</v>
      </c>
      <c r="D41" s="322">
        <f>IFERROR(VLOOKUP(C41,IDS!$A$1:$B$121,2,0),"")</f>
        <v>43</v>
      </c>
      <c r="E41" s="176" t="s">
        <v>143</v>
      </c>
      <c r="F41" s="196">
        <v>0</v>
      </c>
      <c r="G41" s="196">
        <f t="shared" si="18"/>
        <v>0</v>
      </c>
      <c r="H41" s="196">
        <f t="shared" si="16"/>
        <v>45000</v>
      </c>
      <c r="I41" s="244">
        <v>45000</v>
      </c>
      <c r="J41" s="242">
        <f t="shared" si="1"/>
        <v>52200</v>
      </c>
      <c r="K41" s="204">
        <f t="shared" si="14"/>
        <v>2700</v>
      </c>
      <c r="L41" s="324">
        <f t="shared" si="4"/>
        <v>6</v>
      </c>
      <c r="M41" s="204">
        <f t="shared" si="17"/>
        <v>4500</v>
      </c>
      <c r="N41" s="324">
        <f t="shared" si="5"/>
        <v>10</v>
      </c>
      <c r="O41" s="203">
        <f t="shared" si="15"/>
        <v>450</v>
      </c>
      <c r="P41" s="324">
        <f t="shared" si="6"/>
        <v>1</v>
      </c>
      <c r="Q41" s="177">
        <f t="shared" si="19"/>
        <v>37800</v>
      </c>
      <c r="R41" s="323">
        <f t="shared" si="7"/>
        <v>84</v>
      </c>
      <c r="T41" s="214">
        <f t="shared" si="9"/>
        <v>2250</v>
      </c>
      <c r="V41" s="33" t="str">
        <f t="shared" si="8"/>
        <v>update catalogo_servicios set costo =45000, costo_servicio=0, honorarios=45000, utilidad=37800, comision_venta = 'Porcentaje', comision_operativa='Porcentaje', comision_gestion='Porcentaje', comision_venta_monto=2700, porcentaje_venta=6, comision_operativa_monto=4500, porcentaje_operativa=10, comision_gestion_monto=450, porcentaje_gestion=1, porcentaje_utilidad=84 where id=43;</v>
      </c>
    </row>
    <row r="42" spans="1:22" ht="16" thickBot="1" x14ac:dyDescent="0.25">
      <c r="A42" s="42"/>
      <c r="B42" s="156" t="s">
        <v>163</v>
      </c>
      <c r="C42" s="154" t="s">
        <v>399</v>
      </c>
      <c r="D42" s="322">
        <f>IFERROR(VLOOKUP(C42,IDS!$A$1:$B$121,2,0),"")</f>
        <v>44</v>
      </c>
      <c r="E42" s="178" t="s">
        <v>163</v>
      </c>
      <c r="F42" s="197">
        <v>0</v>
      </c>
      <c r="G42" s="197">
        <f t="shared" si="18"/>
        <v>0</v>
      </c>
      <c r="H42" s="196">
        <f t="shared" si="16"/>
        <v>50000</v>
      </c>
      <c r="I42" s="245">
        <v>50000</v>
      </c>
      <c r="J42" s="246">
        <f t="shared" si="1"/>
        <v>58000</v>
      </c>
      <c r="K42" s="205">
        <f t="shared" si="14"/>
        <v>3000</v>
      </c>
      <c r="L42" s="324">
        <f t="shared" si="4"/>
        <v>6</v>
      </c>
      <c r="M42" s="204">
        <f t="shared" si="17"/>
        <v>5000</v>
      </c>
      <c r="N42" s="324">
        <f t="shared" si="5"/>
        <v>10</v>
      </c>
      <c r="O42" s="203">
        <f t="shared" si="15"/>
        <v>500</v>
      </c>
      <c r="P42" s="324">
        <f t="shared" si="6"/>
        <v>1</v>
      </c>
      <c r="Q42" s="179">
        <f t="shared" si="19"/>
        <v>42000</v>
      </c>
      <c r="R42" s="323">
        <f t="shared" si="7"/>
        <v>84</v>
      </c>
      <c r="T42" s="214">
        <f t="shared" si="9"/>
        <v>2500</v>
      </c>
      <c r="V42" s="33" t="str">
        <f t="shared" si="8"/>
        <v>update catalogo_servicios set costo =50000, costo_servicio=0, honorarios=50000, utilidad=42000, comision_venta = 'Porcentaje', comision_operativa='Porcentaje', comision_gestion='Porcentaje', comision_venta_monto=3000, porcentaje_venta=6, comision_operativa_monto=5000, porcentaje_operativa=10, comision_gestion_monto=500, porcentaje_gestion=1, porcentaje_utilidad=84 where id=44;</v>
      </c>
    </row>
    <row r="43" spans="1:22" ht="13.5" customHeight="1" thickBot="1" x14ac:dyDescent="0.25">
      <c r="A43" s="316" t="s">
        <v>8</v>
      </c>
      <c r="B43" s="317"/>
      <c r="C43" s="317"/>
      <c r="D43" s="322" t="str">
        <f>IFERROR(VLOOKUP(C43,IDS!$A$1:$B$121,2,0),"")</f>
        <v/>
      </c>
      <c r="E43" s="317"/>
      <c r="F43" s="317"/>
      <c r="G43" s="317"/>
      <c r="H43" s="317"/>
      <c r="I43" s="317"/>
      <c r="J43" s="317"/>
      <c r="K43" s="317"/>
      <c r="L43" s="324">
        <f t="shared" si="4"/>
        <v>0</v>
      </c>
      <c r="M43" s="317"/>
      <c r="N43" s="324">
        <f t="shared" si="5"/>
        <v>0</v>
      </c>
      <c r="O43" s="317"/>
      <c r="P43" s="324">
        <f t="shared" si="6"/>
        <v>0</v>
      </c>
      <c r="Q43" s="317"/>
      <c r="R43" s="323" t="e">
        <f t="shared" si="7"/>
        <v>#DIV/0!</v>
      </c>
      <c r="T43" s="214">
        <f t="shared" si="9"/>
        <v>0</v>
      </c>
      <c r="V43" s="33" t="str">
        <f t="shared" si="8"/>
        <v/>
      </c>
    </row>
    <row r="44" spans="1:22" ht="16" thickBot="1" x14ac:dyDescent="0.25">
      <c r="A44" s="19" t="s">
        <v>82</v>
      </c>
      <c r="B44" s="151" t="s">
        <v>456</v>
      </c>
      <c r="C44" s="152" t="s">
        <v>443</v>
      </c>
      <c r="D44" s="322" t="str">
        <f>IFERROR(VLOOKUP(C44,IDS!$A$1:$B$121,2,0),"")</f>
        <v/>
      </c>
      <c r="E44" s="14" t="s">
        <v>9</v>
      </c>
      <c r="F44" s="247">
        <v>1547.78</v>
      </c>
      <c r="G44" s="217">
        <f>(F44*0.16)+F44</f>
        <v>1795.4248</v>
      </c>
      <c r="H44" s="247">
        <f>I44-G44</f>
        <v>100004.57520000001</v>
      </c>
      <c r="I44" s="248">
        <v>101800</v>
      </c>
      <c r="J44" s="249">
        <f>(I44*0.16)+I44</f>
        <v>118088</v>
      </c>
      <c r="K44" s="206">
        <f>(H44*0.1)</f>
        <v>10000.457520000002</v>
      </c>
      <c r="L44" s="324">
        <f t="shared" si="4"/>
        <v>10</v>
      </c>
      <c r="M44" s="206">
        <f>(H44*0.1)</f>
        <v>10000.457520000002</v>
      </c>
      <c r="N44" s="324">
        <f t="shared" si="5"/>
        <v>10</v>
      </c>
      <c r="O44" s="203">
        <f>(H44*0.02)</f>
        <v>2000.0915040000002</v>
      </c>
      <c r="P44" s="324">
        <f t="shared" si="6"/>
        <v>2</v>
      </c>
      <c r="Q44" s="192">
        <f>(H44-K44-M44)</f>
        <v>80003.660160000014</v>
      </c>
      <c r="R44" s="323">
        <f t="shared" si="7"/>
        <v>80</v>
      </c>
      <c r="T44" s="214">
        <f t="shared" si="9"/>
        <v>8000.3660160000018</v>
      </c>
      <c r="V44" s="33" t="str">
        <f t="shared" si="8"/>
        <v/>
      </c>
    </row>
    <row r="45" spans="1:22" ht="16" thickBot="1" x14ac:dyDescent="0.25">
      <c r="A45" s="20" t="s">
        <v>83</v>
      </c>
      <c r="B45" s="151" t="s">
        <v>457</v>
      </c>
      <c r="C45" s="152" t="s">
        <v>444</v>
      </c>
      <c r="D45" s="322" t="str">
        <f>IFERROR(VLOOKUP(C45,IDS!$A$1:$B$121,2,0),"")</f>
        <v/>
      </c>
      <c r="E45" s="1" t="s">
        <v>10</v>
      </c>
      <c r="F45" s="250">
        <v>818.08</v>
      </c>
      <c r="G45" s="195">
        <f>(F45*0.16)+F45</f>
        <v>948.97280000000001</v>
      </c>
      <c r="H45" s="247">
        <f>I45-G45</f>
        <v>50051.027199999997</v>
      </c>
      <c r="I45" s="251">
        <v>51000</v>
      </c>
      <c r="J45" s="249">
        <f>(I45*0.16)+I45</f>
        <v>59160</v>
      </c>
      <c r="K45" s="206">
        <f>(H45*0.1)</f>
        <v>5005.1027199999999</v>
      </c>
      <c r="L45" s="324">
        <f t="shared" si="4"/>
        <v>10</v>
      </c>
      <c r="M45" s="206">
        <f>(H45*0.1)</f>
        <v>5005.1027199999999</v>
      </c>
      <c r="N45" s="324">
        <f t="shared" si="5"/>
        <v>10</v>
      </c>
      <c r="O45" s="203">
        <f t="shared" ref="O45:O64" si="20">(H45*0.02)</f>
        <v>1001.020544</v>
      </c>
      <c r="P45" s="324">
        <f t="shared" si="6"/>
        <v>2</v>
      </c>
      <c r="Q45" s="141">
        <f>(H45-K45-M45)</f>
        <v>40040.821759999992</v>
      </c>
      <c r="R45" s="323">
        <f t="shared" si="7"/>
        <v>80</v>
      </c>
      <c r="T45" s="214">
        <f t="shared" si="9"/>
        <v>4004.0821759999999</v>
      </c>
      <c r="V45" s="33" t="str">
        <f t="shared" si="8"/>
        <v/>
      </c>
    </row>
    <row r="46" spans="1:22" ht="16" thickBot="1" x14ac:dyDescent="0.25">
      <c r="A46" s="21" t="s">
        <v>84</v>
      </c>
      <c r="B46" s="151" t="s">
        <v>458</v>
      </c>
      <c r="C46" s="152" t="s">
        <v>445</v>
      </c>
      <c r="D46" s="322" t="str">
        <f>IFERROR(VLOOKUP(C46,IDS!$A$1:$B$121,2,0),"")</f>
        <v/>
      </c>
      <c r="E46" s="7" t="s">
        <v>11</v>
      </c>
      <c r="F46" s="252">
        <v>607.57000000000005</v>
      </c>
      <c r="G46" s="222">
        <f>(F46*0.16)+F46</f>
        <v>704.78120000000001</v>
      </c>
      <c r="H46" s="247">
        <f>I46-G46</f>
        <v>5000.2187999999996</v>
      </c>
      <c r="I46" s="253">
        <v>5705</v>
      </c>
      <c r="J46" s="254">
        <f>(I46*0.16)+I46</f>
        <v>6617.8</v>
      </c>
      <c r="K46" s="206">
        <f>(H46*0.1)</f>
        <v>500.02188000000001</v>
      </c>
      <c r="L46" s="324">
        <f t="shared" si="4"/>
        <v>10</v>
      </c>
      <c r="M46" s="206">
        <f>(H46*0.1)</f>
        <v>500.02188000000001</v>
      </c>
      <c r="N46" s="324">
        <f t="shared" si="5"/>
        <v>10</v>
      </c>
      <c r="O46" s="203">
        <f t="shared" si="20"/>
        <v>100.00437599999999</v>
      </c>
      <c r="P46" s="324">
        <f t="shared" si="6"/>
        <v>2</v>
      </c>
      <c r="Q46" s="193">
        <f>(H46-K46-M46)</f>
        <v>4000.1750399999992</v>
      </c>
      <c r="R46" s="323">
        <f t="shared" si="7"/>
        <v>80</v>
      </c>
      <c r="T46" s="214">
        <f t="shared" si="9"/>
        <v>400.01750400000003</v>
      </c>
      <c r="V46" s="33" t="str">
        <f t="shared" si="8"/>
        <v/>
      </c>
    </row>
    <row r="47" spans="1:22" ht="25.5" customHeight="1" thickBot="1" x14ac:dyDescent="0.25">
      <c r="A47" s="316" t="s">
        <v>80</v>
      </c>
      <c r="B47" s="317"/>
      <c r="C47" s="317"/>
      <c r="D47" s="322" t="str">
        <f>IFERROR(VLOOKUP(C47,IDS!$A$1:$B$121,2,0),"")</f>
        <v/>
      </c>
      <c r="E47" s="317"/>
      <c r="F47" s="317"/>
      <c r="G47" s="317"/>
      <c r="H47" s="317"/>
      <c r="I47" s="317"/>
      <c r="J47" s="317"/>
      <c r="K47" s="317"/>
      <c r="L47" s="324">
        <f t="shared" si="4"/>
        <v>0</v>
      </c>
      <c r="M47" s="317"/>
      <c r="N47" s="324">
        <f t="shared" si="5"/>
        <v>0</v>
      </c>
      <c r="O47" s="317"/>
      <c r="P47" s="324">
        <f t="shared" si="6"/>
        <v>0</v>
      </c>
      <c r="Q47" s="317"/>
      <c r="R47" s="323" t="e">
        <f t="shared" si="7"/>
        <v>#DIV/0!</v>
      </c>
      <c r="T47" s="214">
        <f t="shared" si="9"/>
        <v>0</v>
      </c>
      <c r="V47" s="33" t="str">
        <f t="shared" si="8"/>
        <v/>
      </c>
    </row>
    <row r="48" spans="1:22" ht="15" x14ac:dyDescent="0.2">
      <c r="A48" s="19">
        <v>21</v>
      </c>
      <c r="B48" s="187" t="s">
        <v>319</v>
      </c>
      <c r="C48" s="173" t="s">
        <v>320</v>
      </c>
      <c r="D48" s="322">
        <f>IFERROR(VLOOKUP(C48,IDS!$A$1:$B$121,2,0),"")</f>
        <v>38</v>
      </c>
      <c r="E48" s="180" t="s">
        <v>12</v>
      </c>
      <c r="F48" s="255">
        <v>823.72</v>
      </c>
      <c r="G48" s="200">
        <f t="shared" ref="G48:G69" si="21">(F48*0.16)+F48</f>
        <v>955.51520000000005</v>
      </c>
      <c r="H48" s="255">
        <f>I48-G48</f>
        <v>2044.4848</v>
      </c>
      <c r="I48" s="256">
        <v>3000</v>
      </c>
      <c r="J48" s="257">
        <f t="shared" ref="J48:J69" si="22">(I48*0.16)+I48</f>
        <v>3480</v>
      </c>
      <c r="K48" s="204">
        <f>(H48*0.1)</f>
        <v>204.44848000000002</v>
      </c>
      <c r="L48" s="324">
        <f t="shared" si="4"/>
        <v>10</v>
      </c>
      <c r="M48" s="204">
        <f t="shared" ref="M48:M64" si="23">(H48*0.1)</f>
        <v>204.44848000000002</v>
      </c>
      <c r="N48" s="324">
        <f t="shared" si="5"/>
        <v>10</v>
      </c>
      <c r="O48" s="203">
        <f t="shared" si="20"/>
        <v>40.889696000000001</v>
      </c>
      <c r="P48" s="324">
        <f t="shared" si="6"/>
        <v>2</v>
      </c>
      <c r="Q48" s="141">
        <f t="shared" ref="Q48:Q69" si="24">(H48-K48-M48)</f>
        <v>1635.5878399999999</v>
      </c>
      <c r="R48" s="323">
        <f t="shared" si="7"/>
        <v>80</v>
      </c>
      <c r="T48" s="214">
        <f t="shared" si="9"/>
        <v>163.558784</v>
      </c>
      <c r="V48" s="33" t="str">
        <f>IF(D48="","",CONCATENATE("update catalogo_servicios set costo =",I48,", costo_servicio=",G48,", honorarios=",H48,", utilidad=",Q48,", comision_venta = 'Porcentaje', comision_operativa='Porcentaje', comision_gestion='Porcentaje', comision_venta_monto=",K48,", porcentaje_venta=",L48,", comision_operativa_monto=",M48,", porcentaje_operativa=",N48,", comision_gestion_monto=",O48,", porcentaje_gestion=",P48,", porcentaje_utilidad=",R48," where id=",D48,";"))</f>
        <v>update catalogo_servicios set costo =3000, costo_servicio=955.5152, honorarios=2044.4848, utilidad=1635.58784, comision_venta = 'Porcentaje', comision_operativa='Porcentaje', comision_gestion='Porcentaje', comision_venta_monto=204.44848, porcentaje_venta=10, comision_operativa_monto=204.44848, porcentaje_operativa=10, comision_gestion_monto=40.889696, porcentaje_gestion=2, porcentaje_utilidad=80 where id=38;</v>
      </c>
    </row>
    <row r="49" spans="1:22" ht="16" thickBot="1" x14ac:dyDescent="0.25">
      <c r="A49" s="175"/>
      <c r="B49" s="188" t="s">
        <v>411</v>
      </c>
      <c r="C49" s="174" t="s">
        <v>412</v>
      </c>
      <c r="D49" s="322" t="str">
        <f>IFERROR(VLOOKUP(C49,IDS!$A$1:$B$121,2,0),"")</f>
        <v/>
      </c>
      <c r="E49" s="181" t="s">
        <v>438</v>
      </c>
      <c r="F49" s="255">
        <v>500</v>
      </c>
      <c r="G49" s="200">
        <v>500</v>
      </c>
      <c r="H49" s="255">
        <f t="shared" ref="H49:H55" si="25">I49-G49</f>
        <v>0</v>
      </c>
      <c r="I49" s="256">
        <v>500</v>
      </c>
      <c r="J49" s="257">
        <f t="shared" si="22"/>
        <v>580</v>
      </c>
      <c r="K49" s="204">
        <v>0</v>
      </c>
      <c r="L49" s="324">
        <f t="shared" si="4"/>
        <v>0</v>
      </c>
      <c r="M49" s="204">
        <f t="shared" si="23"/>
        <v>0</v>
      </c>
      <c r="N49" s="324">
        <f t="shared" si="5"/>
        <v>0</v>
      </c>
      <c r="O49" s="203">
        <f>(H49*0.01)</f>
        <v>0</v>
      </c>
      <c r="P49" s="324">
        <f t="shared" si="6"/>
        <v>0</v>
      </c>
      <c r="Q49" s="141">
        <f t="shared" si="24"/>
        <v>0</v>
      </c>
      <c r="R49" s="323" t="e">
        <f t="shared" si="7"/>
        <v>#DIV/0!</v>
      </c>
      <c r="T49" s="214">
        <f t="shared" si="9"/>
        <v>0</v>
      </c>
      <c r="V49" s="33" t="str">
        <f t="shared" si="8"/>
        <v/>
      </c>
    </row>
    <row r="50" spans="1:22" ht="43" thickBot="1" x14ac:dyDescent="0.25">
      <c r="A50" s="20" t="s">
        <v>13</v>
      </c>
      <c r="B50" s="189" t="s">
        <v>324</v>
      </c>
      <c r="C50" s="158" t="s">
        <v>321</v>
      </c>
      <c r="D50" s="322">
        <f>IFERROR(VLOOKUP(C50,IDS!$A$1:$B$121,2,0),"")</f>
        <v>28</v>
      </c>
      <c r="E50" s="182" t="s">
        <v>432</v>
      </c>
      <c r="F50" s="255">
        <v>3776.99</v>
      </c>
      <c r="G50" s="196">
        <f t="shared" si="21"/>
        <v>4381.3083999999999</v>
      </c>
      <c r="H50" s="258">
        <f t="shared" si="25"/>
        <v>45118.691599999998</v>
      </c>
      <c r="I50" s="259">
        <v>49500</v>
      </c>
      <c r="J50" s="257">
        <f t="shared" si="22"/>
        <v>57420</v>
      </c>
      <c r="K50" s="204">
        <f>(H50*0.06)</f>
        <v>2707.1214959999998</v>
      </c>
      <c r="L50" s="324">
        <f t="shared" si="4"/>
        <v>6</v>
      </c>
      <c r="M50" s="204">
        <f t="shared" si="23"/>
        <v>4511.8691600000002</v>
      </c>
      <c r="N50" s="324">
        <f t="shared" si="5"/>
        <v>10</v>
      </c>
      <c r="O50" s="203">
        <f t="shared" si="20"/>
        <v>902.37383199999999</v>
      </c>
      <c r="P50" s="324">
        <f t="shared" si="6"/>
        <v>2</v>
      </c>
      <c r="Q50" s="141">
        <f t="shared" si="24"/>
        <v>37899.700943999997</v>
      </c>
      <c r="R50" s="323">
        <f t="shared" si="7"/>
        <v>84</v>
      </c>
      <c r="T50" s="214">
        <f t="shared" si="9"/>
        <v>1804.7476639999998</v>
      </c>
      <c r="V50" s="33" t="str">
        <f t="shared" si="8"/>
        <v>update catalogo_servicios set costo =49500, costo_servicio=4381.3084, honorarios=45118.6916, utilidad=37899.700944, comision_venta = 'Porcentaje', comision_operativa='Porcentaje', comision_gestion='Porcentaje', comision_venta_monto=2707.121496, porcentaje_venta=6, comision_operativa_monto=4511.86916, porcentaje_operativa=10, comision_gestion_monto=902.373832, porcentaje_gestion=2, porcentaje_utilidad=84 where id=28;</v>
      </c>
    </row>
    <row r="51" spans="1:22" ht="43" thickBot="1" x14ac:dyDescent="0.25">
      <c r="A51" s="20" t="s">
        <v>13</v>
      </c>
      <c r="B51" s="189" t="s">
        <v>324</v>
      </c>
      <c r="C51" s="158" t="s">
        <v>321</v>
      </c>
      <c r="D51" s="322">
        <f>IFERROR(VLOOKUP(C51,IDS!$A$1:$B$121,2,0),"")</f>
        <v>28</v>
      </c>
      <c r="E51" s="182" t="s">
        <v>433</v>
      </c>
      <c r="F51" s="255">
        <v>3776.99</v>
      </c>
      <c r="G51" s="196">
        <f t="shared" si="21"/>
        <v>4381.3083999999999</v>
      </c>
      <c r="H51" s="258">
        <f t="shared" si="25"/>
        <v>55118.691599999998</v>
      </c>
      <c r="I51" s="259">
        <v>59500</v>
      </c>
      <c r="J51" s="257">
        <f t="shared" si="22"/>
        <v>69020</v>
      </c>
      <c r="K51" s="204">
        <f>(H51*0.06)</f>
        <v>3307.1214959999998</v>
      </c>
      <c r="L51" s="324">
        <f t="shared" si="4"/>
        <v>6</v>
      </c>
      <c r="M51" s="204">
        <f t="shared" si="23"/>
        <v>5511.8691600000002</v>
      </c>
      <c r="N51" s="324">
        <f t="shared" si="5"/>
        <v>10</v>
      </c>
      <c r="O51" s="203">
        <f t="shared" si="20"/>
        <v>1102.373832</v>
      </c>
      <c r="P51" s="324">
        <f t="shared" si="6"/>
        <v>2</v>
      </c>
      <c r="Q51" s="141">
        <f t="shared" si="24"/>
        <v>46299.700943999997</v>
      </c>
      <c r="R51" s="323">
        <f t="shared" si="7"/>
        <v>84</v>
      </c>
      <c r="T51" s="214">
        <f t="shared" si="9"/>
        <v>2204.7476639999995</v>
      </c>
      <c r="V51" s="33" t="str">
        <f t="shared" si="8"/>
        <v>update catalogo_servicios set costo =59500, costo_servicio=4381.3084, honorarios=55118.6916, utilidad=46299.700944, comision_venta = 'Porcentaje', comision_operativa='Porcentaje', comision_gestion='Porcentaje', comision_venta_monto=3307.121496, porcentaje_venta=6, comision_operativa_monto=5511.86916, porcentaje_operativa=10, comision_gestion_monto=1102.373832, porcentaje_gestion=2, porcentaje_utilidad=84 where id=28;</v>
      </c>
    </row>
    <row r="52" spans="1:22" ht="43" thickBot="1" x14ac:dyDescent="0.25">
      <c r="A52" s="20" t="s">
        <v>13</v>
      </c>
      <c r="B52" s="189" t="s">
        <v>324</v>
      </c>
      <c r="C52" s="158" t="s">
        <v>321</v>
      </c>
      <c r="D52" s="322">
        <f>IFERROR(VLOOKUP(C52,IDS!$A$1:$B$121,2,0),"")</f>
        <v>28</v>
      </c>
      <c r="E52" s="182" t="s">
        <v>434</v>
      </c>
      <c r="F52" s="255">
        <v>3776.99</v>
      </c>
      <c r="G52" s="196">
        <f t="shared" si="21"/>
        <v>4381.3083999999999</v>
      </c>
      <c r="H52" s="258">
        <f t="shared" si="25"/>
        <v>65118.691599999998</v>
      </c>
      <c r="I52" s="259">
        <v>69500</v>
      </c>
      <c r="J52" s="257">
        <f t="shared" si="22"/>
        <v>80620</v>
      </c>
      <c r="K52" s="204">
        <f>(H52*0.06)</f>
        <v>3907.1214959999998</v>
      </c>
      <c r="L52" s="324">
        <f t="shared" si="4"/>
        <v>6</v>
      </c>
      <c r="M52" s="204">
        <f t="shared" si="23"/>
        <v>6511.8691600000002</v>
      </c>
      <c r="N52" s="324">
        <f t="shared" si="5"/>
        <v>10</v>
      </c>
      <c r="O52" s="203">
        <f t="shared" si="20"/>
        <v>1302.373832</v>
      </c>
      <c r="P52" s="324">
        <f t="shared" si="6"/>
        <v>2</v>
      </c>
      <c r="Q52" s="141">
        <f t="shared" si="24"/>
        <v>54699.700943999997</v>
      </c>
      <c r="R52" s="323">
        <f t="shared" si="7"/>
        <v>84</v>
      </c>
      <c r="T52" s="214">
        <f t="shared" si="9"/>
        <v>2604.7476639999995</v>
      </c>
      <c r="V52" s="33" t="str">
        <f t="shared" si="8"/>
        <v>update catalogo_servicios set costo =69500, costo_servicio=4381.3084, honorarios=65118.6916, utilidad=54699.700944, comision_venta = 'Porcentaje', comision_operativa='Porcentaje', comision_gestion='Porcentaje', comision_venta_monto=3907.121496, porcentaje_venta=6, comision_operativa_monto=6511.86916, porcentaje_operativa=10, comision_gestion_monto=1302.373832, porcentaje_gestion=2, porcentaje_utilidad=84 where id=28;</v>
      </c>
    </row>
    <row r="53" spans="1:22" ht="16" thickBot="1" x14ac:dyDescent="0.25">
      <c r="A53" s="20" t="s">
        <v>14</v>
      </c>
      <c r="B53" s="189" t="s">
        <v>15</v>
      </c>
      <c r="C53" s="158" t="s">
        <v>450</v>
      </c>
      <c r="D53" s="322" t="str">
        <f>IFERROR(VLOOKUP(C53,IDS!$A$1:$B$121,2,0),"")</f>
        <v/>
      </c>
      <c r="E53" s="1" t="s">
        <v>15</v>
      </c>
      <c r="F53" s="247">
        <v>3073.7</v>
      </c>
      <c r="G53" s="260">
        <f t="shared" si="21"/>
        <v>3565.4919999999997</v>
      </c>
      <c r="H53" s="247">
        <f t="shared" si="25"/>
        <v>3634.5080000000003</v>
      </c>
      <c r="I53" s="261">
        <v>7200</v>
      </c>
      <c r="J53" s="249">
        <f t="shared" si="22"/>
        <v>8352</v>
      </c>
      <c r="K53" s="207">
        <f>(H53*0.1)</f>
        <v>363.45080000000007</v>
      </c>
      <c r="L53" s="324">
        <f t="shared" si="4"/>
        <v>10</v>
      </c>
      <c r="M53" s="207">
        <f t="shared" si="23"/>
        <v>363.45080000000007</v>
      </c>
      <c r="N53" s="324">
        <f t="shared" si="5"/>
        <v>10</v>
      </c>
      <c r="O53" s="203">
        <f t="shared" si="20"/>
        <v>72.690160000000006</v>
      </c>
      <c r="P53" s="324">
        <f t="shared" si="6"/>
        <v>2</v>
      </c>
      <c r="Q53" s="141">
        <f t="shared" si="24"/>
        <v>2907.6064000000001</v>
      </c>
      <c r="R53" s="323">
        <f t="shared" si="7"/>
        <v>80</v>
      </c>
      <c r="T53" s="214">
        <f t="shared" si="9"/>
        <v>290.76064000000008</v>
      </c>
      <c r="V53" s="33" t="str">
        <f t="shared" si="8"/>
        <v/>
      </c>
    </row>
    <row r="54" spans="1:22" ht="16" thickBot="1" x14ac:dyDescent="0.25">
      <c r="A54" s="20" t="s">
        <v>16</v>
      </c>
      <c r="B54" s="189" t="s">
        <v>17</v>
      </c>
      <c r="C54" s="158" t="s">
        <v>451</v>
      </c>
      <c r="D54" s="322" t="str">
        <f>IFERROR(VLOOKUP(C54,IDS!$A$1:$B$121,2,0),"")</f>
        <v/>
      </c>
      <c r="E54" s="1" t="s">
        <v>17</v>
      </c>
      <c r="F54" s="247">
        <v>1901.56</v>
      </c>
      <c r="G54" s="260">
        <f t="shared" si="21"/>
        <v>2205.8096</v>
      </c>
      <c r="H54" s="247">
        <f t="shared" si="25"/>
        <v>2544.1904</v>
      </c>
      <c r="I54" s="261">
        <v>4750</v>
      </c>
      <c r="J54" s="249">
        <f t="shared" si="22"/>
        <v>5510</v>
      </c>
      <c r="K54" s="207">
        <f t="shared" ref="K54:K64" si="26">(H54*0.1)</f>
        <v>254.41904</v>
      </c>
      <c r="L54" s="324">
        <f t="shared" si="4"/>
        <v>10</v>
      </c>
      <c r="M54" s="207">
        <f t="shared" si="23"/>
        <v>254.41904</v>
      </c>
      <c r="N54" s="324">
        <f t="shared" si="5"/>
        <v>10</v>
      </c>
      <c r="O54" s="203">
        <f t="shared" si="20"/>
        <v>50.883808000000002</v>
      </c>
      <c r="P54" s="324">
        <f t="shared" si="6"/>
        <v>2</v>
      </c>
      <c r="Q54" s="141">
        <f t="shared" si="24"/>
        <v>2035.3523199999997</v>
      </c>
      <c r="R54" s="323">
        <f t="shared" si="7"/>
        <v>80</v>
      </c>
      <c r="T54" s="214">
        <f t="shared" si="9"/>
        <v>203.53523200000001</v>
      </c>
      <c r="V54" s="33" t="str">
        <f t="shared" si="8"/>
        <v/>
      </c>
    </row>
    <row r="55" spans="1:22" ht="16" thickBot="1" x14ac:dyDescent="0.25">
      <c r="A55" s="20" t="s">
        <v>18</v>
      </c>
      <c r="B55" s="189" t="s">
        <v>19</v>
      </c>
      <c r="C55" s="158" t="s">
        <v>448</v>
      </c>
      <c r="D55" s="322" t="str">
        <f>IFERROR(VLOOKUP(C55,IDS!$A$1:$B$121,2,0),"")</f>
        <v/>
      </c>
      <c r="E55" s="1" t="s">
        <v>19</v>
      </c>
      <c r="F55" s="247">
        <v>592.67999999999995</v>
      </c>
      <c r="G55" s="260">
        <f t="shared" si="21"/>
        <v>687.50879999999995</v>
      </c>
      <c r="H55" s="247">
        <f t="shared" si="25"/>
        <v>712.49120000000005</v>
      </c>
      <c r="I55" s="261">
        <v>1400</v>
      </c>
      <c r="J55" s="249">
        <f t="shared" si="22"/>
        <v>1624</v>
      </c>
      <c r="K55" s="207">
        <f t="shared" si="26"/>
        <v>71.249120000000005</v>
      </c>
      <c r="L55" s="324">
        <f t="shared" si="4"/>
        <v>10</v>
      </c>
      <c r="M55" s="207">
        <f t="shared" si="23"/>
        <v>71.249120000000005</v>
      </c>
      <c r="N55" s="324">
        <f t="shared" si="5"/>
        <v>10</v>
      </c>
      <c r="O55" s="203">
        <f t="shared" si="20"/>
        <v>14.249824000000002</v>
      </c>
      <c r="P55" s="324">
        <f t="shared" si="6"/>
        <v>2</v>
      </c>
      <c r="Q55" s="141">
        <f t="shared" si="24"/>
        <v>569.99296000000004</v>
      </c>
      <c r="R55" s="323">
        <f t="shared" si="7"/>
        <v>80</v>
      </c>
      <c r="T55" s="214">
        <f t="shared" si="9"/>
        <v>56.999296000000001</v>
      </c>
      <c r="V55" s="33" t="str">
        <f t="shared" si="8"/>
        <v/>
      </c>
    </row>
    <row r="56" spans="1:22" ht="16" thickBot="1" x14ac:dyDescent="0.25">
      <c r="A56" s="20" t="s">
        <v>20</v>
      </c>
      <c r="B56" s="189" t="s">
        <v>322</v>
      </c>
      <c r="C56" s="158" t="s">
        <v>323</v>
      </c>
      <c r="D56" s="322">
        <f>IFERROR(VLOOKUP(C56,IDS!$A$1:$B$121,2,0),"")</f>
        <v>24</v>
      </c>
      <c r="E56" s="1" t="s">
        <v>21</v>
      </c>
      <c r="F56" s="247">
        <v>1549.92</v>
      </c>
      <c r="G56" s="260">
        <f t="shared" si="21"/>
        <v>1797.9072000000001</v>
      </c>
      <c r="H56" s="247">
        <f>I56-G56</f>
        <v>5202.0928000000004</v>
      </c>
      <c r="I56" s="262">
        <v>7000</v>
      </c>
      <c r="J56" s="249">
        <f t="shared" si="22"/>
        <v>8120</v>
      </c>
      <c r="K56" s="207">
        <f t="shared" si="26"/>
        <v>520.20928000000004</v>
      </c>
      <c r="L56" s="324">
        <f t="shared" si="4"/>
        <v>10</v>
      </c>
      <c r="M56" s="207">
        <f t="shared" si="23"/>
        <v>520.20928000000004</v>
      </c>
      <c r="N56" s="324">
        <f t="shared" si="5"/>
        <v>10</v>
      </c>
      <c r="O56" s="203">
        <f t="shared" si="20"/>
        <v>104.04185600000001</v>
      </c>
      <c r="P56" s="324">
        <f t="shared" si="6"/>
        <v>2</v>
      </c>
      <c r="Q56" s="141">
        <f t="shared" si="24"/>
        <v>4161.6742400000003</v>
      </c>
      <c r="R56" s="323">
        <f t="shared" si="7"/>
        <v>80</v>
      </c>
      <c r="T56" s="214">
        <f t="shared" si="9"/>
        <v>416.16742400000004</v>
      </c>
      <c r="V56" s="33" t="str">
        <f t="shared" si="8"/>
        <v>update catalogo_servicios set costo =7000, costo_servicio=1797.9072, honorarios=5202.0928, utilidad=4161.67424, comision_venta = 'Porcentaje', comision_operativa='Porcentaje', comision_gestion='Porcentaje', comision_venta_monto=520.20928, porcentaje_venta=10, comision_operativa_monto=520.20928, porcentaje_operativa=10, comision_gestion_monto=104.041856, porcentaje_gestion=2, porcentaje_utilidad=80 where id=24;</v>
      </c>
    </row>
    <row r="57" spans="1:22" ht="16" thickBot="1" x14ac:dyDescent="0.25">
      <c r="A57" s="20" t="s">
        <v>22</v>
      </c>
      <c r="B57" s="189" t="s">
        <v>459</v>
      </c>
      <c r="C57" s="158" t="s">
        <v>449</v>
      </c>
      <c r="D57" s="322" t="str">
        <f>IFERROR(VLOOKUP(C57,IDS!$A$1:$B$121,2,0),"")</f>
        <v/>
      </c>
      <c r="E57" s="1" t="s">
        <v>23</v>
      </c>
      <c r="F57" s="247">
        <v>409.04</v>
      </c>
      <c r="G57" s="260">
        <f t="shared" si="21"/>
        <v>474.4864</v>
      </c>
      <c r="H57" s="247">
        <f t="shared" ref="H57:H64" si="27">I57-G57</f>
        <v>475.5136</v>
      </c>
      <c r="I57" s="261">
        <v>950</v>
      </c>
      <c r="J57" s="249">
        <f t="shared" si="22"/>
        <v>1102</v>
      </c>
      <c r="K57" s="207">
        <f t="shared" si="26"/>
        <v>47.551360000000003</v>
      </c>
      <c r="L57" s="324">
        <f t="shared" si="4"/>
        <v>10</v>
      </c>
      <c r="M57" s="207">
        <f t="shared" si="23"/>
        <v>47.551360000000003</v>
      </c>
      <c r="N57" s="324">
        <f t="shared" si="5"/>
        <v>10</v>
      </c>
      <c r="O57" s="203">
        <f t="shared" si="20"/>
        <v>9.5102720000000005</v>
      </c>
      <c r="P57" s="324">
        <f t="shared" si="6"/>
        <v>2</v>
      </c>
      <c r="Q57" s="141">
        <f t="shared" si="24"/>
        <v>380.41088000000002</v>
      </c>
      <c r="R57" s="323">
        <f t="shared" si="7"/>
        <v>80</v>
      </c>
      <c r="T57" s="214">
        <f t="shared" si="9"/>
        <v>38.041088000000002</v>
      </c>
      <c r="V57" s="33" t="str">
        <f t="shared" si="8"/>
        <v/>
      </c>
    </row>
    <row r="58" spans="1:22" ht="16" thickBot="1" x14ac:dyDescent="0.25">
      <c r="A58" s="20" t="s">
        <v>24</v>
      </c>
      <c r="B58" s="189" t="s">
        <v>455</v>
      </c>
      <c r="C58" s="158" t="s">
        <v>429</v>
      </c>
      <c r="D58" s="322" t="str">
        <f>IFERROR(VLOOKUP(C58,IDS!$A$1:$B$121,2,0),"")</f>
        <v/>
      </c>
      <c r="E58" s="1" t="s">
        <v>25</v>
      </c>
      <c r="F58" s="247">
        <v>580.95000000000005</v>
      </c>
      <c r="G58" s="260">
        <f t="shared" si="21"/>
        <v>673.90200000000004</v>
      </c>
      <c r="H58" s="247">
        <f t="shared" si="27"/>
        <v>676.09799999999996</v>
      </c>
      <c r="I58" s="261">
        <v>1350</v>
      </c>
      <c r="J58" s="249">
        <f t="shared" si="22"/>
        <v>1566</v>
      </c>
      <c r="K58" s="207">
        <f t="shared" si="26"/>
        <v>67.609799999999993</v>
      </c>
      <c r="L58" s="324">
        <f t="shared" si="4"/>
        <v>10</v>
      </c>
      <c r="M58" s="207">
        <f t="shared" si="23"/>
        <v>67.609799999999993</v>
      </c>
      <c r="N58" s="324">
        <f t="shared" si="5"/>
        <v>10</v>
      </c>
      <c r="O58" s="203">
        <f t="shared" si="20"/>
        <v>13.52196</v>
      </c>
      <c r="P58" s="324">
        <f t="shared" si="6"/>
        <v>2</v>
      </c>
      <c r="Q58" s="141">
        <f t="shared" si="24"/>
        <v>540.87840000000006</v>
      </c>
      <c r="R58" s="323">
        <f t="shared" si="7"/>
        <v>80.000000000000014</v>
      </c>
      <c r="T58" s="214">
        <f t="shared" si="9"/>
        <v>54.087839999999993</v>
      </c>
      <c r="V58" s="33" t="str">
        <f t="shared" si="8"/>
        <v/>
      </c>
    </row>
    <row r="59" spans="1:22" ht="16" thickBot="1" x14ac:dyDescent="0.25">
      <c r="A59" s="20" t="s">
        <v>26</v>
      </c>
      <c r="B59" s="189" t="s">
        <v>455</v>
      </c>
      <c r="C59" s="158" t="s">
        <v>430</v>
      </c>
      <c r="D59" s="322" t="str">
        <f>IFERROR(VLOOKUP(C59,IDS!$A$1:$B$121,2,0),"")</f>
        <v/>
      </c>
      <c r="E59" s="1" t="s">
        <v>27</v>
      </c>
      <c r="F59" s="247">
        <v>680.35</v>
      </c>
      <c r="G59" s="260">
        <f t="shared" si="21"/>
        <v>789.20600000000002</v>
      </c>
      <c r="H59" s="247">
        <f t="shared" si="27"/>
        <v>810.79399999999998</v>
      </c>
      <c r="I59" s="261">
        <v>1600</v>
      </c>
      <c r="J59" s="249">
        <f t="shared" si="22"/>
        <v>1856</v>
      </c>
      <c r="K59" s="207">
        <f t="shared" si="26"/>
        <v>81.079400000000007</v>
      </c>
      <c r="L59" s="324">
        <f t="shared" si="4"/>
        <v>10</v>
      </c>
      <c r="M59" s="207">
        <f t="shared" si="23"/>
        <v>81.079400000000007</v>
      </c>
      <c r="N59" s="324">
        <f t="shared" si="5"/>
        <v>10</v>
      </c>
      <c r="O59" s="203">
        <f t="shared" si="20"/>
        <v>16.215879999999999</v>
      </c>
      <c r="P59" s="324">
        <f t="shared" si="6"/>
        <v>2</v>
      </c>
      <c r="Q59" s="141">
        <f t="shared" si="24"/>
        <v>648.63520000000005</v>
      </c>
      <c r="R59" s="323">
        <f t="shared" si="7"/>
        <v>80</v>
      </c>
      <c r="T59" s="214">
        <f t="shared" si="9"/>
        <v>64.863520000000008</v>
      </c>
      <c r="V59" s="33" t="str">
        <f t="shared" si="8"/>
        <v/>
      </c>
    </row>
    <row r="60" spans="1:22" ht="16" thickBot="1" x14ac:dyDescent="0.25">
      <c r="A60" s="21" t="s">
        <v>28</v>
      </c>
      <c r="B60" s="189" t="s">
        <v>455</v>
      </c>
      <c r="C60" s="158" t="s">
        <v>431</v>
      </c>
      <c r="D60" s="322" t="str">
        <f>IFERROR(VLOOKUP(C60,IDS!$A$1:$B$121,2,0),"")</f>
        <v/>
      </c>
      <c r="E60" s="7" t="s">
        <v>29</v>
      </c>
      <c r="F60" s="247">
        <v>768.5</v>
      </c>
      <c r="G60" s="263">
        <f t="shared" si="21"/>
        <v>891.46</v>
      </c>
      <c r="H60" s="247">
        <f t="shared" si="27"/>
        <v>908.54</v>
      </c>
      <c r="I60" s="261">
        <v>1800</v>
      </c>
      <c r="J60" s="249">
        <f t="shared" si="22"/>
        <v>2088</v>
      </c>
      <c r="K60" s="207">
        <f t="shared" si="26"/>
        <v>90.853999999999999</v>
      </c>
      <c r="L60" s="324">
        <f t="shared" si="4"/>
        <v>10</v>
      </c>
      <c r="M60" s="207">
        <f t="shared" si="23"/>
        <v>90.853999999999999</v>
      </c>
      <c r="N60" s="324">
        <f t="shared" si="5"/>
        <v>10</v>
      </c>
      <c r="O60" s="203">
        <f t="shared" si="20"/>
        <v>18.1708</v>
      </c>
      <c r="P60" s="324">
        <f t="shared" si="6"/>
        <v>2</v>
      </c>
      <c r="Q60" s="141">
        <f t="shared" si="24"/>
        <v>726.83199999999988</v>
      </c>
      <c r="R60" s="323">
        <f t="shared" si="7"/>
        <v>80</v>
      </c>
      <c r="T60" s="214">
        <f t="shared" si="9"/>
        <v>72.683199999999999</v>
      </c>
      <c r="V60" s="33" t="str">
        <f t="shared" si="8"/>
        <v/>
      </c>
    </row>
    <row r="61" spans="1:22" ht="29" thickBot="1" x14ac:dyDescent="0.25">
      <c r="A61" s="25">
        <v>3</v>
      </c>
      <c r="B61" s="189" t="s">
        <v>489</v>
      </c>
      <c r="C61" s="158" t="s">
        <v>485</v>
      </c>
      <c r="D61" s="322" t="str">
        <f>IFERROR(VLOOKUP(C61,IDS!$A$1:$B$121,2,0),"")</f>
        <v/>
      </c>
      <c r="E61" s="13" t="s">
        <v>97</v>
      </c>
      <c r="F61" s="222">
        <v>1510.85</v>
      </c>
      <c r="G61" s="195">
        <f t="shared" si="21"/>
        <v>1752.5859999999998</v>
      </c>
      <c r="H61" s="247">
        <f t="shared" si="27"/>
        <v>4047.4140000000002</v>
      </c>
      <c r="I61" s="260">
        <v>5800</v>
      </c>
      <c r="J61" s="234">
        <f t="shared" si="22"/>
        <v>6728</v>
      </c>
      <c r="K61" s="207">
        <f t="shared" si="26"/>
        <v>404.74140000000006</v>
      </c>
      <c r="L61" s="324">
        <f t="shared" si="4"/>
        <v>10</v>
      </c>
      <c r="M61" s="207">
        <f t="shared" si="23"/>
        <v>404.74140000000006</v>
      </c>
      <c r="N61" s="324">
        <f t="shared" si="5"/>
        <v>10</v>
      </c>
      <c r="O61" s="203">
        <f t="shared" si="20"/>
        <v>80.948280000000011</v>
      </c>
      <c r="P61" s="324">
        <f t="shared" si="6"/>
        <v>2</v>
      </c>
      <c r="Q61" s="141">
        <f t="shared" si="24"/>
        <v>3237.9312000000004</v>
      </c>
      <c r="R61" s="323">
        <f t="shared" si="7"/>
        <v>80</v>
      </c>
      <c r="T61" s="214">
        <f t="shared" si="9"/>
        <v>323.79312000000004</v>
      </c>
      <c r="V61" s="33" t="str">
        <f t="shared" si="8"/>
        <v/>
      </c>
    </row>
    <row r="62" spans="1:22" ht="43" thickBot="1" x14ac:dyDescent="0.25">
      <c r="A62" s="25">
        <v>4</v>
      </c>
      <c r="B62" s="189" t="s">
        <v>490</v>
      </c>
      <c r="C62" s="158" t="s">
        <v>486</v>
      </c>
      <c r="D62" s="322" t="str">
        <f>IFERROR(VLOOKUP(C62,IDS!$A$1:$B$121,2,0),"")</f>
        <v/>
      </c>
      <c r="E62" s="13" t="s">
        <v>98</v>
      </c>
      <c r="F62" s="222">
        <v>1237.3499999999999</v>
      </c>
      <c r="G62" s="195">
        <f t="shared" si="21"/>
        <v>1435.326</v>
      </c>
      <c r="H62" s="247">
        <f t="shared" si="27"/>
        <v>2064.674</v>
      </c>
      <c r="I62" s="260">
        <v>3500</v>
      </c>
      <c r="J62" s="234">
        <f t="shared" si="22"/>
        <v>4060</v>
      </c>
      <c r="K62" s="207">
        <f t="shared" si="26"/>
        <v>206.4674</v>
      </c>
      <c r="L62" s="324">
        <f t="shared" si="4"/>
        <v>10</v>
      </c>
      <c r="M62" s="207">
        <f t="shared" si="23"/>
        <v>206.4674</v>
      </c>
      <c r="N62" s="324">
        <f t="shared" si="5"/>
        <v>10</v>
      </c>
      <c r="O62" s="203">
        <f t="shared" si="20"/>
        <v>41.293480000000002</v>
      </c>
      <c r="P62" s="324">
        <f t="shared" si="6"/>
        <v>2</v>
      </c>
      <c r="Q62" s="141">
        <f t="shared" si="24"/>
        <v>1651.7392</v>
      </c>
      <c r="R62" s="323">
        <f t="shared" si="7"/>
        <v>80</v>
      </c>
      <c r="T62" s="214">
        <f t="shared" si="9"/>
        <v>165.17392000000001</v>
      </c>
      <c r="V62" s="33" t="str">
        <f t="shared" si="8"/>
        <v/>
      </c>
    </row>
    <row r="63" spans="1:22" ht="31" thickBot="1" x14ac:dyDescent="0.25">
      <c r="A63" s="25">
        <v>5</v>
      </c>
      <c r="B63" s="189" t="s">
        <v>491</v>
      </c>
      <c r="C63" s="158" t="s">
        <v>487</v>
      </c>
      <c r="D63" s="322" t="str">
        <f>IFERROR(VLOOKUP(C63,IDS!$A$1:$B$121,2,0),"")</f>
        <v/>
      </c>
      <c r="E63" s="13" t="s">
        <v>99</v>
      </c>
      <c r="F63" s="222">
        <v>1413.17</v>
      </c>
      <c r="G63" s="195">
        <f t="shared" si="21"/>
        <v>1639.2772</v>
      </c>
      <c r="H63" s="247">
        <f t="shared" si="27"/>
        <v>4060.7228</v>
      </c>
      <c r="I63" s="263">
        <v>5700</v>
      </c>
      <c r="J63" s="234">
        <f t="shared" si="22"/>
        <v>6612</v>
      </c>
      <c r="K63" s="207">
        <f t="shared" si="26"/>
        <v>406.07228000000003</v>
      </c>
      <c r="L63" s="324">
        <f t="shared" si="4"/>
        <v>10</v>
      </c>
      <c r="M63" s="207">
        <f t="shared" si="23"/>
        <v>406.07228000000003</v>
      </c>
      <c r="N63" s="324">
        <f t="shared" si="5"/>
        <v>10</v>
      </c>
      <c r="O63" s="203">
        <f t="shared" si="20"/>
        <v>81.214455999999998</v>
      </c>
      <c r="P63" s="324">
        <f t="shared" si="6"/>
        <v>2</v>
      </c>
      <c r="Q63" s="141">
        <f t="shared" si="24"/>
        <v>3248.5782400000003</v>
      </c>
      <c r="R63" s="323">
        <f t="shared" si="7"/>
        <v>80</v>
      </c>
      <c r="T63" s="214">
        <f t="shared" si="9"/>
        <v>324.85782400000005</v>
      </c>
      <c r="V63" s="33" t="str">
        <f t="shared" si="8"/>
        <v/>
      </c>
    </row>
    <row r="64" spans="1:22" ht="29" thickBot="1" x14ac:dyDescent="0.25">
      <c r="A64" s="25">
        <v>6</v>
      </c>
      <c r="B64" s="189" t="s">
        <v>492</v>
      </c>
      <c r="C64" s="158" t="s">
        <v>488</v>
      </c>
      <c r="D64" s="322" t="str">
        <f>IFERROR(VLOOKUP(C64,IDS!$A$1:$B$121,2,0),"")</f>
        <v/>
      </c>
      <c r="E64" s="13" t="s">
        <v>100</v>
      </c>
      <c r="F64" s="222">
        <v>1393.635</v>
      </c>
      <c r="G64" s="222">
        <f t="shared" si="21"/>
        <v>1616.6166000000001</v>
      </c>
      <c r="H64" s="247">
        <f t="shared" si="27"/>
        <v>1083.3833999999999</v>
      </c>
      <c r="I64" s="221">
        <v>2700</v>
      </c>
      <c r="J64" s="264">
        <f t="shared" si="22"/>
        <v>3132</v>
      </c>
      <c r="K64" s="207">
        <f t="shared" si="26"/>
        <v>108.33834</v>
      </c>
      <c r="L64" s="324">
        <f t="shared" si="4"/>
        <v>10</v>
      </c>
      <c r="M64" s="207">
        <f t="shared" si="23"/>
        <v>108.33834</v>
      </c>
      <c r="N64" s="324">
        <f t="shared" si="5"/>
        <v>10</v>
      </c>
      <c r="O64" s="203">
        <f t="shared" si="20"/>
        <v>21.667667999999999</v>
      </c>
      <c r="P64" s="324">
        <f t="shared" si="6"/>
        <v>2</v>
      </c>
      <c r="Q64" s="141">
        <f t="shared" si="24"/>
        <v>866.7067199999999</v>
      </c>
      <c r="R64" s="323">
        <f t="shared" si="7"/>
        <v>80</v>
      </c>
      <c r="T64" s="214">
        <f t="shared" si="9"/>
        <v>86.670671999999996</v>
      </c>
      <c r="V64" s="33" t="str">
        <f t="shared" si="8"/>
        <v/>
      </c>
    </row>
    <row r="65" spans="1:22" ht="31" thickBot="1" x14ac:dyDescent="0.25">
      <c r="A65" s="29">
        <v>13</v>
      </c>
      <c r="B65" s="189" t="s">
        <v>273</v>
      </c>
      <c r="C65" s="158" t="s">
        <v>439</v>
      </c>
      <c r="D65" s="322" t="str">
        <f>IFERROR(VLOOKUP(C65,IDS!$A$1:$B$121,2,0),"")</f>
        <v/>
      </c>
      <c r="E65" s="89" t="s">
        <v>495</v>
      </c>
      <c r="F65" s="198">
        <v>319.18</v>
      </c>
      <c r="G65" s="198">
        <f t="shared" si="21"/>
        <v>370.24880000000002</v>
      </c>
      <c r="H65" s="265">
        <f t="shared" ref="H65:H70" si="28">I65-G65</f>
        <v>3129.7512000000002</v>
      </c>
      <c r="I65" s="262">
        <v>3500</v>
      </c>
      <c r="J65" s="266">
        <f t="shared" si="22"/>
        <v>4060</v>
      </c>
      <c r="K65" s="207">
        <f>(H65*0)</f>
        <v>0</v>
      </c>
      <c r="L65" s="324">
        <f t="shared" si="4"/>
        <v>0</v>
      </c>
      <c r="M65" s="207">
        <f>(H65*0.2)</f>
        <v>625.95024000000012</v>
      </c>
      <c r="N65" s="324">
        <f t="shared" si="5"/>
        <v>20</v>
      </c>
      <c r="O65" s="203">
        <f t="shared" ref="O65:O70" si="29">(H65*0.01)</f>
        <v>31.297512000000001</v>
      </c>
      <c r="P65" s="324">
        <f t="shared" si="6"/>
        <v>1</v>
      </c>
      <c r="Q65" s="141">
        <f t="shared" si="24"/>
        <v>2503.80096</v>
      </c>
      <c r="R65" s="323">
        <f t="shared" si="7"/>
        <v>80</v>
      </c>
      <c r="T65" s="214">
        <f t="shared" si="9"/>
        <v>-31.297512000000001</v>
      </c>
      <c r="V65" s="33" t="str">
        <f t="shared" si="8"/>
        <v/>
      </c>
    </row>
    <row r="66" spans="1:22" ht="31" thickBot="1" x14ac:dyDescent="0.25">
      <c r="A66" s="42">
        <v>13</v>
      </c>
      <c r="B66" s="189" t="s">
        <v>279</v>
      </c>
      <c r="C66" s="158" t="s">
        <v>440</v>
      </c>
      <c r="D66" s="322" t="str">
        <f>IFERROR(VLOOKUP(C66,IDS!$A$1:$B$121,2,0),"")</f>
        <v/>
      </c>
      <c r="E66" s="191" t="s">
        <v>494</v>
      </c>
      <c r="F66" s="199">
        <v>319.18</v>
      </c>
      <c r="G66" s="199">
        <f>(F66*0.16)+F66</f>
        <v>370.24880000000002</v>
      </c>
      <c r="H66" s="267">
        <f t="shared" si="28"/>
        <v>4629.7511999999997</v>
      </c>
      <c r="I66" s="268">
        <v>5000</v>
      </c>
      <c r="J66" s="269">
        <f>(I66*0.16)+I66</f>
        <v>5800</v>
      </c>
      <c r="K66" s="208">
        <f>(H66*0.06)</f>
        <v>277.78507199999996</v>
      </c>
      <c r="L66" s="324">
        <f t="shared" si="4"/>
        <v>6</v>
      </c>
      <c r="M66" s="207">
        <f>(H66*0.2)</f>
        <v>925.95024000000001</v>
      </c>
      <c r="N66" s="324">
        <f t="shared" si="5"/>
        <v>20</v>
      </c>
      <c r="O66" s="212">
        <f t="shared" si="29"/>
        <v>46.297511999999998</v>
      </c>
      <c r="P66" s="324">
        <f t="shared" si="6"/>
        <v>1</v>
      </c>
      <c r="Q66" s="193">
        <f>(H66-K66-M66)</f>
        <v>3426.0158879999999</v>
      </c>
      <c r="R66" s="323">
        <f t="shared" si="7"/>
        <v>74</v>
      </c>
      <c r="T66" s="214">
        <f t="shared" si="9"/>
        <v>231.48755999999997</v>
      </c>
      <c r="V66" s="33" t="str">
        <f t="shared" si="8"/>
        <v/>
      </c>
    </row>
    <row r="67" spans="1:22" ht="43" thickBot="1" x14ac:dyDescent="0.25">
      <c r="A67" s="29">
        <v>13</v>
      </c>
      <c r="B67" s="189" t="s">
        <v>275</v>
      </c>
      <c r="C67" s="158" t="s">
        <v>441</v>
      </c>
      <c r="D67" s="322" t="str">
        <f>IFERROR(VLOOKUP(C67,IDS!$A$1:$B$121,2,0),"")</f>
        <v/>
      </c>
      <c r="E67" s="176" t="s">
        <v>464</v>
      </c>
      <c r="F67" s="196">
        <v>319.18</v>
      </c>
      <c r="G67" s="196">
        <f>(F67*0.16)+F67</f>
        <v>370.24880000000002</v>
      </c>
      <c r="H67" s="196">
        <f t="shared" si="28"/>
        <v>5129.7511999999997</v>
      </c>
      <c r="I67" s="244">
        <v>5500</v>
      </c>
      <c r="J67" s="242">
        <f>(I67*0.16)+I67</f>
        <v>6380</v>
      </c>
      <c r="K67" s="204">
        <f>(H67*0)</f>
        <v>0</v>
      </c>
      <c r="L67" s="324">
        <f t="shared" si="4"/>
        <v>0</v>
      </c>
      <c r="M67" s="204">
        <f>(H67*0.1)</f>
        <v>512.97511999999995</v>
      </c>
      <c r="N67" s="324">
        <f t="shared" si="5"/>
        <v>10</v>
      </c>
      <c r="O67" s="203">
        <f t="shared" si="29"/>
        <v>51.297511999999998</v>
      </c>
      <c r="P67" s="324">
        <f t="shared" si="6"/>
        <v>1</v>
      </c>
      <c r="Q67" s="141">
        <f>(H67-K67-M67)</f>
        <v>4616.7760799999996</v>
      </c>
      <c r="R67" s="323">
        <f t="shared" si="7"/>
        <v>90</v>
      </c>
      <c r="T67" s="214">
        <f t="shared" si="9"/>
        <v>-51.297511999999998</v>
      </c>
      <c r="V67" s="33" t="str">
        <f t="shared" si="8"/>
        <v/>
      </c>
    </row>
    <row r="68" spans="1:22" ht="43" thickBot="1" x14ac:dyDescent="0.25">
      <c r="A68" s="29">
        <v>13</v>
      </c>
      <c r="B68" s="189" t="s">
        <v>281</v>
      </c>
      <c r="C68" s="158" t="s">
        <v>442</v>
      </c>
      <c r="D68" s="322" t="str">
        <f>IFERROR(VLOOKUP(C68,IDS!$A$1:$B$121,2,0),"")</f>
        <v/>
      </c>
      <c r="E68" s="176" t="s">
        <v>465</v>
      </c>
      <c r="F68" s="196">
        <v>319.18</v>
      </c>
      <c r="G68" s="196">
        <f t="shared" si="21"/>
        <v>370.24880000000002</v>
      </c>
      <c r="H68" s="196">
        <f t="shared" si="28"/>
        <v>8129.7511999999997</v>
      </c>
      <c r="I68" s="244">
        <v>8500</v>
      </c>
      <c r="J68" s="242">
        <f t="shared" si="22"/>
        <v>9860</v>
      </c>
      <c r="K68" s="204">
        <f>(H68*0.06)</f>
        <v>487.78507199999996</v>
      </c>
      <c r="L68" s="324">
        <f t="shared" si="4"/>
        <v>6</v>
      </c>
      <c r="M68" s="204">
        <f>(H68*0.1)</f>
        <v>812.97512000000006</v>
      </c>
      <c r="N68" s="324">
        <f t="shared" si="5"/>
        <v>10</v>
      </c>
      <c r="O68" s="203">
        <f t="shared" si="29"/>
        <v>81.297511999999998</v>
      </c>
      <c r="P68" s="324">
        <f t="shared" si="6"/>
        <v>1</v>
      </c>
      <c r="Q68" s="141">
        <f t="shared" si="24"/>
        <v>6828.991008</v>
      </c>
      <c r="R68" s="323">
        <f t="shared" si="7"/>
        <v>84.000000000000014</v>
      </c>
      <c r="T68" s="214">
        <f t="shared" si="9"/>
        <v>406.48755999999997</v>
      </c>
      <c r="V68" s="33" t="str">
        <f t="shared" si="8"/>
        <v/>
      </c>
    </row>
    <row r="69" spans="1:22" ht="43" thickBot="1" x14ac:dyDescent="0.25">
      <c r="A69" s="29"/>
      <c r="B69" s="189" t="s">
        <v>277</v>
      </c>
      <c r="C69" s="158" t="s">
        <v>462</v>
      </c>
      <c r="D69" s="322" t="str">
        <f>IFERROR(VLOOKUP(C69,IDS!$A$1:$B$121,2,0),"")</f>
        <v/>
      </c>
      <c r="E69" s="176" t="s">
        <v>466</v>
      </c>
      <c r="F69" s="196">
        <v>319.18</v>
      </c>
      <c r="G69" s="196">
        <f t="shared" si="21"/>
        <v>370.24880000000002</v>
      </c>
      <c r="H69" s="196">
        <f t="shared" si="28"/>
        <v>5129.7511999999997</v>
      </c>
      <c r="I69" s="244">
        <v>5500</v>
      </c>
      <c r="J69" s="242">
        <f t="shared" si="22"/>
        <v>6380</v>
      </c>
      <c r="K69" s="204">
        <f>(H69*0)</f>
        <v>0</v>
      </c>
      <c r="L69" s="324">
        <f t="shared" ref="L69:L132" si="30">IFERROR(ROUND(K69/$H69*100,0),0)</f>
        <v>0</v>
      </c>
      <c r="M69" s="204">
        <f>(H69*0.1)</f>
        <v>512.97511999999995</v>
      </c>
      <c r="N69" s="324">
        <f t="shared" ref="N69:N132" si="31">IFERROR(ROUND(M69/$H69*100,0),0)</f>
        <v>10</v>
      </c>
      <c r="O69" s="203">
        <f t="shared" si="29"/>
        <v>51.297511999999998</v>
      </c>
      <c r="P69" s="324">
        <f t="shared" ref="P69:P132" si="32">IFERROR(ROUND(O69/$H69*100,0),0)</f>
        <v>1</v>
      </c>
      <c r="Q69" s="141">
        <f t="shared" si="24"/>
        <v>4616.7760799999996</v>
      </c>
      <c r="R69" s="323">
        <f t="shared" ref="R69:R132" si="33">Q69/H69*100</f>
        <v>90</v>
      </c>
      <c r="T69" s="214">
        <f t="shared" si="9"/>
        <v>-51.297511999999998</v>
      </c>
      <c r="V69" s="33" t="str">
        <f t="shared" ref="V69:V132" si="34">IF(D69="","",CONCATENATE("update catalogo_servicios set costo =",I69,", costo_servicio=",G69,", honorarios=",H69,", utilidad=",Q69,", comision_venta = 'Porcentaje', comision_operativa='Porcentaje', comision_gestion='Porcentaje', comision_venta_monto=",K69,", porcentaje_venta=",L69,", comision_operativa_monto=",M69,", porcentaje_operativa=",N69,", comision_gestion_monto=",O69,", porcentaje_gestion=",P69,", porcentaje_utilidad=",R69," where id=",D69,";"))</f>
        <v/>
      </c>
    </row>
    <row r="70" spans="1:22" ht="43" thickBot="1" x14ac:dyDescent="0.25">
      <c r="A70" s="29"/>
      <c r="B70" s="189" t="s">
        <v>283</v>
      </c>
      <c r="C70" s="158" t="s">
        <v>463</v>
      </c>
      <c r="D70" s="322" t="str">
        <f>IFERROR(VLOOKUP(C70,IDS!$A$1:$B$121,2,0),"")</f>
        <v/>
      </c>
      <c r="E70" s="176" t="s">
        <v>467</v>
      </c>
      <c r="F70" s="196">
        <v>319.18</v>
      </c>
      <c r="G70" s="196">
        <f>(F70*0.16)+F70</f>
        <v>370.24880000000002</v>
      </c>
      <c r="H70" s="196">
        <f t="shared" si="28"/>
        <v>8129.7511999999997</v>
      </c>
      <c r="I70" s="244">
        <v>8500</v>
      </c>
      <c r="J70" s="242">
        <f>(I70*0.16)+I70</f>
        <v>9860</v>
      </c>
      <c r="K70" s="204">
        <f>(H70*0.06)</f>
        <v>487.78507199999996</v>
      </c>
      <c r="L70" s="324">
        <f t="shared" si="30"/>
        <v>6</v>
      </c>
      <c r="M70" s="204">
        <f>(H70*0.1)</f>
        <v>812.97512000000006</v>
      </c>
      <c r="N70" s="324">
        <f t="shared" si="31"/>
        <v>10</v>
      </c>
      <c r="O70" s="203">
        <f t="shared" si="29"/>
        <v>81.297511999999998</v>
      </c>
      <c r="P70" s="324">
        <f t="shared" si="32"/>
        <v>1</v>
      </c>
      <c r="Q70" s="141">
        <f>(H70-K70-M70)</f>
        <v>6828.991008</v>
      </c>
      <c r="R70" s="323">
        <f t="shared" si="33"/>
        <v>84.000000000000014</v>
      </c>
      <c r="T70" s="214">
        <f t="shared" si="9"/>
        <v>406.48755999999997</v>
      </c>
      <c r="V70" s="33" t="str">
        <f t="shared" si="34"/>
        <v/>
      </c>
    </row>
    <row r="71" spans="1:22" ht="38.25" customHeight="1" thickBot="1" x14ac:dyDescent="0.25">
      <c r="A71" s="316" t="s">
        <v>126</v>
      </c>
      <c r="B71" s="317"/>
      <c r="C71" s="317"/>
      <c r="D71" s="322" t="str">
        <f>IFERROR(VLOOKUP(C71,IDS!$A$1:$B$121,2,0),"")</f>
        <v/>
      </c>
      <c r="E71" s="317"/>
      <c r="F71" s="317"/>
      <c r="G71" s="317"/>
      <c r="H71" s="317"/>
      <c r="I71" s="317"/>
      <c r="J71" s="317"/>
      <c r="K71" s="317"/>
      <c r="L71" s="324">
        <f t="shared" si="30"/>
        <v>0</v>
      </c>
      <c r="M71" s="317"/>
      <c r="N71" s="324">
        <f t="shared" si="31"/>
        <v>0</v>
      </c>
      <c r="O71" s="317"/>
      <c r="P71" s="324">
        <f t="shared" si="32"/>
        <v>0</v>
      </c>
      <c r="Q71" s="317"/>
      <c r="R71" s="323" t="e">
        <f t="shared" si="33"/>
        <v>#DIV/0!</v>
      </c>
      <c r="T71" s="214">
        <f t="shared" ref="T71:T134" si="35">K71-O71</f>
        <v>0</v>
      </c>
      <c r="V71" s="33" t="str">
        <f t="shared" si="34"/>
        <v/>
      </c>
    </row>
    <row r="72" spans="1:22" ht="43" thickBot="1" x14ac:dyDescent="0.25">
      <c r="A72" s="24" t="s">
        <v>30</v>
      </c>
      <c r="B72" s="189" t="s">
        <v>325</v>
      </c>
      <c r="C72" s="158" t="s">
        <v>326</v>
      </c>
      <c r="D72" s="322">
        <f>IFERROR(VLOOKUP(C72,IDS!$A$1:$B$121,2,0),"")</f>
        <v>29</v>
      </c>
      <c r="E72" s="183" t="s">
        <v>435</v>
      </c>
      <c r="F72" s="200">
        <v>1081.07</v>
      </c>
      <c r="G72" s="200">
        <f t="shared" ref="G72:G93" si="36">(F72*0.16)+F72</f>
        <v>1254.0411999999999</v>
      </c>
      <c r="H72" s="258">
        <f t="shared" ref="H72:H87" si="37">I72-G72</f>
        <v>35245.9588</v>
      </c>
      <c r="I72" s="270">
        <v>36500</v>
      </c>
      <c r="J72" s="271">
        <f t="shared" ref="J72:J93" si="38">(I72*0.16)+I72</f>
        <v>42340</v>
      </c>
      <c r="K72" s="209">
        <f>(H72*0.06)</f>
        <v>2114.7575280000001</v>
      </c>
      <c r="L72" s="324">
        <f t="shared" si="30"/>
        <v>6</v>
      </c>
      <c r="M72" s="209">
        <f t="shared" ref="M72:M77" si="39">(H72*0.1)</f>
        <v>3524.5958800000003</v>
      </c>
      <c r="N72" s="324">
        <f t="shared" si="31"/>
        <v>10</v>
      </c>
      <c r="O72" s="213">
        <f>(H72*0.01)</f>
        <v>352.459588</v>
      </c>
      <c r="P72" s="324">
        <f t="shared" si="32"/>
        <v>1</v>
      </c>
      <c r="Q72" s="192">
        <f>(H72-K72-M72)</f>
        <v>29606.605391999998</v>
      </c>
      <c r="R72" s="323">
        <f t="shared" si="33"/>
        <v>84</v>
      </c>
      <c r="T72" s="214">
        <f t="shared" si="35"/>
        <v>1762.2979400000002</v>
      </c>
      <c r="V72" s="33" t="str">
        <f t="shared" si="34"/>
        <v>update catalogo_servicios set costo =36500, costo_servicio=1254.0412, honorarios=35245.9588, utilidad=29606.605392, comision_venta = 'Porcentaje', comision_operativa='Porcentaje', comision_gestion='Porcentaje', comision_venta_monto=2114.757528, porcentaje_venta=6, comision_operativa_monto=3524.59588, porcentaje_operativa=10, comision_gestion_monto=352.459588, porcentaje_gestion=1, porcentaje_utilidad=84 where id=29;</v>
      </c>
    </row>
    <row r="73" spans="1:22" ht="43" thickBot="1" x14ac:dyDescent="0.25">
      <c r="A73" s="22" t="s">
        <v>30</v>
      </c>
      <c r="B73" s="189" t="s">
        <v>325</v>
      </c>
      <c r="C73" s="158" t="s">
        <v>326</v>
      </c>
      <c r="D73" s="322">
        <f>IFERROR(VLOOKUP(C73,IDS!$A$1:$B$121,2,0),"")</f>
        <v>29</v>
      </c>
      <c r="E73" s="184" t="s">
        <v>436</v>
      </c>
      <c r="F73" s="196">
        <v>1081.07</v>
      </c>
      <c r="G73" s="196">
        <f t="shared" si="36"/>
        <v>1254.0411999999999</v>
      </c>
      <c r="H73" s="258">
        <f t="shared" si="37"/>
        <v>45245.9588</v>
      </c>
      <c r="I73" s="270">
        <v>46500</v>
      </c>
      <c r="J73" s="272">
        <f t="shared" si="38"/>
        <v>53940</v>
      </c>
      <c r="K73" s="204">
        <f t="shared" ref="K73:K83" si="40">(H73*0.06)</f>
        <v>2714.7575280000001</v>
      </c>
      <c r="L73" s="324">
        <f t="shared" si="30"/>
        <v>6</v>
      </c>
      <c r="M73" s="209">
        <f t="shared" si="39"/>
        <v>4524.5958799999999</v>
      </c>
      <c r="N73" s="324">
        <f t="shared" si="31"/>
        <v>10</v>
      </c>
      <c r="O73" s="213">
        <f>(H73*0.01)</f>
        <v>452.459588</v>
      </c>
      <c r="P73" s="324">
        <f t="shared" si="32"/>
        <v>1</v>
      </c>
      <c r="Q73" s="141">
        <f>(H73-K73-M73)</f>
        <v>38006.605391999998</v>
      </c>
      <c r="R73" s="323">
        <f t="shared" si="33"/>
        <v>84</v>
      </c>
      <c r="T73" s="214">
        <f t="shared" si="35"/>
        <v>2262.2979399999999</v>
      </c>
      <c r="V73" s="33" t="str">
        <f t="shared" si="34"/>
        <v>update catalogo_servicios set costo =46500, costo_servicio=1254.0412, honorarios=45245.9588, utilidad=38006.605392, comision_venta = 'Porcentaje', comision_operativa='Porcentaje', comision_gestion='Porcentaje', comision_venta_monto=2714.757528, porcentaje_venta=6, comision_operativa_monto=4524.59588, porcentaje_operativa=10, comision_gestion_monto=452.459588, porcentaje_gestion=1, porcentaje_utilidad=84 where id=29;</v>
      </c>
    </row>
    <row r="74" spans="1:22" ht="43" thickBot="1" x14ac:dyDescent="0.25">
      <c r="A74" s="22" t="s">
        <v>30</v>
      </c>
      <c r="B74" s="189" t="s">
        <v>325</v>
      </c>
      <c r="C74" s="158" t="s">
        <v>326</v>
      </c>
      <c r="D74" s="322">
        <f>IFERROR(VLOOKUP(C74,IDS!$A$1:$B$121,2,0),"")</f>
        <v>29</v>
      </c>
      <c r="E74" s="184" t="s">
        <v>437</v>
      </c>
      <c r="F74" s="196">
        <v>1081.07</v>
      </c>
      <c r="G74" s="196">
        <f t="shared" si="36"/>
        <v>1254.0411999999999</v>
      </c>
      <c r="H74" s="258">
        <f t="shared" si="37"/>
        <v>55245.9588</v>
      </c>
      <c r="I74" s="270">
        <v>56500</v>
      </c>
      <c r="J74" s="272">
        <f t="shared" si="38"/>
        <v>65540</v>
      </c>
      <c r="K74" s="204">
        <f t="shared" si="40"/>
        <v>3314.7575280000001</v>
      </c>
      <c r="L74" s="324">
        <f t="shared" si="30"/>
        <v>6</v>
      </c>
      <c r="M74" s="209">
        <f t="shared" si="39"/>
        <v>5524.5958800000008</v>
      </c>
      <c r="N74" s="324">
        <f t="shared" si="31"/>
        <v>10</v>
      </c>
      <c r="O74" s="213">
        <f>(H74*0.01)</f>
        <v>552.45958800000005</v>
      </c>
      <c r="P74" s="324">
        <f t="shared" si="32"/>
        <v>1</v>
      </c>
      <c r="Q74" s="141">
        <f t="shared" ref="Q74:Q93" si="41">(H74-K74-M74)</f>
        <v>46406.605391999998</v>
      </c>
      <c r="R74" s="323">
        <f t="shared" si="33"/>
        <v>84</v>
      </c>
      <c r="T74" s="214">
        <f t="shared" si="35"/>
        <v>2762.2979399999999</v>
      </c>
      <c r="V74" s="33" t="str">
        <f t="shared" si="34"/>
        <v>update catalogo_servicios set costo =56500, costo_servicio=1254.0412, honorarios=55245.9588, utilidad=46406.605392, comision_venta = 'Porcentaje', comision_operativa='Porcentaje', comision_gestion='Porcentaje', comision_venta_monto=3314.757528, porcentaje_venta=6, comision_operativa_monto=5524.59588, porcentaje_operativa=10, comision_gestion_monto=552.459588, porcentaje_gestion=1, porcentaje_utilidad=84 where id=29;</v>
      </c>
    </row>
    <row r="75" spans="1:22" ht="16" thickBot="1" x14ac:dyDescent="0.25">
      <c r="A75" s="22" t="s">
        <v>31</v>
      </c>
      <c r="B75" s="189" t="s">
        <v>15</v>
      </c>
      <c r="C75" s="158" t="s">
        <v>453</v>
      </c>
      <c r="D75" s="322" t="str">
        <f>IFERROR(VLOOKUP(C75,IDS!$A$1:$B$121,2,0),"")</f>
        <v/>
      </c>
      <c r="E75" s="4" t="s">
        <v>15</v>
      </c>
      <c r="F75" s="195">
        <v>1081.07</v>
      </c>
      <c r="G75" s="195">
        <f t="shared" si="36"/>
        <v>1254.0411999999999</v>
      </c>
      <c r="H75" s="247">
        <f t="shared" si="37"/>
        <v>1245.9588000000001</v>
      </c>
      <c r="I75" s="221">
        <v>2500</v>
      </c>
      <c r="J75" s="273">
        <f t="shared" si="38"/>
        <v>2900</v>
      </c>
      <c r="K75" s="207">
        <f>(H75*0.1)</f>
        <v>124.59588000000002</v>
      </c>
      <c r="L75" s="324">
        <f t="shared" si="30"/>
        <v>10</v>
      </c>
      <c r="M75" s="207">
        <f t="shared" si="39"/>
        <v>124.59588000000002</v>
      </c>
      <c r="N75" s="324">
        <f t="shared" si="31"/>
        <v>10</v>
      </c>
      <c r="O75" s="213">
        <f>(H75*0.02)</f>
        <v>24.919176000000004</v>
      </c>
      <c r="P75" s="324">
        <f t="shared" si="32"/>
        <v>2</v>
      </c>
      <c r="Q75" s="141">
        <f t="shared" si="41"/>
        <v>996.76703999999995</v>
      </c>
      <c r="R75" s="323">
        <f t="shared" si="33"/>
        <v>80</v>
      </c>
      <c r="T75" s="214">
        <f t="shared" si="35"/>
        <v>99.676704000000015</v>
      </c>
      <c r="V75" s="33" t="str">
        <f t="shared" si="34"/>
        <v/>
      </c>
    </row>
    <row r="76" spans="1:22" ht="16" thickBot="1" x14ac:dyDescent="0.25">
      <c r="A76" s="22" t="s">
        <v>32</v>
      </c>
      <c r="B76" s="189" t="s">
        <v>111</v>
      </c>
      <c r="C76" s="158" t="s">
        <v>452</v>
      </c>
      <c r="D76" s="322" t="str">
        <f>IFERROR(VLOOKUP(C76,IDS!$A$1:$B$121,2,0),"")</f>
        <v/>
      </c>
      <c r="E76" s="4" t="s">
        <v>111</v>
      </c>
      <c r="F76" s="195">
        <v>690.35</v>
      </c>
      <c r="G76" s="195">
        <f t="shared" si="36"/>
        <v>800.80600000000004</v>
      </c>
      <c r="H76" s="247">
        <f t="shared" si="37"/>
        <v>799.19399999999996</v>
      </c>
      <c r="I76" s="221">
        <v>1600</v>
      </c>
      <c r="J76" s="273">
        <f t="shared" si="38"/>
        <v>1856</v>
      </c>
      <c r="K76" s="207">
        <f>(H76*0.1)</f>
        <v>79.919399999999996</v>
      </c>
      <c r="L76" s="324">
        <f t="shared" si="30"/>
        <v>10</v>
      </c>
      <c r="M76" s="207">
        <f t="shared" si="39"/>
        <v>79.919399999999996</v>
      </c>
      <c r="N76" s="324">
        <f t="shared" si="31"/>
        <v>10</v>
      </c>
      <c r="O76" s="213">
        <f>(H76*0.02)</f>
        <v>15.983879999999999</v>
      </c>
      <c r="P76" s="324">
        <f t="shared" si="32"/>
        <v>2</v>
      </c>
      <c r="Q76" s="141">
        <f t="shared" si="41"/>
        <v>639.35519999999997</v>
      </c>
      <c r="R76" s="323">
        <f t="shared" si="33"/>
        <v>80</v>
      </c>
      <c r="T76" s="214">
        <f t="shared" si="35"/>
        <v>63.935519999999997</v>
      </c>
      <c r="V76" s="33" t="str">
        <f t="shared" si="34"/>
        <v/>
      </c>
    </row>
    <row r="77" spans="1:22" ht="16" thickBot="1" x14ac:dyDescent="0.25">
      <c r="A77" s="22" t="s">
        <v>33</v>
      </c>
      <c r="B77" s="189" t="s">
        <v>416</v>
      </c>
      <c r="C77" s="158" t="s">
        <v>415</v>
      </c>
      <c r="D77" s="322">
        <f>IFERROR(VLOOKUP(C77,IDS!$A$1:$B$121,2,0),"")</f>
        <v>25</v>
      </c>
      <c r="E77" s="4" t="s">
        <v>21</v>
      </c>
      <c r="F77" s="195">
        <v>330.9</v>
      </c>
      <c r="G77" s="195">
        <f t="shared" si="36"/>
        <v>383.84399999999999</v>
      </c>
      <c r="H77" s="247">
        <f t="shared" si="37"/>
        <v>5116.1559999999999</v>
      </c>
      <c r="I77" s="239">
        <v>5500</v>
      </c>
      <c r="J77" s="273">
        <f t="shared" si="38"/>
        <v>6380</v>
      </c>
      <c r="K77" s="207">
        <f>(H77*0.1)</f>
        <v>511.61560000000003</v>
      </c>
      <c r="L77" s="324">
        <f t="shared" si="30"/>
        <v>10</v>
      </c>
      <c r="M77" s="207">
        <f t="shared" si="39"/>
        <v>511.61560000000003</v>
      </c>
      <c r="N77" s="324">
        <f t="shared" si="31"/>
        <v>10</v>
      </c>
      <c r="O77" s="213">
        <f>(H77*0.02)</f>
        <v>102.32312</v>
      </c>
      <c r="P77" s="324">
        <f t="shared" si="32"/>
        <v>2</v>
      </c>
      <c r="Q77" s="141">
        <f t="shared" si="41"/>
        <v>4092.9247999999998</v>
      </c>
      <c r="R77" s="323">
        <f t="shared" si="33"/>
        <v>80</v>
      </c>
      <c r="T77" s="214">
        <f t="shared" si="35"/>
        <v>409.29248000000001</v>
      </c>
      <c r="V77" s="33" t="str">
        <f t="shared" si="34"/>
        <v>update catalogo_servicios set costo =5500, costo_servicio=383.844, honorarios=5116.156, utilidad=4092.9248, comision_venta = 'Porcentaje', comision_operativa='Porcentaje', comision_gestion='Porcentaje', comision_venta_monto=511.6156, porcentaje_venta=10, comision_operativa_monto=511.6156, porcentaje_operativa=10, comision_gestion_monto=102.32312, porcentaje_gestion=2, porcentaje_utilidad=80 where id=25;</v>
      </c>
    </row>
    <row r="78" spans="1:22" ht="31" thickBot="1" x14ac:dyDescent="0.25">
      <c r="A78" s="22">
        <v>13</v>
      </c>
      <c r="B78" s="189" t="s">
        <v>273</v>
      </c>
      <c r="C78" s="158" t="s">
        <v>454</v>
      </c>
      <c r="D78" s="322" t="str">
        <f>IFERROR(VLOOKUP(C78,IDS!$A$1:$B$121,2,0),"")</f>
        <v/>
      </c>
      <c r="E78" s="89" t="s">
        <v>495</v>
      </c>
      <c r="F78" s="198">
        <v>319.18</v>
      </c>
      <c r="G78" s="198">
        <f t="shared" si="36"/>
        <v>370.24880000000002</v>
      </c>
      <c r="H78" s="265">
        <f t="shared" ref="H78:H83" si="42">I78-G78</f>
        <v>3129.7512000000002</v>
      </c>
      <c r="I78" s="262">
        <v>3500</v>
      </c>
      <c r="J78" s="266">
        <f t="shared" si="38"/>
        <v>4060</v>
      </c>
      <c r="K78" s="207">
        <f>(H78*0)</f>
        <v>0</v>
      </c>
      <c r="L78" s="324">
        <f t="shared" si="30"/>
        <v>0</v>
      </c>
      <c r="M78" s="206">
        <f>(H78*0.2)</f>
        <v>625.95024000000012</v>
      </c>
      <c r="N78" s="324">
        <f t="shared" si="31"/>
        <v>20</v>
      </c>
      <c r="O78" s="203">
        <f t="shared" ref="O78:O83" si="43">(H78*0.01)</f>
        <v>31.297512000000001</v>
      </c>
      <c r="P78" s="324">
        <f t="shared" si="32"/>
        <v>1</v>
      </c>
      <c r="Q78" s="141">
        <f t="shared" si="41"/>
        <v>2503.80096</v>
      </c>
      <c r="R78" s="323">
        <f t="shared" si="33"/>
        <v>80</v>
      </c>
      <c r="T78" s="214">
        <f t="shared" si="35"/>
        <v>-31.297512000000001</v>
      </c>
      <c r="V78" s="33" t="str">
        <f t="shared" si="34"/>
        <v/>
      </c>
    </row>
    <row r="79" spans="1:22" ht="31" thickBot="1" x14ac:dyDescent="0.25">
      <c r="A79" s="25"/>
      <c r="B79" s="189" t="s">
        <v>279</v>
      </c>
      <c r="C79" s="158" t="s">
        <v>468</v>
      </c>
      <c r="D79" s="322" t="str">
        <f>IFERROR(VLOOKUP(C79,IDS!$A$1:$B$121,2,0),"")</f>
        <v/>
      </c>
      <c r="E79" s="191" t="s">
        <v>494</v>
      </c>
      <c r="F79" s="199">
        <v>319.18</v>
      </c>
      <c r="G79" s="199">
        <f t="shared" si="36"/>
        <v>370.24880000000002</v>
      </c>
      <c r="H79" s="267">
        <f t="shared" si="42"/>
        <v>4629.7511999999997</v>
      </c>
      <c r="I79" s="268">
        <v>5000</v>
      </c>
      <c r="J79" s="269">
        <f t="shared" si="38"/>
        <v>5800</v>
      </c>
      <c r="K79" s="208">
        <f t="shared" si="40"/>
        <v>277.78507199999996</v>
      </c>
      <c r="L79" s="324">
        <f t="shared" si="30"/>
        <v>6</v>
      </c>
      <c r="M79" s="206">
        <f>(H79*0.2)</f>
        <v>925.95024000000001</v>
      </c>
      <c r="N79" s="324">
        <f t="shared" si="31"/>
        <v>20</v>
      </c>
      <c r="O79" s="212">
        <f t="shared" si="43"/>
        <v>46.297511999999998</v>
      </c>
      <c r="P79" s="324">
        <f t="shared" si="32"/>
        <v>1</v>
      </c>
      <c r="Q79" s="193">
        <f t="shared" si="41"/>
        <v>3426.0158879999999</v>
      </c>
      <c r="R79" s="323">
        <f t="shared" si="33"/>
        <v>74</v>
      </c>
      <c r="T79" s="214">
        <f t="shared" si="35"/>
        <v>231.48755999999997</v>
      </c>
      <c r="V79" s="33" t="str">
        <f t="shared" si="34"/>
        <v/>
      </c>
    </row>
    <row r="80" spans="1:22" ht="43" thickBot="1" x14ac:dyDescent="0.25">
      <c r="A80" s="23">
        <v>13</v>
      </c>
      <c r="B80" s="189" t="s">
        <v>275</v>
      </c>
      <c r="C80" s="158" t="s">
        <v>469</v>
      </c>
      <c r="D80" s="322" t="str">
        <f>IFERROR(VLOOKUP(C80,IDS!$A$1:$B$121,2,0),"")</f>
        <v/>
      </c>
      <c r="E80" s="176" t="s">
        <v>464</v>
      </c>
      <c r="F80" s="196">
        <v>319.18</v>
      </c>
      <c r="G80" s="196">
        <f t="shared" si="36"/>
        <v>370.24880000000002</v>
      </c>
      <c r="H80" s="196">
        <f t="shared" si="42"/>
        <v>5129.7511999999997</v>
      </c>
      <c r="I80" s="244">
        <v>5500</v>
      </c>
      <c r="J80" s="242">
        <f t="shared" si="38"/>
        <v>6380</v>
      </c>
      <c r="K80" s="204">
        <f>(H80*0)</f>
        <v>0</v>
      </c>
      <c r="L80" s="324">
        <f t="shared" si="30"/>
        <v>0</v>
      </c>
      <c r="M80" s="209">
        <f>(H80*0.1)</f>
        <v>512.97511999999995</v>
      </c>
      <c r="N80" s="324">
        <f t="shared" si="31"/>
        <v>10</v>
      </c>
      <c r="O80" s="203">
        <f t="shared" si="43"/>
        <v>51.297511999999998</v>
      </c>
      <c r="P80" s="324">
        <f t="shared" si="32"/>
        <v>1</v>
      </c>
      <c r="Q80" s="141">
        <f t="shared" si="41"/>
        <v>4616.7760799999996</v>
      </c>
      <c r="R80" s="323">
        <f t="shared" si="33"/>
        <v>90</v>
      </c>
      <c r="T80" s="214">
        <f t="shared" si="35"/>
        <v>-51.297511999999998</v>
      </c>
      <c r="V80" s="33" t="str">
        <f t="shared" si="34"/>
        <v/>
      </c>
    </row>
    <row r="81" spans="1:22" ht="43" thickBot="1" x14ac:dyDescent="0.25">
      <c r="A81" s="185"/>
      <c r="B81" s="189" t="s">
        <v>281</v>
      </c>
      <c r="C81" s="158" t="s">
        <v>470</v>
      </c>
      <c r="D81" s="322" t="str">
        <f>IFERROR(VLOOKUP(C81,IDS!$A$1:$B$121,2,0),"")</f>
        <v/>
      </c>
      <c r="E81" s="176" t="s">
        <v>465</v>
      </c>
      <c r="F81" s="196">
        <v>319.18</v>
      </c>
      <c r="G81" s="196">
        <f t="shared" si="36"/>
        <v>370.24880000000002</v>
      </c>
      <c r="H81" s="196">
        <f t="shared" si="42"/>
        <v>8129.7511999999997</v>
      </c>
      <c r="I81" s="244">
        <v>8500</v>
      </c>
      <c r="J81" s="242">
        <f t="shared" si="38"/>
        <v>9860</v>
      </c>
      <c r="K81" s="204">
        <f t="shared" si="40"/>
        <v>487.78507199999996</v>
      </c>
      <c r="L81" s="324">
        <f t="shared" si="30"/>
        <v>6</v>
      </c>
      <c r="M81" s="209">
        <f>(H81*0.1)</f>
        <v>812.97512000000006</v>
      </c>
      <c r="N81" s="324">
        <f t="shared" si="31"/>
        <v>10</v>
      </c>
      <c r="O81" s="203">
        <f t="shared" si="43"/>
        <v>81.297511999999998</v>
      </c>
      <c r="P81" s="324">
        <f t="shared" si="32"/>
        <v>1</v>
      </c>
      <c r="Q81" s="141">
        <f t="shared" si="41"/>
        <v>6828.991008</v>
      </c>
      <c r="R81" s="323">
        <f t="shared" si="33"/>
        <v>84.000000000000014</v>
      </c>
      <c r="T81" s="214">
        <f t="shared" si="35"/>
        <v>406.48755999999997</v>
      </c>
      <c r="V81" s="33" t="str">
        <f t="shared" si="34"/>
        <v/>
      </c>
    </row>
    <row r="82" spans="1:22" ht="43" thickBot="1" x14ac:dyDescent="0.25">
      <c r="A82" s="185"/>
      <c r="B82" s="189" t="s">
        <v>277</v>
      </c>
      <c r="C82" s="158" t="s">
        <v>471</v>
      </c>
      <c r="D82" s="322" t="str">
        <f>IFERROR(VLOOKUP(C82,IDS!$A$1:$B$121,2,0),"")</f>
        <v/>
      </c>
      <c r="E82" s="176" t="s">
        <v>466</v>
      </c>
      <c r="F82" s="196">
        <v>319.18</v>
      </c>
      <c r="G82" s="196">
        <f t="shared" si="36"/>
        <v>370.24880000000002</v>
      </c>
      <c r="H82" s="196">
        <f t="shared" si="42"/>
        <v>5129.7511999999997</v>
      </c>
      <c r="I82" s="244">
        <v>5500</v>
      </c>
      <c r="J82" s="242">
        <f t="shared" si="38"/>
        <v>6380</v>
      </c>
      <c r="K82" s="204">
        <f>(H82*0)</f>
        <v>0</v>
      </c>
      <c r="L82" s="324">
        <f t="shared" si="30"/>
        <v>0</v>
      </c>
      <c r="M82" s="209">
        <f>(H82*0.1)</f>
        <v>512.97511999999995</v>
      </c>
      <c r="N82" s="324">
        <f t="shared" si="31"/>
        <v>10</v>
      </c>
      <c r="O82" s="203">
        <f t="shared" si="43"/>
        <v>51.297511999999998</v>
      </c>
      <c r="P82" s="324">
        <f t="shared" si="32"/>
        <v>1</v>
      </c>
      <c r="Q82" s="141">
        <f t="shared" si="41"/>
        <v>4616.7760799999996</v>
      </c>
      <c r="R82" s="323">
        <f t="shared" si="33"/>
        <v>90</v>
      </c>
      <c r="T82" s="214">
        <f t="shared" si="35"/>
        <v>-51.297511999999998</v>
      </c>
      <c r="V82" s="33" t="str">
        <f t="shared" si="34"/>
        <v/>
      </c>
    </row>
    <row r="83" spans="1:22" ht="43" thickBot="1" x14ac:dyDescent="0.25">
      <c r="A83" s="185"/>
      <c r="B83" s="189" t="s">
        <v>283</v>
      </c>
      <c r="C83" s="158" t="s">
        <v>472</v>
      </c>
      <c r="D83" s="322" t="str">
        <f>IFERROR(VLOOKUP(C83,IDS!$A$1:$B$121,2,0),"")</f>
        <v/>
      </c>
      <c r="E83" s="176" t="s">
        <v>467</v>
      </c>
      <c r="F83" s="196">
        <v>319.18</v>
      </c>
      <c r="G83" s="196">
        <f t="shared" si="36"/>
        <v>370.24880000000002</v>
      </c>
      <c r="H83" s="196">
        <f t="shared" si="42"/>
        <v>8129.7511999999997</v>
      </c>
      <c r="I83" s="244">
        <v>8500</v>
      </c>
      <c r="J83" s="242">
        <f t="shared" si="38"/>
        <v>9860</v>
      </c>
      <c r="K83" s="204">
        <f t="shared" si="40"/>
        <v>487.78507199999996</v>
      </c>
      <c r="L83" s="324">
        <f t="shared" si="30"/>
        <v>6</v>
      </c>
      <c r="M83" s="209">
        <f>(H83*0.1)</f>
        <v>812.97512000000006</v>
      </c>
      <c r="N83" s="324">
        <f t="shared" si="31"/>
        <v>10</v>
      </c>
      <c r="O83" s="203">
        <f t="shared" si="43"/>
        <v>81.297511999999998</v>
      </c>
      <c r="P83" s="324">
        <f t="shared" si="32"/>
        <v>1</v>
      </c>
      <c r="Q83" s="141">
        <f t="shared" si="41"/>
        <v>6828.991008</v>
      </c>
      <c r="R83" s="323">
        <f t="shared" si="33"/>
        <v>84.000000000000014</v>
      </c>
      <c r="T83" s="214">
        <f t="shared" si="35"/>
        <v>406.48755999999997</v>
      </c>
      <c r="V83" s="33" t="str">
        <f t="shared" si="34"/>
        <v/>
      </c>
    </row>
    <row r="84" spans="1:22" ht="85" thickBot="1" x14ac:dyDescent="0.25">
      <c r="A84" s="62" t="s">
        <v>102</v>
      </c>
      <c r="B84" s="189" t="s">
        <v>327</v>
      </c>
      <c r="C84" s="158" t="s">
        <v>328</v>
      </c>
      <c r="D84" s="322">
        <f>IFERROR(VLOOKUP(C84,IDS!$A$1:$B$121,2,0),"")</f>
        <v>31</v>
      </c>
      <c r="E84" s="63" t="s">
        <v>101</v>
      </c>
      <c r="F84" s="274">
        <v>1022.46</v>
      </c>
      <c r="G84" s="275">
        <f t="shared" si="36"/>
        <v>1186.0536</v>
      </c>
      <c r="H84" s="247">
        <f t="shared" si="37"/>
        <v>8313.9464000000007</v>
      </c>
      <c r="I84" s="276">
        <v>9500</v>
      </c>
      <c r="J84" s="277">
        <f t="shared" si="38"/>
        <v>11020</v>
      </c>
      <c r="K84" s="207">
        <f>(H84*0.1)</f>
        <v>831.39464000000009</v>
      </c>
      <c r="L84" s="324">
        <f t="shared" si="30"/>
        <v>10</v>
      </c>
      <c r="M84" s="207">
        <f>(H84*0.05)</f>
        <v>415.69732000000005</v>
      </c>
      <c r="N84" s="324">
        <f t="shared" si="31"/>
        <v>5</v>
      </c>
      <c r="O84" s="206">
        <f>(H84*0.02)</f>
        <v>166.27892800000001</v>
      </c>
      <c r="P84" s="324">
        <f t="shared" si="32"/>
        <v>2</v>
      </c>
      <c r="Q84" s="141">
        <f t="shared" si="41"/>
        <v>7066.8544400000001</v>
      </c>
      <c r="R84" s="323">
        <f t="shared" si="33"/>
        <v>85</v>
      </c>
      <c r="T84" s="214">
        <f t="shared" si="35"/>
        <v>665.11571200000003</v>
      </c>
      <c r="V84" s="33" t="str">
        <f t="shared" si="34"/>
        <v>update catalogo_servicios set costo =9500, costo_servicio=1186.0536, honorarios=8313.9464, utilidad=7066.85444, comision_venta = 'Porcentaje', comision_operativa='Porcentaje', comision_gestion='Porcentaje', comision_venta_monto=831.39464, porcentaje_venta=10, comision_operativa_monto=415.69732, porcentaje_operativa=5, comision_gestion_monto=166.278928, porcentaje_gestion=2, porcentaje_utilidad=85 where id=31;</v>
      </c>
    </row>
    <row r="85" spans="1:22" ht="16" thickBot="1" x14ac:dyDescent="0.25">
      <c r="A85" s="22" t="s">
        <v>34</v>
      </c>
      <c r="B85" s="189" t="s">
        <v>478</v>
      </c>
      <c r="C85" s="158" t="s">
        <v>473</v>
      </c>
      <c r="D85" s="322" t="str">
        <f>IFERROR(VLOOKUP(C85,IDS!$A$1:$B$121,2,0),"")</f>
        <v/>
      </c>
      <c r="E85" s="4" t="s">
        <v>35</v>
      </c>
      <c r="F85" s="195">
        <v>549.70000000000005</v>
      </c>
      <c r="G85" s="195">
        <f t="shared" si="36"/>
        <v>637.65200000000004</v>
      </c>
      <c r="H85" s="247">
        <f t="shared" si="37"/>
        <v>662.34799999999996</v>
      </c>
      <c r="I85" s="221">
        <v>1300</v>
      </c>
      <c r="J85" s="273">
        <f t="shared" si="38"/>
        <v>1508</v>
      </c>
      <c r="K85" s="207">
        <f>(H85*0.1)</f>
        <v>66.234799999999993</v>
      </c>
      <c r="L85" s="324">
        <f t="shared" si="30"/>
        <v>10</v>
      </c>
      <c r="M85" s="207">
        <f>(H85*0.05)</f>
        <v>33.117399999999996</v>
      </c>
      <c r="N85" s="324">
        <f t="shared" si="31"/>
        <v>5</v>
      </c>
      <c r="O85" s="206">
        <f t="shared" ref="O85:O93" si="44">(H85*0.02)</f>
        <v>13.24696</v>
      </c>
      <c r="P85" s="324">
        <f t="shared" si="32"/>
        <v>2</v>
      </c>
      <c r="Q85" s="141">
        <f t="shared" si="41"/>
        <v>562.99580000000003</v>
      </c>
      <c r="R85" s="323">
        <f t="shared" si="33"/>
        <v>85.000000000000014</v>
      </c>
      <c r="T85" s="214">
        <f t="shared" si="35"/>
        <v>52.987839999999991</v>
      </c>
      <c r="V85" s="33" t="str">
        <f t="shared" si="34"/>
        <v/>
      </c>
    </row>
    <row r="86" spans="1:22" ht="16" thickBot="1" x14ac:dyDescent="0.25">
      <c r="A86" s="22" t="s">
        <v>36</v>
      </c>
      <c r="B86" s="189" t="s">
        <v>478</v>
      </c>
      <c r="C86" s="158" t="s">
        <v>474</v>
      </c>
      <c r="D86" s="322" t="str">
        <f>IFERROR(VLOOKUP(C86,IDS!$A$1:$B$121,2,0),"")</f>
        <v/>
      </c>
      <c r="E86" s="4" t="s">
        <v>37</v>
      </c>
      <c r="F86" s="195">
        <v>561.41999999999996</v>
      </c>
      <c r="G86" s="195">
        <f t="shared" si="36"/>
        <v>651.24719999999991</v>
      </c>
      <c r="H86" s="247">
        <f t="shared" si="37"/>
        <v>648.75280000000009</v>
      </c>
      <c r="I86" s="221">
        <v>1300</v>
      </c>
      <c r="J86" s="273">
        <f t="shared" si="38"/>
        <v>1508</v>
      </c>
      <c r="K86" s="207">
        <f>(H86*0.1)</f>
        <v>64.875280000000018</v>
      </c>
      <c r="L86" s="324">
        <f t="shared" si="30"/>
        <v>10</v>
      </c>
      <c r="M86" s="207">
        <f>(H86*0.05)</f>
        <v>32.437640000000009</v>
      </c>
      <c r="N86" s="324">
        <f t="shared" si="31"/>
        <v>5</v>
      </c>
      <c r="O86" s="206">
        <f t="shared" si="44"/>
        <v>12.975056000000002</v>
      </c>
      <c r="P86" s="324">
        <f t="shared" si="32"/>
        <v>2</v>
      </c>
      <c r="Q86" s="141">
        <f t="shared" si="41"/>
        <v>551.43988000000013</v>
      </c>
      <c r="R86" s="323">
        <f t="shared" si="33"/>
        <v>85.000000000000014</v>
      </c>
      <c r="T86" s="214">
        <f t="shared" si="35"/>
        <v>51.900224000000016</v>
      </c>
      <c r="V86" s="33" t="str">
        <f t="shared" si="34"/>
        <v/>
      </c>
    </row>
    <row r="87" spans="1:22" ht="16" thickBot="1" x14ac:dyDescent="0.25">
      <c r="A87" s="25" t="s">
        <v>38</v>
      </c>
      <c r="B87" s="189" t="s">
        <v>478</v>
      </c>
      <c r="C87" s="158" t="s">
        <v>475</v>
      </c>
      <c r="D87" s="322" t="str">
        <f>IFERROR(VLOOKUP(C87,IDS!$A$1:$B$121,2,0),"")</f>
        <v/>
      </c>
      <c r="E87" s="13" t="s">
        <v>39</v>
      </c>
      <c r="F87" s="222">
        <v>645.17999999999995</v>
      </c>
      <c r="G87" s="222">
        <f t="shared" si="36"/>
        <v>748.40879999999993</v>
      </c>
      <c r="H87" s="247">
        <f t="shared" si="37"/>
        <v>751.59120000000007</v>
      </c>
      <c r="I87" s="221">
        <v>1500</v>
      </c>
      <c r="J87" s="278">
        <f t="shared" si="38"/>
        <v>1740</v>
      </c>
      <c r="K87" s="207">
        <f>(H87*0.1)</f>
        <v>75.159120000000016</v>
      </c>
      <c r="L87" s="324">
        <f t="shared" si="30"/>
        <v>10</v>
      </c>
      <c r="M87" s="207">
        <f>(H87*0.05)</f>
        <v>37.579560000000008</v>
      </c>
      <c r="N87" s="324">
        <f t="shared" si="31"/>
        <v>5</v>
      </c>
      <c r="O87" s="206">
        <f t="shared" si="44"/>
        <v>15.031824000000002</v>
      </c>
      <c r="P87" s="324">
        <f t="shared" si="32"/>
        <v>2</v>
      </c>
      <c r="Q87" s="141">
        <f t="shared" si="41"/>
        <v>638.85252000000003</v>
      </c>
      <c r="R87" s="323">
        <f t="shared" si="33"/>
        <v>85</v>
      </c>
      <c r="T87" s="214">
        <f t="shared" si="35"/>
        <v>60.127296000000015</v>
      </c>
      <c r="V87" s="33" t="str">
        <f t="shared" si="34"/>
        <v/>
      </c>
    </row>
    <row r="88" spans="1:22" ht="16" thickBot="1" x14ac:dyDescent="0.25">
      <c r="A88" s="47" t="s">
        <v>30</v>
      </c>
      <c r="B88" s="189" t="s">
        <v>329</v>
      </c>
      <c r="C88" s="158" t="s">
        <v>330</v>
      </c>
      <c r="D88" s="322">
        <f>IFERROR(VLOOKUP(C88,IDS!$A$1:$B$121,2,0),"")</f>
        <v>35</v>
      </c>
      <c r="E88" s="50" t="s">
        <v>106</v>
      </c>
      <c r="F88" s="230">
        <v>1081.07</v>
      </c>
      <c r="G88" s="230">
        <f t="shared" si="36"/>
        <v>1254.0411999999999</v>
      </c>
      <c r="H88" s="230">
        <f t="shared" ref="H88:H99" si="45">I88-G88</f>
        <v>5245.9588000000003</v>
      </c>
      <c r="I88" s="279">
        <v>6500</v>
      </c>
      <c r="J88" s="280">
        <f t="shared" si="38"/>
        <v>7540</v>
      </c>
      <c r="K88" s="207">
        <f t="shared" ref="K88:K93" si="46">(H88*0.1)</f>
        <v>524.59588000000008</v>
      </c>
      <c r="L88" s="324">
        <f t="shared" si="30"/>
        <v>10</v>
      </c>
      <c r="M88" s="207">
        <f t="shared" ref="M88:M93" si="47">(H88*0.05)</f>
        <v>262.29794000000004</v>
      </c>
      <c r="N88" s="324">
        <f t="shared" si="31"/>
        <v>5</v>
      </c>
      <c r="O88" s="206">
        <f t="shared" si="44"/>
        <v>104.91917600000001</v>
      </c>
      <c r="P88" s="324">
        <f t="shared" si="32"/>
        <v>2</v>
      </c>
      <c r="Q88" s="141">
        <f t="shared" si="41"/>
        <v>4459.0649800000001</v>
      </c>
      <c r="R88" s="323">
        <f t="shared" si="33"/>
        <v>85</v>
      </c>
      <c r="T88" s="214">
        <f t="shared" si="35"/>
        <v>419.67670400000009</v>
      </c>
      <c r="V88" s="33" t="str">
        <f t="shared" si="34"/>
        <v>update catalogo_servicios set costo =6500, costo_servicio=1254.0412, honorarios=5245.9588, utilidad=4459.06498, comision_venta = 'Porcentaje', comision_operativa='Porcentaje', comision_gestion='Porcentaje', comision_venta_monto=524.59588, porcentaje_venta=10, comision_operativa_monto=262.29794, porcentaje_operativa=5, comision_gestion_monto=104.919176, porcentaje_gestion=2, porcentaje_utilidad=85 where id=35;</v>
      </c>
    </row>
    <row r="89" spans="1:22" ht="16" thickBot="1" x14ac:dyDescent="0.25">
      <c r="A89" s="22" t="s">
        <v>30</v>
      </c>
      <c r="B89" s="189" t="s">
        <v>331</v>
      </c>
      <c r="C89" s="158" t="s">
        <v>332</v>
      </c>
      <c r="D89" s="322">
        <f>IFERROR(VLOOKUP(C89,IDS!$A$1:$B$121,2,0),"")</f>
        <v>33</v>
      </c>
      <c r="E89" s="64" t="s">
        <v>105</v>
      </c>
      <c r="F89" s="195">
        <v>1081.07</v>
      </c>
      <c r="G89" s="195">
        <f t="shared" si="36"/>
        <v>1254.0411999999999</v>
      </c>
      <c r="H89" s="195">
        <f t="shared" si="45"/>
        <v>6495.9588000000003</v>
      </c>
      <c r="I89" s="239">
        <v>7750</v>
      </c>
      <c r="J89" s="273">
        <f t="shared" si="38"/>
        <v>8990</v>
      </c>
      <c r="K89" s="207">
        <f t="shared" si="46"/>
        <v>649.59588000000008</v>
      </c>
      <c r="L89" s="324">
        <f t="shared" si="30"/>
        <v>10</v>
      </c>
      <c r="M89" s="207">
        <f t="shared" si="47"/>
        <v>324.79794000000004</v>
      </c>
      <c r="N89" s="324">
        <f t="shared" si="31"/>
        <v>5</v>
      </c>
      <c r="O89" s="206">
        <f t="shared" si="44"/>
        <v>129.91917600000002</v>
      </c>
      <c r="P89" s="324">
        <f t="shared" si="32"/>
        <v>2</v>
      </c>
      <c r="Q89" s="141">
        <f t="shared" si="41"/>
        <v>5521.5649800000001</v>
      </c>
      <c r="R89" s="323">
        <f t="shared" si="33"/>
        <v>85</v>
      </c>
      <c r="T89" s="214">
        <f t="shared" si="35"/>
        <v>519.67670400000009</v>
      </c>
      <c r="V89" s="33" t="str">
        <f t="shared" si="34"/>
        <v>update catalogo_servicios set costo =7750, costo_servicio=1254.0412, honorarios=6495.9588, utilidad=5521.56498, comision_venta = 'Porcentaje', comision_operativa='Porcentaje', comision_gestion='Porcentaje', comision_venta_monto=649.59588, porcentaje_venta=10, comision_operativa_monto=324.79794, porcentaje_operativa=5, comision_gestion_monto=129.919176, porcentaje_gestion=2, porcentaje_utilidad=85 where id=33;</v>
      </c>
    </row>
    <row r="90" spans="1:22" ht="16" thickBot="1" x14ac:dyDescent="0.25">
      <c r="A90" s="22" t="s">
        <v>30</v>
      </c>
      <c r="B90" s="189" t="s">
        <v>336</v>
      </c>
      <c r="C90" s="158" t="s">
        <v>337</v>
      </c>
      <c r="D90" s="322">
        <f>IFERROR(VLOOKUP(C90,IDS!$A$1:$B$121,2,0),"")</f>
        <v>37</v>
      </c>
      <c r="E90" s="64" t="s">
        <v>107</v>
      </c>
      <c r="F90" s="195">
        <v>1081.07</v>
      </c>
      <c r="G90" s="195">
        <f t="shared" si="36"/>
        <v>1254.0411999999999</v>
      </c>
      <c r="H90" s="195">
        <f t="shared" si="45"/>
        <v>7745.9588000000003</v>
      </c>
      <c r="I90" s="239">
        <v>9000</v>
      </c>
      <c r="J90" s="273">
        <f t="shared" si="38"/>
        <v>10440</v>
      </c>
      <c r="K90" s="207">
        <f t="shared" si="46"/>
        <v>774.59588000000008</v>
      </c>
      <c r="L90" s="324">
        <f t="shared" si="30"/>
        <v>10</v>
      </c>
      <c r="M90" s="207">
        <f t="shared" si="47"/>
        <v>387.29794000000004</v>
      </c>
      <c r="N90" s="324">
        <f t="shared" si="31"/>
        <v>5</v>
      </c>
      <c r="O90" s="206">
        <f t="shared" si="44"/>
        <v>154.91917600000002</v>
      </c>
      <c r="P90" s="324">
        <f t="shared" si="32"/>
        <v>2</v>
      </c>
      <c r="Q90" s="140">
        <f t="shared" si="41"/>
        <v>6584.0649800000001</v>
      </c>
      <c r="R90" s="323">
        <f t="shared" si="33"/>
        <v>85</v>
      </c>
      <c r="T90" s="214">
        <f t="shared" si="35"/>
        <v>619.67670400000009</v>
      </c>
      <c r="V90" s="33" t="str">
        <f t="shared" si="34"/>
        <v>update catalogo_servicios set costo =9000, costo_servicio=1254.0412, honorarios=7745.9588, utilidad=6584.06498, comision_venta = 'Porcentaje', comision_operativa='Porcentaje', comision_gestion='Porcentaje', comision_venta_monto=774.59588, porcentaje_venta=10, comision_operativa_monto=387.29794, porcentaje_operativa=5, comision_gestion_monto=154.919176, porcentaje_gestion=2, porcentaje_utilidad=85 where id=37;</v>
      </c>
    </row>
    <row r="91" spans="1:22" ht="31" thickBot="1" x14ac:dyDescent="0.25">
      <c r="A91" s="22" t="s">
        <v>33</v>
      </c>
      <c r="B91" s="189" t="s">
        <v>334</v>
      </c>
      <c r="C91" s="158" t="s">
        <v>335</v>
      </c>
      <c r="D91" s="322">
        <f>IFERROR(VLOOKUP(C91,IDS!$A$1:$B$121,2,0),"")</f>
        <v>27</v>
      </c>
      <c r="E91" s="4" t="s">
        <v>21</v>
      </c>
      <c r="F91" s="195">
        <v>330.9</v>
      </c>
      <c r="G91" s="195">
        <f t="shared" si="36"/>
        <v>383.84399999999999</v>
      </c>
      <c r="H91" s="195">
        <f t="shared" si="45"/>
        <v>2116.1559999999999</v>
      </c>
      <c r="I91" s="239">
        <v>2500</v>
      </c>
      <c r="J91" s="273">
        <f t="shared" si="38"/>
        <v>2900</v>
      </c>
      <c r="K91" s="207">
        <f t="shared" si="46"/>
        <v>211.6156</v>
      </c>
      <c r="L91" s="324">
        <f t="shared" si="30"/>
        <v>10</v>
      </c>
      <c r="M91" s="207">
        <f t="shared" si="47"/>
        <v>105.8078</v>
      </c>
      <c r="N91" s="324">
        <f t="shared" si="31"/>
        <v>5</v>
      </c>
      <c r="O91" s="206">
        <f t="shared" si="44"/>
        <v>42.323120000000003</v>
      </c>
      <c r="P91" s="324">
        <f t="shared" si="32"/>
        <v>2</v>
      </c>
      <c r="Q91" s="141">
        <f t="shared" si="41"/>
        <v>1798.7325999999998</v>
      </c>
      <c r="R91" s="323">
        <f t="shared" si="33"/>
        <v>85</v>
      </c>
      <c r="T91" s="214">
        <f t="shared" si="35"/>
        <v>169.29248000000001</v>
      </c>
      <c r="V91" s="33" t="str">
        <f t="shared" si="34"/>
        <v>update catalogo_servicios set costo =2500, costo_servicio=383.844, honorarios=2116.156, utilidad=1798.7326, comision_venta = 'Porcentaje', comision_operativa='Porcentaje', comision_gestion='Porcentaje', comision_venta_monto=211.6156, porcentaje_venta=10, comision_operativa_monto=105.8078, porcentaje_operativa=5, comision_gestion_monto=42.32312, porcentaje_gestion=2, porcentaje_utilidad=85 where id=27;</v>
      </c>
    </row>
    <row r="92" spans="1:22" ht="16" thickBot="1" x14ac:dyDescent="0.25">
      <c r="A92" s="22" t="s">
        <v>91</v>
      </c>
      <c r="B92" s="189" t="s">
        <v>333</v>
      </c>
      <c r="C92" s="158" t="s">
        <v>476</v>
      </c>
      <c r="D92" s="322" t="str">
        <f>IFERROR(VLOOKUP(C92,IDS!$A$1:$B$121,2,0),"")</f>
        <v/>
      </c>
      <c r="E92" s="4" t="s">
        <v>87</v>
      </c>
      <c r="F92" s="195">
        <v>553.6</v>
      </c>
      <c r="G92" s="195">
        <f t="shared" si="36"/>
        <v>642.17600000000004</v>
      </c>
      <c r="H92" s="195">
        <f t="shared" si="45"/>
        <v>657.82399999999996</v>
      </c>
      <c r="I92" s="281">
        <v>1300</v>
      </c>
      <c r="J92" s="273">
        <f t="shared" si="38"/>
        <v>1508</v>
      </c>
      <c r="K92" s="207">
        <f t="shared" si="46"/>
        <v>65.782399999999996</v>
      </c>
      <c r="L92" s="324">
        <f t="shared" si="30"/>
        <v>10</v>
      </c>
      <c r="M92" s="207">
        <f t="shared" si="47"/>
        <v>32.891199999999998</v>
      </c>
      <c r="N92" s="324">
        <f t="shared" si="31"/>
        <v>5</v>
      </c>
      <c r="O92" s="206">
        <f t="shared" si="44"/>
        <v>13.15648</v>
      </c>
      <c r="P92" s="324">
        <f t="shared" si="32"/>
        <v>2</v>
      </c>
      <c r="Q92" s="141">
        <f t="shared" si="41"/>
        <v>559.15039999999999</v>
      </c>
      <c r="R92" s="323">
        <f t="shared" si="33"/>
        <v>85.000000000000014</v>
      </c>
      <c r="T92" s="214">
        <f t="shared" si="35"/>
        <v>52.625919999999994</v>
      </c>
      <c r="V92" s="33" t="str">
        <f t="shared" si="34"/>
        <v/>
      </c>
    </row>
    <row r="93" spans="1:22" ht="16" thickBot="1" x14ac:dyDescent="0.25">
      <c r="A93" s="22" t="s">
        <v>92</v>
      </c>
      <c r="B93" s="189" t="s">
        <v>333</v>
      </c>
      <c r="C93" s="158" t="s">
        <v>477</v>
      </c>
      <c r="D93" s="322" t="str">
        <f>IFERROR(VLOOKUP(C93,IDS!$A$1:$B$121,2,0),"")</f>
        <v/>
      </c>
      <c r="E93" s="4" t="s">
        <v>88</v>
      </c>
      <c r="F93" s="195">
        <v>592.67999999999995</v>
      </c>
      <c r="G93" s="195">
        <f t="shared" si="36"/>
        <v>687.50879999999995</v>
      </c>
      <c r="H93" s="195">
        <f t="shared" si="45"/>
        <v>712.49120000000005</v>
      </c>
      <c r="I93" s="281">
        <v>1400</v>
      </c>
      <c r="J93" s="273">
        <f t="shared" si="38"/>
        <v>1624</v>
      </c>
      <c r="K93" s="207">
        <f t="shared" si="46"/>
        <v>71.249120000000005</v>
      </c>
      <c r="L93" s="324">
        <f t="shared" si="30"/>
        <v>10</v>
      </c>
      <c r="M93" s="207">
        <f t="shared" si="47"/>
        <v>35.624560000000002</v>
      </c>
      <c r="N93" s="324">
        <f t="shared" si="31"/>
        <v>5</v>
      </c>
      <c r="O93" s="206">
        <f t="shared" si="44"/>
        <v>14.249824000000002</v>
      </c>
      <c r="P93" s="324">
        <f t="shared" si="32"/>
        <v>2</v>
      </c>
      <c r="Q93" s="141">
        <f t="shared" si="41"/>
        <v>605.61752000000001</v>
      </c>
      <c r="R93" s="323">
        <f t="shared" si="33"/>
        <v>85</v>
      </c>
      <c r="T93" s="214">
        <f t="shared" si="35"/>
        <v>56.999296000000001</v>
      </c>
      <c r="V93" s="33" t="str">
        <f t="shared" si="34"/>
        <v/>
      </c>
    </row>
    <row r="94" spans="1:22" ht="31" thickBot="1" x14ac:dyDescent="0.25">
      <c r="A94" s="22">
        <v>13</v>
      </c>
      <c r="B94" s="189" t="s">
        <v>273</v>
      </c>
      <c r="C94" s="158" t="s">
        <v>479</v>
      </c>
      <c r="D94" s="322" t="str">
        <f>IFERROR(VLOOKUP(C94,IDS!$A$1:$B$121,2,0),"")</f>
        <v/>
      </c>
      <c r="E94" s="89" t="s">
        <v>495</v>
      </c>
      <c r="F94" s="198">
        <v>319.18</v>
      </c>
      <c r="G94" s="198">
        <f t="shared" ref="G94:G99" si="48">(F94*0.16)+F94</f>
        <v>370.24880000000002</v>
      </c>
      <c r="H94" s="265">
        <f t="shared" si="45"/>
        <v>3129.7512000000002</v>
      </c>
      <c r="I94" s="262">
        <v>3500</v>
      </c>
      <c r="J94" s="266">
        <f t="shared" ref="J94:J99" si="49">(I94*0.16)+I94</f>
        <v>4060</v>
      </c>
      <c r="K94" s="207">
        <f>(H94*0)</f>
        <v>0</v>
      </c>
      <c r="L94" s="324">
        <f t="shared" si="30"/>
        <v>0</v>
      </c>
      <c r="M94" s="207">
        <f>(H94*0.2)</f>
        <v>625.95024000000012</v>
      </c>
      <c r="N94" s="324">
        <f t="shared" si="31"/>
        <v>20</v>
      </c>
      <c r="O94" s="206">
        <f t="shared" ref="O94:O99" si="50">(H94*0.01)</f>
        <v>31.297512000000001</v>
      </c>
      <c r="P94" s="324">
        <f t="shared" si="32"/>
        <v>1</v>
      </c>
      <c r="Q94" s="141">
        <f t="shared" ref="Q94:Q99" si="51">(H94-K94-M94)</f>
        <v>2503.80096</v>
      </c>
      <c r="R94" s="323">
        <f t="shared" si="33"/>
        <v>80</v>
      </c>
      <c r="T94" s="214">
        <f t="shared" si="35"/>
        <v>-31.297512000000001</v>
      </c>
      <c r="V94" s="33" t="str">
        <f t="shared" si="34"/>
        <v/>
      </c>
    </row>
    <row r="95" spans="1:22" ht="31" thickBot="1" x14ac:dyDescent="0.25">
      <c r="A95" s="25"/>
      <c r="B95" s="189" t="s">
        <v>279</v>
      </c>
      <c r="C95" s="158" t="s">
        <v>480</v>
      </c>
      <c r="D95" s="322" t="str">
        <f>IFERROR(VLOOKUP(C95,IDS!$A$1:$B$121,2,0),"")</f>
        <v/>
      </c>
      <c r="E95" s="191" t="s">
        <v>494</v>
      </c>
      <c r="F95" s="199">
        <v>319.18</v>
      </c>
      <c r="G95" s="199">
        <f t="shared" si="48"/>
        <v>370.24880000000002</v>
      </c>
      <c r="H95" s="267">
        <f t="shared" si="45"/>
        <v>4629.7511999999997</v>
      </c>
      <c r="I95" s="268">
        <v>5000</v>
      </c>
      <c r="J95" s="269">
        <f t="shared" si="49"/>
        <v>5800</v>
      </c>
      <c r="K95" s="208">
        <f>(H95*0.06)</f>
        <v>277.78507199999996</v>
      </c>
      <c r="L95" s="324">
        <f t="shared" si="30"/>
        <v>6</v>
      </c>
      <c r="M95" s="208">
        <f>(H95*0.2)</f>
        <v>925.95024000000001</v>
      </c>
      <c r="N95" s="324">
        <f t="shared" si="31"/>
        <v>20</v>
      </c>
      <c r="O95" s="206">
        <f t="shared" si="50"/>
        <v>46.297511999999998</v>
      </c>
      <c r="P95" s="324">
        <f t="shared" si="32"/>
        <v>1</v>
      </c>
      <c r="Q95" s="193">
        <f t="shared" si="51"/>
        <v>3426.0158879999999</v>
      </c>
      <c r="R95" s="323">
        <f t="shared" si="33"/>
        <v>74</v>
      </c>
      <c r="T95" s="214">
        <f t="shared" si="35"/>
        <v>231.48755999999997</v>
      </c>
      <c r="V95" s="33" t="str">
        <f t="shared" si="34"/>
        <v/>
      </c>
    </row>
    <row r="96" spans="1:22" ht="43" thickBot="1" x14ac:dyDescent="0.25">
      <c r="A96" s="25"/>
      <c r="B96" s="189" t="s">
        <v>275</v>
      </c>
      <c r="C96" s="158" t="s">
        <v>481</v>
      </c>
      <c r="D96" s="322" t="str">
        <f>IFERROR(VLOOKUP(C96,IDS!$A$1:$B$121,2,0),"")</f>
        <v/>
      </c>
      <c r="E96" s="176" t="s">
        <v>464</v>
      </c>
      <c r="F96" s="196">
        <v>319.18</v>
      </c>
      <c r="G96" s="196">
        <f t="shared" si="48"/>
        <v>370.24880000000002</v>
      </c>
      <c r="H96" s="196">
        <f t="shared" si="45"/>
        <v>5129.7511999999997</v>
      </c>
      <c r="I96" s="244">
        <v>5500</v>
      </c>
      <c r="J96" s="242">
        <f t="shared" si="49"/>
        <v>6380</v>
      </c>
      <c r="K96" s="204">
        <f>(H96*0)</f>
        <v>0</v>
      </c>
      <c r="L96" s="324">
        <f t="shared" si="30"/>
        <v>0</v>
      </c>
      <c r="M96" s="204">
        <f>(H96*0.1)</f>
        <v>512.97511999999995</v>
      </c>
      <c r="N96" s="324">
        <f t="shared" si="31"/>
        <v>10</v>
      </c>
      <c r="O96" s="203">
        <f t="shared" si="50"/>
        <v>51.297511999999998</v>
      </c>
      <c r="P96" s="324">
        <f t="shared" si="32"/>
        <v>1</v>
      </c>
      <c r="Q96" s="141">
        <f t="shared" si="51"/>
        <v>4616.7760799999996</v>
      </c>
      <c r="R96" s="323">
        <f t="shared" si="33"/>
        <v>90</v>
      </c>
      <c r="T96" s="214">
        <f t="shared" si="35"/>
        <v>-51.297511999999998</v>
      </c>
      <c r="V96" s="33" t="str">
        <f t="shared" si="34"/>
        <v/>
      </c>
    </row>
    <row r="97" spans="1:22" ht="43" thickBot="1" x14ac:dyDescent="0.25">
      <c r="A97" s="25"/>
      <c r="B97" s="189" t="s">
        <v>281</v>
      </c>
      <c r="C97" s="158" t="s">
        <v>482</v>
      </c>
      <c r="D97" s="322" t="str">
        <f>IFERROR(VLOOKUP(C97,IDS!$A$1:$B$121,2,0),"")</f>
        <v/>
      </c>
      <c r="E97" s="176" t="s">
        <v>465</v>
      </c>
      <c r="F97" s="196">
        <v>319.18</v>
      </c>
      <c r="G97" s="196">
        <f t="shared" si="48"/>
        <v>370.24880000000002</v>
      </c>
      <c r="H97" s="196">
        <f t="shared" si="45"/>
        <v>8129.7511999999997</v>
      </c>
      <c r="I97" s="244">
        <v>8500</v>
      </c>
      <c r="J97" s="242">
        <f t="shared" si="49"/>
        <v>9860</v>
      </c>
      <c r="K97" s="204">
        <f>(H97*0.06)</f>
        <v>487.78507199999996</v>
      </c>
      <c r="L97" s="324">
        <f t="shared" si="30"/>
        <v>6</v>
      </c>
      <c r="M97" s="204">
        <f>(H97*0.1)</f>
        <v>812.97512000000006</v>
      </c>
      <c r="N97" s="324">
        <f t="shared" si="31"/>
        <v>10</v>
      </c>
      <c r="O97" s="203">
        <f t="shared" si="50"/>
        <v>81.297511999999998</v>
      </c>
      <c r="P97" s="324">
        <f t="shared" si="32"/>
        <v>1</v>
      </c>
      <c r="Q97" s="141">
        <f t="shared" si="51"/>
        <v>6828.991008</v>
      </c>
      <c r="R97" s="323">
        <f t="shared" si="33"/>
        <v>84.000000000000014</v>
      </c>
      <c r="T97" s="214">
        <f t="shared" si="35"/>
        <v>406.48755999999997</v>
      </c>
      <c r="V97" s="33" t="str">
        <f t="shared" si="34"/>
        <v/>
      </c>
    </row>
    <row r="98" spans="1:22" ht="43" thickBot="1" x14ac:dyDescent="0.25">
      <c r="A98" s="25">
        <v>13</v>
      </c>
      <c r="B98" s="189" t="s">
        <v>277</v>
      </c>
      <c r="C98" s="158" t="s">
        <v>483</v>
      </c>
      <c r="D98" s="322" t="str">
        <f>IFERROR(VLOOKUP(C98,IDS!$A$1:$B$121,2,0),"")</f>
        <v/>
      </c>
      <c r="E98" s="176" t="s">
        <v>466</v>
      </c>
      <c r="F98" s="196">
        <v>319.18</v>
      </c>
      <c r="G98" s="196">
        <f t="shared" si="48"/>
        <v>370.24880000000002</v>
      </c>
      <c r="H98" s="196">
        <f t="shared" si="45"/>
        <v>5129.7511999999997</v>
      </c>
      <c r="I98" s="244">
        <v>5500</v>
      </c>
      <c r="J98" s="242">
        <f t="shared" si="49"/>
        <v>6380</v>
      </c>
      <c r="K98" s="204">
        <f>(H98*0)</f>
        <v>0</v>
      </c>
      <c r="L98" s="324">
        <f t="shared" si="30"/>
        <v>0</v>
      </c>
      <c r="M98" s="204">
        <f>(H98*0.1)</f>
        <v>512.97511999999995</v>
      </c>
      <c r="N98" s="324">
        <f t="shared" si="31"/>
        <v>10</v>
      </c>
      <c r="O98" s="203">
        <f t="shared" si="50"/>
        <v>51.297511999999998</v>
      </c>
      <c r="P98" s="324">
        <f t="shared" si="32"/>
        <v>1</v>
      </c>
      <c r="Q98" s="141">
        <f t="shared" si="51"/>
        <v>4616.7760799999996</v>
      </c>
      <c r="R98" s="323">
        <f t="shared" si="33"/>
        <v>90</v>
      </c>
      <c r="T98" s="214">
        <f t="shared" si="35"/>
        <v>-51.297511999999998</v>
      </c>
      <c r="V98" s="33" t="str">
        <f t="shared" si="34"/>
        <v/>
      </c>
    </row>
    <row r="99" spans="1:22" ht="43" thickBot="1" x14ac:dyDescent="0.25">
      <c r="A99" s="25"/>
      <c r="B99" s="189" t="s">
        <v>283</v>
      </c>
      <c r="C99" s="158" t="s">
        <v>484</v>
      </c>
      <c r="D99" s="322" t="str">
        <f>IFERROR(VLOOKUP(C99,IDS!$A$1:$B$121,2,0),"")</f>
        <v/>
      </c>
      <c r="E99" s="176" t="s">
        <v>467</v>
      </c>
      <c r="F99" s="196">
        <v>319.18</v>
      </c>
      <c r="G99" s="196">
        <f t="shared" si="48"/>
        <v>370.24880000000002</v>
      </c>
      <c r="H99" s="196">
        <f t="shared" si="45"/>
        <v>8129.7511999999997</v>
      </c>
      <c r="I99" s="244">
        <v>8500</v>
      </c>
      <c r="J99" s="242">
        <f t="shared" si="49"/>
        <v>9860</v>
      </c>
      <c r="K99" s="204">
        <f>(H99*0.06)</f>
        <v>487.78507199999996</v>
      </c>
      <c r="L99" s="324">
        <f t="shared" si="30"/>
        <v>6</v>
      </c>
      <c r="M99" s="204">
        <f>(H99*0.1)</f>
        <v>812.97512000000006</v>
      </c>
      <c r="N99" s="324">
        <f t="shared" si="31"/>
        <v>10</v>
      </c>
      <c r="O99" s="203">
        <f t="shared" si="50"/>
        <v>81.297511999999998</v>
      </c>
      <c r="P99" s="324">
        <f t="shared" si="32"/>
        <v>1</v>
      </c>
      <c r="Q99" s="141">
        <f t="shared" si="51"/>
        <v>6828.991008</v>
      </c>
      <c r="R99" s="323">
        <f t="shared" si="33"/>
        <v>84.000000000000014</v>
      </c>
      <c r="T99" s="214">
        <f t="shared" si="35"/>
        <v>406.48755999999997</v>
      </c>
      <c r="V99" s="33" t="str">
        <f t="shared" si="34"/>
        <v/>
      </c>
    </row>
    <row r="100" spans="1:22" ht="13.5" customHeight="1" thickBot="1" x14ac:dyDescent="0.25">
      <c r="A100" s="316" t="s">
        <v>81</v>
      </c>
      <c r="B100" s="317"/>
      <c r="C100" s="317"/>
      <c r="D100" s="322" t="str">
        <f>IFERROR(VLOOKUP(C100,IDS!$A$1:$B$121,2,0),"")</f>
        <v/>
      </c>
      <c r="E100" s="317"/>
      <c r="F100" s="317"/>
      <c r="G100" s="317"/>
      <c r="H100" s="317"/>
      <c r="I100" s="317"/>
      <c r="J100" s="317"/>
      <c r="K100" s="317"/>
      <c r="L100" s="324">
        <f t="shared" si="30"/>
        <v>0</v>
      </c>
      <c r="M100" s="317"/>
      <c r="N100" s="324">
        <f t="shared" si="31"/>
        <v>0</v>
      </c>
      <c r="O100" s="317"/>
      <c r="P100" s="324">
        <f t="shared" si="32"/>
        <v>0</v>
      </c>
      <c r="Q100" s="317"/>
      <c r="R100" s="323" t="e">
        <f t="shared" si="33"/>
        <v>#DIV/0!</v>
      </c>
      <c r="T100" s="214">
        <f t="shared" si="35"/>
        <v>0</v>
      </c>
      <c r="V100" s="33" t="str">
        <f t="shared" si="34"/>
        <v/>
      </c>
    </row>
    <row r="101" spans="1:22" ht="15" x14ac:dyDescent="0.2">
      <c r="A101" s="19">
        <v>21</v>
      </c>
      <c r="B101" s="187" t="s">
        <v>319</v>
      </c>
      <c r="C101" s="173" t="s">
        <v>320</v>
      </c>
      <c r="D101" s="322">
        <f>IFERROR(VLOOKUP(C101,IDS!$A$1:$B$121,2,0),"")</f>
        <v>38</v>
      </c>
      <c r="E101" s="180" t="s">
        <v>12</v>
      </c>
      <c r="F101" s="255">
        <v>823.72</v>
      </c>
      <c r="G101" s="200">
        <f t="shared" ref="G101:G123" si="52">(F101*0.16)+F101</f>
        <v>955.51520000000005</v>
      </c>
      <c r="H101" s="255">
        <f>I101-G101</f>
        <v>2044.4848</v>
      </c>
      <c r="I101" s="256">
        <v>3000</v>
      </c>
      <c r="J101" s="257">
        <f t="shared" ref="J101:J113" si="53">(I101*0.16)+I101</f>
        <v>3480</v>
      </c>
      <c r="K101" s="204">
        <f>(H101*0.1)</f>
        <v>204.44848000000002</v>
      </c>
      <c r="L101" s="324">
        <f t="shared" si="30"/>
        <v>10</v>
      </c>
      <c r="M101" s="204">
        <f t="shared" ref="M101:M117" si="54">(H101*0.1)</f>
        <v>204.44848000000002</v>
      </c>
      <c r="N101" s="324">
        <f t="shared" si="31"/>
        <v>10</v>
      </c>
      <c r="O101" s="203">
        <f>(H101*0.02)</f>
        <v>40.889696000000001</v>
      </c>
      <c r="P101" s="324">
        <f t="shared" si="32"/>
        <v>2</v>
      </c>
      <c r="Q101" s="141">
        <f>(H101-K101-M101)</f>
        <v>1635.5878399999999</v>
      </c>
      <c r="R101" s="323">
        <f t="shared" si="33"/>
        <v>80</v>
      </c>
      <c r="T101" s="214">
        <f t="shared" si="35"/>
        <v>163.558784</v>
      </c>
      <c r="V101" s="33" t="str">
        <f t="shared" si="34"/>
        <v>update catalogo_servicios set costo =3000, costo_servicio=955.5152, honorarios=2044.4848, utilidad=1635.58784, comision_venta = 'Porcentaje', comision_operativa='Porcentaje', comision_gestion='Porcentaje', comision_venta_monto=204.44848, porcentaje_venta=10, comision_operativa_monto=204.44848, porcentaje_operativa=10, comision_gestion_monto=40.889696, porcentaje_gestion=2, porcentaje_utilidad=80 where id=38;</v>
      </c>
    </row>
    <row r="102" spans="1:22" ht="16" thickBot="1" x14ac:dyDescent="0.25">
      <c r="A102" s="186"/>
      <c r="B102" s="188" t="s">
        <v>411</v>
      </c>
      <c r="C102" s="174" t="s">
        <v>412</v>
      </c>
      <c r="D102" s="322" t="str">
        <f>IFERROR(VLOOKUP(C102,IDS!$A$1:$B$121,2,0),"")</f>
        <v/>
      </c>
      <c r="E102" s="181" t="s">
        <v>438</v>
      </c>
      <c r="F102" s="255">
        <v>500</v>
      </c>
      <c r="G102" s="200">
        <v>500</v>
      </c>
      <c r="H102" s="255">
        <f>I102-G102</f>
        <v>0</v>
      </c>
      <c r="I102" s="256">
        <v>500</v>
      </c>
      <c r="J102" s="257">
        <f t="shared" si="53"/>
        <v>580</v>
      </c>
      <c r="K102" s="204">
        <v>0</v>
      </c>
      <c r="L102" s="324">
        <f t="shared" si="30"/>
        <v>0</v>
      </c>
      <c r="M102" s="204">
        <f t="shared" si="54"/>
        <v>0</v>
      </c>
      <c r="N102" s="324">
        <f t="shared" si="31"/>
        <v>0</v>
      </c>
      <c r="O102" s="203">
        <f>(H102*0.01)</f>
        <v>0</v>
      </c>
      <c r="P102" s="324">
        <f t="shared" si="32"/>
        <v>0</v>
      </c>
      <c r="Q102" s="141">
        <f>(H102-K102-M102)</f>
        <v>0</v>
      </c>
      <c r="R102" s="323" t="e">
        <f t="shared" si="33"/>
        <v>#DIV/0!</v>
      </c>
      <c r="T102" s="214">
        <f t="shared" si="35"/>
        <v>0</v>
      </c>
      <c r="V102" s="33" t="str">
        <f t="shared" si="34"/>
        <v/>
      </c>
    </row>
    <row r="103" spans="1:22" ht="43" thickBot="1" x14ac:dyDescent="0.25">
      <c r="A103" s="24" t="s">
        <v>13</v>
      </c>
      <c r="B103" s="189" t="s">
        <v>324</v>
      </c>
      <c r="C103" s="158" t="s">
        <v>321</v>
      </c>
      <c r="D103" s="322">
        <f>IFERROR(VLOOKUP(C103,IDS!$A$1:$B$121,2,0),"")</f>
        <v>28</v>
      </c>
      <c r="E103" s="182" t="s">
        <v>432</v>
      </c>
      <c r="F103" s="200">
        <v>7553.97</v>
      </c>
      <c r="G103" s="196">
        <f t="shared" si="52"/>
        <v>8762.6052</v>
      </c>
      <c r="H103" s="196">
        <f t="shared" ref="H103:H123" si="55">I103-G103</f>
        <v>46237.394800000002</v>
      </c>
      <c r="I103" s="259">
        <v>55000</v>
      </c>
      <c r="J103" s="257">
        <f t="shared" si="53"/>
        <v>63800</v>
      </c>
      <c r="K103" s="204">
        <f>(H103*0.06)</f>
        <v>2774.243688</v>
      </c>
      <c r="L103" s="324">
        <f t="shared" si="30"/>
        <v>6</v>
      </c>
      <c r="M103" s="204">
        <f t="shared" si="54"/>
        <v>4623.7394800000002</v>
      </c>
      <c r="N103" s="324">
        <f t="shared" si="31"/>
        <v>10</v>
      </c>
      <c r="O103" s="203">
        <f t="shared" ref="O103:O117" si="56">(H103*0.02)</f>
        <v>924.74789600000008</v>
      </c>
      <c r="P103" s="324">
        <f t="shared" si="32"/>
        <v>2</v>
      </c>
      <c r="Q103" s="141">
        <f>(H103-K103-M103)</f>
        <v>38839.411632000003</v>
      </c>
      <c r="R103" s="323">
        <f t="shared" si="33"/>
        <v>84.000000000000014</v>
      </c>
      <c r="T103" s="214">
        <f t="shared" si="35"/>
        <v>1849.4957919999999</v>
      </c>
      <c r="V103" s="33" t="str">
        <f t="shared" si="34"/>
        <v>update catalogo_servicios set costo =55000, costo_servicio=8762.6052, honorarios=46237.3948, utilidad=38839.411632, comision_venta = 'Porcentaje', comision_operativa='Porcentaje', comision_gestion='Porcentaje', comision_venta_monto=2774.243688, porcentaje_venta=6, comision_operativa_monto=4623.73948, porcentaje_operativa=10, comision_gestion_monto=924.747896, porcentaje_gestion=2, porcentaje_utilidad=84 where id=28;</v>
      </c>
    </row>
    <row r="104" spans="1:22" ht="43" thickBot="1" x14ac:dyDescent="0.25">
      <c r="A104" s="24" t="s">
        <v>13</v>
      </c>
      <c r="B104" s="189" t="s">
        <v>324</v>
      </c>
      <c r="C104" s="158" t="s">
        <v>321</v>
      </c>
      <c r="D104" s="322">
        <f>IFERROR(VLOOKUP(C104,IDS!$A$1:$B$121,2,0),"")</f>
        <v>28</v>
      </c>
      <c r="E104" s="182" t="s">
        <v>433</v>
      </c>
      <c r="F104" s="200">
        <v>7553.97</v>
      </c>
      <c r="G104" s="196">
        <f t="shared" si="52"/>
        <v>8762.6052</v>
      </c>
      <c r="H104" s="196">
        <f t="shared" si="55"/>
        <v>56237.394800000002</v>
      </c>
      <c r="I104" s="259">
        <v>65000</v>
      </c>
      <c r="J104" s="257">
        <f t="shared" si="53"/>
        <v>75400</v>
      </c>
      <c r="K104" s="204">
        <f>(H104*0.06)</f>
        <v>3374.243688</v>
      </c>
      <c r="L104" s="324">
        <f t="shared" si="30"/>
        <v>6</v>
      </c>
      <c r="M104" s="204">
        <f t="shared" si="54"/>
        <v>5623.7394800000002</v>
      </c>
      <c r="N104" s="324">
        <f t="shared" si="31"/>
        <v>10</v>
      </c>
      <c r="O104" s="203">
        <f t="shared" si="56"/>
        <v>1124.7478960000001</v>
      </c>
      <c r="P104" s="324">
        <f t="shared" si="32"/>
        <v>2</v>
      </c>
      <c r="Q104" s="141">
        <f>(H104-K104-M104)</f>
        <v>47239.411632000003</v>
      </c>
      <c r="R104" s="323">
        <f t="shared" si="33"/>
        <v>84.000000000000014</v>
      </c>
      <c r="T104" s="214">
        <f t="shared" si="35"/>
        <v>2249.4957919999997</v>
      </c>
      <c r="V104" s="33" t="str">
        <f t="shared" si="34"/>
        <v>update catalogo_servicios set costo =65000, costo_servicio=8762.6052, honorarios=56237.3948, utilidad=47239.411632, comision_venta = 'Porcentaje', comision_operativa='Porcentaje', comision_gestion='Porcentaje', comision_venta_monto=3374.243688, porcentaje_venta=6, comision_operativa_monto=5623.73948, porcentaje_operativa=10, comision_gestion_monto=1124.747896, porcentaje_gestion=2, porcentaje_utilidad=84 where id=28;</v>
      </c>
    </row>
    <row r="105" spans="1:22" ht="43" thickBot="1" x14ac:dyDescent="0.25">
      <c r="A105" s="24" t="s">
        <v>13</v>
      </c>
      <c r="B105" s="189" t="s">
        <v>324</v>
      </c>
      <c r="C105" s="158" t="s">
        <v>321</v>
      </c>
      <c r="D105" s="322">
        <f>IFERROR(VLOOKUP(C105,IDS!$A$1:$B$121,2,0),"")</f>
        <v>28</v>
      </c>
      <c r="E105" s="182" t="s">
        <v>434</v>
      </c>
      <c r="F105" s="200">
        <v>7553.97</v>
      </c>
      <c r="G105" s="196">
        <f t="shared" si="52"/>
        <v>8762.6052</v>
      </c>
      <c r="H105" s="196">
        <f t="shared" si="55"/>
        <v>66237.394799999995</v>
      </c>
      <c r="I105" s="259">
        <v>75000</v>
      </c>
      <c r="J105" s="257">
        <f t="shared" si="53"/>
        <v>87000</v>
      </c>
      <c r="K105" s="204">
        <f>(H105*0.06)</f>
        <v>3974.2436879999996</v>
      </c>
      <c r="L105" s="324">
        <f t="shared" si="30"/>
        <v>6</v>
      </c>
      <c r="M105" s="204">
        <f t="shared" si="54"/>
        <v>6623.7394800000002</v>
      </c>
      <c r="N105" s="324">
        <f t="shared" si="31"/>
        <v>10</v>
      </c>
      <c r="O105" s="203">
        <f t="shared" si="56"/>
        <v>1324.7478959999999</v>
      </c>
      <c r="P105" s="324">
        <f t="shared" si="32"/>
        <v>2</v>
      </c>
      <c r="Q105" s="141">
        <f>(H105-K105-M105)</f>
        <v>55639.411631999988</v>
      </c>
      <c r="R105" s="323">
        <f t="shared" si="33"/>
        <v>83.999999999999986</v>
      </c>
      <c r="T105" s="214">
        <f t="shared" si="35"/>
        <v>2649.4957919999997</v>
      </c>
      <c r="V105" s="33" t="str">
        <f t="shared" si="34"/>
        <v>update catalogo_servicios set costo =75000, costo_servicio=8762.6052, honorarios=66237.3948, utilidad=55639.411632, comision_venta = 'Porcentaje', comision_operativa='Porcentaje', comision_gestion='Porcentaje', comision_venta_monto=3974.243688, porcentaje_venta=6, comision_operativa_monto=6623.73948, porcentaje_operativa=10, comision_gestion_monto=1324.747896, porcentaje_gestion=2, porcentaje_utilidad=84 where id=28;</v>
      </c>
    </row>
    <row r="106" spans="1:22" ht="16" thickBot="1" x14ac:dyDescent="0.25">
      <c r="A106" s="22" t="s">
        <v>14</v>
      </c>
      <c r="B106" s="189" t="s">
        <v>15</v>
      </c>
      <c r="C106" s="158" t="s">
        <v>450</v>
      </c>
      <c r="D106" s="322" t="str">
        <f>IFERROR(VLOOKUP(C106,IDS!$A$1:$B$121,2,0),"")</f>
        <v/>
      </c>
      <c r="E106" s="1" t="s">
        <v>15</v>
      </c>
      <c r="F106" s="195">
        <v>6147.4</v>
      </c>
      <c r="G106" s="195">
        <f t="shared" si="52"/>
        <v>7130.9839999999995</v>
      </c>
      <c r="H106" s="195">
        <f t="shared" si="55"/>
        <v>7869.0160000000005</v>
      </c>
      <c r="I106" s="260">
        <v>15000</v>
      </c>
      <c r="J106" s="234">
        <f t="shared" si="53"/>
        <v>17400</v>
      </c>
      <c r="K106" s="207">
        <f>(H106*0.1)</f>
        <v>786.90160000000014</v>
      </c>
      <c r="L106" s="324">
        <f t="shared" si="30"/>
        <v>10</v>
      </c>
      <c r="M106" s="207">
        <f t="shared" si="54"/>
        <v>786.90160000000014</v>
      </c>
      <c r="N106" s="324">
        <f t="shared" si="31"/>
        <v>10</v>
      </c>
      <c r="O106" s="203">
        <f t="shared" si="56"/>
        <v>157.38032000000001</v>
      </c>
      <c r="P106" s="324">
        <f t="shared" si="32"/>
        <v>2</v>
      </c>
      <c r="Q106" s="141">
        <f t="shared" ref="Q106:Q123" si="57">(H106-K106-M106)</f>
        <v>6295.2128000000002</v>
      </c>
      <c r="R106" s="323">
        <f t="shared" si="33"/>
        <v>80</v>
      </c>
      <c r="T106" s="214">
        <f t="shared" si="35"/>
        <v>629.52128000000016</v>
      </c>
      <c r="V106" s="33" t="str">
        <f t="shared" si="34"/>
        <v/>
      </c>
    </row>
    <row r="107" spans="1:22" ht="16" thickBot="1" x14ac:dyDescent="0.25">
      <c r="A107" s="22" t="s">
        <v>16</v>
      </c>
      <c r="B107" s="189" t="s">
        <v>17</v>
      </c>
      <c r="C107" s="158" t="s">
        <v>451</v>
      </c>
      <c r="D107" s="322" t="str">
        <f>IFERROR(VLOOKUP(C107,IDS!$A$1:$B$121,2,0),"")</f>
        <v/>
      </c>
      <c r="E107" s="1" t="s">
        <v>17</v>
      </c>
      <c r="F107" s="195">
        <v>3803.12</v>
      </c>
      <c r="G107" s="195">
        <f t="shared" si="52"/>
        <v>4411.6192000000001</v>
      </c>
      <c r="H107" s="195">
        <f t="shared" si="55"/>
        <v>4588.3807999999999</v>
      </c>
      <c r="I107" s="260">
        <v>9000</v>
      </c>
      <c r="J107" s="234">
        <f t="shared" si="53"/>
        <v>10440</v>
      </c>
      <c r="K107" s="207">
        <f t="shared" ref="K107:K117" si="58">(H107*0.1)</f>
        <v>458.83807999999999</v>
      </c>
      <c r="L107" s="324">
        <f t="shared" si="30"/>
        <v>10</v>
      </c>
      <c r="M107" s="207">
        <f t="shared" si="54"/>
        <v>458.83807999999999</v>
      </c>
      <c r="N107" s="324">
        <f t="shared" si="31"/>
        <v>10</v>
      </c>
      <c r="O107" s="203">
        <f t="shared" si="56"/>
        <v>91.767616000000004</v>
      </c>
      <c r="P107" s="324">
        <f t="shared" si="32"/>
        <v>2</v>
      </c>
      <c r="Q107" s="141">
        <f t="shared" si="57"/>
        <v>3670.7046399999995</v>
      </c>
      <c r="R107" s="323">
        <f t="shared" si="33"/>
        <v>80</v>
      </c>
      <c r="T107" s="214">
        <f t="shared" si="35"/>
        <v>367.07046400000002</v>
      </c>
      <c r="V107" s="33" t="str">
        <f t="shared" si="34"/>
        <v/>
      </c>
    </row>
    <row r="108" spans="1:22" ht="16" thickBot="1" x14ac:dyDescent="0.25">
      <c r="A108" s="22" t="s">
        <v>18</v>
      </c>
      <c r="B108" s="189" t="s">
        <v>19</v>
      </c>
      <c r="C108" s="158" t="s">
        <v>448</v>
      </c>
      <c r="D108" s="322" t="str">
        <f>IFERROR(VLOOKUP(C108,IDS!$A$1:$B$121,2,0),"")</f>
        <v/>
      </c>
      <c r="E108" s="1" t="s">
        <v>19</v>
      </c>
      <c r="F108" s="195">
        <v>1185.3499999999999</v>
      </c>
      <c r="G108" s="195">
        <f t="shared" si="52"/>
        <v>1375.0059999999999</v>
      </c>
      <c r="H108" s="195">
        <f t="shared" si="55"/>
        <v>1374.9940000000001</v>
      </c>
      <c r="I108" s="260">
        <v>2750</v>
      </c>
      <c r="J108" s="234">
        <f t="shared" si="53"/>
        <v>3190</v>
      </c>
      <c r="K108" s="207">
        <f t="shared" si="58"/>
        <v>137.49940000000001</v>
      </c>
      <c r="L108" s="324">
        <f t="shared" si="30"/>
        <v>10</v>
      </c>
      <c r="M108" s="207">
        <f t="shared" si="54"/>
        <v>137.49940000000001</v>
      </c>
      <c r="N108" s="324">
        <f t="shared" si="31"/>
        <v>10</v>
      </c>
      <c r="O108" s="203">
        <f t="shared" si="56"/>
        <v>27.499880000000005</v>
      </c>
      <c r="P108" s="324">
        <f t="shared" si="32"/>
        <v>2</v>
      </c>
      <c r="Q108" s="141">
        <f t="shared" si="57"/>
        <v>1099.9952000000003</v>
      </c>
      <c r="R108" s="323">
        <f t="shared" si="33"/>
        <v>80.000000000000014</v>
      </c>
      <c r="T108" s="214">
        <f t="shared" si="35"/>
        <v>109.99952</v>
      </c>
      <c r="V108" s="33" t="str">
        <f t="shared" si="34"/>
        <v/>
      </c>
    </row>
    <row r="109" spans="1:22" ht="16" thickBot="1" x14ac:dyDescent="0.25">
      <c r="A109" s="22" t="s">
        <v>20</v>
      </c>
      <c r="B109" s="189" t="s">
        <v>322</v>
      </c>
      <c r="C109" s="158" t="s">
        <v>323</v>
      </c>
      <c r="D109" s="322">
        <f>IFERROR(VLOOKUP(C109,IDS!$A$1:$B$121,2,0),"")</f>
        <v>24</v>
      </c>
      <c r="E109" s="1" t="s">
        <v>21</v>
      </c>
      <c r="F109" s="195">
        <v>3099.84</v>
      </c>
      <c r="G109" s="195">
        <f t="shared" si="52"/>
        <v>3595.8144000000002</v>
      </c>
      <c r="H109" s="195">
        <f t="shared" si="55"/>
        <v>4904.1855999999998</v>
      </c>
      <c r="I109" s="282">
        <v>8500</v>
      </c>
      <c r="J109" s="234">
        <f t="shared" si="53"/>
        <v>9860</v>
      </c>
      <c r="K109" s="207">
        <f t="shared" si="58"/>
        <v>490.41856000000001</v>
      </c>
      <c r="L109" s="324">
        <f t="shared" si="30"/>
        <v>10</v>
      </c>
      <c r="M109" s="207">
        <f t="shared" si="54"/>
        <v>490.41856000000001</v>
      </c>
      <c r="N109" s="324">
        <f t="shared" si="31"/>
        <v>10</v>
      </c>
      <c r="O109" s="203">
        <f t="shared" si="56"/>
        <v>98.083711999999991</v>
      </c>
      <c r="P109" s="324">
        <f t="shared" si="32"/>
        <v>2</v>
      </c>
      <c r="Q109" s="141">
        <f t="shared" si="57"/>
        <v>3923.3484799999997</v>
      </c>
      <c r="R109" s="323">
        <f t="shared" si="33"/>
        <v>80</v>
      </c>
      <c r="T109" s="214">
        <f t="shared" si="35"/>
        <v>392.33484800000002</v>
      </c>
      <c r="V109" s="33" t="str">
        <f t="shared" si="34"/>
        <v>update catalogo_servicios set costo =8500, costo_servicio=3595.8144, honorarios=4904.1856, utilidad=3923.34848, comision_venta = 'Porcentaje', comision_operativa='Porcentaje', comision_gestion='Porcentaje', comision_venta_monto=490.41856, porcentaje_venta=10, comision_operativa_monto=490.41856, porcentaje_operativa=10, comision_gestion_monto=98.083712, porcentaje_gestion=2, porcentaje_utilidad=80 where id=24;</v>
      </c>
    </row>
    <row r="110" spans="1:22" ht="16" thickBot="1" x14ac:dyDescent="0.25">
      <c r="A110" s="22" t="s">
        <v>22</v>
      </c>
      <c r="B110" s="189" t="s">
        <v>459</v>
      </c>
      <c r="C110" s="158" t="s">
        <v>449</v>
      </c>
      <c r="D110" s="322" t="str">
        <f>IFERROR(VLOOKUP(C110,IDS!$A$1:$B$121,2,0),"")</f>
        <v/>
      </c>
      <c r="E110" s="1" t="s">
        <v>23</v>
      </c>
      <c r="F110" s="195">
        <v>818.08</v>
      </c>
      <c r="G110" s="195">
        <f t="shared" si="52"/>
        <v>948.97280000000001</v>
      </c>
      <c r="H110" s="195">
        <f t="shared" si="55"/>
        <v>951.02719999999999</v>
      </c>
      <c r="I110" s="260">
        <v>1900</v>
      </c>
      <c r="J110" s="234">
        <f t="shared" si="53"/>
        <v>2204</v>
      </c>
      <c r="K110" s="207">
        <f t="shared" si="58"/>
        <v>95.102720000000005</v>
      </c>
      <c r="L110" s="324">
        <f t="shared" si="30"/>
        <v>10</v>
      </c>
      <c r="M110" s="207">
        <f t="shared" si="54"/>
        <v>95.102720000000005</v>
      </c>
      <c r="N110" s="324">
        <f t="shared" si="31"/>
        <v>10</v>
      </c>
      <c r="O110" s="203">
        <f t="shared" si="56"/>
        <v>19.020544000000001</v>
      </c>
      <c r="P110" s="324">
        <f t="shared" si="32"/>
        <v>2</v>
      </c>
      <c r="Q110" s="141">
        <f t="shared" si="57"/>
        <v>760.82176000000004</v>
      </c>
      <c r="R110" s="323">
        <f t="shared" si="33"/>
        <v>80</v>
      </c>
      <c r="T110" s="214">
        <f t="shared" si="35"/>
        <v>76.082176000000004</v>
      </c>
      <c r="V110" s="33" t="str">
        <f t="shared" si="34"/>
        <v/>
      </c>
    </row>
    <row r="111" spans="1:22" ht="16" thickBot="1" x14ac:dyDescent="0.25">
      <c r="A111" s="22" t="s">
        <v>24</v>
      </c>
      <c r="B111" s="189" t="s">
        <v>455</v>
      </c>
      <c r="C111" s="158" t="s">
        <v>429</v>
      </c>
      <c r="D111" s="322" t="str">
        <f>IFERROR(VLOOKUP(C111,IDS!$A$1:$B$121,2,0),"")</f>
        <v/>
      </c>
      <c r="E111" s="1" t="s">
        <v>25</v>
      </c>
      <c r="F111" s="195">
        <v>1161.9000000000001</v>
      </c>
      <c r="G111" s="195">
        <f t="shared" si="52"/>
        <v>1347.8040000000001</v>
      </c>
      <c r="H111" s="195">
        <f t="shared" si="55"/>
        <v>1352.1959999999999</v>
      </c>
      <c r="I111" s="260">
        <v>2700</v>
      </c>
      <c r="J111" s="234">
        <f t="shared" si="53"/>
        <v>3132</v>
      </c>
      <c r="K111" s="207">
        <f t="shared" si="58"/>
        <v>135.21959999999999</v>
      </c>
      <c r="L111" s="324">
        <f t="shared" si="30"/>
        <v>10</v>
      </c>
      <c r="M111" s="207">
        <f t="shared" si="54"/>
        <v>135.21959999999999</v>
      </c>
      <c r="N111" s="324">
        <f t="shared" si="31"/>
        <v>10</v>
      </c>
      <c r="O111" s="203">
        <f t="shared" si="56"/>
        <v>27.04392</v>
      </c>
      <c r="P111" s="324">
        <f t="shared" si="32"/>
        <v>2</v>
      </c>
      <c r="Q111" s="141">
        <f t="shared" si="57"/>
        <v>1081.7568000000001</v>
      </c>
      <c r="R111" s="323">
        <f t="shared" si="33"/>
        <v>80.000000000000014</v>
      </c>
      <c r="T111" s="214">
        <f t="shared" si="35"/>
        <v>108.17567999999999</v>
      </c>
      <c r="V111" s="33" t="str">
        <f t="shared" si="34"/>
        <v/>
      </c>
    </row>
    <row r="112" spans="1:22" ht="16" thickBot="1" x14ac:dyDescent="0.25">
      <c r="A112" s="22" t="s">
        <v>26</v>
      </c>
      <c r="B112" s="189" t="s">
        <v>455</v>
      </c>
      <c r="C112" s="158" t="s">
        <v>430</v>
      </c>
      <c r="D112" s="322" t="str">
        <f>IFERROR(VLOOKUP(C112,IDS!$A$1:$B$121,2,0),"")</f>
        <v/>
      </c>
      <c r="E112" s="1" t="s">
        <v>27</v>
      </c>
      <c r="F112" s="195">
        <v>1360.69</v>
      </c>
      <c r="G112" s="195">
        <f t="shared" si="52"/>
        <v>1578.4004</v>
      </c>
      <c r="H112" s="195">
        <f t="shared" si="55"/>
        <v>1621.5996</v>
      </c>
      <c r="I112" s="260">
        <v>3200</v>
      </c>
      <c r="J112" s="234">
        <f t="shared" si="53"/>
        <v>3712</v>
      </c>
      <c r="K112" s="207">
        <f t="shared" si="58"/>
        <v>162.15996000000001</v>
      </c>
      <c r="L112" s="324">
        <f t="shared" si="30"/>
        <v>10</v>
      </c>
      <c r="M112" s="207">
        <f t="shared" si="54"/>
        <v>162.15996000000001</v>
      </c>
      <c r="N112" s="324">
        <f t="shared" si="31"/>
        <v>10</v>
      </c>
      <c r="O112" s="203">
        <f t="shared" si="56"/>
        <v>32.431992000000001</v>
      </c>
      <c r="P112" s="324">
        <f t="shared" si="32"/>
        <v>2</v>
      </c>
      <c r="Q112" s="141">
        <f t="shared" si="57"/>
        <v>1297.2796800000001</v>
      </c>
      <c r="R112" s="323">
        <f t="shared" si="33"/>
        <v>80</v>
      </c>
      <c r="T112" s="214">
        <f t="shared" si="35"/>
        <v>129.727968</v>
      </c>
      <c r="V112" s="33" t="str">
        <f t="shared" si="34"/>
        <v/>
      </c>
    </row>
    <row r="113" spans="1:22" ht="16" thickBot="1" x14ac:dyDescent="0.25">
      <c r="A113" s="25" t="s">
        <v>28</v>
      </c>
      <c r="B113" s="189" t="s">
        <v>455</v>
      </c>
      <c r="C113" s="158" t="s">
        <v>431</v>
      </c>
      <c r="D113" s="322" t="str">
        <f>IFERROR(VLOOKUP(C113,IDS!$A$1:$B$121,2,0),"")</f>
        <v/>
      </c>
      <c r="E113" s="7" t="s">
        <v>29</v>
      </c>
      <c r="F113" s="222">
        <v>1536.99</v>
      </c>
      <c r="G113" s="195">
        <f t="shared" si="52"/>
        <v>1782.9084</v>
      </c>
      <c r="H113" s="195">
        <f t="shared" si="55"/>
        <v>1817.0916</v>
      </c>
      <c r="I113" s="260">
        <v>3600</v>
      </c>
      <c r="J113" s="234">
        <f t="shared" si="53"/>
        <v>4176</v>
      </c>
      <c r="K113" s="207">
        <f t="shared" si="58"/>
        <v>181.70916</v>
      </c>
      <c r="L113" s="324">
        <f t="shared" si="30"/>
        <v>10</v>
      </c>
      <c r="M113" s="207">
        <f t="shared" si="54"/>
        <v>181.70916</v>
      </c>
      <c r="N113" s="324">
        <f t="shared" si="31"/>
        <v>10</v>
      </c>
      <c r="O113" s="203">
        <f t="shared" si="56"/>
        <v>36.341832000000004</v>
      </c>
      <c r="P113" s="324">
        <f t="shared" si="32"/>
        <v>2</v>
      </c>
      <c r="Q113" s="141">
        <f t="shared" si="57"/>
        <v>1453.67328</v>
      </c>
      <c r="R113" s="323">
        <f t="shared" si="33"/>
        <v>80</v>
      </c>
      <c r="T113" s="214">
        <f t="shared" si="35"/>
        <v>145.36732799999999</v>
      </c>
      <c r="V113" s="33" t="str">
        <f t="shared" si="34"/>
        <v/>
      </c>
    </row>
    <row r="114" spans="1:22" ht="29" thickBot="1" x14ac:dyDescent="0.25">
      <c r="A114" s="25">
        <v>3</v>
      </c>
      <c r="B114" s="189" t="s">
        <v>489</v>
      </c>
      <c r="C114" s="158" t="s">
        <v>485</v>
      </c>
      <c r="D114" s="322" t="str">
        <f>IFERROR(VLOOKUP(C114,IDS!$A$1:$B$121,2,0),"")</f>
        <v/>
      </c>
      <c r="E114" s="13" t="s">
        <v>97</v>
      </c>
      <c r="F114" s="222">
        <v>3021.7</v>
      </c>
      <c r="G114" s="195">
        <f t="shared" ref="G114:G121" si="59">(F114*0.16)+F114</f>
        <v>3505.1719999999996</v>
      </c>
      <c r="H114" s="195">
        <f t="shared" si="55"/>
        <v>3994.8280000000004</v>
      </c>
      <c r="I114" s="260">
        <v>7500</v>
      </c>
      <c r="J114" s="234">
        <f>(I114*0.16)+I114</f>
        <v>8700</v>
      </c>
      <c r="K114" s="207">
        <f t="shared" si="58"/>
        <v>399.48280000000005</v>
      </c>
      <c r="L114" s="324">
        <f t="shared" si="30"/>
        <v>10</v>
      </c>
      <c r="M114" s="207">
        <f t="shared" si="54"/>
        <v>399.48280000000005</v>
      </c>
      <c r="N114" s="324">
        <f t="shared" si="31"/>
        <v>10</v>
      </c>
      <c r="O114" s="203">
        <f t="shared" si="56"/>
        <v>79.896560000000008</v>
      </c>
      <c r="P114" s="324">
        <f t="shared" si="32"/>
        <v>2</v>
      </c>
      <c r="Q114" s="141">
        <f t="shared" si="57"/>
        <v>3195.8624</v>
      </c>
      <c r="R114" s="323">
        <f t="shared" si="33"/>
        <v>80</v>
      </c>
      <c r="T114" s="214">
        <f t="shared" si="35"/>
        <v>319.58624000000003</v>
      </c>
      <c r="V114" s="33" t="str">
        <f t="shared" si="34"/>
        <v/>
      </c>
    </row>
    <row r="115" spans="1:22" ht="43" thickBot="1" x14ac:dyDescent="0.25">
      <c r="A115" s="25">
        <v>4</v>
      </c>
      <c r="B115" s="189" t="s">
        <v>490</v>
      </c>
      <c r="C115" s="158" t="s">
        <v>486</v>
      </c>
      <c r="D115" s="322" t="str">
        <f>IFERROR(VLOOKUP(C115,IDS!$A$1:$B$121,2,0),"")</f>
        <v/>
      </c>
      <c r="E115" s="13" t="s">
        <v>98</v>
      </c>
      <c r="F115" s="222">
        <v>2474.6999999999998</v>
      </c>
      <c r="G115" s="195">
        <f t="shared" si="59"/>
        <v>2870.652</v>
      </c>
      <c r="H115" s="195">
        <f t="shared" si="55"/>
        <v>2929.348</v>
      </c>
      <c r="I115" s="260">
        <v>5800</v>
      </c>
      <c r="J115" s="234">
        <f>(I115*0.16)+I115</f>
        <v>6728</v>
      </c>
      <c r="K115" s="207">
        <f t="shared" si="58"/>
        <v>292.9348</v>
      </c>
      <c r="L115" s="324">
        <f t="shared" si="30"/>
        <v>10</v>
      </c>
      <c r="M115" s="207">
        <f t="shared" si="54"/>
        <v>292.9348</v>
      </c>
      <c r="N115" s="324">
        <f t="shared" si="31"/>
        <v>10</v>
      </c>
      <c r="O115" s="203">
        <f t="shared" si="56"/>
        <v>58.586959999999998</v>
      </c>
      <c r="P115" s="324">
        <f t="shared" si="32"/>
        <v>2</v>
      </c>
      <c r="Q115" s="141">
        <f t="shared" si="57"/>
        <v>2343.4784</v>
      </c>
      <c r="R115" s="323">
        <f t="shared" si="33"/>
        <v>80</v>
      </c>
      <c r="T115" s="214">
        <f t="shared" si="35"/>
        <v>234.34783999999999</v>
      </c>
      <c r="V115" s="33" t="str">
        <f t="shared" si="34"/>
        <v/>
      </c>
    </row>
    <row r="116" spans="1:22" ht="31" thickBot="1" x14ac:dyDescent="0.25">
      <c r="A116" s="25">
        <v>5</v>
      </c>
      <c r="B116" s="189" t="s">
        <v>491</v>
      </c>
      <c r="C116" s="158" t="s">
        <v>487</v>
      </c>
      <c r="D116" s="322" t="str">
        <f>IFERROR(VLOOKUP(C116,IDS!$A$1:$B$121,2,0),"")</f>
        <v/>
      </c>
      <c r="E116" s="13" t="s">
        <v>99</v>
      </c>
      <c r="F116" s="222">
        <v>2826.34</v>
      </c>
      <c r="G116" s="195">
        <f t="shared" si="59"/>
        <v>3278.5544</v>
      </c>
      <c r="H116" s="195">
        <f t="shared" si="55"/>
        <v>4221.4456</v>
      </c>
      <c r="I116" s="263">
        <v>7500</v>
      </c>
      <c r="J116" s="234">
        <f>(I116*0.16)+I116</f>
        <v>8700</v>
      </c>
      <c r="K116" s="207">
        <f t="shared" si="58"/>
        <v>422.14456000000001</v>
      </c>
      <c r="L116" s="324">
        <f t="shared" si="30"/>
        <v>10</v>
      </c>
      <c r="M116" s="207">
        <f t="shared" si="54"/>
        <v>422.14456000000001</v>
      </c>
      <c r="N116" s="324">
        <f t="shared" si="31"/>
        <v>10</v>
      </c>
      <c r="O116" s="203">
        <f t="shared" si="56"/>
        <v>84.428911999999997</v>
      </c>
      <c r="P116" s="324">
        <f t="shared" si="32"/>
        <v>2</v>
      </c>
      <c r="Q116" s="141">
        <f t="shared" si="57"/>
        <v>3377.1564799999996</v>
      </c>
      <c r="R116" s="323">
        <f t="shared" si="33"/>
        <v>80</v>
      </c>
      <c r="T116" s="214">
        <f t="shared" si="35"/>
        <v>337.71564799999999</v>
      </c>
      <c r="V116" s="33" t="str">
        <f t="shared" si="34"/>
        <v/>
      </c>
    </row>
    <row r="117" spans="1:22" ht="29" thickBot="1" x14ac:dyDescent="0.25">
      <c r="A117" s="25">
        <v>6</v>
      </c>
      <c r="B117" s="189" t="s">
        <v>492</v>
      </c>
      <c r="C117" s="158" t="s">
        <v>488</v>
      </c>
      <c r="D117" s="322" t="str">
        <f>IFERROR(VLOOKUP(C117,IDS!$A$1:$B$121,2,0),"")</f>
        <v/>
      </c>
      <c r="E117" s="13" t="s">
        <v>100</v>
      </c>
      <c r="F117" s="222">
        <v>2787.27</v>
      </c>
      <c r="G117" s="222">
        <f t="shared" si="59"/>
        <v>3233.2332000000001</v>
      </c>
      <c r="H117" s="195">
        <f t="shared" si="55"/>
        <v>1266.7667999999999</v>
      </c>
      <c r="I117" s="221">
        <v>4500</v>
      </c>
      <c r="J117" s="264">
        <f>(I117*0.16)+I117</f>
        <v>5220</v>
      </c>
      <c r="K117" s="207">
        <f t="shared" si="58"/>
        <v>126.67667999999999</v>
      </c>
      <c r="L117" s="324">
        <f t="shared" si="30"/>
        <v>10</v>
      </c>
      <c r="M117" s="207">
        <f t="shared" si="54"/>
        <v>126.67667999999999</v>
      </c>
      <c r="N117" s="324">
        <f t="shared" si="31"/>
        <v>10</v>
      </c>
      <c r="O117" s="203">
        <f t="shared" si="56"/>
        <v>25.335335999999998</v>
      </c>
      <c r="P117" s="324">
        <f t="shared" si="32"/>
        <v>2</v>
      </c>
      <c r="Q117" s="141">
        <f t="shared" si="57"/>
        <v>1013.4134399999998</v>
      </c>
      <c r="R117" s="323">
        <f t="shared" si="33"/>
        <v>80</v>
      </c>
      <c r="T117" s="214">
        <f t="shared" si="35"/>
        <v>101.34134399999999</v>
      </c>
      <c r="V117" s="33" t="str">
        <f t="shared" si="34"/>
        <v/>
      </c>
    </row>
    <row r="118" spans="1:22" ht="31" thickBot="1" x14ac:dyDescent="0.25">
      <c r="A118" s="146"/>
      <c r="B118" s="189" t="s">
        <v>273</v>
      </c>
      <c r="C118" s="158" t="s">
        <v>439</v>
      </c>
      <c r="D118" s="322" t="str">
        <f>IFERROR(VLOOKUP(C118,IDS!$A$1:$B$121,2,0),"")</f>
        <v/>
      </c>
      <c r="E118" s="89" t="s">
        <v>495</v>
      </c>
      <c r="F118" s="198">
        <v>638.35</v>
      </c>
      <c r="G118" s="198">
        <f t="shared" si="59"/>
        <v>740.48599999999999</v>
      </c>
      <c r="H118" s="198">
        <f t="shared" si="55"/>
        <v>3109.5140000000001</v>
      </c>
      <c r="I118" s="262">
        <v>3850</v>
      </c>
      <c r="J118" s="266">
        <f t="shared" ref="J118:J123" si="60">(I118*0.16)+I118</f>
        <v>4466</v>
      </c>
      <c r="K118" s="207">
        <f>(H118*0)</f>
        <v>0</v>
      </c>
      <c r="L118" s="324">
        <f t="shared" si="30"/>
        <v>0</v>
      </c>
      <c r="M118" s="207">
        <f>(H118*0.2)</f>
        <v>621.90280000000007</v>
      </c>
      <c r="N118" s="324">
        <f t="shared" si="31"/>
        <v>20</v>
      </c>
      <c r="O118" s="203">
        <f t="shared" ref="O118:O123" si="61">(H118*0.01)</f>
        <v>31.095140000000001</v>
      </c>
      <c r="P118" s="324">
        <f t="shared" si="32"/>
        <v>1</v>
      </c>
      <c r="Q118" s="141">
        <f t="shared" si="57"/>
        <v>2487.6112000000003</v>
      </c>
      <c r="R118" s="323">
        <f t="shared" si="33"/>
        <v>80</v>
      </c>
      <c r="T118" s="214">
        <f t="shared" si="35"/>
        <v>-31.095140000000001</v>
      </c>
      <c r="V118" s="33" t="str">
        <f t="shared" si="34"/>
        <v/>
      </c>
    </row>
    <row r="119" spans="1:22" ht="31" thickBot="1" x14ac:dyDescent="0.25">
      <c r="A119" s="146"/>
      <c r="B119" s="189" t="s">
        <v>279</v>
      </c>
      <c r="C119" s="158" t="s">
        <v>440</v>
      </c>
      <c r="D119" s="322" t="str">
        <f>IFERROR(VLOOKUP(C119,IDS!$A$1:$B$121,2,0),"")</f>
        <v/>
      </c>
      <c r="E119" s="191" t="s">
        <v>494</v>
      </c>
      <c r="F119" s="198">
        <v>638.35</v>
      </c>
      <c r="G119" s="198">
        <f t="shared" si="59"/>
        <v>740.48599999999999</v>
      </c>
      <c r="H119" s="198">
        <f t="shared" si="55"/>
        <v>4609.5140000000001</v>
      </c>
      <c r="I119" s="268">
        <v>5350</v>
      </c>
      <c r="J119" s="266">
        <f t="shared" si="60"/>
        <v>6206</v>
      </c>
      <c r="K119" s="208">
        <f>(H119*0.06)</f>
        <v>276.57083999999998</v>
      </c>
      <c r="L119" s="324">
        <f t="shared" si="30"/>
        <v>6</v>
      </c>
      <c r="M119" s="207">
        <f>(H119*0.2)</f>
        <v>921.90280000000007</v>
      </c>
      <c r="N119" s="324">
        <f t="shared" si="31"/>
        <v>20</v>
      </c>
      <c r="O119" s="212">
        <f t="shared" si="61"/>
        <v>46.095140000000001</v>
      </c>
      <c r="P119" s="324">
        <f t="shared" si="32"/>
        <v>1</v>
      </c>
      <c r="Q119" s="193">
        <f t="shared" si="57"/>
        <v>3411.04036</v>
      </c>
      <c r="R119" s="323">
        <f t="shared" si="33"/>
        <v>74</v>
      </c>
      <c r="T119" s="214">
        <f t="shared" si="35"/>
        <v>230.47569999999996</v>
      </c>
      <c r="V119" s="33" t="str">
        <f t="shared" si="34"/>
        <v/>
      </c>
    </row>
    <row r="120" spans="1:22" ht="43" thickBot="1" x14ac:dyDescent="0.25">
      <c r="A120" s="146"/>
      <c r="B120" s="189" t="s">
        <v>275</v>
      </c>
      <c r="C120" s="158" t="s">
        <v>441</v>
      </c>
      <c r="D120" s="322" t="str">
        <f>IFERROR(VLOOKUP(C120,IDS!$A$1:$B$121,2,0),"")</f>
        <v/>
      </c>
      <c r="E120" s="176" t="s">
        <v>464</v>
      </c>
      <c r="F120" s="196">
        <v>638.35</v>
      </c>
      <c r="G120" s="196">
        <f t="shared" si="59"/>
        <v>740.48599999999999</v>
      </c>
      <c r="H120" s="196">
        <f t="shared" si="55"/>
        <v>5109.5140000000001</v>
      </c>
      <c r="I120" s="244">
        <v>5850</v>
      </c>
      <c r="J120" s="283">
        <f t="shared" si="60"/>
        <v>6786</v>
      </c>
      <c r="K120" s="204">
        <f>(H120*0)</f>
        <v>0</v>
      </c>
      <c r="L120" s="324">
        <f t="shared" si="30"/>
        <v>0</v>
      </c>
      <c r="M120" s="204">
        <f>(H120*0.1)</f>
        <v>510.95140000000004</v>
      </c>
      <c r="N120" s="324">
        <f t="shared" si="31"/>
        <v>10</v>
      </c>
      <c r="O120" s="203">
        <f t="shared" si="61"/>
        <v>51.095140000000001</v>
      </c>
      <c r="P120" s="324">
        <f t="shared" si="32"/>
        <v>1</v>
      </c>
      <c r="Q120" s="141">
        <f t="shared" si="57"/>
        <v>4598.5626000000002</v>
      </c>
      <c r="R120" s="323">
        <f t="shared" si="33"/>
        <v>90</v>
      </c>
      <c r="T120" s="214">
        <f t="shared" si="35"/>
        <v>-51.095140000000001</v>
      </c>
      <c r="V120" s="33" t="str">
        <f t="shared" si="34"/>
        <v/>
      </c>
    </row>
    <row r="121" spans="1:22" ht="43" thickBot="1" x14ac:dyDescent="0.25">
      <c r="A121" s="146"/>
      <c r="B121" s="189" t="s">
        <v>281</v>
      </c>
      <c r="C121" s="158" t="s">
        <v>442</v>
      </c>
      <c r="D121" s="322" t="str">
        <f>IFERROR(VLOOKUP(C121,IDS!$A$1:$B$121,2,0),"")</f>
        <v/>
      </c>
      <c r="E121" s="176" t="s">
        <v>465</v>
      </c>
      <c r="F121" s="196">
        <v>638.35</v>
      </c>
      <c r="G121" s="196">
        <f t="shared" si="59"/>
        <v>740.48599999999999</v>
      </c>
      <c r="H121" s="196">
        <f t="shared" si="55"/>
        <v>8109.5140000000001</v>
      </c>
      <c r="I121" s="244">
        <v>8850</v>
      </c>
      <c r="J121" s="283">
        <f t="shared" si="60"/>
        <v>10266</v>
      </c>
      <c r="K121" s="204">
        <f>(H121*0.06)</f>
        <v>486.57083999999998</v>
      </c>
      <c r="L121" s="324">
        <f t="shared" si="30"/>
        <v>6</v>
      </c>
      <c r="M121" s="204">
        <f>(H121*0.1)</f>
        <v>810.95140000000004</v>
      </c>
      <c r="N121" s="324">
        <f t="shared" si="31"/>
        <v>10</v>
      </c>
      <c r="O121" s="203">
        <f t="shared" si="61"/>
        <v>81.095140000000001</v>
      </c>
      <c r="P121" s="324">
        <f t="shared" si="32"/>
        <v>1</v>
      </c>
      <c r="Q121" s="141">
        <f t="shared" si="57"/>
        <v>6811.9917599999999</v>
      </c>
      <c r="R121" s="323">
        <f t="shared" si="33"/>
        <v>84</v>
      </c>
      <c r="T121" s="214">
        <f t="shared" si="35"/>
        <v>405.47569999999996</v>
      </c>
      <c r="V121" s="33" t="str">
        <f t="shared" si="34"/>
        <v/>
      </c>
    </row>
    <row r="122" spans="1:22" ht="43" thickBot="1" x14ac:dyDescent="0.25">
      <c r="A122" s="29">
        <v>13</v>
      </c>
      <c r="B122" s="189" t="s">
        <v>277</v>
      </c>
      <c r="C122" s="158" t="s">
        <v>462</v>
      </c>
      <c r="D122" s="322" t="str">
        <f>IFERROR(VLOOKUP(C122,IDS!$A$1:$B$121,2,0),"")</f>
        <v/>
      </c>
      <c r="E122" s="176" t="s">
        <v>466</v>
      </c>
      <c r="F122" s="196">
        <v>638.35</v>
      </c>
      <c r="G122" s="196">
        <f t="shared" si="52"/>
        <v>740.48599999999999</v>
      </c>
      <c r="H122" s="196">
        <f t="shared" si="55"/>
        <v>5109.5140000000001</v>
      </c>
      <c r="I122" s="244">
        <v>5850</v>
      </c>
      <c r="J122" s="283">
        <f t="shared" si="60"/>
        <v>6786</v>
      </c>
      <c r="K122" s="204">
        <f>(H122*0)</f>
        <v>0</v>
      </c>
      <c r="L122" s="324">
        <f t="shared" si="30"/>
        <v>0</v>
      </c>
      <c r="M122" s="204">
        <f>(H122*0.1)</f>
        <v>510.95140000000004</v>
      </c>
      <c r="N122" s="324">
        <f t="shared" si="31"/>
        <v>10</v>
      </c>
      <c r="O122" s="203">
        <f t="shared" si="61"/>
        <v>51.095140000000001</v>
      </c>
      <c r="P122" s="324">
        <f t="shared" si="32"/>
        <v>1</v>
      </c>
      <c r="Q122" s="141">
        <f t="shared" si="57"/>
        <v>4598.5626000000002</v>
      </c>
      <c r="R122" s="323">
        <f t="shared" si="33"/>
        <v>90</v>
      </c>
      <c r="T122" s="214">
        <f t="shared" si="35"/>
        <v>-51.095140000000001</v>
      </c>
      <c r="V122" s="33" t="str">
        <f t="shared" si="34"/>
        <v/>
      </c>
    </row>
    <row r="123" spans="1:22" ht="43" thickBot="1" x14ac:dyDescent="0.25">
      <c r="A123" s="97">
        <v>13</v>
      </c>
      <c r="B123" s="189" t="s">
        <v>283</v>
      </c>
      <c r="C123" s="158" t="s">
        <v>463</v>
      </c>
      <c r="D123" s="322" t="str">
        <f>IFERROR(VLOOKUP(C123,IDS!$A$1:$B$121,2,0),"")</f>
        <v/>
      </c>
      <c r="E123" s="176" t="s">
        <v>467</v>
      </c>
      <c r="F123" s="284">
        <v>638.35</v>
      </c>
      <c r="G123" s="284">
        <f t="shared" si="52"/>
        <v>740.48599999999999</v>
      </c>
      <c r="H123" s="196">
        <f t="shared" si="55"/>
        <v>8109.5140000000001</v>
      </c>
      <c r="I123" s="244">
        <v>8850</v>
      </c>
      <c r="J123" s="283">
        <f t="shared" si="60"/>
        <v>10266</v>
      </c>
      <c r="K123" s="204">
        <f>(H123*0.06)</f>
        <v>486.57083999999998</v>
      </c>
      <c r="L123" s="324">
        <f t="shared" si="30"/>
        <v>6</v>
      </c>
      <c r="M123" s="204">
        <f>(H123*0.1)</f>
        <v>810.95140000000004</v>
      </c>
      <c r="N123" s="324">
        <f t="shared" si="31"/>
        <v>10</v>
      </c>
      <c r="O123" s="203">
        <f t="shared" si="61"/>
        <v>81.095140000000001</v>
      </c>
      <c r="P123" s="324">
        <f t="shared" si="32"/>
        <v>1</v>
      </c>
      <c r="Q123" s="141">
        <f t="shared" si="57"/>
        <v>6811.9917599999999</v>
      </c>
      <c r="R123" s="323">
        <f t="shared" si="33"/>
        <v>84</v>
      </c>
      <c r="T123" s="214">
        <f t="shared" si="35"/>
        <v>405.47569999999996</v>
      </c>
      <c r="V123" s="33" t="str">
        <f t="shared" si="34"/>
        <v/>
      </c>
    </row>
    <row r="124" spans="1:22" ht="12.75" customHeight="1" thickBot="1" x14ac:dyDescent="0.25">
      <c r="A124" s="316" t="s">
        <v>127</v>
      </c>
      <c r="B124" s="317"/>
      <c r="C124" s="317"/>
      <c r="D124" s="322" t="str">
        <f>IFERROR(VLOOKUP(C124,IDS!$A$1:$B$121,2,0),"")</f>
        <v/>
      </c>
      <c r="E124" s="317"/>
      <c r="F124" s="317"/>
      <c r="G124" s="317"/>
      <c r="H124" s="317"/>
      <c r="I124" s="317"/>
      <c r="J124" s="317"/>
      <c r="K124" s="317"/>
      <c r="L124" s="324">
        <f t="shared" si="30"/>
        <v>0</v>
      </c>
      <c r="M124" s="317"/>
      <c r="N124" s="324">
        <f t="shared" si="31"/>
        <v>0</v>
      </c>
      <c r="O124" s="317"/>
      <c r="P124" s="324">
        <f t="shared" si="32"/>
        <v>0</v>
      </c>
      <c r="Q124" s="317"/>
      <c r="R124" s="323" t="e">
        <f t="shared" si="33"/>
        <v>#DIV/0!</v>
      </c>
      <c r="T124" s="214">
        <f t="shared" si="35"/>
        <v>0</v>
      </c>
      <c r="V124" s="33" t="str">
        <f t="shared" si="34"/>
        <v/>
      </c>
    </row>
    <row r="125" spans="1:22" ht="43" thickBot="1" x14ac:dyDescent="0.25">
      <c r="A125" s="19" t="s">
        <v>30</v>
      </c>
      <c r="B125" s="189" t="s">
        <v>325</v>
      </c>
      <c r="C125" s="158" t="s">
        <v>326</v>
      </c>
      <c r="D125" s="322">
        <f>IFERROR(VLOOKUP(C125,IDS!$A$1:$B$121,2,0),"")</f>
        <v>29</v>
      </c>
      <c r="E125" s="183" t="s">
        <v>435</v>
      </c>
      <c r="F125" s="255">
        <v>2162.13</v>
      </c>
      <c r="G125" s="200">
        <f t="shared" ref="G125:G152" si="62">(F125*0.16)+F125</f>
        <v>2508.0708</v>
      </c>
      <c r="H125" s="196">
        <f t="shared" ref="H125:H130" si="63">I125-G125</f>
        <v>35491.929199999999</v>
      </c>
      <c r="I125" s="285">
        <v>38000</v>
      </c>
      <c r="J125" s="257">
        <f t="shared" ref="J125:J152" si="64">(I125*0.16)+I125</f>
        <v>44080</v>
      </c>
      <c r="K125" s="209">
        <f>(H125*0.06)</f>
        <v>2129.5157519999998</v>
      </c>
      <c r="L125" s="324">
        <f t="shared" si="30"/>
        <v>6</v>
      </c>
      <c r="M125" s="209">
        <f t="shared" ref="M125:M130" si="65">(H125*0.1)</f>
        <v>3549.19292</v>
      </c>
      <c r="N125" s="324">
        <f t="shared" si="31"/>
        <v>10</v>
      </c>
      <c r="O125" s="213">
        <f>(H125*0.01)</f>
        <v>354.91929199999998</v>
      </c>
      <c r="P125" s="324">
        <f t="shared" si="32"/>
        <v>1</v>
      </c>
      <c r="Q125" s="192">
        <f>(H125-K125-M125)</f>
        <v>29813.220527999998</v>
      </c>
      <c r="R125" s="323">
        <f t="shared" si="33"/>
        <v>84</v>
      </c>
      <c r="T125" s="214">
        <f t="shared" si="35"/>
        <v>1774.5964599999998</v>
      </c>
      <c r="V125" s="33" t="str">
        <f t="shared" si="34"/>
        <v>update catalogo_servicios set costo =38000, costo_servicio=2508.0708, honorarios=35491.9292, utilidad=29813.220528, comision_venta = 'Porcentaje', comision_operativa='Porcentaje', comision_gestion='Porcentaje', comision_venta_monto=2129.515752, porcentaje_venta=6, comision_operativa_monto=3549.19292, porcentaje_operativa=10, comision_gestion_monto=354.919292, porcentaje_gestion=1, porcentaje_utilidad=84 where id=29;</v>
      </c>
    </row>
    <row r="126" spans="1:22" ht="43" thickBot="1" x14ac:dyDescent="0.25">
      <c r="A126" s="19" t="s">
        <v>30</v>
      </c>
      <c r="B126" s="189" t="s">
        <v>325</v>
      </c>
      <c r="C126" s="158" t="s">
        <v>326</v>
      </c>
      <c r="D126" s="322">
        <f>IFERROR(VLOOKUP(C126,IDS!$A$1:$B$121,2,0),"")</f>
        <v>29</v>
      </c>
      <c r="E126" s="184" t="s">
        <v>436</v>
      </c>
      <c r="F126" s="255">
        <v>2162.13</v>
      </c>
      <c r="G126" s="196">
        <f t="shared" si="62"/>
        <v>2508.0708</v>
      </c>
      <c r="H126" s="196">
        <f t="shared" si="63"/>
        <v>45491.929199999999</v>
      </c>
      <c r="I126" s="285">
        <v>48000</v>
      </c>
      <c r="J126" s="257">
        <f t="shared" si="64"/>
        <v>55680</v>
      </c>
      <c r="K126" s="204">
        <f>(H126*0.06)</f>
        <v>2729.5157519999998</v>
      </c>
      <c r="L126" s="324">
        <f t="shared" si="30"/>
        <v>6</v>
      </c>
      <c r="M126" s="209">
        <f t="shared" si="65"/>
        <v>4549.1929200000004</v>
      </c>
      <c r="N126" s="324">
        <f t="shared" si="31"/>
        <v>10</v>
      </c>
      <c r="O126" s="213">
        <f>(H126*0.01)</f>
        <v>454.91929199999998</v>
      </c>
      <c r="P126" s="324">
        <f t="shared" si="32"/>
        <v>1</v>
      </c>
      <c r="Q126" s="141">
        <f>(H126-K126-M126)</f>
        <v>38213.220527999998</v>
      </c>
      <c r="R126" s="323">
        <f t="shared" si="33"/>
        <v>84</v>
      </c>
      <c r="T126" s="214">
        <f t="shared" si="35"/>
        <v>2274.5964599999998</v>
      </c>
      <c r="V126" s="33" t="str">
        <f t="shared" si="34"/>
        <v>update catalogo_servicios set costo =48000, costo_servicio=2508.0708, honorarios=45491.9292, utilidad=38213.220528, comision_venta = 'Porcentaje', comision_operativa='Porcentaje', comision_gestion='Porcentaje', comision_venta_monto=2729.515752, porcentaje_venta=6, comision_operativa_monto=4549.19292, porcentaje_operativa=10, comision_gestion_monto=454.919292, porcentaje_gestion=1, porcentaje_utilidad=84 where id=29;</v>
      </c>
    </row>
    <row r="127" spans="1:22" ht="43" thickBot="1" x14ac:dyDescent="0.25">
      <c r="A127" s="19" t="s">
        <v>30</v>
      </c>
      <c r="B127" s="189" t="s">
        <v>325</v>
      </c>
      <c r="C127" s="158" t="s">
        <v>326</v>
      </c>
      <c r="D127" s="322">
        <f>IFERROR(VLOOKUP(C127,IDS!$A$1:$B$121,2,0),"")</f>
        <v>29</v>
      </c>
      <c r="E127" s="184" t="s">
        <v>437</v>
      </c>
      <c r="F127" s="255">
        <v>2162.13</v>
      </c>
      <c r="G127" s="196">
        <f t="shared" si="62"/>
        <v>2508.0708</v>
      </c>
      <c r="H127" s="196">
        <f t="shared" si="63"/>
        <v>55491.929199999999</v>
      </c>
      <c r="I127" s="285">
        <v>58000</v>
      </c>
      <c r="J127" s="257">
        <f t="shared" si="64"/>
        <v>67280</v>
      </c>
      <c r="K127" s="204">
        <f>(H127*0.06)</f>
        <v>3329.5157519999998</v>
      </c>
      <c r="L127" s="324">
        <f t="shared" si="30"/>
        <v>6</v>
      </c>
      <c r="M127" s="209">
        <f t="shared" si="65"/>
        <v>5549.1929200000004</v>
      </c>
      <c r="N127" s="324">
        <f t="shared" si="31"/>
        <v>10</v>
      </c>
      <c r="O127" s="213">
        <f>(H127*0.01)</f>
        <v>554.91929200000004</v>
      </c>
      <c r="P127" s="324">
        <f t="shared" si="32"/>
        <v>1</v>
      </c>
      <c r="Q127" s="141">
        <f t="shared" ref="Q127:Q152" si="66">(H127-K127-M127)</f>
        <v>46613.220527999998</v>
      </c>
      <c r="R127" s="323">
        <f t="shared" si="33"/>
        <v>84</v>
      </c>
      <c r="T127" s="214">
        <f t="shared" si="35"/>
        <v>2774.5964599999998</v>
      </c>
      <c r="V127" s="33" t="str">
        <f t="shared" si="34"/>
        <v>update catalogo_servicios set costo =58000, costo_servicio=2508.0708, honorarios=55491.9292, utilidad=46613.220528, comision_venta = 'Porcentaje', comision_operativa='Porcentaje', comision_gestion='Porcentaje', comision_venta_monto=3329.515752, porcentaje_venta=6, comision_operativa_monto=5549.19292, porcentaje_operativa=10, comision_gestion_monto=554.919292, porcentaje_gestion=1, porcentaje_utilidad=84 where id=29;</v>
      </c>
    </row>
    <row r="128" spans="1:22" ht="16" thickBot="1" x14ac:dyDescent="0.25">
      <c r="A128" s="20" t="s">
        <v>31</v>
      </c>
      <c r="B128" s="189" t="s">
        <v>15</v>
      </c>
      <c r="C128" s="158" t="s">
        <v>453</v>
      </c>
      <c r="D128" s="322" t="str">
        <f>IFERROR(VLOOKUP(C128,IDS!$A$1:$B$121,2,0),"")</f>
        <v/>
      </c>
      <c r="E128" s="4" t="s">
        <v>15</v>
      </c>
      <c r="F128" s="250">
        <v>2162.13</v>
      </c>
      <c r="G128" s="195">
        <f t="shared" si="62"/>
        <v>2508.0708</v>
      </c>
      <c r="H128" s="195">
        <f t="shared" si="63"/>
        <v>2491.9292</v>
      </c>
      <c r="I128" s="286">
        <v>5000</v>
      </c>
      <c r="J128" s="234">
        <f t="shared" si="64"/>
        <v>5800</v>
      </c>
      <c r="K128" s="207">
        <f>(H128*0.1)</f>
        <v>249.19292000000002</v>
      </c>
      <c r="L128" s="324">
        <f t="shared" si="30"/>
        <v>10</v>
      </c>
      <c r="M128" s="207">
        <f t="shared" si="65"/>
        <v>249.19292000000002</v>
      </c>
      <c r="N128" s="324">
        <f t="shared" si="31"/>
        <v>10</v>
      </c>
      <c r="O128" s="213">
        <f>(H128*0.02)</f>
        <v>49.838584000000004</v>
      </c>
      <c r="P128" s="324">
        <f t="shared" si="32"/>
        <v>2</v>
      </c>
      <c r="Q128" s="141">
        <f t="shared" si="66"/>
        <v>1993.5433600000001</v>
      </c>
      <c r="R128" s="323">
        <f t="shared" si="33"/>
        <v>80</v>
      </c>
      <c r="T128" s="214">
        <f t="shared" si="35"/>
        <v>199.35433600000002</v>
      </c>
      <c r="V128" s="33" t="str">
        <f t="shared" si="34"/>
        <v/>
      </c>
    </row>
    <row r="129" spans="1:22" ht="16" thickBot="1" x14ac:dyDescent="0.25">
      <c r="A129" s="20" t="s">
        <v>32</v>
      </c>
      <c r="B129" s="189" t="s">
        <v>111</v>
      </c>
      <c r="C129" s="158" t="s">
        <v>452</v>
      </c>
      <c r="D129" s="322" t="str">
        <f>IFERROR(VLOOKUP(C129,IDS!$A$1:$B$121,2,0),"")</f>
        <v/>
      </c>
      <c r="E129" s="4" t="s">
        <v>111</v>
      </c>
      <c r="F129" s="250">
        <v>1380.7</v>
      </c>
      <c r="G129" s="195">
        <f t="shared" si="62"/>
        <v>1601.6120000000001</v>
      </c>
      <c r="H129" s="195">
        <f t="shared" si="63"/>
        <v>1598.3879999999999</v>
      </c>
      <c r="I129" s="286">
        <v>3200</v>
      </c>
      <c r="J129" s="237">
        <f t="shared" si="64"/>
        <v>3712</v>
      </c>
      <c r="K129" s="207">
        <f>(H129*0.1)</f>
        <v>159.83879999999999</v>
      </c>
      <c r="L129" s="324">
        <f t="shared" si="30"/>
        <v>10</v>
      </c>
      <c r="M129" s="207">
        <f t="shared" si="65"/>
        <v>159.83879999999999</v>
      </c>
      <c r="N129" s="324">
        <f t="shared" si="31"/>
        <v>10</v>
      </c>
      <c r="O129" s="213">
        <f>(H129*0.02)</f>
        <v>31.967759999999998</v>
      </c>
      <c r="P129" s="324">
        <f t="shared" si="32"/>
        <v>2</v>
      </c>
      <c r="Q129" s="141">
        <f t="shared" si="66"/>
        <v>1278.7103999999999</v>
      </c>
      <c r="R129" s="323">
        <f t="shared" si="33"/>
        <v>80</v>
      </c>
      <c r="T129" s="214">
        <f t="shared" si="35"/>
        <v>127.87103999999999</v>
      </c>
      <c r="V129" s="33" t="str">
        <f t="shared" si="34"/>
        <v/>
      </c>
    </row>
    <row r="130" spans="1:22" ht="16" thickBot="1" x14ac:dyDescent="0.25">
      <c r="A130" s="21" t="s">
        <v>33</v>
      </c>
      <c r="B130" s="189" t="s">
        <v>416</v>
      </c>
      <c r="C130" s="158" t="s">
        <v>415</v>
      </c>
      <c r="D130" s="322">
        <f>IFERROR(VLOOKUP(C130,IDS!$A$1:$B$121,2,0),"")</f>
        <v>25</v>
      </c>
      <c r="E130" s="4" t="s">
        <v>21</v>
      </c>
      <c r="F130" s="252">
        <v>661.79</v>
      </c>
      <c r="G130" s="222">
        <f t="shared" si="62"/>
        <v>767.67639999999994</v>
      </c>
      <c r="H130" s="195">
        <f t="shared" si="63"/>
        <v>5032.3235999999997</v>
      </c>
      <c r="I130" s="286">
        <v>5800</v>
      </c>
      <c r="J130" s="273">
        <f t="shared" si="64"/>
        <v>6728</v>
      </c>
      <c r="K130" s="207">
        <f>(H130*0.1)</f>
        <v>503.23235999999997</v>
      </c>
      <c r="L130" s="324">
        <f t="shared" si="30"/>
        <v>10</v>
      </c>
      <c r="M130" s="207">
        <f t="shared" si="65"/>
        <v>503.23235999999997</v>
      </c>
      <c r="N130" s="324">
        <f t="shared" si="31"/>
        <v>10</v>
      </c>
      <c r="O130" s="213">
        <f>(H130*0.02)</f>
        <v>100.646472</v>
      </c>
      <c r="P130" s="324">
        <f t="shared" si="32"/>
        <v>2</v>
      </c>
      <c r="Q130" s="141">
        <f t="shared" si="66"/>
        <v>4025.8588799999998</v>
      </c>
      <c r="R130" s="323">
        <f t="shared" si="33"/>
        <v>80</v>
      </c>
      <c r="T130" s="214">
        <f t="shared" si="35"/>
        <v>402.58588799999995</v>
      </c>
      <c r="V130" s="33" t="str">
        <f t="shared" si="34"/>
        <v>update catalogo_servicios set costo =5800, costo_servicio=767.6764, honorarios=5032.3236, utilidad=4025.85888, comision_venta = 'Porcentaje', comision_operativa='Porcentaje', comision_gestion='Porcentaje', comision_venta_monto=503.23236, porcentaje_venta=10, comision_operativa_monto=503.23236, porcentaje_operativa=10, comision_gestion_monto=100.646472, porcentaje_gestion=2, porcentaje_utilidad=80 where id=25;</v>
      </c>
    </row>
    <row r="131" spans="1:22" ht="31" thickBot="1" x14ac:dyDescent="0.25">
      <c r="A131" s="186"/>
      <c r="B131" s="189" t="s">
        <v>273</v>
      </c>
      <c r="C131" s="158" t="s">
        <v>454</v>
      </c>
      <c r="D131" s="322" t="str">
        <f>IFERROR(VLOOKUP(C131,IDS!$A$1:$B$121,2,0),"")</f>
        <v/>
      </c>
      <c r="E131" s="89" t="s">
        <v>495</v>
      </c>
      <c r="F131" s="198">
        <v>638.35</v>
      </c>
      <c r="G131" s="198">
        <f>(F131*0.16)+F131</f>
        <v>740.48599999999999</v>
      </c>
      <c r="H131" s="198">
        <f t="shared" ref="H131:H152" si="67">I131-G131</f>
        <v>3109.5140000000001</v>
      </c>
      <c r="I131" s="262">
        <v>3850</v>
      </c>
      <c r="J131" s="287">
        <f t="shared" si="64"/>
        <v>4466</v>
      </c>
      <c r="K131" s="207">
        <f>(H131*0)</f>
        <v>0</v>
      </c>
      <c r="L131" s="324">
        <f t="shared" si="30"/>
        <v>0</v>
      </c>
      <c r="M131" s="206">
        <f>(H131*0.2)</f>
        <v>621.90280000000007</v>
      </c>
      <c r="N131" s="324">
        <f t="shared" si="31"/>
        <v>20</v>
      </c>
      <c r="O131" s="203">
        <f t="shared" ref="O131:O136" si="68">(H131*0.01)</f>
        <v>31.095140000000001</v>
      </c>
      <c r="P131" s="324">
        <f t="shared" si="32"/>
        <v>1</v>
      </c>
      <c r="Q131" s="141">
        <f t="shared" si="66"/>
        <v>2487.6112000000003</v>
      </c>
      <c r="R131" s="323">
        <f t="shared" si="33"/>
        <v>80</v>
      </c>
      <c r="T131" s="214">
        <f t="shared" si="35"/>
        <v>-31.095140000000001</v>
      </c>
      <c r="V131" s="33" t="str">
        <f t="shared" si="34"/>
        <v/>
      </c>
    </row>
    <row r="132" spans="1:22" ht="31" thickBot="1" x14ac:dyDescent="0.25">
      <c r="A132" s="186"/>
      <c r="B132" s="189" t="s">
        <v>279</v>
      </c>
      <c r="C132" s="158" t="s">
        <v>468</v>
      </c>
      <c r="D132" s="322" t="str">
        <f>IFERROR(VLOOKUP(C132,IDS!$A$1:$B$121,2,0),"")</f>
        <v/>
      </c>
      <c r="E132" s="191" t="s">
        <v>494</v>
      </c>
      <c r="F132" s="198">
        <v>638.35</v>
      </c>
      <c r="G132" s="198">
        <f>(F132*0.16)+F132</f>
        <v>740.48599999999999</v>
      </c>
      <c r="H132" s="198">
        <f t="shared" si="67"/>
        <v>4609.5140000000001</v>
      </c>
      <c r="I132" s="268">
        <v>5350</v>
      </c>
      <c r="J132" s="287">
        <f t="shared" si="64"/>
        <v>6206</v>
      </c>
      <c r="K132" s="208">
        <f>(H132*0.06)</f>
        <v>276.57083999999998</v>
      </c>
      <c r="L132" s="324">
        <f t="shared" si="30"/>
        <v>6</v>
      </c>
      <c r="M132" s="206">
        <f>(H132*0.2)</f>
        <v>921.90280000000007</v>
      </c>
      <c r="N132" s="324">
        <f t="shared" si="31"/>
        <v>20</v>
      </c>
      <c r="O132" s="212">
        <f t="shared" si="68"/>
        <v>46.095140000000001</v>
      </c>
      <c r="P132" s="324">
        <f t="shared" si="32"/>
        <v>1</v>
      </c>
      <c r="Q132" s="193">
        <f t="shared" si="66"/>
        <v>3411.04036</v>
      </c>
      <c r="R132" s="323">
        <f t="shared" si="33"/>
        <v>74</v>
      </c>
      <c r="T132" s="214">
        <f t="shared" si="35"/>
        <v>230.47569999999996</v>
      </c>
      <c r="V132" s="33" t="str">
        <f t="shared" si="34"/>
        <v/>
      </c>
    </row>
    <row r="133" spans="1:22" ht="43" thickBot="1" x14ac:dyDescent="0.25">
      <c r="A133" s="186"/>
      <c r="B133" s="189" t="s">
        <v>275</v>
      </c>
      <c r="C133" s="158" t="s">
        <v>469</v>
      </c>
      <c r="D133" s="322" t="str">
        <f>IFERROR(VLOOKUP(C133,IDS!$A$1:$B$121,2,0),"")</f>
        <v/>
      </c>
      <c r="E133" s="176" t="s">
        <v>464</v>
      </c>
      <c r="F133" s="196">
        <v>638.35</v>
      </c>
      <c r="G133" s="196">
        <f>(F133*0.16)+F133</f>
        <v>740.48599999999999</v>
      </c>
      <c r="H133" s="196">
        <f t="shared" si="67"/>
        <v>5109.5140000000001</v>
      </c>
      <c r="I133" s="244">
        <v>5850</v>
      </c>
      <c r="J133" s="272">
        <f t="shared" si="64"/>
        <v>6786</v>
      </c>
      <c r="K133" s="204">
        <f>(H133*0)</f>
        <v>0</v>
      </c>
      <c r="L133" s="324">
        <f t="shared" ref="L133:L152" si="69">IFERROR(ROUND(K133/$H133*100,0),0)</f>
        <v>0</v>
      </c>
      <c r="M133" s="209">
        <f>(H133*0.1)</f>
        <v>510.95140000000004</v>
      </c>
      <c r="N133" s="324">
        <f t="shared" ref="N133:N152" si="70">IFERROR(ROUND(M133/$H133*100,0),0)</f>
        <v>10</v>
      </c>
      <c r="O133" s="203">
        <f t="shared" si="68"/>
        <v>51.095140000000001</v>
      </c>
      <c r="P133" s="324">
        <f t="shared" ref="P133:P152" si="71">IFERROR(ROUND(O133/$H133*100,0),0)</f>
        <v>1</v>
      </c>
      <c r="Q133" s="141">
        <f t="shared" si="66"/>
        <v>4598.5626000000002</v>
      </c>
      <c r="R133" s="323">
        <f t="shared" ref="R133:R152" si="72">Q133/H133*100</f>
        <v>90</v>
      </c>
      <c r="T133" s="214">
        <f t="shared" si="35"/>
        <v>-51.095140000000001</v>
      </c>
      <c r="V133" s="33" t="str">
        <f t="shared" ref="V133:V152" si="73">IF(D133="","",CONCATENATE("update catalogo_servicios set costo =",I133,", costo_servicio=",G133,", honorarios=",H133,", utilidad=",Q133,", comision_venta = 'Porcentaje', comision_operativa='Porcentaje', comision_gestion='Porcentaje', comision_venta_monto=",K133,", porcentaje_venta=",L133,", comision_operativa_monto=",M133,", porcentaje_operativa=",N133,", comision_gestion_monto=",O133,", porcentaje_gestion=",P133,", porcentaje_utilidad=",R133," where id=",D133,";"))</f>
        <v/>
      </c>
    </row>
    <row r="134" spans="1:22" ht="43" thickBot="1" x14ac:dyDescent="0.25">
      <c r="A134" s="186"/>
      <c r="B134" s="189" t="s">
        <v>281</v>
      </c>
      <c r="C134" s="158" t="s">
        <v>470</v>
      </c>
      <c r="D134" s="322" t="str">
        <f>IFERROR(VLOOKUP(C134,IDS!$A$1:$B$121,2,0),"")</f>
        <v/>
      </c>
      <c r="E134" s="176" t="s">
        <v>465</v>
      </c>
      <c r="F134" s="196">
        <v>638.35</v>
      </c>
      <c r="G134" s="196">
        <f>(F134*0.16)+F134</f>
        <v>740.48599999999999</v>
      </c>
      <c r="H134" s="196">
        <f t="shared" si="67"/>
        <v>8109.5140000000001</v>
      </c>
      <c r="I134" s="244">
        <v>8850</v>
      </c>
      <c r="J134" s="272">
        <f t="shared" si="64"/>
        <v>10266</v>
      </c>
      <c r="K134" s="204">
        <f>(H134*0.06)</f>
        <v>486.57083999999998</v>
      </c>
      <c r="L134" s="324">
        <f t="shared" si="69"/>
        <v>6</v>
      </c>
      <c r="M134" s="209">
        <f>(H134*0.1)</f>
        <v>810.95140000000004</v>
      </c>
      <c r="N134" s="324">
        <f t="shared" si="70"/>
        <v>10</v>
      </c>
      <c r="O134" s="203">
        <f t="shared" si="68"/>
        <v>81.095140000000001</v>
      </c>
      <c r="P134" s="324">
        <f t="shared" si="71"/>
        <v>1</v>
      </c>
      <c r="Q134" s="141">
        <f t="shared" si="66"/>
        <v>6811.9917599999999</v>
      </c>
      <c r="R134" s="323">
        <f t="shared" si="72"/>
        <v>84</v>
      </c>
      <c r="T134" s="214">
        <f t="shared" si="35"/>
        <v>405.47569999999996</v>
      </c>
      <c r="V134" s="33" t="str">
        <f t="shared" si="73"/>
        <v/>
      </c>
    </row>
    <row r="135" spans="1:22" ht="43" thickBot="1" x14ac:dyDescent="0.25">
      <c r="A135" s="22">
        <v>13</v>
      </c>
      <c r="B135" s="189" t="s">
        <v>277</v>
      </c>
      <c r="C135" s="158" t="s">
        <v>471</v>
      </c>
      <c r="D135" s="322" t="str">
        <f>IFERROR(VLOOKUP(C135,IDS!$A$1:$B$121,2,0),"")</f>
        <v/>
      </c>
      <c r="E135" s="176" t="s">
        <v>466</v>
      </c>
      <c r="F135" s="196">
        <v>638.35</v>
      </c>
      <c r="G135" s="196">
        <f t="shared" si="62"/>
        <v>740.48599999999999</v>
      </c>
      <c r="H135" s="196">
        <f t="shared" si="67"/>
        <v>5109.5140000000001</v>
      </c>
      <c r="I135" s="244">
        <v>5850</v>
      </c>
      <c r="J135" s="272">
        <f t="shared" si="64"/>
        <v>6786</v>
      </c>
      <c r="K135" s="204">
        <f>(H135*0)</f>
        <v>0</v>
      </c>
      <c r="L135" s="324">
        <f t="shared" si="69"/>
        <v>0</v>
      </c>
      <c r="M135" s="209">
        <f>(H135*0.1)</f>
        <v>510.95140000000004</v>
      </c>
      <c r="N135" s="324">
        <f t="shared" si="70"/>
        <v>10</v>
      </c>
      <c r="O135" s="203">
        <f t="shared" si="68"/>
        <v>51.095140000000001</v>
      </c>
      <c r="P135" s="324">
        <f t="shared" si="71"/>
        <v>1</v>
      </c>
      <c r="Q135" s="141">
        <f t="shared" si="66"/>
        <v>4598.5626000000002</v>
      </c>
      <c r="R135" s="323">
        <f t="shared" si="72"/>
        <v>90</v>
      </c>
      <c r="T135" s="214">
        <f t="shared" ref="T135:T152" si="74">K135-O135</f>
        <v>-51.095140000000001</v>
      </c>
      <c r="V135" s="33" t="str">
        <f t="shared" si="73"/>
        <v/>
      </c>
    </row>
    <row r="136" spans="1:22" ht="43" thickBot="1" x14ac:dyDescent="0.25">
      <c r="A136" s="60">
        <v>13</v>
      </c>
      <c r="B136" s="189" t="s">
        <v>283</v>
      </c>
      <c r="C136" s="158" t="s">
        <v>472</v>
      </c>
      <c r="D136" s="322" t="str">
        <f>IFERROR(VLOOKUP(C136,IDS!$A$1:$B$121,2,0),"")</f>
        <v/>
      </c>
      <c r="E136" s="176" t="s">
        <v>467</v>
      </c>
      <c r="F136" s="288">
        <v>638.35</v>
      </c>
      <c r="G136" s="288">
        <f t="shared" si="62"/>
        <v>740.48599999999999</v>
      </c>
      <c r="H136" s="196">
        <f t="shared" si="67"/>
        <v>8109.5140000000001</v>
      </c>
      <c r="I136" s="244">
        <v>8850</v>
      </c>
      <c r="J136" s="272">
        <f t="shared" si="64"/>
        <v>10266</v>
      </c>
      <c r="K136" s="204">
        <f>(H136*0.06)</f>
        <v>486.57083999999998</v>
      </c>
      <c r="L136" s="324">
        <f t="shared" si="69"/>
        <v>6</v>
      </c>
      <c r="M136" s="209">
        <f>(H136*0.1)</f>
        <v>810.95140000000004</v>
      </c>
      <c r="N136" s="324">
        <f t="shared" si="70"/>
        <v>10</v>
      </c>
      <c r="O136" s="203">
        <f t="shared" si="68"/>
        <v>81.095140000000001</v>
      </c>
      <c r="P136" s="324">
        <f t="shared" si="71"/>
        <v>1</v>
      </c>
      <c r="Q136" s="141">
        <f t="shared" si="66"/>
        <v>6811.9917599999999</v>
      </c>
      <c r="R136" s="323">
        <f t="shared" si="72"/>
        <v>84</v>
      </c>
      <c r="T136" s="214">
        <f t="shared" si="74"/>
        <v>405.47569999999996</v>
      </c>
      <c r="V136" s="33" t="str">
        <f t="shared" si="73"/>
        <v/>
      </c>
    </row>
    <row r="137" spans="1:22" ht="85" thickBot="1" x14ac:dyDescent="0.25">
      <c r="A137" s="61" t="s">
        <v>102</v>
      </c>
      <c r="B137" s="189" t="s">
        <v>327</v>
      </c>
      <c r="C137" s="158" t="s">
        <v>328</v>
      </c>
      <c r="D137" s="322">
        <f>IFERROR(VLOOKUP(C137,IDS!$A$1:$B$121,2,0),"")</f>
        <v>31</v>
      </c>
      <c r="E137" s="63" t="s">
        <v>101</v>
      </c>
      <c r="F137" s="289">
        <v>2044.91</v>
      </c>
      <c r="G137" s="290">
        <f t="shared" si="62"/>
        <v>2372.0956000000001</v>
      </c>
      <c r="H137" s="195">
        <f t="shared" si="67"/>
        <v>8627.9043999999994</v>
      </c>
      <c r="I137" s="291">
        <v>11000</v>
      </c>
      <c r="J137" s="273">
        <f t="shared" si="64"/>
        <v>12760</v>
      </c>
      <c r="K137" s="207">
        <f>(H137*0.1)</f>
        <v>862.79043999999999</v>
      </c>
      <c r="L137" s="324">
        <f t="shared" si="69"/>
        <v>10</v>
      </c>
      <c r="M137" s="207">
        <f>(H137*0.05)</f>
        <v>431.39521999999999</v>
      </c>
      <c r="N137" s="324">
        <f t="shared" si="70"/>
        <v>5</v>
      </c>
      <c r="O137" s="206">
        <f>(H137*0.02)</f>
        <v>172.558088</v>
      </c>
      <c r="P137" s="324">
        <f t="shared" si="71"/>
        <v>2</v>
      </c>
      <c r="Q137" s="141">
        <f t="shared" si="66"/>
        <v>7333.7187399999993</v>
      </c>
      <c r="R137" s="323">
        <f t="shared" si="72"/>
        <v>85</v>
      </c>
      <c r="T137" s="214">
        <f t="shared" si="74"/>
        <v>690.23235199999999</v>
      </c>
      <c r="V137" s="33" t="str">
        <f t="shared" si="73"/>
        <v>update catalogo_servicios set costo =11000, costo_servicio=2372.0956, honorarios=8627.9044, utilidad=7333.71874, comision_venta = 'Porcentaje', comision_operativa='Porcentaje', comision_gestion='Porcentaje', comision_venta_monto=862.79044, porcentaje_venta=10, comision_operativa_monto=431.39522, porcentaje_operativa=5, comision_gestion_monto=172.558088, porcentaje_gestion=2, porcentaje_utilidad=85 where id=31;</v>
      </c>
    </row>
    <row r="138" spans="1:22" ht="16" thickBot="1" x14ac:dyDescent="0.25">
      <c r="A138" s="65" t="s">
        <v>34</v>
      </c>
      <c r="B138" s="189" t="s">
        <v>478</v>
      </c>
      <c r="C138" s="158" t="s">
        <v>473</v>
      </c>
      <c r="D138" s="322" t="str">
        <f>IFERROR(VLOOKUP(C138,IDS!$A$1:$B$121,2,0),"")</f>
        <v/>
      </c>
      <c r="E138" s="4" t="s">
        <v>35</v>
      </c>
      <c r="F138" s="292">
        <v>1099.3900000000001</v>
      </c>
      <c r="G138" s="217">
        <f t="shared" si="62"/>
        <v>1275.2924</v>
      </c>
      <c r="H138" s="195">
        <f t="shared" si="67"/>
        <v>1274.7076</v>
      </c>
      <c r="I138" s="293">
        <v>2550</v>
      </c>
      <c r="J138" s="273">
        <f t="shared" si="64"/>
        <v>2958</v>
      </c>
      <c r="K138" s="207">
        <f t="shared" ref="K138:K146" si="75">(H138*0.1)</f>
        <v>127.47076</v>
      </c>
      <c r="L138" s="324">
        <f t="shared" si="69"/>
        <v>10</v>
      </c>
      <c r="M138" s="207">
        <f t="shared" ref="M138:M146" si="76">(H138*0.05)</f>
        <v>63.735379999999999</v>
      </c>
      <c r="N138" s="324">
        <f t="shared" si="70"/>
        <v>5</v>
      </c>
      <c r="O138" s="206">
        <f t="shared" ref="O138:O146" si="77">(H138*0.02)</f>
        <v>25.494152</v>
      </c>
      <c r="P138" s="324">
        <f t="shared" si="71"/>
        <v>2</v>
      </c>
      <c r="Q138" s="141">
        <f t="shared" si="66"/>
        <v>1083.50146</v>
      </c>
      <c r="R138" s="323">
        <f t="shared" si="72"/>
        <v>85</v>
      </c>
      <c r="T138" s="214">
        <f t="shared" si="74"/>
        <v>101.976608</v>
      </c>
      <c r="V138" s="33" t="str">
        <f t="shared" si="73"/>
        <v/>
      </c>
    </row>
    <row r="139" spans="1:22" ht="16" thickBot="1" x14ac:dyDescent="0.25">
      <c r="A139" s="22" t="s">
        <v>36</v>
      </c>
      <c r="B139" s="189" t="s">
        <v>478</v>
      </c>
      <c r="C139" s="158" t="s">
        <v>474</v>
      </c>
      <c r="D139" s="322" t="str">
        <f>IFERROR(VLOOKUP(C139,IDS!$A$1:$B$121,2,0),"")</f>
        <v/>
      </c>
      <c r="E139" s="4" t="s">
        <v>37</v>
      </c>
      <c r="F139" s="195">
        <v>1122.83</v>
      </c>
      <c r="G139" s="195">
        <f t="shared" si="62"/>
        <v>1302.4828</v>
      </c>
      <c r="H139" s="195">
        <f t="shared" si="67"/>
        <v>1347.5172</v>
      </c>
      <c r="I139" s="293">
        <v>2650</v>
      </c>
      <c r="J139" s="273">
        <f t="shared" si="64"/>
        <v>3074</v>
      </c>
      <c r="K139" s="207">
        <f t="shared" si="75"/>
        <v>134.75172000000001</v>
      </c>
      <c r="L139" s="324">
        <f t="shared" si="69"/>
        <v>10</v>
      </c>
      <c r="M139" s="207">
        <f t="shared" si="76"/>
        <v>67.375860000000003</v>
      </c>
      <c r="N139" s="324">
        <f t="shared" si="70"/>
        <v>5</v>
      </c>
      <c r="O139" s="206">
        <f t="shared" si="77"/>
        <v>26.950344000000001</v>
      </c>
      <c r="P139" s="324">
        <f t="shared" si="71"/>
        <v>2</v>
      </c>
      <c r="Q139" s="141">
        <f t="shared" si="66"/>
        <v>1145.3896199999999</v>
      </c>
      <c r="R139" s="323">
        <f t="shared" si="72"/>
        <v>85</v>
      </c>
      <c r="T139" s="214">
        <f t="shared" si="74"/>
        <v>107.801376</v>
      </c>
      <c r="V139" s="33" t="str">
        <f t="shared" si="73"/>
        <v/>
      </c>
    </row>
    <row r="140" spans="1:22" ht="16" thickBot="1" x14ac:dyDescent="0.25">
      <c r="A140" s="23" t="s">
        <v>38</v>
      </c>
      <c r="B140" s="189" t="s">
        <v>478</v>
      </c>
      <c r="C140" s="158" t="s">
        <v>475</v>
      </c>
      <c r="D140" s="322" t="str">
        <f>IFERROR(VLOOKUP(C140,IDS!$A$1:$B$121,2,0),"")</f>
        <v/>
      </c>
      <c r="E140" s="13" t="s">
        <v>39</v>
      </c>
      <c r="F140" s="231">
        <v>1290.3599999999999</v>
      </c>
      <c r="G140" s="231">
        <f t="shared" si="62"/>
        <v>1496.8175999999999</v>
      </c>
      <c r="H140" s="195">
        <f t="shared" si="67"/>
        <v>1503.1824000000001</v>
      </c>
      <c r="I140" s="293">
        <v>3000</v>
      </c>
      <c r="J140" s="273">
        <f t="shared" si="64"/>
        <v>3480</v>
      </c>
      <c r="K140" s="207">
        <f t="shared" si="75"/>
        <v>150.31824000000003</v>
      </c>
      <c r="L140" s="324">
        <f t="shared" si="69"/>
        <v>10</v>
      </c>
      <c r="M140" s="207">
        <f t="shared" si="76"/>
        <v>75.159120000000016</v>
      </c>
      <c r="N140" s="324">
        <f t="shared" si="70"/>
        <v>5</v>
      </c>
      <c r="O140" s="206">
        <f t="shared" si="77"/>
        <v>30.063648000000004</v>
      </c>
      <c r="P140" s="324">
        <f t="shared" si="71"/>
        <v>2</v>
      </c>
      <c r="Q140" s="141">
        <f t="shared" si="66"/>
        <v>1277.7050400000001</v>
      </c>
      <c r="R140" s="323">
        <f t="shared" si="72"/>
        <v>85</v>
      </c>
      <c r="T140" s="214">
        <f t="shared" si="74"/>
        <v>120.25459200000003</v>
      </c>
      <c r="V140" s="33" t="str">
        <f t="shared" si="73"/>
        <v/>
      </c>
    </row>
    <row r="141" spans="1:22" ht="16" thickBot="1" x14ac:dyDescent="0.25">
      <c r="A141" s="19" t="s">
        <v>30</v>
      </c>
      <c r="B141" s="189" t="s">
        <v>329</v>
      </c>
      <c r="C141" s="158" t="s">
        <v>330</v>
      </c>
      <c r="D141" s="322">
        <f>IFERROR(VLOOKUP(C141,IDS!$A$1:$B$121,2,0),"")</f>
        <v>35</v>
      </c>
      <c r="E141" s="50" t="s">
        <v>106</v>
      </c>
      <c r="F141" s="247">
        <v>2162.13</v>
      </c>
      <c r="G141" s="217">
        <f t="shared" si="62"/>
        <v>2508.0708</v>
      </c>
      <c r="H141" s="195">
        <f t="shared" si="67"/>
        <v>5241.9292000000005</v>
      </c>
      <c r="I141" s="294">
        <v>7750</v>
      </c>
      <c r="J141" s="273">
        <f t="shared" si="64"/>
        <v>8990</v>
      </c>
      <c r="K141" s="207">
        <f t="shared" si="75"/>
        <v>524.19292000000007</v>
      </c>
      <c r="L141" s="324">
        <f t="shared" si="69"/>
        <v>10</v>
      </c>
      <c r="M141" s="207">
        <f t="shared" si="76"/>
        <v>262.09646000000004</v>
      </c>
      <c r="N141" s="324">
        <f t="shared" si="70"/>
        <v>5</v>
      </c>
      <c r="O141" s="206">
        <f t="shared" si="77"/>
        <v>104.83858400000001</v>
      </c>
      <c r="P141" s="324">
        <f t="shared" si="71"/>
        <v>2</v>
      </c>
      <c r="Q141" s="141">
        <f t="shared" si="66"/>
        <v>4455.6398200000003</v>
      </c>
      <c r="R141" s="323">
        <f t="shared" si="72"/>
        <v>85</v>
      </c>
      <c r="T141" s="214">
        <f t="shared" si="74"/>
        <v>419.35433600000005</v>
      </c>
      <c r="V141" s="33" t="str">
        <f t="shared" si="73"/>
        <v>update catalogo_servicios set costo =7750, costo_servicio=2508.0708, honorarios=5241.9292, utilidad=4455.63982, comision_venta = 'Porcentaje', comision_operativa='Porcentaje', comision_gestion='Porcentaje', comision_venta_monto=524.19292, porcentaje_venta=10, comision_operativa_monto=262.09646, porcentaje_operativa=5, comision_gestion_monto=104.838584, porcentaje_gestion=2, porcentaje_utilidad=85 where id=35;</v>
      </c>
    </row>
    <row r="142" spans="1:22" ht="16" thickBot="1" x14ac:dyDescent="0.25">
      <c r="A142" s="19" t="s">
        <v>30</v>
      </c>
      <c r="B142" s="189" t="s">
        <v>331</v>
      </c>
      <c r="C142" s="158" t="s">
        <v>332</v>
      </c>
      <c r="D142" s="322">
        <f>IFERROR(VLOOKUP(C142,IDS!$A$1:$B$121,2,0),"")</f>
        <v>33</v>
      </c>
      <c r="E142" s="64" t="s">
        <v>105</v>
      </c>
      <c r="F142" s="247">
        <v>2162.13</v>
      </c>
      <c r="G142" s="195">
        <f t="shared" si="62"/>
        <v>2508.0708</v>
      </c>
      <c r="H142" s="195">
        <f t="shared" si="67"/>
        <v>6491.9292000000005</v>
      </c>
      <c r="I142" s="295">
        <v>9000</v>
      </c>
      <c r="J142" s="273">
        <f t="shared" si="64"/>
        <v>10440</v>
      </c>
      <c r="K142" s="207">
        <f t="shared" si="75"/>
        <v>649.19292000000007</v>
      </c>
      <c r="L142" s="324">
        <f t="shared" si="69"/>
        <v>10</v>
      </c>
      <c r="M142" s="207">
        <f t="shared" si="76"/>
        <v>324.59646000000004</v>
      </c>
      <c r="N142" s="324">
        <f t="shared" si="70"/>
        <v>5</v>
      </c>
      <c r="O142" s="206">
        <f t="shared" si="77"/>
        <v>129.83858400000003</v>
      </c>
      <c r="P142" s="324">
        <f t="shared" si="71"/>
        <v>2</v>
      </c>
      <c r="Q142" s="141">
        <f t="shared" si="66"/>
        <v>5518.1398200000003</v>
      </c>
      <c r="R142" s="323">
        <f t="shared" si="72"/>
        <v>85</v>
      </c>
      <c r="T142" s="214">
        <f t="shared" si="74"/>
        <v>519.3543360000001</v>
      </c>
      <c r="V142" s="33" t="str">
        <f t="shared" si="73"/>
        <v>update catalogo_servicios set costo =9000, costo_servicio=2508.0708, honorarios=6491.9292, utilidad=5518.13982, comision_venta = 'Porcentaje', comision_operativa='Porcentaje', comision_gestion='Porcentaje', comision_venta_monto=649.19292, porcentaje_venta=10, comision_operativa_monto=324.59646, porcentaje_operativa=5, comision_gestion_monto=129.838584, porcentaje_gestion=2, porcentaje_utilidad=85 where id=33;</v>
      </c>
    </row>
    <row r="143" spans="1:22" ht="16" thickBot="1" x14ac:dyDescent="0.25">
      <c r="A143" s="19" t="s">
        <v>30</v>
      </c>
      <c r="B143" s="189" t="s">
        <v>336</v>
      </c>
      <c r="C143" s="158" t="s">
        <v>337</v>
      </c>
      <c r="D143" s="322">
        <f>IFERROR(VLOOKUP(C143,IDS!$A$1:$B$121,2,0),"")</f>
        <v>37</v>
      </c>
      <c r="E143" s="64" t="s">
        <v>107</v>
      </c>
      <c r="F143" s="247">
        <v>2162.13</v>
      </c>
      <c r="G143" s="195">
        <f t="shared" si="62"/>
        <v>2508.0708</v>
      </c>
      <c r="H143" s="195">
        <f t="shared" si="67"/>
        <v>7741.9292000000005</v>
      </c>
      <c r="I143" s="295">
        <v>10250</v>
      </c>
      <c r="J143" s="273">
        <f t="shared" si="64"/>
        <v>11890</v>
      </c>
      <c r="K143" s="207">
        <f t="shared" si="75"/>
        <v>774.19292000000007</v>
      </c>
      <c r="L143" s="324">
        <f t="shared" si="69"/>
        <v>10</v>
      </c>
      <c r="M143" s="207">
        <f t="shared" si="76"/>
        <v>387.09646000000004</v>
      </c>
      <c r="N143" s="324">
        <f t="shared" si="70"/>
        <v>5</v>
      </c>
      <c r="O143" s="206">
        <f t="shared" si="77"/>
        <v>154.83858400000003</v>
      </c>
      <c r="P143" s="324">
        <f t="shared" si="71"/>
        <v>2</v>
      </c>
      <c r="Q143" s="141">
        <f t="shared" si="66"/>
        <v>6580.6398200000003</v>
      </c>
      <c r="R143" s="323">
        <f t="shared" si="72"/>
        <v>85</v>
      </c>
      <c r="T143" s="214">
        <f t="shared" si="74"/>
        <v>619.3543360000001</v>
      </c>
      <c r="V143" s="33" t="str">
        <f t="shared" si="73"/>
        <v>update catalogo_servicios set costo =10250, costo_servicio=2508.0708, honorarios=7741.9292, utilidad=6580.63982, comision_venta = 'Porcentaje', comision_operativa='Porcentaje', comision_gestion='Porcentaje', comision_venta_monto=774.19292, porcentaje_venta=10, comision_operativa_monto=387.09646, porcentaje_operativa=5, comision_gestion_monto=154.838584, porcentaje_gestion=2, porcentaje_utilidad=85 where id=37;</v>
      </c>
    </row>
    <row r="144" spans="1:22" ht="31" thickBot="1" x14ac:dyDescent="0.25">
      <c r="A144" s="22" t="s">
        <v>33</v>
      </c>
      <c r="B144" s="189" t="s">
        <v>334</v>
      </c>
      <c r="C144" s="158" t="s">
        <v>335</v>
      </c>
      <c r="D144" s="322">
        <f>IFERROR(VLOOKUP(C144,IDS!$A$1:$B$121,2,0),"")</f>
        <v>27</v>
      </c>
      <c r="E144" s="4" t="s">
        <v>21</v>
      </c>
      <c r="F144" s="250">
        <v>661.79</v>
      </c>
      <c r="G144" s="195">
        <f t="shared" si="62"/>
        <v>767.67639999999994</v>
      </c>
      <c r="H144" s="195">
        <f t="shared" si="67"/>
        <v>2232.3236000000002</v>
      </c>
      <c r="I144" s="295">
        <v>3000</v>
      </c>
      <c r="J144" s="273">
        <f t="shared" si="64"/>
        <v>3480</v>
      </c>
      <c r="K144" s="207">
        <f t="shared" si="75"/>
        <v>223.23236000000003</v>
      </c>
      <c r="L144" s="324">
        <f t="shared" si="69"/>
        <v>10</v>
      </c>
      <c r="M144" s="207">
        <f t="shared" si="76"/>
        <v>111.61618000000001</v>
      </c>
      <c r="N144" s="324">
        <f t="shared" si="70"/>
        <v>5</v>
      </c>
      <c r="O144" s="206">
        <f t="shared" si="77"/>
        <v>44.646472000000003</v>
      </c>
      <c r="P144" s="324">
        <f t="shared" si="71"/>
        <v>2</v>
      </c>
      <c r="Q144" s="141">
        <f t="shared" si="66"/>
        <v>1897.4750600000002</v>
      </c>
      <c r="R144" s="323">
        <f t="shared" si="72"/>
        <v>85</v>
      </c>
      <c r="T144" s="214">
        <f t="shared" si="74"/>
        <v>178.58588800000001</v>
      </c>
      <c r="V144" s="33" t="str">
        <f t="shared" si="73"/>
        <v>update catalogo_servicios set costo =3000, costo_servicio=767.6764, honorarios=2232.3236, utilidad=1897.47506, comision_venta = 'Porcentaje', comision_operativa='Porcentaje', comision_gestion='Porcentaje', comision_venta_monto=223.23236, porcentaje_venta=10, comision_operativa_monto=111.61618, porcentaje_operativa=5, comision_gestion_monto=44.646472, porcentaje_gestion=2, porcentaje_utilidad=85 where id=27;</v>
      </c>
    </row>
    <row r="145" spans="1:22" ht="16" thickBot="1" x14ac:dyDescent="0.25">
      <c r="A145" s="22" t="s">
        <v>91</v>
      </c>
      <c r="B145" s="189" t="s">
        <v>333</v>
      </c>
      <c r="C145" s="158" t="s">
        <v>476</v>
      </c>
      <c r="D145" s="322" t="str">
        <f>IFERROR(VLOOKUP(C145,IDS!$A$1:$B$121,2,0),"")</f>
        <v/>
      </c>
      <c r="E145" s="4" t="s">
        <v>87</v>
      </c>
      <c r="F145" s="195">
        <v>1107.2</v>
      </c>
      <c r="G145" s="195">
        <f t="shared" si="62"/>
        <v>1284.3520000000001</v>
      </c>
      <c r="H145" s="195">
        <f t="shared" si="67"/>
        <v>1315.6479999999999</v>
      </c>
      <c r="I145" s="260">
        <v>2600</v>
      </c>
      <c r="J145" s="273">
        <f t="shared" si="64"/>
        <v>3016</v>
      </c>
      <c r="K145" s="207">
        <f t="shared" si="75"/>
        <v>131.56479999999999</v>
      </c>
      <c r="L145" s="324">
        <f t="shared" si="69"/>
        <v>10</v>
      </c>
      <c r="M145" s="207">
        <f t="shared" si="76"/>
        <v>65.782399999999996</v>
      </c>
      <c r="N145" s="324">
        <f t="shared" si="70"/>
        <v>5</v>
      </c>
      <c r="O145" s="206">
        <f t="shared" si="77"/>
        <v>26.31296</v>
      </c>
      <c r="P145" s="324">
        <f t="shared" si="71"/>
        <v>2</v>
      </c>
      <c r="Q145" s="141">
        <f t="shared" si="66"/>
        <v>1118.3008</v>
      </c>
      <c r="R145" s="323">
        <f t="shared" si="72"/>
        <v>85.000000000000014</v>
      </c>
      <c r="T145" s="214">
        <f t="shared" si="74"/>
        <v>105.25183999999999</v>
      </c>
      <c r="V145" s="33" t="str">
        <f t="shared" si="73"/>
        <v/>
      </c>
    </row>
    <row r="146" spans="1:22" ht="16" thickBot="1" x14ac:dyDescent="0.25">
      <c r="A146" s="23" t="s">
        <v>92</v>
      </c>
      <c r="B146" s="189" t="s">
        <v>333</v>
      </c>
      <c r="C146" s="158" t="s">
        <v>477</v>
      </c>
      <c r="D146" s="322" t="str">
        <f>IFERROR(VLOOKUP(C146,IDS!$A$1:$B$121,2,0),"")</f>
        <v/>
      </c>
      <c r="E146" s="4" t="s">
        <v>88</v>
      </c>
      <c r="F146" s="231">
        <v>1185.3499999999999</v>
      </c>
      <c r="G146" s="231">
        <f t="shared" si="62"/>
        <v>1375.0059999999999</v>
      </c>
      <c r="H146" s="195">
        <f t="shared" si="67"/>
        <v>1374.9940000000001</v>
      </c>
      <c r="I146" s="296">
        <v>2750</v>
      </c>
      <c r="J146" s="273">
        <f t="shared" si="64"/>
        <v>3190</v>
      </c>
      <c r="K146" s="207">
        <f t="shared" si="75"/>
        <v>137.49940000000001</v>
      </c>
      <c r="L146" s="324">
        <f t="shared" si="69"/>
        <v>10</v>
      </c>
      <c r="M146" s="207">
        <f t="shared" si="76"/>
        <v>68.749700000000004</v>
      </c>
      <c r="N146" s="324">
        <f t="shared" si="70"/>
        <v>5</v>
      </c>
      <c r="O146" s="206">
        <f t="shared" si="77"/>
        <v>27.499880000000005</v>
      </c>
      <c r="P146" s="324">
        <f t="shared" si="71"/>
        <v>2</v>
      </c>
      <c r="Q146" s="141">
        <f t="shared" si="66"/>
        <v>1168.7449000000001</v>
      </c>
      <c r="R146" s="323">
        <f t="shared" si="72"/>
        <v>85</v>
      </c>
      <c r="T146" s="214">
        <f t="shared" si="74"/>
        <v>109.99952</v>
      </c>
      <c r="V146" s="33" t="str">
        <f t="shared" si="73"/>
        <v/>
      </c>
    </row>
    <row r="147" spans="1:22" ht="31" thickBot="1" x14ac:dyDescent="0.25">
      <c r="A147" s="97"/>
      <c r="B147" s="189" t="s">
        <v>273</v>
      </c>
      <c r="C147" s="158" t="s">
        <v>479</v>
      </c>
      <c r="D147" s="322" t="str">
        <f>IFERROR(VLOOKUP(C147,IDS!$A$1:$B$121,2,0),"")</f>
        <v/>
      </c>
      <c r="E147" s="89" t="s">
        <v>495</v>
      </c>
      <c r="F147" s="198">
        <v>638.35</v>
      </c>
      <c r="G147" s="198">
        <f>(F147*0.16)+F147</f>
        <v>740.48599999999999</v>
      </c>
      <c r="H147" s="198">
        <f t="shared" si="67"/>
        <v>3109.5140000000001</v>
      </c>
      <c r="I147" s="262">
        <v>3850</v>
      </c>
      <c r="J147" s="287">
        <f t="shared" si="64"/>
        <v>4466</v>
      </c>
      <c r="K147" s="207">
        <f>(H147*0)</f>
        <v>0</v>
      </c>
      <c r="L147" s="324">
        <f t="shared" si="69"/>
        <v>0</v>
      </c>
      <c r="M147" s="207">
        <f>(H147*0.2)</f>
        <v>621.90280000000007</v>
      </c>
      <c r="N147" s="324">
        <f t="shared" si="70"/>
        <v>20</v>
      </c>
      <c r="O147" s="206">
        <f t="shared" ref="O147:O152" si="78">(H147*0.01)</f>
        <v>31.095140000000001</v>
      </c>
      <c r="P147" s="324">
        <f t="shared" si="71"/>
        <v>1</v>
      </c>
      <c r="Q147" s="141">
        <f t="shared" si="66"/>
        <v>2487.6112000000003</v>
      </c>
      <c r="R147" s="323">
        <f t="shared" si="72"/>
        <v>80</v>
      </c>
      <c r="T147" s="214">
        <f t="shared" si="74"/>
        <v>-31.095140000000001</v>
      </c>
      <c r="V147" s="33" t="str">
        <f t="shared" si="73"/>
        <v/>
      </c>
    </row>
    <row r="148" spans="1:22" ht="31" thickBot="1" x14ac:dyDescent="0.25">
      <c r="A148" s="97"/>
      <c r="B148" s="189" t="s">
        <v>279</v>
      </c>
      <c r="C148" s="158" t="s">
        <v>480</v>
      </c>
      <c r="D148" s="322" t="str">
        <f>IFERROR(VLOOKUP(C148,IDS!$A$1:$B$121,2,0),"")</f>
        <v/>
      </c>
      <c r="E148" s="191" t="s">
        <v>494</v>
      </c>
      <c r="F148" s="198">
        <v>638.35</v>
      </c>
      <c r="G148" s="198">
        <f>(F148*0.16)+F148</f>
        <v>740.48599999999999</v>
      </c>
      <c r="H148" s="198">
        <f t="shared" si="67"/>
        <v>4609.5140000000001</v>
      </c>
      <c r="I148" s="268">
        <v>5350</v>
      </c>
      <c r="J148" s="287">
        <f t="shared" si="64"/>
        <v>6206</v>
      </c>
      <c r="K148" s="208">
        <f>(H148*0.06)</f>
        <v>276.57083999999998</v>
      </c>
      <c r="L148" s="324">
        <f t="shared" si="69"/>
        <v>6</v>
      </c>
      <c r="M148" s="208">
        <f>(H148*0.2)</f>
        <v>921.90280000000007</v>
      </c>
      <c r="N148" s="324">
        <f t="shared" si="70"/>
        <v>20</v>
      </c>
      <c r="O148" s="206">
        <f t="shared" si="78"/>
        <v>46.095140000000001</v>
      </c>
      <c r="P148" s="324">
        <f t="shared" si="71"/>
        <v>1</v>
      </c>
      <c r="Q148" s="193">
        <f t="shared" si="66"/>
        <v>3411.04036</v>
      </c>
      <c r="R148" s="323">
        <f t="shared" si="72"/>
        <v>74</v>
      </c>
      <c r="T148" s="214">
        <f t="shared" si="74"/>
        <v>230.47569999999996</v>
      </c>
      <c r="V148" s="33" t="str">
        <f t="shared" si="73"/>
        <v/>
      </c>
    </row>
    <row r="149" spans="1:22" ht="43" thickBot="1" x14ac:dyDescent="0.25">
      <c r="A149" s="97"/>
      <c r="B149" s="189" t="s">
        <v>275</v>
      </c>
      <c r="C149" s="158" t="s">
        <v>481</v>
      </c>
      <c r="D149" s="322" t="str">
        <f>IFERROR(VLOOKUP(C149,IDS!$A$1:$B$121,2,0),"")</f>
        <v/>
      </c>
      <c r="E149" s="176" t="s">
        <v>464</v>
      </c>
      <c r="F149" s="196">
        <v>638.35</v>
      </c>
      <c r="G149" s="196">
        <f>(F149*0.16)+F149</f>
        <v>740.48599999999999</v>
      </c>
      <c r="H149" s="196">
        <f t="shared" si="67"/>
        <v>5109.5140000000001</v>
      </c>
      <c r="I149" s="244">
        <v>5850</v>
      </c>
      <c r="J149" s="272">
        <f t="shared" si="64"/>
        <v>6786</v>
      </c>
      <c r="K149" s="204">
        <f>(H149*0)</f>
        <v>0</v>
      </c>
      <c r="L149" s="324">
        <f t="shared" si="69"/>
        <v>0</v>
      </c>
      <c r="M149" s="204">
        <f>(H149*0.1)</f>
        <v>510.95140000000004</v>
      </c>
      <c r="N149" s="324">
        <f t="shared" si="70"/>
        <v>10</v>
      </c>
      <c r="O149" s="203">
        <f t="shared" si="78"/>
        <v>51.095140000000001</v>
      </c>
      <c r="P149" s="324">
        <f t="shared" si="71"/>
        <v>1</v>
      </c>
      <c r="Q149" s="141">
        <f t="shared" si="66"/>
        <v>4598.5626000000002</v>
      </c>
      <c r="R149" s="323">
        <f t="shared" si="72"/>
        <v>90</v>
      </c>
      <c r="T149" s="214">
        <f t="shared" si="74"/>
        <v>-51.095140000000001</v>
      </c>
      <c r="V149" s="33" t="str">
        <f t="shared" si="73"/>
        <v/>
      </c>
    </row>
    <row r="150" spans="1:22" ht="43" thickBot="1" x14ac:dyDescent="0.25">
      <c r="A150" s="97"/>
      <c r="B150" s="189" t="s">
        <v>281</v>
      </c>
      <c r="C150" s="158" t="s">
        <v>482</v>
      </c>
      <c r="D150" s="322" t="str">
        <f>IFERROR(VLOOKUP(C150,IDS!$A$1:$B$121,2,0),"")</f>
        <v/>
      </c>
      <c r="E150" s="176" t="s">
        <v>465</v>
      </c>
      <c r="F150" s="196">
        <v>638.35</v>
      </c>
      <c r="G150" s="196">
        <f>(F150*0.16)+F150</f>
        <v>740.48599999999999</v>
      </c>
      <c r="H150" s="196">
        <f t="shared" si="67"/>
        <v>8109.5140000000001</v>
      </c>
      <c r="I150" s="244">
        <v>8850</v>
      </c>
      <c r="J150" s="272">
        <f t="shared" si="64"/>
        <v>10266</v>
      </c>
      <c r="K150" s="204">
        <f>(H150*0.06)</f>
        <v>486.57083999999998</v>
      </c>
      <c r="L150" s="324">
        <f t="shared" si="69"/>
        <v>6</v>
      </c>
      <c r="M150" s="204">
        <f>(H150*0.1)</f>
        <v>810.95140000000004</v>
      </c>
      <c r="N150" s="324">
        <f t="shared" si="70"/>
        <v>10</v>
      </c>
      <c r="O150" s="203">
        <f t="shared" si="78"/>
        <v>81.095140000000001</v>
      </c>
      <c r="P150" s="324">
        <f t="shared" si="71"/>
        <v>1</v>
      </c>
      <c r="Q150" s="141">
        <f t="shared" si="66"/>
        <v>6811.9917599999999</v>
      </c>
      <c r="R150" s="323">
        <f t="shared" si="72"/>
        <v>84</v>
      </c>
      <c r="T150" s="214">
        <f t="shared" si="74"/>
        <v>405.47569999999996</v>
      </c>
      <c r="V150" s="33" t="str">
        <f t="shared" si="73"/>
        <v/>
      </c>
    </row>
    <row r="151" spans="1:22" ht="43" thickBot="1" x14ac:dyDescent="0.25">
      <c r="A151" s="47">
        <v>13</v>
      </c>
      <c r="B151" s="189" t="s">
        <v>277</v>
      </c>
      <c r="C151" s="158" t="s">
        <v>483</v>
      </c>
      <c r="D151" s="322" t="str">
        <f>IFERROR(VLOOKUP(C151,IDS!$A$1:$B$121,2,0),"")</f>
        <v/>
      </c>
      <c r="E151" s="176" t="s">
        <v>466</v>
      </c>
      <c r="F151" s="297">
        <v>638.35</v>
      </c>
      <c r="G151" s="297">
        <f t="shared" si="62"/>
        <v>740.48599999999999</v>
      </c>
      <c r="H151" s="196">
        <f t="shared" si="67"/>
        <v>5109.5140000000001</v>
      </c>
      <c r="I151" s="244">
        <v>5850</v>
      </c>
      <c r="J151" s="272">
        <f t="shared" si="64"/>
        <v>6786</v>
      </c>
      <c r="K151" s="204">
        <f>(H151*0)</f>
        <v>0</v>
      </c>
      <c r="L151" s="324">
        <f t="shared" si="69"/>
        <v>0</v>
      </c>
      <c r="M151" s="204">
        <f>(H151*0.1)</f>
        <v>510.95140000000004</v>
      </c>
      <c r="N151" s="324">
        <f t="shared" si="70"/>
        <v>10</v>
      </c>
      <c r="O151" s="203">
        <f t="shared" si="78"/>
        <v>51.095140000000001</v>
      </c>
      <c r="P151" s="324">
        <f t="shared" si="71"/>
        <v>1</v>
      </c>
      <c r="Q151" s="141">
        <f t="shared" si="66"/>
        <v>4598.5626000000002</v>
      </c>
      <c r="R151" s="323">
        <f t="shared" si="72"/>
        <v>90</v>
      </c>
      <c r="T151" s="214">
        <f t="shared" si="74"/>
        <v>-51.095140000000001</v>
      </c>
      <c r="V151" s="33" t="str">
        <f t="shared" si="73"/>
        <v/>
      </c>
    </row>
    <row r="152" spans="1:22" ht="43" thickBot="1" x14ac:dyDescent="0.25">
      <c r="A152" s="60">
        <v>13</v>
      </c>
      <c r="B152" s="189" t="s">
        <v>283</v>
      </c>
      <c r="C152" s="158" t="s">
        <v>484</v>
      </c>
      <c r="D152" s="322" t="str">
        <f>IFERROR(VLOOKUP(C152,IDS!$A$1:$B$121,2,0),"")</f>
        <v/>
      </c>
      <c r="E152" s="176" t="s">
        <v>467</v>
      </c>
      <c r="F152" s="288">
        <v>638.35</v>
      </c>
      <c r="G152" s="288">
        <f t="shared" si="62"/>
        <v>740.48599999999999</v>
      </c>
      <c r="H152" s="196">
        <f t="shared" si="67"/>
        <v>8109.5140000000001</v>
      </c>
      <c r="I152" s="244">
        <v>8850</v>
      </c>
      <c r="J152" s="272">
        <f t="shared" si="64"/>
        <v>10266</v>
      </c>
      <c r="K152" s="204">
        <f>(H152*0.06)</f>
        <v>486.57083999999998</v>
      </c>
      <c r="L152" s="324">
        <f t="shared" si="69"/>
        <v>6</v>
      </c>
      <c r="M152" s="204">
        <f>(H152*0.1)</f>
        <v>810.95140000000004</v>
      </c>
      <c r="N152" s="324">
        <f t="shared" si="70"/>
        <v>10</v>
      </c>
      <c r="O152" s="203">
        <f t="shared" si="78"/>
        <v>81.095140000000001</v>
      </c>
      <c r="P152" s="324">
        <f t="shared" si="71"/>
        <v>1</v>
      </c>
      <c r="Q152" s="141">
        <f t="shared" si="66"/>
        <v>6811.9917599999999</v>
      </c>
      <c r="R152" s="323">
        <f t="shared" si="72"/>
        <v>84</v>
      </c>
      <c r="T152" s="214">
        <f t="shared" si="74"/>
        <v>405.47569999999996</v>
      </c>
      <c r="V152" s="33" t="str">
        <f t="shared" si="73"/>
        <v/>
      </c>
    </row>
    <row r="153" spans="1:22" x14ac:dyDescent="0.15">
      <c r="A153" s="27"/>
      <c r="B153" s="27"/>
      <c r="C153" s="27"/>
      <c r="D153" s="27"/>
      <c r="E153" s="6"/>
      <c r="F153" s="298"/>
      <c r="G153" s="299"/>
      <c r="H153" s="299"/>
      <c r="I153" s="299"/>
      <c r="J153" s="299"/>
    </row>
    <row r="154" spans="1:22" x14ac:dyDescent="0.15">
      <c r="E154" s="3" t="s">
        <v>79</v>
      </c>
      <c r="F154" s="300"/>
    </row>
    <row r="155" spans="1:22" x14ac:dyDescent="0.15">
      <c r="E155" s="35" t="s">
        <v>45</v>
      </c>
      <c r="F155" s="301"/>
    </row>
    <row r="156" spans="1:22" x14ac:dyDescent="0.15">
      <c r="E156" s="35" t="s">
        <v>43</v>
      </c>
      <c r="F156" s="301"/>
    </row>
    <row r="157" spans="1:22" x14ac:dyDescent="0.15">
      <c r="E157" s="35" t="s">
        <v>44</v>
      </c>
      <c r="F157" s="301"/>
    </row>
    <row r="158" spans="1:22" x14ac:dyDescent="0.15">
      <c r="E158" s="35" t="s">
        <v>42</v>
      </c>
      <c r="F158" s="301"/>
    </row>
    <row r="163" spans="5:18" x14ac:dyDescent="0.15">
      <c r="E163" s="35"/>
      <c r="F163" s="301"/>
    </row>
    <row r="164" spans="5:18" x14ac:dyDescent="0.15">
      <c r="K164" s="211"/>
      <c r="L164" s="83"/>
      <c r="M164" s="211"/>
      <c r="N164" s="83"/>
      <c r="O164" s="211"/>
      <c r="P164" s="83"/>
      <c r="R164" s="36"/>
    </row>
    <row r="165" spans="5:18" x14ac:dyDescent="0.15">
      <c r="K165" s="211"/>
      <c r="L165" s="83"/>
      <c r="M165" s="211"/>
      <c r="N165" s="83"/>
      <c r="O165" s="211"/>
      <c r="P165" s="83"/>
      <c r="R165" s="36"/>
    </row>
    <row r="166" spans="5:18" x14ac:dyDescent="0.15">
      <c r="K166" s="211"/>
      <c r="L166" s="83"/>
      <c r="M166" s="211"/>
      <c r="N166" s="83"/>
      <c r="O166" s="211"/>
      <c r="P166" s="83"/>
      <c r="R166" s="36"/>
    </row>
    <row r="167" spans="5:18" x14ac:dyDescent="0.15">
      <c r="K167" s="211"/>
      <c r="L167" s="83"/>
      <c r="M167" s="211"/>
      <c r="N167" s="83"/>
      <c r="O167" s="211"/>
      <c r="P167" s="83"/>
      <c r="R167" s="36"/>
    </row>
    <row r="168" spans="5:18" x14ac:dyDescent="0.15">
      <c r="K168" s="211"/>
      <c r="L168" s="83"/>
      <c r="M168" s="211"/>
      <c r="N168" s="83"/>
      <c r="O168" s="211"/>
      <c r="P168" s="83"/>
      <c r="R168" s="36"/>
    </row>
  </sheetData>
  <phoneticPr fontId="0" type="noConversion"/>
  <pageMargins left="0.75" right="0.75" top="1" bottom="1" header="0" footer="0"/>
  <pageSetup orientation="landscape" r:id="rId1"/>
  <headerFooter alignWithMargins="0"/>
  <ignoredErrors>
    <ignoredError sqref="Q27 Q23:Q25"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62374-F48B-0141-BD91-225308EA1EBA}">
  <sheetPr>
    <tabColor theme="3" tint="-0.249977111117893"/>
  </sheetPr>
  <dimension ref="A1:B121"/>
  <sheetViews>
    <sheetView topLeftCell="A71" workbookViewId="0">
      <selection activeCell="A47" sqref="A47"/>
    </sheetView>
  </sheetViews>
  <sheetFormatPr baseColWidth="10" defaultRowHeight="13" x14ac:dyDescent="0.15"/>
  <sheetData>
    <row r="1" spans="1:2" x14ac:dyDescent="0.15">
      <c r="A1" t="s">
        <v>510</v>
      </c>
      <c r="B1">
        <v>85</v>
      </c>
    </row>
    <row r="2" spans="1:2" x14ac:dyDescent="0.15">
      <c r="A2" t="s">
        <v>447</v>
      </c>
      <c r="B2">
        <v>119</v>
      </c>
    </row>
    <row r="3" spans="1:2" x14ac:dyDescent="0.15">
      <c r="A3" t="s">
        <v>446</v>
      </c>
      <c r="B3">
        <v>118</v>
      </c>
    </row>
    <row r="4" spans="1:2" x14ac:dyDescent="0.15">
      <c r="A4" t="s">
        <v>396</v>
      </c>
      <c r="B4">
        <v>108</v>
      </c>
    </row>
    <row r="5" spans="1:2" x14ac:dyDescent="0.15">
      <c r="A5" t="s">
        <v>392</v>
      </c>
      <c r="B5">
        <v>103</v>
      </c>
    </row>
    <row r="6" spans="1:2" x14ac:dyDescent="0.15">
      <c r="A6" t="s">
        <v>374</v>
      </c>
      <c r="B6">
        <v>51</v>
      </c>
    </row>
    <row r="7" spans="1:2" x14ac:dyDescent="0.15">
      <c r="A7" t="s">
        <v>511</v>
      </c>
      <c r="B7">
        <v>106</v>
      </c>
    </row>
    <row r="8" spans="1:2" x14ac:dyDescent="0.15">
      <c r="A8" t="s">
        <v>512</v>
      </c>
      <c r="B8">
        <v>105</v>
      </c>
    </row>
    <row r="9" spans="1:2" x14ac:dyDescent="0.15">
      <c r="A9" t="s">
        <v>372</v>
      </c>
      <c r="B9">
        <v>50</v>
      </c>
    </row>
    <row r="10" spans="1:2" x14ac:dyDescent="0.15">
      <c r="A10" t="s">
        <v>513</v>
      </c>
      <c r="B10">
        <v>121</v>
      </c>
    </row>
    <row r="11" spans="1:2" x14ac:dyDescent="0.15">
      <c r="A11" t="s">
        <v>320</v>
      </c>
      <c r="B11">
        <v>38</v>
      </c>
    </row>
    <row r="12" spans="1:2" x14ac:dyDescent="0.15">
      <c r="A12" t="s">
        <v>276</v>
      </c>
      <c r="B12">
        <v>84</v>
      </c>
    </row>
    <row r="13" spans="1:2" x14ac:dyDescent="0.15">
      <c r="A13" t="s">
        <v>282</v>
      </c>
      <c r="B13">
        <v>83</v>
      </c>
    </row>
    <row r="14" spans="1:2" x14ac:dyDescent="0.15">
      <c r="A14" t="s">
        <v>308</v>
      </c>
      <c r="B14">
        <v>97</v>
      </c>
    </row>
    <row r="15" spans="1:2" x14ac:dyDescent="0.15">
      <c r="A15" t="s">
        <v>292</v>
      </c>
      <c r="B15">
        <v>82</v>
      </c>
    </row>
    <row r="16" spans="1:2" x14ac:dyDescent="0.15">
      <c r="A16" t="s">
        <v>366</v>
      </c>
      <c r="B16">
        <v>4</v>
      </c>
    </row>
    <row r="17" spans="1:2" x14ac:dyDescent="0.15">
      <c r="A17" t="s">
        <v>368</v>
      </c>
      <c r="B17">
        <v>3</v>
      </c>
    </row>
    <row r="18" spans="1:2" x14ac:dyDescent="0.15">
      <c r="A18" t="s">
        <v>514</v>
      </c>
      <c r="B18">
        <v>23</v>
      </c>
    </row>
    <row r="19" spans="1:2" x14ac:dyDescent="0.15">
      <c r="A19" t="s">
        <v>272</v>
      </c>
      <c r="B19">
        <v>81</v>
      </c>
    </row>
    <row r="20" spans="1:2" x14ac:dyDescent="0.15">
      <c r="A20" t="s">
        <v>378</v>
      </c>
      <c r="B20">
        <v>49</v>
      </c>
    </row>
    <row r="21" spans="1:2" x14ac:dyDescent="0.15">
      <c r="A21" t="s">
        <v>288</v>
      </c>
      <c r="B21">
        <v>80</v>
      </c>
    </row>
    <row r="22" spans="1:2" x14ac:dyDescent="0.15">
      <c r="A22" t="s">
        <v>294</v>
      </c>
      <c r="B22">
        <v>79</v>
      </c>
    </row>
    <row r="23" spans="1:2" x14ac:dyDescent="0.15">
      <c r="A23" t="s">
        <v>363</v>
      </c>
      <c r="B23">
        <v>15</v>
      </c>
    </row>
    <row r="24" spans="1:2" x14ac:dyDescent="0.15">
      <c r="A24" t="s">
        <v>351</v>
      </c>
      <c r="B24">
        <v>14</v>
      </c>
    </row>
    <row r="25" spans="1:2" x14ac:dyDescent="0.15">
      <c r="A25" t="s">
        <v>342</v>
      </c>
      <c r="B25">
        <v>22</v>
      </c>
    </row>
    <row r="26" spans="1:2" x14ac:dyDescent="0.15">
      <c r="A26" t="s">
        <v>341</v>
      </c>
      <c r="B26">
        <v>98</v>
      </c>
    </row>
    <row r="27" spans="1:2" x14ac:dyDescent="0.15">
      <c r="A27" t="s">
        <v>278</v>
      </c>
      <c r="B27">
        <v>78</v>
      </c>
    </row>
    <row r="28" spans="1:2" x14ac:dyDescent="0.15">
      <c r="A28" t="s">
        <v>284</v>
      </c>
      <c r="B28">
        <v>77</v>
      </c>
    </row>
    <row r="29" spans="1:2" x14ac:dyDescent="0.15">
      <c r="A29" t="s">
        <v>380</v>
      </c>
      <c r="B29">
        <v>48</v>
      </c>
    </row>
    <row r="30" spans="1:2" x14ac:dyDescent="0.15">
      <c r="A30" t="s">
        <v>382</v>
      </c>
      <c r="B30">
        <v>47</v>
      </c>
    </row>
    <row r="31" spans="1:2" x14ac:dyDescent="0.15">
      <c r="A31" t="s">
        <v>274</v>
      </c>
      <c r="B31">
        <v>76</v>
      </c>
    </row>
    <row r="32" spans="1:2" x14ac:dyDescent="0.15">
      <c r="A32" t="s">
        <v>280</v>
      </c>
      <c r="B32">
        <v>75</v>
      </c>
    </row>
    <row r="33" spans="1:2" x14ac:dyDescent="0.15">
      <c r="A33" t="s">
        <v>306</v>
      </c>
      <c r="B33">
        <v>96</v>
      </c>
    </row>
    <row r="34" spans="1:2" x14ac:dyDescent="0.15">
      <c r="A34" t="s">
        <v>509</v>
      </c>
      <c r="B34">
        <v>74</v>
      </c>
    </row>
    <row r="35" spans="1:2" x14ac:dyDescent="0.15">
      <c r="A35" t="s">
        <v>337</v>
      </c>
      <c r="B35">
        <v>37</v>
      </c>
    </row>
    <row r="36" spans="1:2" x14ac:dyDescent="0.15">
      <c r="A36" t="s">
        <v>515</v>
      </c>
      <c r="B36">
        <v>36</v>
      </c>
    </row>
    <row r="37" spans="1:2" x14ac:dyDescent="0.15">
      <c r="A37" t="s">
        <v>330</v>
      </c>
      <c r="B37">
        <v>35</v>
      </c>
    </row>
    <row r="38" spans="1:2" x14ac:dyDescent="0.15">
      <c r="A38" t="s">
        <v>516</v>
      </c>
      <c r="B38">
        <v>34</v>
      </c>
    </row>
    <row r="39" spans="1:2" x14ac:dyDescent="0.15">
      <c r="A39" t="s">
        <v>332</v>
      </c>
      <c r="B39">
        <v>33</v>
      </c>
    </row>
    <row r="40" spans="1:2" x14ac:dyDescent="0.15">
      <c r="A40" t="s">
        <v>517</v>
      </c>
      <c r="B40">
        <v>32</v>
      </c>
    </row>
    <row r="41" spans="1:2" x14ac:dyDescent="0.15">
      <c r="A41" t="s">
        <v>353</v>
      </c>
      <c r="B41">
        <v>13</v>
      </c>
    </row>
    <row r="42" spans="1:2" x14ac:dyDescent="0.15">
      <c r="A42" t="s">
        <v>355</v>
      </c>
      <c r="B42">
        <v>12</v>
      </c>
    </row>
    <row r="43" spans="1:2" x14ac:dyDescent="0.15">
      <c r="A43" t="s">
        <v>260</v>
      </c>
      <c r="B43">
        <v>107</v>
      </c>
    </row>
    <row r="44" spans="1:2" x14ac:dyDescent="0.15">
      <c r="A44" t="s">
        <v>518</v>
      </c>
      <c r="B44">
        <v>114</v>
      </c>
    </row>
    <row r="45" spans="1:2" x14ac:dyDescent="0.15">
      <c r="A45" t="s">
        <v>250</v>
      </c>
      <c r="B45">
        <v>73</v>
      </c>
    </row>
    <row r="46" spans="1:2" x14ac:dyDescent="0.15">
      <c r="A46" t="s">
        <v>251</v>
      </c>
      <c r="B46">
        <v>72</v>
      </c>
    </row>
    <row r="47" spans="1:2" x14ac:dyDescent="0.15">
      <c r="A47" t="s">
        <v>519</v>
      </c>
      <c r="B47">
        <v>111</v>
      </c>
    </row>
    <row r="48" spans="1:2" x14ac:dyDescent="0.15">
      <c r="A48" t="s">
        <v>252</v>
      </c>
      <c r="B48">
        <v>71</v>
      </c>
    </row>
    <row r="49" spans="1:2" x14ac:dyDescent="0.15">
      <c r="A49" t="s">
        <v>296</v>
      </c>
      <c r="B49">
        <v>95</v>
      </c>
    </row>
    <row r="50" spans="1:2" x14ac:dyDescent="0.15">
      <c r="A50" t="s">
        <v>298</v>
      </c>
      <c r="B50">
        <v>94</v>
      </c>
    </row>
    <row r="51" spans="1:2" x14ac:dyDescent="0.15">
      <c r="A51" t="s">
        <v>300</v>
      </c>
      <c r="B51">
        <v>93</v>
      </c>
    </row>
    <row r="52" spans="1:2" x14ac:dyDescent="0.15">
      <c r="A52" t="s">
        <v>328</v>
      </c>
      <c r="B52">
        <v>31</v>
      </c>
    </row>
    <row r="53" spans="1:2" x14ac:dyDescent="0.15">
      <c r="A53" t="s">
        <v>520</v>
      </c>
      <c r="B53">
        <v>30</v>
      </c>
    </row>
    <row r="54" spans="1:2" x14ac:dyDescent="0.15">
      <c r="A54" t="s">
        <v>312</v>
      </c>
      <c r="B54">
        <v>92</v>
      </c>
    </row>
    <row r="55" spans="1:2" x14ac:dyDescent="0.15">
      <c r="A55" t="s">
        <v>316</v>
      </c>
      <c r="B55">
        <v>91</v>
      </c>
    </row>
    <row r="56" spans="1:2" x14ac:dyDescent="0.15">
      <c r="A56" t="s">
        <v>407</v>
      </c>
      <c r="B56">
        <v>101</v>
      </c>
    </row>
    <row r="57" spans="1:2" x14ac:dyDescent="0.15">
      <c r="A57" t="s">
        <v>403</v>
      </c>
      <c r="B57">
        <v>46</v>
      </c>
    </row>
    <row r="58" spans="1:2" x14ac:dyDescent="0.15">
      <c r="A58" t="s">
        <v>405</v>
      </c>
      <c r="B58">
        <v>45</v>
      </c>
    </row>
    <row r="59" spans="1:2" x14ac:dyDescent="0.15">
      <c r="A59" t="s">
        <v>290</v>
      </c>
      <c r="B59">
        <v>70</v>
      </c>
    </row>
    <row r="60" spans="1:2" x14ac:dyDescent="0.15">
      <c r="A60" t="s">
        <v>409</v>
      </c>
      <c r="B60">
        <v>110</v>
      </c>
    </row>
    <row r="61" spans="1:2" x14ac:dyDescent="0.15">
      <c r="A61" t="s">
        <v>399</v>
      </c>
      <c r="B61">
        <v>44</v>
      </c>
    </row>
    <row r="62" spans="1:2" x14ac:dyDescent="0.15">
      <c r="A62" t="s">
        <v>398</v>
      </c>
      <c r="B62">
        <v>43</v>
      </c>
    </row>
    <row r="63" spans="1:2" x14ac:dyDescent="0.15">
      <c r="A63" t="s">
        <v>401</v>
      </c>
      <c r="B63">
        <v>100</v>
      </c>
    </row>
    <row r="64" spans="1:2" x14ac:dyDescent="0.15">
      <c r="A64" t="s">
        <v>388</v>
      </c>
      <c r="B64">
        <v>42</v>
      </c>
    </row>
    <row r="65" spans="1:2" x14ac:dyDescent="0.15">
      <c r="A65" t="s">
        <v>521</v>
      </c>
      <c r="B65">
        <v>113</v>
      </c>
    </row>
    <row r="66" spans="1:2" x14ac:dyDescent="0.15">
      <c r="A66" t="s">
        <v>264</v>
      </c>
      <c r="B66">
        <v>69</v>
      </c>
    </row>
    <row r="67" spans="1:2" x14ac:dyDescent="0.15">
      <c r="A67" t="s">
        <v>262</v>
      </c>
      <c r="B67">
        <v>68</v>
      </c>
    </row>
    <row r="68" spans="1:2" x14ac:dyDescent="0.15">
      <c r="A68" t="s">
        <v>326</v>
      </c>
      <c r="B68">
        <v>29</v>
      </c>
    </row>
    <row r="69" spans="1:2" x14ac:dyDescent="0.15">
      <c r="A69" t="s">
        <v>522</v>
      </c>
      <c r="B69">
        <v>67</v>
      </c>
    </row>
    <row r="70" spans="1:2" x14ac:dyDescent="0.15">
      <c r="A70" t="s">
        <v>523</v>
      </c>
      <c r="B70">
        <v>66</v>
      </c>
    </row>
    <row r="71" spans="1:2" x14ac:dyDescent="0.15">
      <c r="A71" t="s">
        <v>384</v>
      </c>
      <c r="B71">
        <v>41</v>
      </c>
    </row>
    <row r="72" spans="1:2" x14ac:dyDescent="0.15">
      <c r="A72" t="s">
        <v>524</v>
      </c>
      <c r="B72">
        <v>21</v>
      </c>
    </row>
    <row r="73" spans="1:2" x14ac:dyDescent="0.15">
      <c r="A73" t="s">
        <v>525</v>
      </c>
      <c r="B73">
        <v>20</v>
      </c>
    </row>
    <row r="74" spans="1:2" x14ac:dyDescent="0.15">
      <c r="A74" t="s">
        <v>269</v>
      </c>
      <c r="B74">
        <v>65</v>
      </c>
    </row>
    <row r="75" spans="1:2" x14ac:dyDescent="0.15">
      <c r="A75" t="s">
        <v>414</v>
      </c>
      <c r="B75">
        <v>102</v>
      </c>
    </row>
    <row r="76" spans="1:2" x14ac:dyDescent="0.15">
      <c r="A76" t="s">
        <v>321</v>
      </c>
      <c r="B76">
        <v>28</v>
      </c>
    </row>
    <row r="77" spans="1:2" x14ac:dyDescent="0.15">
      <c r="A77" t="s">
        <v>286</v>
      </c>
      <c r="B77">
        <v>64</v>
      </c>
    </row>
    <row r="78" spans="1:2" x14ac:dyDescent="0.15">
      <c r="A78" t="s">
        <v>340</v>
      </c>
      <c r="B78">
        <v>19</v>
      </c>
    </row>
    <row r="79" spans="1:2" x14ac:dyDescent="0.15">
      <c r="A79" t="s">
        <v>338</v>
      </c>
      <c r="B79">
        <v>18</v>
      </c>
    </row>
    <row r="80" spans="1:2" x14ac:dyDescent="0.15">
      <c r="A80" t="s">
        <v>318</v>
      </c>
      <c r="B80">
        <v>90</v>
      </c>
    </row>
    <row r="81" spans="1:2" x14ac:dyDescent="0.15">
      <c r="A81" t="s">
        <v>361</v>
      </c>
      <c r="B81">
        <v>11</v>
      </c>
    </row>
    <row r="82" spans="1:2" x14ac:dyDescent="0.15">
      <c r="A82" t="s">
        <v>357</v>
      </c>
      <c r="B82">
        <v>10</v>
      </c>
    </row>
    <row r="83" spans="1:2" x14ac:dyDescent="0.15">
      <c r="A83" t="s">
        <v>258</v>
      </c>
      <c r="B83">
        <v>63</v>
      </c>
    </row>
    <row r="84" spans="1:2" x14ac:dyDescent="0.15">
      <c r="A84" t="s">
        <v>421</v>
      </c>
      <c r="B84">
        <v>117</v>
      </c>
    </row>
    <row r="85" spans="1:2" x14ac:dyDescent="0.15">
      <c r="A85" t="s">
        <v>526</v>
      </c>
      <c r="B85">
        <v>62</v>
      </c>
    </row>
    <row r="86" spans="1:2" x14ac:dyDescent="0.15">
      <c r="A86" t="s">
        <v>367</v>
      </c>
      <c r="B86">
        <v>2</v>
      </c>
    </row>
    <row r="87" spans="1:2" x14ac:dyDescent="0.15">
      <c r="A87" t="s">
        <v>369</v>
      </c>
      <c r="B87">
        <v>1</v>
      </c>
    </row>
    <row r="88" spans="1:2" x14ac:dyDescent="0.15">
      <c r="A88" t="s">
        <v>527</v>
      </c>
      <c r="B88">
        <v>112</v>
      </c>
    </row>
    <row r="89" spans="1:2" x14ac:dyDescent="0.15">
      <c r="A89" t="s">
        <v>528</v>
      </c>
      <c r="B89">
        <v>61</v>
      </c>
    </row>
    <row r="90" spans="1:2" x14ac:dyDescent="0.15">
      <c r="A90" t="s">
        <v>365</v>
      </c>
      <c r="B90">
        <v>9</v>
      </c>
    </row>
    <row r="91" spans="1:2" x14ac:dyDescent="0.15">
      <c r="A91" t="s">
        <v>359</v>
      </c>
      <c r="B91">
        <v>8</v>
      </c>
    </row>
    <row r="92" spans="1:2" x14ac:dyDescent="0.15">
      <c r="A92" t="s">
        <v>343</v>
      </c>
      <c r="B92">
        <v>17</v>
      </c>
    </row>
    <row r="93" spans="1:2" x14ac:dyDescent="0.15">
      <c r="A93" t="s">
        <v>339</v>
      </c>
      <c r="B93">
        <v>16</v>
      </c>
    </row>
    <row r="94" spans="1:2" x14ac:dyDescent="0.15">
      <c r="A94" t="s">
        <v>254</v>
      </c>
      <c r="B94">
        <v>60</v>
      </c>
    </row>
    <row r="95" spans="1:2" x14ac:dyDescent="0.15">
      <c r="A95" t="s">
        <v>420</v>
      </c>
      <c r="B95">
        <v>116</v>
      </c>
    </row>
    <row r="96" spans="1:2" x14ac:dyDescent="0.15">
      <c r="A96" t="s">
        <v>270</v>
      </c>
      <c r="B96">
        <v>115</v>
      </c>
    </row>
    <row r="97" spans="1:2" x14ac:dyDescent="0.15">
      <c r="A97" t="s">
        <v>529</v>
      </c>
      <c r="B97">
        <v>120</v>
      </c>
    </row>
    <row r="98" spans="1:2" x14ac:dyDescent="0.15">
      <c r="A98" t="s">
        <v>302</v>
      </c>
      <c r="B98">
        <v>89</v>
      </c>
    </row>
    <row r="99" spans="1:2" x14ac:dyDescent="0.15">
      <c r="A99" t="s">
        <v>345</v>
      </c>
      <c r="B99">
        <v>7</v>
      </c>
    </row>
    <row r="100" spans="1:2" x14ac:dyDescent="0.15">
      <c r="A100" t="s">
        <v>349</v>
      </c>
      <c r="B100">
        <v>6</v>
      </c>
    </row>
    <row r="101" spans="1:2" x14ac:dyDescent="0.15">
      <c r="A101" t="s">
        <v>347</v>
      </c>
      <c r="B101">
        <v>5</v>
      </c>
    </row>
    <row r="102" spans="1:2" x14ac:dyDescent="0.15">
      <c r="A102" t="s">
        <v>386</v>
      </c>
      <c r="B102">
        <v>40</v>
      </c>
    </row>
    <row r="103" spans="1:2" x14ac:dyDescent="0.15">
      <c r="A103" t="s">
        <v>310</v>
      </c>
      <c r="B103">
        <v>88</v>
      </c>
    </row>
    <row r="104" spans="1:2" x14ac:dyDescent="0.15">
      <c r="A104" t="s">
        <v>314</v>
      </c>
      <c r="B104">
        <v>87</v>
      </c>
    </row>
    <row r="105" spans="1:2" x14ac:dyDescent="0.15">
      <c r="A105" t="s">
        <v>335</v>
      </c>
      <c r="B105">
        <v>27</v>
      </c>
    </row>
    <row r="106" spans="1:2" x14ac:dyDescent="0.15">
      <c r="A106" t="s">
        <v>530</v>
      </c>
      <c r="B106">
        <v>26</v>
      </c>
    </row>
    <row r="107" spans="1:2" x14ac:dyDescent="0.15">
      <c r="A107" t="s">
        <v>531</v>
      </c>
      <c r="B107">
        <v>59</v>
      </c>
    </row>
    <row r="108" spans="1:2" x14ac:dyDescent="0.15">
      <c r="A108" t="s">
        <v>394</v>
      </c>
      <c r="B108">
        <v>104</v>
      </c>
    </row>
    <row r="109" spans="1:2" x14ac:dyDescent="0.15">
      <c r="A109" t="s">
        <v>390</v>
      </c>
      <c r="B109">
        <v>39</v>
      </c>
    </row>
    <row r="110" spans="1:2" x14ac:dyDescent="0.15">
      <c r="A110" t="s">
        <v>268</v>
      </c>
      <c r="B110">
        <v>58</v>
      </c>
    </row>
    <row r="111" spans="1:2" x14ac:dyDescent="0.15">
      <c r="A111" t="s">
        <v>266</v>
      </c>
      <c r="B111">
        <v>57</v>
      </c>
    </row>
    <row r="112" spans="1:2" x14ac:dyDescent="0.15">
      <c r="A112" t="s">
        <v>415</v>
      </c>
      <c r="B112">
        <v>25</v>
      </c>
    </row>
    <row r="113" spans="1:2" x14ac:dyDescent="0.15">
      <c r="A113" t="s">
        <v>532</v>
      </c>
      <c r="B113">
        <v>56</v>
      </c>
    </row>
    <row r="114" spans="1:2" x14ac:dyDescent="0.15">
      <c r="A114" t="s">
        <v>323</v>
      </c>
      <c r="B114">
        <v>24</v>
      </c>
    </row>
    <row r="115" spans="1:2" x14ac:dyDescent="0.15">
      <c r="A115" t="s">
        <v>533</v>
      </c>
      <c r="B115">
        <v>55</v>
      </c>
    </row>
    <row r="116" spans="1:2" x14ac:dyDescent="0.15">
      <c r="A116" t="s">
        <v>534</v>
      </c>
      <c r="B116">
        <v>54</v>
      </c>
    </row>
    <row r="117" spans="1:2" x14ac:dyDescent="0.15">
      <c r="A117" t="s">
        <v>535</v>
      </c>
      <c r="B117">
        <v>53</v>
      </c>
    </row>
    <row r="118" spans="1:2" x14ac:dyDescent="0.15">
      <c r="A118" t="s">
        <v>256</v>
      </c>
      <c r="B118">
        <v>52</v>
      </c>
    </row>
    <row r="119" spans="1:2" x14ac:dyDescent="0.15">
      <c r="A119" t="s">
        <v>304</v>
      </c>
      <c r="B119">
        <v>86</v>
      </c>
    </row>
    <row r="120" spans="1:2" x14ac:dyDescent="0.15">
      <c r="A120" t="s">
        <v>536</v>
      </c>
      <c r="B120">
        <v>109</v>
      </c>
    </row>
    <row r="121" spans="1:2" x14ac:dyDescent="0.15">
      <c r="A121" t="s">
        <v>344</v>
      </c>
      <c r="B121">
        <v>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60"/>
  <sheetViews>
    <sheetView topLeftCell="F1" workbookViewId="0">
      <pane ySplit="1" topLeftCell="A30" activePane="bottomLeft" state="frozen"/>
      <selection pane="bottomLeft" activeCell="T4" sqref="T4:T55"/>
    </sheetView>
  </sheetViews>
  <sheetFormatPr baseColWidth="10" defaultColWidth="11.5" defaultRowHeight="13" x14ac:dyDescent="0.15"/>
  <cols>
    <col min="1" max="1" width="39.5" style="32" customWidth="1"/>
    <col min="2" max="2" width="9" style="32" bestFit="1" customWidth="1"/>
    <col min="3" max="3" width="9" style="32" customWidth="1"/>
    <col min="4" max="4" width="67.5" style="33" customWidth="1"/>
    <col min="5" max="5" width="11.33203125" style="34" customWidth="1"/>
    <col min="6" max="6" width="13.5" style="201" customWidth="1"/>
    <col min="7" max="7" width="9.6640625" style="201" customWidth="1"/>
    <col min="8" max="8" width="9.6640625" style="201" bestFit="1" customWidth="1"/>
    <col min="9" max="9" width="10.5" style="210" bestFit="1" customWidth="1"/>
    <col min="10" max="10" width="9.1640625" style="33" bestFit="1" customWidth="1"/>
    <col min="11" max="11" width="11.6640625" style="210" bestFit="1" customWidth="1"/>
    <col min="12" max="12" width="7.5" style="33" bestFit="1" customWidth="1"/>
    <col min="13" max="13" width="11.5" style="210"/>
    <col min="14" max="14" width="7.5" style="33" bestFit="1" customWidth="1"/>
    <col min="15" max="15" width="9.5" style="33" customWidth="1"/>
    <col min="16" max="16" width="7.5" style="33" customWidth="1"/>
    <col min="17" max="17" width="4.5" style="33" customWidth="1"/>
    <col min="18" max="18" width="11.5" style="33"/>
    <col min="19" max="19" width="3.33203125" style="33" customWidth="1"/>
    <col min="20" max="16384" width="11.5" style="33"/>
  </cols>
  <sheetData>
    <row r="1" spans="1:20" ht="57" thickBot="1" x14ac:dyDescent="0.2">
      <c r="A1" s="111"/>
      <c r="B1" s="160"/>
      <c r="C1" s="160"/>
      <c r="D1" s="112" t="s">
        <v>78</v>
      </c>
      <c r="E1" s="113" t="s">
        <v>108</v>
      </c>
      <c r="F1" s="216" t="s">
        <v>40</v>
      </c>
      <c r="G1" s="216" t="s">
        <v>85</v>
      </c>
      <c r="H1" s="216" t="s">
        <v>86</v>
      </c>
      <c r="I1" s="215" t="s">
        <v>133</v>
      </c>
      <c r="J1" s="113" t="s">
        <v>141</v>
      </c>
      <c r="K1" s="215" t="s">
        <v>134</v>
      </c>
      <c r="L1" s="113" t="s">
        <v>141</v>
      </c>
      <c r="M1" s="215" t="s">
        <v>145</v>
      </c>
      <c r="N1" s="113" t="s">
        <v>141</v>
      </c>
      <c r="O1" s="113" t="s">
        <v>135</v>
      </c>
      <c r="P1" s="114" t="s">
        <v>141</v>
      </c>
      <c r="R1" s="312" t="s">
        <v>501</v>
      </c>
    </row>
    <row r="2" spans="1:20" ht="14" thickBot="1" x14ac:dyDescent="0.2">
      <c r="A2" s="327" t="s">
        <v>418</v>
      </c>
      <c r="B2" s="328"/>
      <c r="C2" s="328"/>
      <c r="D2" s="329"/>
      <c r="E2" s="329"/>
      <c r="F2" s="329"/>
      <c r="G2" s="329"/>
      <c r="H2" s="329"/>
      <c r="I2" s="329"/>
      <c r="J2" s="329"/>
      <c r="K2" s="329"/>
      <c r="L2" s="329"/>
      <c r="M2" s="329"/>
      <c r="N2" s="329"/>
      <c r="O2" s="329"/>
      <c r="P2" s="330"/>
      <c r="R2" s="94"/>
    </row>
    <row r="3" spans="1:20" ht="14" thickBot="1" x14ac:dyDescent="0.2">
      <c r="A3" s="327" t="s">
        <v>161</v>
      </c>
      <c r="B3" s="328"/>
      <c r="C3" s="328"/>
      <c r="D3" s="329"/>
      <c r="E3" s="329"/>
      <c r="F3" s="329"/>
      <c r="G3" s="329"/>
      <c r="H3" s="329"/>
      <c r="I3" s="329"/>
      <c r="J3" s="329"/>
      <c r="K3" s="329"/>
      <c r="L3" s="329"/>
      <c r="M3" s="329"/>
      <c r="N3" s="329"/>
      <c r="O3" s="329"/>
      <c r="P3" s="330"/>
      <c r="R3" s="94"/>
    </row>
    <row r="4" spans="1:20" ht="71" thickBot="1" x14ac:dyDescent="0.25">
      <c r="A4" s="150" t="s">
        <v>161</v>
      </c>
      <c r="B4" s="161" t="s">
        <v>345</v>
      </c>
      <c r="C4" s="322">
        <f>IFERROR(VLOOKUP(B4,IDS!$A$1:$B$121,2,0),"")</f>
        <v>7</v>
      </c>
      <c r="D4" s="44" t="s">
        <v>221</v>
      </c>
      <c r="E4" s="46">
        <v>263</v>
      </c>
      <c r="F4" s="217">
        <f>G4-E4</f>
        <v>2237</v>
      </c>
      <c r="G4" s="218">
        <v>2500</v>
      </c>
      <c r="H4" s="219">
        <f>(G4*0.16)+G4</f>
        <v>2900</v>
      </c>
      <c r="I4" s="206">
        <f>F4*0.1</f>
        <v>223.70000000000002</v>
      </c>
      <c r="J4" s="335">
        <f>IFERROR(ROUND(I4/$F4*100,0),0)</f>
        <v>10</v>
      </c>
      <c r="K4" s="206">
        <f>F4*0.05</f>
        <v>111.85000000000001</v>
      </c>
      <c r="L4" s="335">
        <f>IFERROR(ROUND(K4/$F4*100,0),0)</f>
        <v>5</v>
      </c>
      <c r="M4" s="206">
        <f>F4*0.02</f>
        <v>44.74</v>
      </c>
      <c r="N4" s="335">
        <f>IFERROR(ROUND(M4/$F4*100,0),0)</f>
        <v>2</v>
      </c>
      <c r="O4" s="105">
        <f>(F4-I4-K4)</f>
        <v>1901.45</v>
      </c>
      <c r="P4" s="335">
        <f>IFERROR(O4/F4*100,0)</f>
        <v>85</v>
      </c>
      <c r="R4" s="214">
        <f>I4-M4</f>
        <v>178.96</v>
      </c>
      <c r="T4" s="33" t="str">
        <f>IF(C4="","",CONCATENATE("update catalogo_servicios set costo =",G4,", costo_servicio=",E4,", honorarios=",F4,", utilidad=",O4,", comision_venta = 'Porcentaje', comision_operativa='Porcentaje', comision_gestion='Porcentaje', comision_venta_monto=",I4,", porcentaje_venta=",J4,", comision_operativa_monto=",K4,", porcentaje_operativa=",L4,", comision_gestion_monto=",M4,", porcentaje_gestion=",N4,", porcentaje_utilidad=",P4," where id=",C4,";"))</f>
        <v>update catalogo_servicios set costo =2500, costo_servicio=263, honorarios=2237, utilidad=1901.45, comision_venta = 'Porcentaje', comision_operativa='Porcentaje', comision_gestion='Porcentaje', comision_venta_monto=223.7, porcentaje_venta=10, comision_operativa_monto=111.85, porcentaje_operativa=5, comision_gestion_monto=44.74, porcentaje_gestion=2, porcentaje_utilidad=85 where id=7;</v>
      </c>
    </row>
    <row r="5" spans="1:20" ht="31" thickBot="1" x14ac:dyDescent="0.25">
      <c r="A5" s="162" t="s">
        <v>346</v>
      </c>
      <c r="B5" s="161" t="s">
        <v>347</v>
      </c>
      <c r="C5" s="322">
        <f>IFERROR(VLOOKUP(B5,IDS!$A$1:$B$121,2,0),"")</f>
        <v>5</v>
      </c>
      <c r="D5" s="4" t="s">
        <v>219</v>
      </c>
      <c r="E5" s="41">
        <v>263</v>
      </c>
      <c r="F5" s="195">
        <f>G5-E5</f>
        <v>5037</v>
      </c>
      <c r="G5" s="220">
        <v>5300</v>
      </c>
      <c r="H5" s="221">
        <f>(G5*0.16)+G5</f>
        <v>6148</v>
      </c>
      <c r="I5" s="206">
        <f>F5*0.1</f>
        <v>503.70000000000005</v>
      </c>
      <c r="J5" s="335">
        <f t="shared" ref="J5:J55" si="0">IFERROR(ROUND(I5/$F5*100,0),0)</f>
        <v>10</v>
      </c>
      <c r="K5" s="206">
        <f t="shared" ref="K5:K43" si="1">F5*0.05</f>
        <v>251.85000000000002</v>
      </c>
      <c r="L5" s="335">
        <f t="shared" ref="L5:L55" si="2">IFERROR(ROUND(K5/$F5*100,0),0)</f>
        <v>5</v>
      </c>
      <c r="M5" s="206">
        <f t="shared" ref="M5:M43" si="3">F5*0.02</f>
        <v>100.74000000000001</v>
      </c>
      <c r="N5" s="335">
        <f t="shared" ref="N5:N55" si="4">IFERROR(ROUND(M5/$F5*100,0),0)</f>
        <v>2</v>
      </c>
      <c r="O5" s="103">
        <f>(F5-I5-K5)</f>
        <v>4281.45</v>
      </c>
      <c r="P5" s="335">
        <f t="shared" ref="P5:P55" si="5">IFERROR(O5/F5*100,0)</f>
        <v>85</v>
      </c>
      <c r="R5" s="214">
        <f t="shared" ref="R5:R55" si="6">I5-M5</f>
        <v>402.96000000000004</v>
      </c>
      <c r="T5" s="33" t="str">
        <f t="shared" ref="T5:T55" si="7">IF(C5="","",CONCATENATE("update catalogo_servicios set costo =",G5,", costo_servicio=",E5,", honorarios=",F5,", utilidad=",O5,", comision_venta = 'Porcentaje', comision_operativa='Porcentaje', comision_gestion='Porcentaje', comision_venta_monto=",I5,", porcentaje_venta=",J5,", comision_operativa_monto=",K5,", porcentaje_operativa=",L5,", comision_gestion_monto=",M5,", porcentaje_gestion=",N5,", porcentaje_utilidad=",P5," where id=",C5,";"))</f>
        <v>update catalogo_servicios set costo =5300, costo_servicio=263, honorarios=5037, utilidad=4281.45, comision_venta = 'Porcentaje', comision_operativa='Porcentaje', comision_gestion='Porcentaje', comision_venta_monto=503.7, porcentaje_venta=10, comision_operativa_monto=251.85, porcentaje_operativa=5, comision_gestion_monto=100.74, porcentaje_gestion=2, porcentaje_utilidad=85 where id=5;</v>
      </c>
    </row>
    <row r="6" spans="1:20" ht="16" thickBot="1" x14ac:dyDescent="0.25">
      <c r="A6" s="162" t="s">
        <v>348</v>
      </c>
      <c r="B6" s="161" t="s">
        <v>349</v>
      </c>
      <c r="C6" s="322">
        <f>IFERROR(VLOOKUP(B6,IDS!$A$1:$B$121,2,0),"")</f>
        <v>6</v>
      </c>
      <c r="D6" s="4" t="s">
        <v>220</v>
      </c>
      <c r="E6" s="41">
        <v>263</v>
      </c>
      <c r="F6" s="195">
        <f>G6-E6</f>
        <v>6037</v>
      </c>
      <c r="G6" s="220">
        <v>6300</v>
      </c>
      <c r="H6" s="221">
        <f>(G6*0.16)+G6</f>
        <v>7308</v>
      </c>
      <c r="I6" s="206">
        <f>F6*0.1</f>
        <v>603.70000000000005</v>
      </c>
      <c r="J6" s="335">
        <f t="shared" si="0"/>
        <v>10</v>
      </c>
      <c r="K6" s="206">
        <f t="shared" si="1"/>
        <v>301.85000000000002</v>
      </c>
      <c r="L6" s="335">
        <f t="shared" si="2"/>
        <v>5</v>
      </c>
      <c r="M6" s="206">
        <f t="shared" si="3"/>
        <v>120.74000000000001</v>
      </c>
      <c r="N6" s="335">
        <f t="shared" si="4"/>
        <v>2</v>
      </c>
      <c r="O6" s="103">
        <f>(F6-I6-K6)</f>
        <v>5131.45</v>
      </c>
      <c r="P6" s="335">
        <f t="shared" si="5"/>
        <v>85</v>
      </c>
      <c r="R6" s="214">
        <f t="shared" si="6"/>
        <v>482.96000000000004</v>
      </c>
      <c r="T6" s="33" t="str">
        <f t="shared" si="7"/>
        <v>update catalogo_servicios set costo =6300, costo_servicio=263, honorarios=6037, utilidad=5131.45, comision_venta = 'Porcentaje', comision_operativa='Porcentaje', comision_gestion='Porcentaje', comision_venta_monto=603.7, porcentaje_venta=10, comision_operativa_monto=301.85, porcentaje_operativa=5, comision_gestion_monto=120.74, porcentaje_gestion=2, porcentaje_utilidad=85 where id=6;</v>
      </c>
    </row>
    <row r="7" spans="1:20" ht="16" thickBot="1" x14ac:dyDescent="0.25">
      <c r="A7" s="162" t="s">
        <v>350</v>
      </c>
      <c r="B7" s="161" t="s">
        <v>351</v>
      </c>
      <c r="C7" s="322">
        <f>IFERROR(VLOOKUP(B7,IDS!$A$1:$B$121,2,0),"")</f>
        <v>14</v>
      </c>
      <c r="D7" s="13" t="s">
        <v>222</v>
      </c>
      <c r="E7" s="45">
        <v>0</v>
      </c>
      <c r="F7" s="222">
        <f>G7-E7</f>
        <v>1000</v>
      </c>
      <c r="G7" s="223">
        <v>1000</v>
      </c>
      <c r="H7" s="224">
        <f>(G7*0.16)+G7</f>
        <v>1160</v>
      </c>
      <c r="I7" s="206">
        <f>F7*0.1</f>
        <v>100</v>
      </c>
      <c r="J7" s="335">
        <f t="shared" si="0"/>
        <v>10</v>
      </c>
      <c r="K7" s="206">
        <f t="shared" si="1"/>
        <v>50</v>
      </c>
      <c r="L7" s="335">
        <f t="shared" si="2"/>
        <v>5</v>
      </c>
      <c r="M7" s="206">
        <f t="shared" si="3"/>
        <v>20</v>
      </c>
      <c r="N7" s="335">
        <f t="shared" si="4"/>
        <v>2</v>
      </c>
      <c r="O7" s="104">
        <f>(F7-I7-K7)</f>
        <v>850</v>
      </c>
      <c r="P7" s="335">
        <f t="shared" si="5"/>
        <v>85</v>
      </c>
      <c r="R7" s="214">
        <f t="shared" si="6"/>
        <v>80</v>
      </c>
      <c r="T7" s="33" t="str">
        <f t="shared" si="7"/>
        <v>update catalogo_servicios set costo =1000, costo_servicio=0, honorarios=1000, utilidad=850, comision_venta = 'Porcentaje', comision_operativa='Porcentaje', comision_gestion='Porcentaje', comision_venta_monto=100, porcentaje_venta=10, comision_operativa_monto=50, porcentaje_operativa=5, comision_gestion_monto=20, porcentaje_gestion=2, porcentaje_utilidad=85 where id=14;</v>
      </c>
    </row>
    <row r="8" spans="1:20" ht="16" thickBot="1" x14ac:dyDescent="0.25">
      <c r="A8" s="162" t="s">
        <v>413</v>
      </c>
      <c r="B8" s="161" t="s">
        <v>414</v>
      </c>
      <c r="C8" s="322">
        <f>IFERROR(VLOOKUP(B8,IDS!$A$1:$B$121,2,0),"")</f>
        <v>102</v>
      </c>
      <c r="D8" s="13" t="s">
        <v>413</v>
      </c>
      <c r="E8" s="45">
        <v>300</v>
      </c>
      <c r="F8" s="222">
        <f>G8-E8</f>
        <v>0</v>
      </c>
      <c r="G8" s="223">
        <v>300</v>
      </c>
      <c r="H8" s="224">
        <f>(G8*0.16)+G8</f>
        <v>348</v>
      </c>
      <c r="I8" s="206">
        <f>F8*0.1</f>
        <v>0</v>
      </c>
      <c r="J8" s="335">
        <f t="shared" si="0"/>
        <v>0</v>
      </c>
      <c r="K8" s="206">
        <f t="shared" si="1"/>
        <v>0</v>
      </c>
      <c r="L8" s="335">
        <f t="shared" si="2"/>
        <v>0</v>
      </c>
      <c r="M8" s="206">
        <f t="shared" si="3"/>
        <v>0</v>
      </c>
      <c r="N8" s="335">
        <f t="shared" si="4"/>
        <v>0</v>
      </c>
      <c r="O8" s="104">
        <f>(F8-I8-K8)</f>
        <v>0</v>
      </c>
      <c r="P8" s="335">
        <f t="shared" si="5"/>
        <v>0</v>
      </c>
      <c r="R8" s="214">
        <f t="shared" si="6"/>
        <v>0</v>
      </c>
      <c r="T8" s="33" t="str">
        <f t="shared" si="7"/>
        <v>update catalogo_servicios set costo =300, costo_servicio=300, honorarios=0, utilidad=0, comision_venta = 'Porcentaje', comision_operativa='Porcentaje', comision_gestion='Porcentaje', comision_venta_monto=0, porcentaje_venta=0, comision_operativa_monto=0, porcentaje_operativa=0, comision_gestion_monto=0, porcentaje_gestion=0, porcentaje_utilidad=0 where id=102;</v>
      </c>
    </row>
    <row r="9" spans="1:20" ht="15" thickBot="1" x14ac:dyDescent="0.25">
      <c r="A9" s="331" t="s">
        <v>162</v>
      </c>
      <c r="B9" s="332"/>
      <c r="C9" s="322" t="str">
        <f>IFERROR(VLOOKUP(B9,IDS!$A$1:$B$121,2,0),"")</f>
        <v/>
      </c>
      <c r="D9" s="332"/>
      <c r="E9" s="332"/>
      <c r="F9" s="332"/>
      <c r="G9" s="332"/>
      <c r="H9" s="332"/>
      <c r="I9" s="332"/>
      <c r="J9" s="335">
        <f t="shared" si="0"/>
        <v>0</v>
      </c>
      <c r="K9" s="332"/>
      <c r="L9" s="335">
        <f t="shared" si="2"/>
        <v>0</v>
      </c>
      <c r="M9" s="332"/>
      <c r="N9" s="335">
        <f t="shared" si="4"/>
        <v>0</v>
      </c>
      <c r="O9" s="332"/>
      <c r="P9" s="335">
        <f t="shared" si="5"/>
        <v>0</v>
      </c>
      <c r="R9" s="214">
        <f t="shared" si="6"/>
        <v>0</v>
      </c>
      <c r="T9" s="33" t="str">
        <f t="shared" si="7"/>
        <v/>
      </c>
    </row>
    <row r="10" spans="1:20" ht="14" x14ac:dyDescent="0.2">
      <c r="A10" s="47"/>
      <c r="B10" s="147"/>
      <c r="C10" s="322" t="str">
        <f>IFERROR(VLOOKUP(B10,IDS!$A$1:$B$121,2,0),"")</f>
        <v/>
      </c>
      <c r="D10" s="48" t="s">
        <v>46</v>
      </c>
      <c r="E10" s="110">
        <v>1238</v>
      </c>
      <c r="F10" s="195">
        <f t="shared" ref="F10:F21" si="8">G10-E10</f>
        <v>0</v>
      </c>
      <c r="G10" s="225">
        <v>1238</v>
      </c>
      <c r="H10" s="226">
        <f t="shared" ref="H10:H21" si="9">(G10*0.16)+G10</f>
        <v>1436.08</v>
      </c>
      <c r="I10" s="206">
        <f t="shared" ref="I10:I21" si="10">F10*0.1</f>
        <v>0</v>
      </c>
      <c r="J10" s="335">
        <f t="shared" si="0"/>
        <v>0</v>
      </c>
      <c r="K10" s="206">
        <f t="shared" si="1"/>
        <v>0</v>
      </c>
      <c r="L10" s="335">
        <f t="shared" si="2"/>
        <v>0</v>
      </c>
      <c r="M10" s="206">
        <f t="shared" si="3"/>
        <v>0</v>
      </c>
      <c r="N10" s="335">
        <f t="shared" si="4"/>
        <v>0</v>
      </c>
      <c r="O10" s="108">
        <f t="shared" ref="O10:O21" si="11">(F10-I10-K10)</f>
        <v>0</v>
      </c>
      <c r="P10" s="335">
        <f t="shared" si="5"/>
        <v>0</v>
      </c>
      <c r="R10" s="214">
        <f t="shared" si="6"/>
        <v>0</v>
      </c>
      <c r="T10" s="33" t="str">
        <f t="shared" si="7"/>
        <v/>
      </c>
    </row>
    <row r="11" spans="1:20" ht="14" x14ac:dyDescent="0.2">
      <c r="A11" s="22"/>
      <c r="B11" s="144"/>
      <c r="C11" s="322" t="str">
        <f>IFERROR(VLOOKUP(B11,IDS!$A$1:$B$121,2,0),"")</f>
        <v/>
      </c>
      <c r="D11" s="4" t="s">
        <v>47</v>
      </c>
      <c r="E11" s="41">
        <v>781</v>
      </c>
      <c r="F11" s="195">
        <f t="shared" si="8"/>
        <v>0</v>
      </c>
      <c r="G11" s="227">
        <v>781</v>
      </c>
      <c r="H11" s="221">
        <f t="shared" si="9"/>
        <v>905.96</v>
      </c>
      <c r="I11" s="206">
        <f t="shared" si="10"/>
        <v>0</v>
      </c>
      <c r="J11" s="335">
        <f t="shared" si="0"/>
        <v>0</v>
      </c>
      <c r="K11" s="206">
        <f t="shared" si="1"/>
        <v>0</v>
      </c>
      <c r="L11" s="335">
        <f t="shared" si="2"/>
        <v>0</v>
      </c>
      <c r="M11" s="206">
        <f t="shared" si="3"/>
        <v>0</v>
      </c>
      <c r="N11" s="335">
        <f t="shared" si="4"/>
        <v>0</v>
      </c>
      <c r="O11" s="103">
        <f t="shared" si="11"/>
        <v>0</v>
      </c>
      <c r="P11" s="335">
        <f t="shared" si="5"/>
        <v>0</v>
      </c>
      <c r="R11" s="214">
        <f t="shared" si="6"/>
        <v>0</v>
      </c>
      <c r="T11" s="33" t="str">
        <f t="shared" si="7"/>
        <v/>
      </c>
    </row>
    <row r="12" spans="1:20" ht="14" x14ac:dyDescent="0.2">
      <c r="A12" s="22"/>
      <c r="B12" s="144"/>
      <c r="C12" s="322" t="str">
        <f>IFERROR(VLOOKUP(B12,IDS!$A$1:$B$121,2,0),"")</f>
        <v/>
      </c>
      <c r="D12" s="4" t="s">
        <v>48</v>
      </c>
      <c r="E12" s="41">
        <v>1238</v>
      </c>
      <c r="F12" s="195">
        <f t="shared" si="8"/>
        <v>1000</v>
      </c>
      <c r="G12" s="227">
        <v>2238</v>
      </c>
      <c r="H12" s="221">
        <f t="shared" si="9"/>
        <v>2596.08</v>
      </c>
      <c r="I12" s="206">
        <f t="shared" si="10"/>
        <v>100</v>
      </c>
      <c r="J12" s="335">
        <f t="shared" si="0"/>
        <v>10</v>
      </c>
      <c r="K12" s="206">
        <f t="shared" si="1"/>
        <v>50</v>
      </c>
      <c r="L12" s="335">
        <f t="shared" si="2"/>
        <v>5</v>
      </c>
      <c r="M12" s="206">
        <f t="shared" si="3"/>
        <v>20</v>
      </c>
      <c r="N12" s="335">
        <f t="shared" si="4"/>
        <v>2</v>
      </c>
      <c r="O12" s="103">
        <f t="shared" si="11"/>
        <v>850</v>
      </c>
      <c r="P12" s="335">
        <f t="shared" si="5"/>
        <v>85</v>
      </c>
      <c r="R12" s="214">
        <f t="shared" si="6"/>
        <v>80</v>
      </c>
      <c r="T12" s="33" t="str">
        <f t="shared" si="7"/>
        <v/>
      </c>
    </row>
    <row r="13" spans="1:20" ht="14" x14ac:dyDescent="0.2">
      <c r="A13" s="22"/>
      <c r="B13" s="144"/>
      <c r="C13" s="322" t="str">
        <f>IFERROR(VLOOKUP(B13,IDS!$A$1:$B$121,2,0),"")</f>
        <v/>
      </c>
      <c r="D13" s="4" t="s">
        <v>49</v>
      </c>
      <c r="E13" s="41">
        <v>619</v>
      </c>
      <c r="F13" s="195">
        <f t="shared" si="8"/>
        <v>1000</v>
      </c>
      <c r="G13" s="227">
        <v>1619</v>
      </c>
      <c r="H13" s="221">
        <f t="shared" si="9"/>
        <v>1878.04</v>
      </c>
      <c r="I13" s="206">
        <f t="shared" si="10"/>
        <v>100</v>
      </c>
      <c r="J13" s="335">
        <f t="shared" si="0"/>
        <v>10</v>
      </c>
      <c r="K13" s="206">
        <f t="shared" si="1"/>
        <v>50</v>
      </c>
      <c r="L13" s="335">
        <f t="shared" si="2"/>
        <v>5</v>
      </c>
      <c r="M13" s="206">
        <f t="shared" si="3"/>
        <v>20</v>
      </c>
      <c r="N13" s="335">
        <f t="shared" si="4"/>
        <v>2</v>
      </c>
      <c r="O13" s="103">
        <f t="shared" si="11"/>
        <v>850</v>
      </c>
      <c r="P13" s="335">
        <f t="shared" si="5"/>
        <v>85</v>
      </c>
      <c r="R13" s="214">
        <f t="shared" si="6"/>
        <v>80</v>
      </c>
      <c r="T13" s="33" t="str">
        <f t="shared" si="7"/>
        <v/>
      </c>
    </row>
    <row r="14" spans="1:20" ht="14" x14ac:dyDescent="0.2">
      <c r="A14" s="22"/>
      <c r="B14" s="144"/>
      <c r="C14" s="322" t="str">
        <f>IFERROR(VLOOKUP(B14,IDS!$A$1:$B$121,2,0),"")</f>
        <v/>
      </c>
      <c r="D14" s="4" t="s">
        <v>50</v>
      </c>
      <c r="E14" s="41">
        <v>1643</v>
      </c>
      <c r="F14" s="195">
        <f t="shared" si="8"/>
        <v>0</v>
      </c>
      <c r="G14" s="227">
        <v>1643</v>
      </c>
      <c r="H14" s="221">
        <f t="shared" si="9"/>
        <v>1905.88</v>
      </c>
      <c r="I14" s="206">
        <f t="shared" si="10"/>
        <v>0</v>
      </c>
      <c r="J14" s="335">
        <f t="shared" si="0"/>
        <v>0</v>
      </c>
      <c r="K14" s="206">
        <f t="shared" si="1"/>
        <v>0</v>
      </c>
      <c r="L14" s="335">
        <f t="shared" si="2"/>
        <v>0</v>
      </c>
      <c r="M14" s="206">
        <f t="shared" si="3"/>
        <v>0</v>
      </c>
      <c r="N14" s="335">
        <f t="shared" si="4"/>
        <v>0</v>
      </c>
      <c r="O14" s="103">
        <f t="shared" si="11"/>
        <v>0</v>
      </c>
      <c r="P14" s="335">
        <f t="shared" si="5"/>
        <v>0</v>
      </c>
      <c r="R14" s="214">
        <f t="shared" si="6"/>
        <v>0</v>
      </c>
      <c r="T14" s="33" t="str">
        <f t="shared" si="7"/>
        <v/>
      </c>
    </row>
    <row r="15" spans="1:20" ht="14" x14ac:dyDescent="0.2">
      <c r="A15" s="22"/>
      <c r="B15" s="144"/>
      <c r="C15" s="322" t="str">
        <f>IFERROR(VLOOKUP(B15,IDS!$A$1:$B$121,2,0),"")</f>
        <v/>
      </c>
      <c r="D15" s="4" t="s">
        <v>51</v>
      </c>
      <c r="E15" s="41">
        <v>168</v>
      </c>
      <c r="F15" s="195">
        <f t="shared" si="8"/>
        <v>500</v>
      </c>
      <c r="G15" s="227">
        <v>668</v>
      </c>
      <c r="H15" s="221">
        <f t="shared" si="9"/>
        <v>774.88</v>
      </c>
      <c r="I15" s="206">
        <f t="shared" si="10"/>
        <v>50</v>
      </c>
      <c r="J15" s="335">
        <f t="shared" si="0"/>
        <v>10</v>
      </c>
      <c r="K15" s="206">
        <f t="shared" si="1"/>
        <v>25</v>
      </c>
      <c r="L15" s="335">
        <f t="shared" si="2"/>
        <v>5</v>
      </c>
      <c r="M15" s="206">
        <f t="shared" si="3"/>
        <v>10</v>
      </c>
      <c r="N15" s="335">
        <f t="shared" si="4"/>
        <v>2</v>
      </c>
      <c r="O15" s="103">
        <f t="shared" si="11"/>
        <v>425</v>
      </c>
      <c r="P15" s="335">
        <f t="shared" si="5"/>
        <v>85</v>
      </c>
      <c r="R15" s="214">
        <f t="shared" si="6"/>
        <v>40</v>
      </c>
      <c r="T15" s="33" t="str">
        <f t="shared" si="7"/>
        <v/>
      </c>
    </row>
    <row r="16" spans="1:20" ht="14" x14ac:dyDescent="0.2">
      <c r="A16" s="22"/>
      <c r="B16" s="144"/>
      <c r="C16" s="322" t="str">
        <f>IFERROR(VLOOKUP(B16,IDS!$A$1:$B$121,2,0),"")</f>
        <v/>
      </c>
      <c r="D16" s="4" t="s">
        <v>52</v>
      </c>
      <c r="E16" s="41">
        <v>1857</v>
      </c>
      <c r="F16" s="195">
        <f t="shared" si="8"/>
        <v>0</v>
      </c>
      <c r="G16" s="227">
        <v>1857</v>
      </c>
      <c r="H16" s="221">
        <f t="shared" si="9"/>
        <v>2154.12</v>
      </c>
      <c r="I16" s="206">
        <f t="shared" si="10"/>
        <v>0</v>
      </c>
      <c r="J16" s="335">
        <f t="shared" si="0"/>
        <v>0</v>
      </c>
      <c r="K16" s="206">
        <f t="shared" si="1"/>
        <v>0</v>
      </c>
      <c r="L16" s="335">
        <f t="shared" si="2"/>
        <v>0</v>
      </c>
      <c r="M16" s="206">
        <f t="shared" si="3"/>
        <v>0</v>
      </c>
      <c r="N16" s="335">
        <f t="shared" si="4"/>
        <v>0</v>
      </c>
      <c r="O16" s="103">
        <f t="shared" si="11"/>
        <v>0</v>
      </c>
      <c r="P16" s="335">
        <f t="shared" si="5"/>
        <v>0</v>
      </c>
      <c r="R16" s="214">
        <f t="shared" si="6"/>
        <v>0</v>
      </c>
      <c r="T16" s="33" t="str">
        <f t="shared" si="7"/>
        <v/>
      </c>
    </row>
    <row r="17" spans="1:20" ht="14" x14ac:dyDescent="0.2">
      <c r="A17" s="22"/>
      <c r="B17" s="144"/>
      <c r="C17" s="322" t="str">
        <f>IFERROR(VLOOKUP(B17,IDS!$A$1:$B$121,2,0),"")</f>
        <v/>
      </c>
      <c r="D17" s="4" t="s">
        <v>53</v>
      </c>
      <c r="E17" s="41">
        <v>1734</v>
      </c>
      <c r="F17" s="195">
        <f t="shared" si="8"/>
        <v>0</v>
      </c>
      <c r="G17" s="227">
        <v>1734</v>
      </c>
      <c r="H17" s="221">
        <f t="shared" si="9"/>
        <v>2011.44</v>
      </c>
      <c r="I17" s="206">
        <f t="shared" si="10"/>
        <v>0</v>
      </c>
      <c r="J17" s="335">
        <f t="shared" si="0"/>
        <v>0</v>
      </c>
      <c r="K17" s="206">
        <f t="shared" si="1"/>
        <v>0</v>
      </c>
      <c r="L17" s="335">
        <f t="shared" si="2"/>
        <v>0</v>
      </c>
      <c r="M17" s="206">
        <f t="shared" si="3"/>
        <v>0</v>
      </c>
      <c r="N17" s="335">
        <f t="shared" si="4"/>
        <v>0</v>
      </c>
      <c r="O17" s="103">
        <f t="shared" si="11"/>
        <v>0</v>
      </c>
      <c r="P17" s="335">
        <f t="shared" si="5"/>
        <v>0</v>
      </c>
      <c r="R17" s="214">
        <f t="shared" si="6"/>
        <v>0</v>
      </c>
      <c r="T17" s="33" t="str">
        <f t="shared" si="7"/>
        <v/>
      </c>
    </row>
    <row r="18" spans="1:20" ht="14" x14ac:dyDescent="0.2">
      <c r="A18" s="22"/>
      <c r="B18" s="144"/>
      <c r="C18" s="322" t="str">
        <f>IFERROR(VLOOKUP(B18,IDS!$A$1:$B$121,2,0),"")</f>
        <v/>
      </c>
      <c r="D18" s="4" t="s">
        <v>54</v>
      </c>
      <c r="E18" s="41">
        <v>154</v>
      </c>
      <c r="F18" s="195">
        <f t="shared" si="8"/>
        <v>0</v>
      </c>
      <c r="G18" s="227">
        <v>154</v>
      </c>
      <c r="H18" s="221">
        <f t="shared" si="9"/>
        <v>178.64</v>
      </c>
      <c r="I18" s="206">
        <f t="shared" si="10"/>
        <v>0</v>
      </c>
      <c r="J18" s="335">
        <f t="shared" si="0"/>
        <v>0</v>
      </c>
      <c r="K18" s="206">
        <f t="shared" si="1"/>
        <v>0</v>
      </c>
      <c r="L18" s="335">
        <f t="shared" si="2"/>
        <v>0</v>
      </c>
      <c r="M18" s="206">
        <f t="shared" si="3"/>
        <v>0</v>
      </c>
      <c r="N18" s="335">
        <f t="shared" si="4"/>
        <v>0</v>
      </c>
      <c r="O18" s="103">
        <f t="shared" si="11"/>
        <v>0</v>
      </c>
      <c r="P18" s="335">
        <f t="shared" si="5"/>
        <v>0</v>
      </c>
      <c r="R18" s="214">
        <f t="shared" si="6"/>
        <v>0</v>
      </c>
      <c r="T18" s="33" t="str">
        <f t="shared" si="7"/>
        <v/>
      </c>
    </row>
    <row r="19" spans="1:20" ht="14" x14ac:dyDescent="0.2">
      <c r="A19" s="22"/>
      <c r="B19" s="144"/>
      <c r="C19" s="322" t="str">
        <f>IFERROR(VLOOKUP(B19,IDS!$A$1:$B$121,2,0),"")</f>
        <v/>
      </c>
      <c r="D19" s="4" t="s">
        <v>55</v>
      </c>
      <c r="E19" s="41">
        <v>0</v>
      </c>
      <c r="F19" s="195">
        <f t="shared" si="8"/>
        <v>0</v>
      </c>
      <c r="G19" s="227">
        <v>0</v>
      </c>
      <c r="H19" s="221">
        <f t="shared" si="9"/>
        <v>0</v>
      </c>
      <c r="I19" s="206">
        <f t="shared" si="10"/>
        <v>0</v>
      </c>
      <c r="J19" s="335">
        <f t="shared" si="0"/>
        <v>0</v>
      </c>
      <c r="K19" s="206">
        <f t="shared" si="1"/>
        <v>0</v>
      </c>
      <c r="L19" s="335">
        <f t="shared" si="2"/>
        <v>0</v>
      </c>
      <c r="M19" s="206">
        <f t="shared" si="3"/>
        <v>0</v>
      </c>
      <c r="N19" s="335">
        <f t="shared" si="4"/>
        <v>0</v>
      </c>
      <c r="O19" s="103">
        <f t="shared" si="11"/>
        <v>0</v>
      </c>
      <c r="P19" s="335">
        <f t="shared" si="5"/>
        <v>0</v>
      </c>
      <c r="R19" s="214">
        <f t="shared" si="6"/>
        <v>0</v>
      </c>
      <c r="T19" s="33" t="str">
        <f t="shared" si="7"/>
        <v/>
      </c>
    </row>
    <row r="20" spans="1:20" ht="14" x14ac:dyDescent="0.2">
      <c r="A20" s="22"/>
      <c r="B20" s="144"/>
      <c r="C20" s="322" t="str">
        <f>IFERROR(VLOOKUP(B20,IDS!$A$1:$B$121,2,0),"")</f>
        <v/>
      </c>
      <c r="D20" s="4" t="s">
        <v>56</v>
      </c>
      <c r="E20" s="41">
        <v>0</v>
      </c>
      <c r="F20" s="195">
        <f t="shared" si="8"/>
        <v>0</v>
      </c>
      <c r="G20" s="227">
        <v>0</v>
      </c>
      <c r="H20" s="221">
        <f t="shared" si="9"/>
        <v>0</v>
      </c>
      <c r="I20" s="206">
        <f t="shared" si="10"/>
        <v>0</v>
      </c>
      <c r="J20" s="335">
        <f t="shared" si="0"/>
        <v>0</v>
      </c>
      <c r="K20" s="206">
        <f t="shared" si="1"/>
        <v>0</v>
      </c>
      <c r="L20" s="335">
        <f t="shared" si="2"/>
        <v>0</v>
      </c>
      <c r="M20" s="206">
        <f t="shared" si="3"/>
        <v>0</v>
      </c>
      <c r="N20" s="335">
        <f t="shared" si="4"/>
        <v>0</v>
      </c>
      <c r="O20" s="103">
        <f t="shared" si="11"/>
        <v>0</v>
      </c>
      <c r="P20" s="335">
        <f t="shared" si="5"/>
        <v>0</v>
      </c>
      <c r="R20" s="214">
        <f t="shared" si="6"/>
        <v>0</v>
      </c>
      <c r="T20" s="33" t="str">
        <f t="shared" si="7"/>
        <v/>
      </c>
    </row>
    <row r="21" spans="1:20" ht="15" thickBot="1" x14ac:dyDescent="0.25">
      <c r="A21" s="23"/>
      <c r="B21" s="145"/>
      <c r="C21" s="322" t="str">
        <f>IFERROR(VLOOKUP(B21,IDS!$A$1:$B$121,2,0),"")</f>
        <v/>
      </c>
      <c r="D21" s="40"/>
      <c r="E21" s="31"/>
      <c r="F21" s="195">
        <f t="shared" si="8"/>
        <v>0</v>
      </c>
      <c r="G21" s="228">
        <v>0</v>
      </c>
      <c r="H21" s="229">
        <f t="shared" si="9"/>
        <v>0</v>
      </c>
      <c r="I21" s="206">
        <f t="shared" si="10"/>
        <v>0</v>
      </c>
      <c r="J21" s="335">
        <f t="shared" si="0"/>
        <v>0</v>
      </c>
      <c r="K21" s="206">
        <f t="shared" si="1"/>
        <v>0</v>
      </c>
      <c r="L21" s="335">
        <f t="shared" si="2"/>
        <v>0</v>
      </c>
      <c r="M21" s="206">
        <f t="shared" si="3"/>
        <v>0</v>
      </c>
      <c r="N21" s="335">
        <f t="shared" si="4"/>
        <v>0</v>
      </c>
      <c r="O21" s="109">
        <f t="shared" si="11"/>
        <v>0</v>
      </c>
      <c r="P21" s="335">
        <f t="shared" si="5"/>
        <v>0</v>
      </c>
      <c r="R21" s="214">
        <f t="shared" si="6"/>
        <v>0</v>
      </c>
      <c r="T21" s="33" t="str">
        <f t="shared" si="7"/>
        <v/>
      </c>
    </row>
    <row r="22" spans="1:20" ht="13.5" customHeight="1" thickBot="1" x14ac:dyDescent="0.25">
      <c r="A22" s="325" t="s">
        <v>502</v>
      </c>
      <c r="B22" s="326"/>
      <c r="C22" s="322" t="str">
        <f>IFERROR(VLOOKUP(B22,IDS!$A$1:$B$121,2,0),"")</f>
        <v/>
      </c>
      <c r="D22" s="326"/>
      <c r="E22" s="326"/>
      <c r="F22" s="326"/>
      <c r="G22" s="326"/>
      <c r="H22" s="326"/>
      <c r="I22" s="326"/>
      <c r="J22" s="335">
        <f t="shared" si="0"/>
        <v>0</v>
      </c>
      <c r="K22" s="326"/>
      <c r="L22" s="335">
        <f t="shared" si="2"/>
        <v>0</v>
      </c>
      <c r="M22" s="326"/>
      <c r="N22" s="335">
        <f t="shared" si="4"/>
        <v>0</v>
      </c>
      <c r="O22" s="326"/>
      <c r="P22" s="335">
        <f t="shared" si="5"/>
        <v>0</v>
      </c>
      <c r="R22" s="214">
        <f t="shared" si="6"/>
        <v>0</v>
      </c>
      <c r="T22" s="33" t="str">
        <f t="shared" si="7"/>
        <v/>
      </c>
    </row>
    <row r="23" spans="1:20" ht="31" thickBot="1" x14ac:dyDescent="0.25">
      <c r="A23" s="162" t="s">
        <v>352</v>
      </c>
      <c r="B23" s="161" t="s">
        <v>353</v>
      </c>
      <c r="C23" s="322">
        <f>IFERROR(VLOOKUP(B23,IDS!$A$1:$B$121,2,0),"")</f>
        <v>13</v>
      </c>
      <c r="D23" s="48" t="s">
        <v>130</v>
      </c>
      <c r="E23" s="86">
        <v>220</v>
      </c>
      <c r="F23" s="230">
        <f t="shared" ref="F23:F29" si="12">G23-E23</f>
        <v>750</v>
      </c>
      <c r="G23" s="226">
        <v>970</v>
      </c>
      <c r="H23" s="226">
        <f t="shared" ref="H23:H43" si="13">(G23*0.16)+G23</f>
        <v>1125.2</v>
      </c>
      <c r="I23" s="206">
        <f t="shared" ref="I23:I43" si="14">F23*0.1</f>
        <v>75</v>
      </c>
      <c r="J23" s="335">
        <f t="shared" si="0"/>
        <v>10</v>
      </c>
      <c r="K23" s="206">
        <f t="shared" si="1"/>
        <v>37.5</v>
      </c>
      <c r="L23" s="335">
        <f t="shared" si="2"/>
        <v>5</v>
      </c>
      <c r="M23" s="206">
        <f t="shared" si="3"/>
        <v>15</v>
      </c>
      <c r="N23" s="335">
        <f t="shared" si="4"/>
        <v>2</v>
      </c>
      <c r="O23" s="108">
        <f t="shared" ref="O23:O43" si="15">(F23-I23-K23)</f>
        <v>637.5</v>
      </c>
      <c r="P23" s="335">
        <f t="shared" si="5"/>
        <v>85</v>
      </c>
      <c r="R23" s="214">
        <f t="shared" si="6"/>
        <v>60</v>
      </c>
      <c r="T23" s="33" t="str">
        <f t="shared" si="7"/>
        <v>update catalogo_servicios set costo =970, costo_servicio=220, honorarios=750, utilidad=637.5, comision_venta = 'Porcentaje', comision_operativa='Porcentaje', comision_gestion='Porcentaje', comision_venta_monto=75, porcentaje_venta=10, comision_operativa_monto=37.5, porcentaje_operativa=5, comision_gestion_monto=15, porcentaje_gestion=2, porcentaje_utilidad=85 where id=13;</v>
      </c>
    </row>
    <row r="24" spans="1:20" ht="31" thickBot="1" x14ac:dyDescent="0.25">
      <c r="A24" s="162" t="s">
        <v>354</v>
      </c>
      <c r="B24" s="161" t="s">
        <v>355</v>
      </c>
      <c r="C24" s="322">
        <f>IFERROR(VLOOKUP(B24,IDS!$A$1:$B$121,2,0),"")</f>
        <v>12</v>
      </c>
      <c r="D24" s="4" t="s">
        <v>224</v>
      </c>
      <c r="E24" s="80">
        <v>355</v>
      </c>
      <c r="F24" s="195">
        <f t="shared" si="12"/>
        <v>795</v>
      </c>
      <c r="G24" s="221">
        <v>1150</v>
      </c>
      <c r="H24" s="221">
        <f t="shared" si="13"/>
        <v>1334</v>
      </c>
      <c r="I24" s="206">
        <f t="shared" si="14"/>
        <v>79.5</v>
      </c>
      <c r="J24" s="335">
        <f t="shared" si="0"/>
        <v>10</v>
      </c>
      <c r="K24" s="206">
        <f t="shared" si="1"/>
        <v>39.75</v>
      </c>
      <c r="L24" s="335">
        <f t="shared" si="2"/>
        <v>5</v>
      </c>
      <c r="M24" s="206">
        <f t="shared" si="3"/>
        <v>15.9</v>
      </c>
      <c r="N24" s="335">
        <f t="shared" si="4"/>
        <v>2</v>
      </c>
      <c r="O24" s="103">
        <f t="shared" si="15"/>
        <v>675.75</v>
      </c>
      <c r="P24" s="335">
        <f t="shared" si="5"/>
        <v>85</v>
      </c>
      <c r="R24" s="214">
        <f t="shared" si="6"/>
        <v>63.6</v>
      </c>
      <c r="T24" s="33" t="str">
        <f t="shared" si="7"/>
        <v>update catalogo_servicios set costo =1150, costo_servicio=355, honorarios=795, utilidad=675.75, comision_venta = 'Porcentaje', comision_operativa='Porcentaje', comision_gestion='Porcentaje', comision_venta_monto=79.5, porcentaje_venta=10, comision_operativa_monto=39.75, porcentaje_operativa=5, comision_gestion_monto=15.9, porcentaje_gestion=2, porcentaje_utilidad=85 where id=12;</v>
      </c>
    </row>
    <row r="25" spans="1:20" ht="31" thickBot="1" x14ac:dyDescent="0.25">
      <c r="A25" s="162" t="s">
        <v>356</v>
      </c>
      <c r="B25" s="161" t="s">
        <v>357</v>
      </c>
      <c r="C25" s="322">
        <f>IFERROR(VLOOKUP(B25,IDS!$A$1:$B$121,2,0),"")</f>
        <v>10</v>
      </c>
      <c r="D25" s="4" t="s">
        <v>57</v>
      </c>
      <c r="E25" s="80">
        <v>2085</v>
      </c>
      <c r="F25" s="195">
        <f t="shared" si="12"/>
        <v>2515</v>
      </c>
      <c r="G25" s="221">
        <v>4600</v>
      </c>
      <c r="H25" s="221">
        <f t="shared" si="13"/>
        <v>5336</v>
      </c>
      <c r="I25" s="206">
        <f t="shared" si="14"/>
        <v>251.5</v>
      </c>
      <c r="J25" s="335">
        <f t="shared" si="0"/>
        <v>10</v>
      </c>
      <c r="K25" s="206">
        <f t="shared" si="1"/>
        <v>125.75</v>
      </c>
      <c r="L25" s="335">
        <f t="shared" si="2"/>
        <v>5</v>
      </c>
      <c r="M25" s="206">
        <f t="shared" si="3"/>
        <v>50.300000000000004</v>
      </c>
      <c r="N25" s="335">
        <f t="shared" si="4"/>
        <v>2</v>
      </c>
      <c r="O25" s="103">
        <f t="shared" si="15"/>
        <v>2137.75</v>
      </c>
      <c r="P25" s="335">
        <f t="shared" si="5"/>
        <v>85</v>
      </c>
      <c r="R25" s="214">
        <f t="shared" si="6"/>
        <v>201.2</v>
      </c>
      <c r="T25" s="33" t="str">
        <f t="shared" si="7"/>
        <v>update catalogo_servicios set costo =4600, costo_servicio=2085, honorarios=2515, utilidad=2137.75, comision_venta = 'Porcentaje', comision_operativa='Porcentaje', comision_gestion='Porcentaje', comision_venta_monto=251.5, porcentaje_venta=10, comision_operativa_monto=125.75, porcentaje_operativa=5, comision_gestion_monto=50.3, porcentaje_gestion=2, porcentaje_utilidad=85 where id=10;</v>
      </c>
    </row>
    <row r="26" spans="1:20" ht="31" thickBot="1" x14ac:dyDescent="0.25">
      <c r="A26" s="162" t="s">
        <v>358</v>
      </c>
      <c r="B26" s="163" t="s">
        <v>359</v>
      </c>
      <c r="C26" s="322">
        <f>IFERROR(VLOOKUP(B26,IDS!$A$1:$B$121,2,0),"")</f>
        <v>8</v>
      </c>
      <c r="D26" s="4" t="s">
        <v>58</v>
      </c>
      <c r="E26" s="80">
        <v>1094</v>
      </c>
      <c r="F26" s="195">
        <f t="shared" si="12"/>
        <v>1506</v>
      </c>
      <c r="G26" s="221">
        <v>2600</v>
      </c>
      <c r="H26" s="221">
        <f>(G26*0.16)+G26</f>
        <v>3016</v>
      </c>
      <c r="I26" s="206">
        <f t="shared" si="14"/>
        <v>150.6</v>
      </c>
      <c r="J26" s="335">
        <f t="shared" si="0"/>
        <v>10</v>
      </c>
      <c r="K26" s="206">
        <f t="shared" si="1"/>
        <v>75.3</v>
      </c>
      <c r="L26" s="335">
        <f t="shared" si="2"/>
        <v>5</v>
      </c>
      <c r="M26" s="206">
        <f t="shared" si="3"/>
        <v>30.12</v>
      </c>
      <c r="N26" s="335">
        <f t="shared" si="4"/>
        <v>2</v>
      </c>
      <c r="O26" s="103">
        <f t="shared" si="15"/>
        <v>1280.1000000000001</v>
      </c>
      <c r="P26" s="335">
        <f t="shared" si="5"/>
        <v>85.000000000000014</v>
      </c>
      <c r="R26" s="214">
        <f t="shared" si="6"/>
        <v>120.47999999999999</v>
      </c>
      <c r="T26" s="33" t="str">
        <f t="shared" si="7"/>
        <v>update catalogo_servicios set costo =2600, costo_servicio=1094, honorarios=1506, utilidad=1280.1, comision_venta = 'Porcentaje', comision_operativa='Porcentaje', comision_gestion='Porcentaje', comision_venta_monto=150.6, porcentaje_venta=10, comision_operativa_monto=75.3, porcentaje_operativa=5, comision_gestion_monto=30.12, porcentaje_gestion=2, porcentaje_utilidad=85 where id=8;</v>
      </c>
    </row>
    <row r="27" spans="1:20" ht="43" thickBot="1" x14ac:dyDescent="0.25">
      <c r="A27" s="164" t="s">
        <v>360</v>
      </c>
      <c r="B27" s="163" t="s">
        <v>361</v>
      </c>
      <c r="C27" s="322">
        <f>IFERROR(VLOOKUP(B27,IDS!$A$1:$B$121,2,0),"")</f>
        <v>11</v>
      </c>
      <c r="D27" s="4" t="s">
        <v>131</v>
      </c>
      <c r="E27" s="80">
        <v>4118</v>
      </c>
      <c r="F27" s="195">
        <f t="shared" si="12"/>
        <v>3532</v>
      </c>
      <c r="G27" s="221">
        <v>7650</v>
      </c>
      <c r="H27" s="221">
        <f t="shared" si="13"/>
        <v>8874</v>
      </c>
      <c r="I27" s="206">
        <f t="shared" si="14"/>
        <v>353.20000000000005</v>
      </c>
      <c r="J27" s="335">
        <f t="shared" si="0"/>
        <v>10</v>
      </c>
      <c r="K27" s="206">
        <f t="shared" si="1"/>
        <v>176.60000000000002</v>
      </c>
      <c r="L27" s="335">
        <f t="shared" si="2"/>
        <v>5</v>
      </c>
      <c r="M27" s="206">
        <f t="shared" si="3"/>
        <v>70.64</v>
      </c>
      <c r="N27" s="335">
        <f t="shared" si="4"/>
        <v>2</v>
      </c>
      <c r="O27" s="103">
        <f t="shared" si="15"/>
        <v>3002.2000000000003</v>
      </c>
      <c r="P27" s="335">
        <f t="shared" si="5"/>
        <v>85.000000000000014</v>
      </c>
      <c r="R27" s="214">
        <f t="shared" si="6"/>
        <v>282.56000000000006</v>
      </c>
      <c r="T27" s="33" t="str">
        <f t="shared" si="7"/>
        <v>update catalogo_servicios set costo =7650, costo_servicio=4118, honorarios=3532, utilidad=3002.2, comision_venta = 'Porcentaje', comision_operativa='Porcentaje', comision_gestion='Porcentaje', comision_venta_monto=353.2, porcentaje_venta=10, comision_operativa_monto=176.6, porcentaje_operativa=5, comision_gestion_monto=70.64, porcentaje_gestion=2, porcentaje_utilidad=85 where id=11;</v>
      </c>
    </row>
    <row r="28" spans="1:20" ht="43" thickBot="1" x14ac:dyDescent="0.25">
      <c r="A28" s="162" t="s">
        <v>362</v>
      </c>
      <c r="B28" s="163" t="s">
        <v>363</v>
      </c>
      <c r="C28" s="322">
        <f>IFERROR(VLOOKUP(B28,IDS!$A$1:$B$121,2,0),"")</f>
        <v>15</v>
      </c>
      <c r="D28" s="4" t="s">
        <v>223</v>
      </c>
      <c r="E28" s="80">
        <v>0</v>
      </c>
      <c r="F28" s="195">
        <f t="shared" si="12"/>
        <v>1500</v>
      </c>
      <c r="G28" s="221">
        <v>1500</v>
      </c>
      <c r="H28" s="221">
        <f t="shared" si="13"/>
        <v>1740</v>
      </c>
      <c r="I28" s="206">
        <f t="shared" si="14"/>
        <v>150</v>
      </c>
      <c r="J28" s="335">
        <f t="shared" si="0"/>
        <v>10</v>
      </c>
      <c r="K28" s="206">
        <f t="shared" si="1"/>
        <v>75</v>
      </c>
      <c r="L28" s="335">
        <f t="shared" si="2"/>
        <v>5</v>
      </c>
      <c r="M28" s="206">
        <f t="shared" si="3"/>
        <v>30</v>
      </c>
      <c r="N28" s="335">
        <f t="shared" si="4"/>
        <v>2</v>
      </c>
      <c r="O28" s="103">
        <f t="shared" si="15"/>
        <v>1275</v>
      </c>
      <c r="P28" s="335">
        <f t="shared" si="5"/>
        <v>85</v>
      </c>
      <c r="R28" s="214">
        <f t="shared" si="6"/>
        <v>120</v>
      </c>
      <c r="T28" s="33" t="str">
        <f t="shared" si="7"/>
        <v>update catalogo_servicios set costo =1500, costo_servicio=0, honorarios=1500, utilidad=1275, comision_venta = 'Porcentaje', comision_operativa='Porcentaje', comision_gestion='Porcentaje', comision_venta_monto=150, porcentaje_venta=10, comision_operativa_monto=75, porcentaje_operativa=5, comision_gestion_monto=30, porcentaje_gestion=2, porcentaje_utilidad=85 where id=15;</v>
      </c>
    </row>
    <row r="29" spans="1:20" ht="43" thickBot="1" x14ac:dyDescent="0.25">
      <c r="A29" s="162" t="s">
        <v>364</v>
      </c>
      <c r="B29" s="163" t="s">
        <v>365</v>
      </c>
      <c r="C29" s="322">
        <f>IFERROR(VLOOKUP(B29,IDS!$A$1:$B$121,2,0),"")</f>
        <v>9</v>
      </c>
      <c r="D29" s="40" t="s">
        <v>132</v>
      </c>
      <c r="E29" s="87">
        <v>2153</v>
      </c>
      <c r="F29" s="231">
        <f t="shared" si="12"/>
        <v>3547</v>
      </c>
      <c r="G29" s="229">
        <v>5700</v>
      </c>
      <c r="H29" s="229">
        <f t="shared" si="13"/>
        <v>6612</v>
      </c>
      <c r="I29" s="206">
        <f t="shared" si="14"/>
        <v>354.70000000000005</v>
      </c>
      <c r="J29" s="335">
        <f t="shared" si="0"/>
        <v>10</v>
      </c>
      <c r="K29" s="206">
        <f t="shared" si="1"/>
        <v>177.35000000000002</v>
      </c>
      <c r="L29" s="335">
        <f t="shared" si="2"/>
        <v>5</v>
      </c>
      <c r="M29" s="206">
        <f t="shared" si="3"/>
        <v>70.94</v>
      </c>
      <c r="N29" s="335">
        <f t="shared" si="4"/>
        <v>2</v>
      </c>
      <c r="O29" s="109">
        <f t="shared" si="15"/>
        <v>3014.9500000000003</v>
      </c>
      <c r="P29" s="335">
        <f t="shared" si="5"/>
        <v>85.000000000000014</v>
      </c>
      <c r="R29" s="214">
        <f t="shared" si="6"/>
        <v>283.76000000000005</v>
      </c>
      <c r="T29" s="33" t="str">
        <f t="shared" si="7"/>
        <v>update catalogo_servicios set costo =5700, costo_servicio=2153, honorarios=3547, utilidad=3014.95, comision_venta = 'Porcentaje', comision_operativa='Porcentaje', comision_gestion='Porcentaje', comision_venta_monto=354.7, porcentaje_venta=10, comision_operativa_monto=177.35, porcentaje_operativa=5, comision_gestion_monto=70.94, porcentaje_gestion=2, porcentaje_utilidad=85 where id=9;</v>
      </c>
    </row>
    <row r="30" spans="1:20" ht="14" x14ac:dyDescent="0.2">
      <c r="A30" s="24"/>
      <c r="B30" s="143"/>
      <c r="C30" s="322" t="str">
        <f>IFERROR(VLOOKUP(B30,IDS!$A$1:$B$121,2,0),"")</f>
        <v/>
      </c>
      <c r="D30" s="44" t="s">
        <v>59</v>
      </c>
      <c r="E30" s="85">
        <v>980</v>
      </c>
      <c r="F30" s="217"/>
      <c r="G30" s="232">
        <f t="shared" ref="G30:G43" si="16">E30+F30</f>
        <v>980</v>
      </c>
      <c r="H30" s="219">
        <f t="shared" si="13"/>
        <v>1136.8</v>
      </c>
      <c r="I30" s="206">
        <f t="shared" si="14"/>
        <v>0</v>
      </c>
      <c r="J30" s="335">
        <f t="shared" si="0"/>
        <v>0</v>
      </c>
      <c r="K30" s="206">
        <f t="shared" si="1"/>
        <v>0</v>
      </c>
      <c r="L30" s="335">
        <f t="shared" si="2"/>
        <v>0</v>
      </c>
      <c r="M30" s="206">
        <f t="shared" si="3"/>
        <v>0</v>
      </c>
      <c r="N30" s="335">
        <f t="shared" si="4"/>
        <v>0</v>
      </c>
      <c r="O30" s="105">
        <f t="shared" si="15"/>
        <v>0</v>
      </c>
      <c r="P30" s="335">
        <f t="shared" si="5"/>
        <v>0</v>
      </c>
      <c r="R30" s="214">
        <f t="shared" si="6"/>
        <v>0</v>
      </c>
      <c r="T30" s="33" t="str">
        <f t="shared" si="7"/>
        <v/>
      </c>
    </row>
    <row r="31" spans="1:20" ht="14" x14ac:dyDescent="0.2">
      <c r="A31" s="22"/>
      <c r="B31" s="144"/>
      <c r="C31" s="322" t="str">
        <f>IFERROR(VLOOKUP(B31,IDS!$A$1:$B$121,2,0),"")</f>
        <v/>
      </c>
      <c r="D31" s="4" t="s">
        <v>60</v>
      </c>
      <c r="E31" s="5">
        <v>11</v>
      </c>
      <c r="F31" s="195"/>
      <c r="G31" s="227">
        <f t="shared" si="16"/>
        <v>11</v>
      </c>
      <c r="H31" s="221">
        <f t="shared" si="13"/>
        <v>12.76</v>
      </c>
      <c r="I31" s="206">
        <f t="shared" si="14"/>
        <v>0</v>
      </c>
      <c r="J31" s="335">
        <f t="shared" si="0"/>
        <v>0</v>
      </c>
      <c r="K31" s="206">
        <f t="shared" si="1"/>
        <v>0</v>
      </c>
      <c r="L31" s="335">
        <f t="shared" si="2"/>
        <v>0</v>
      </c>
      <c r="M31" s="206">
        <f t="shared" si="3"/>
        <v>0</v>
      </c>
      <c r="N31" s="335">
        <f t="shared" si="4"/>
        <v>0</v>
      </c>
      <c r="O31" s="103">
        <f t="shared" si="15"/>
        <v>0</v>
      </c>
      <c r="P31" s="335">
        <f t="shared" si="5"/>
        <v>0</v>
      </c>
      <c r="R31" s="214">
        <f t="shared" si="6"/>
        <v>0</v>
      </c>
      <c r="T31" s="33" t="str">
        <f t="shared" si="7"/>
        <v/>
      </c>
    </row>
    <row r="32" spans="1:20" ht="14" x14ac:dyDescent="0.2">
      <c r="A32" s="22"/>
      <c r="B32" s="144"/>
      <c r="C32" s="322" t="str">
        <f>IFERROR(VLOOKUP(B32,IDS!$A$1:$B$121,2,0),"")</f>
        <v/>
      </c>
      <c r="D32" s="4" t="s">
        <v>61</v>
      </c>
      <c r="E32" s="80">
        <v>18</v>
      </c>
      <c r="F32" s="195"/>
      <c r="G32" s="227">
        <f t="shared" si="16"/>
        <v>18</v>
      </c>
      <c r="H32" s="221">
        <f t="shared" si="13"/>
        <v>20.88</v>
      </c>
      <c r="I32" s="206">
        <f t="shared" si="14"/>
        <v>0</v>
      </c>
      <c r="J32" s="335">
        <f t="shared" si="0"/>
        <v>0</v>
      </c>
      <c r="K32" s="206">
        <f t="shared" si="1"/>
        <v>0</v>
      </c>
      <c r="L32" s="335">
        <f t="shared" si="2"/>
        <v>0</v>
      </c>
      <c r="M32" s="206">
        <f t="shared" si="3"/>
        <v>0</v>
      </c>
      <c r="N32" s="335">
        <f t="shared" si="4"/>
        <v>0</v>
      </c>
      <c r="O32" s="103">
        <f t="shared" si="15"/>
        <v>0</v>
      </c>
      <c r="P32" s="335">
        <f t="shared" si="5"/>
        <v>0</v>
      </c>
      <c r="R32" s="214">
        <f t="shared" si="6"/>
        <v>0</v>
      </c>
      <c r="T32" s="33" t="str">
        <f t="shared" si="7"/>
        <v/>
      </c>
    </row>
    <row r="33" spans="1:20" ht="14" x14ac:dyDescent="0.2">
      <c r="A33" s="22"/>
      <c r="B33" s="144"/>
      <c r="C33" s="322" t="str">
        <f>IFERROR(VLOOKUP(B33,IDS!$A$1:$B$121,2,0),"")</f>
        <v/>
      </c>
      <c r="D33" s="4" t="s">
        <v>62</v>
      </c>
      <c r="E33" s="80">
        <v>0</v>
      </c>
      <c r="F33" s="195"/>
      <c r="G33" s="227">
        <f t="shared" si="16"/>
        <v>0</v>
      </c>
      <c r="H33" s="221">
        <f t="shared" si="13"/>
        <v>0</v>
      </c>
      <c r="I33" s="206">
        <f t="shared" si="14"/>
        <v>0</v>
      </c>
      <c r="J33" s="335">
        <f t="shared" si="0"/>
        <v>0</v>
      </c>
      <c r="K33" s="206">
        <f t="shared" si="1"/>
        <v>0</v>
      </c>
      <c r="L33" s="335">
        <f t="shared" si="2"/>
        <v>0</v>
      </c>
      <c r="M33" s="206">
        <f t="shared" si="3"/>
        <v>0</v>
      </c>
      <c r="N33" s="335">
        <f t="shared" si="4"/>
        <v>0</v>
      </c>
      <c r="O33" s="103">
        <f t="shared" si="15"/>
        <v>0</v>
      </c>
      <c r="P33" s="335">
        <f t="shared" si="5"/>
        <v>0</v>
      </c>
      <c r="R33" s="214">
        <f t="shared" si="6"/>
        <v>0</v>
      </c>
      <c r="T33" s="33" t="str">
        <f t="shared" si="7"/>
        <v/>
      </c>
    </row>
    <row r="34" spans="1:20" ht="29" thickBot="1" x14ac:dyDescent="0.25">
      <c r="A34" s="22"/>
      <c r="B34" s="144"/>
      <c r="C34" s="322" t="str">
        <f>IFERROR(VLOOKUP(B34,IDS!$A$1:$B$121,2,0),"")</f>
        <v/>
      </c>
      <c r="D34" s="4" t="s">
        <v>63</v>
      </c>
      <c r="E34" s="80">
        <v>0</v>
      </c>
      <c r="F34" s="195"/>
      <c r="G34" s="227">
        <f t="shared" si="16"/>
        <v>0</v>
      </c>
      <c r="H34" s="221">
        <f t="shared" si="13"/>
        <v>0</v>
      </c>
      <c r="I34" s="206">
        <f t="shared" si="14"/>
        <v>0</v>
      </c>
      <c r="J34" s="335">
        <f t="shared" si="0"/>
        <v>0</v>
      </c>
      <c r="K34" s="206">
        <f t="shared" si="1"/>
        <v>0</v>
      </c>
      <c r="L34" s="335">
        <f t="shared" si="2"/>
        <v>0</v>
      </c>
      <c r="M34" s="206">
        <f t="shared" si="3"/>
        <v>0</v>
      </c>
      <c r="N34" s="335">
        <f t="shared" si="4"/>
        <v>0</v>
      </c>
      <c r="O34" s="103">
        <f t="shared" si="15"/>
        <v>0</v>
      </c>
      <c r="P34" s="335">
        <f t="shared" si="5"/>
        <v>0</v>
      </c>
      <c r="R34" s="214">
        <f t="shared" si="6"/>
        <v>0</v>
      </c>
      <c r="T34" s="33" t="str">
        <f t="shared" si="7"/>
        <v/>
      </c>
    </row>
    <row r="35" spans="1:20" ht="15" thickBot="1" x14ac:dyDescent="0.25">
      <c r="A35" s="163" t="s">
        <v>409</v>
      </c>
      <c r="B35" s="163" t="s">
        <v>409</v>
      </c>
      <c r="C35" s="322">
        <f>IFERROR(VLOOKUP(B35,IDS!$A$1:$B$121,2,0),"")</f>
        <v>110</v>
      </c>
      <c r="D35" s="4" t="s">
        <v>503</v>
      </c>
      <c r="E35" s="80">
        <v>226</v>
      </c>
      <c r="F35" s="195">
        <f>G35-E35</f>
        <v>3474</v>
      </c>
      <c r="G35" s="227">
        <v>3700</v>
      </c>
      <c r="H35" s="221">
        <f t="shared" si="13"/>
        <v>4292</v>
      </c>
      <c r="I35" s="206">
        <f t="shared" si="14"/>
        <v>347.40000000000003</v>
      </c>
      <c r="J35" s="335">
        <f t="shared" si="0"/>
        <v>10</v>
      </c>
      <c r="K35" s="206">
        <f t="shared" si="1"/>
        <v>173.70000000000002</v>
      </c>
      <c r="L35" s="335">
        <f t="shared" si="2"/>
        <v>5</v>
      </c>
      <c r="M35" s="206">
        <f t="shared" si="3"/>
        <v>69.48</v>
      </c>
      <c r="N35" s="335">
        <f t="shared" si="4"/>
        <v>2</v>
      </c>
      <c r="O35" s="103">
        <f t="shared" si="15"/>
        <v>2952.9</v>
      </c>
      <c r="P35" s="335">
        <f t="shared" si="5"/>
        <v>85</v>
      </c>
      <c r="R35" s="214">
        <f t="shared" si="6"/>
        <v>277.92</v>
      </c>
      <c r="T35" s="33" t="str">
        <f t="shared" si="7"/>
        <v>update catalogo_servicios set costo =3700, costo_servicio=226, honorarios=3474, utilidad=2952.9, comision_venta = 'Porcentaje', comision_operativa='Porcentaje', comision_gestion='Porcentaje', comision_venta_monto=347.4, porcentaje_venta=10, comision_operativa_monto=173.7, porcentaje_operativa=5, comision_gestion_monto=69.48, porcentaje_gestion=2, porcentaje_utilidad=85 where id=110;</v>
      </c>
    </row>
    <row r="36" spans="1:20" ht="15" thickBot="1" x14ac:dyDescent="0.25">
      <c r="A36" s="163" t="s">
        <v>410</v>
      </c>
      <c r="B36" s="163" t="s">
        <v>410</v>
      </c>
      <c r="C36" s="322" t="str">
        <f>IFERROR(VLOOKUP(B36,IDS!$A$1:$B$121,2,0),"")</f>
        <v/>
      </c>
      <c r="D36" s="4" t="s">
        <v>504</v>
      </c>
      <c r="E36" s="80">
        <v>163</v>
      </c>
      <c r="F36" s="195"/>
      <c r="G36" s="227">
        <f>E36+F36</f>
        <v>163</v>
      </c>
      <c r="H36" s="221">
        <f t="shared" si="13"/>
        <v>189.08</v>
      </c>
      <c r="I36" s="206">
        <f t="shared" si="14"/>
        <v>0</v>
      </c>
      <c r="J36" s="335">
        <f t="shared" si="0"/>
        <v>0</v>
      </c>
      <c r="K36" s="206">
        <f t="shared" si="1"/>
        <v>0</v>
      </c>
      <c r="L36" s="335">
        <f t="shared" si="2"/>
        <v>0</v>
      </c>
      <c r="M36" s="206">
        <f t="shared" si="3"/>
        <v>0</v>
      </c>
      <c r="N36" s="335">
        <f t="shared" si="4"/>
        <v>0</v>
      </c>
      <c r="O36" s="103">
        <f t="shared" si="15"/>
        <v>0</v>
      </c>
      <c r="P36" s="335">
        <f t="shared" si="5"/>
        <v>0</v>
      </c>
      <c r="R36" s="214">
        <f t="shared" si="6"/>
        <v>0</v>
      </c>
      <c r="T36" s="33" t="str">
        <f t="shared" si="7"/>
        <v/>
      </c>
    </row>
    <row r="37" spans="1:20" ht="57" thickBot="1" x14ac:dyDescent="0.25">
      <c r="A37" s="163" t="s">
        <v>505</v>
      </c>
      <c r="B37" s="163" t="s">
        <v>505</v>
      </c>
      <c r="C37" s="322" t="str">
        <f>IFERROR(VLOOKUP(B37,IDS!$A$1:$B$121,2,0),"")</f>
        <v/>
      </c>
      <c r="D37" s="311" t="s">
        <v>506</v>
      </c>
      <c r="E37" s="80">
        <v>163</v>
      </c>
      <c r="F37" s="195"/>
      <c r="G37" s="227">
        <f>E37+F37</f>
        <v>163</v>
      </c>
      <c r="H37" s="221">
        <f t="shared" si="13"/>
        <v>189.08</v>
      </c>
      <c r="I37" s="206">
        <f t="shared" si="14"/>
        <v>0</v>
      </c>
      <c r="J37" s="335">
        <f t="shared" si="0"/>
        <v>0</v>
      </c>
      <c r="K37" s="206">
        <f t="shared" si="1"/>
        <v>0</v>
      </c>
      <c r="L37" s="335">
        <f t="shared" si="2"/>
        <v>0</v>
      </c>
      <c r="M37" s="206">
        <f t="shared" si="3"/>
        <v>0</v>
      </c>
      <c r="N37" s="335">
        <f t="shared" si="4"/>
        <v>0</v>
      </c>
      <c r="O37" s="103"/>
      <c r="P37" s="335">
        <f t="shared" si="5"/>
        <v>0</v>
      </c>
      <c r="R37" s="214">
        <f t="shared" si="6"/>
        <v>0</v>
      </c>
      <c r="T37" s="33" t="str">
        <f t="shared" si="7"/>
        <v/>
      </c>
    </row>
    <row r="38" spans="1:20" ht="14" x14ac:dyDescent="0.2">
      <c r="A38" s="22"/>
      <c r="B38" s="144"/>
      <c r="C38" s="322" t="str">
        <f>IFERROR(VLOOKUP(B38,IDS!$A$1:$B$121,2,0),"")</f>
        <v/>
      </c>
      <c r="D38" s="4" t="s">
        <v>64</v>
      </c>
      <c r="E38" s="80">
        <v>202</v>
      </c>
      <c r="F38" s="195"/>
      <c r="G38" s="227">
        <f t="shared" si="16"/>
        <v>202</v>
      </c>
      <c r="H38" s="221">
        <f t="shared" si="13"/>
        <v>234.32</v>
      </c>
      <c r="I38" s="206">
        <f t="shared" si="14"/>
        <v>0</v>
      </c>
      <c r="J38" s="335">
        <f t="shared" si="0"/>
        <v>0</v>
      </c>
      <c r="K38" s="206">
        <f t="shared" si="1"/>
        <v>0</v>
      </c>
      <c r="L38" s="335">
        <f t="shared" si="2"/>
        <v>0</v>
      </c>
      <c r="M38" s="206">
        <f t="shared" si="3"/>
        <v>0</v>
      </c>
      <c r="N38" s="335">
        <f t="shared" si="4"/>
        <v>0</v>
      </c>
      <c r="O38" s="103">
        <f t="shared" si="15"/>
        <v>0</v>
      </c>
      <c r="P38" s="335">
        <f t="shared" si="5"/>
        <v>0</v>
      </c>
      <c r="R38" s="214">
        <f t="shared" si="6"/>
        <v>0</v>
      </c>
      <c r="T38" s="33" t="str">
        <f t="shared" si="7"/>
        <v/>
      </c>
    </row>
    <row r="39" spans="1:20" ht="14" x14ac:dyDescent="0.2">
      <c r="A39" s="22"/>
      <c r="B39" s="144"/>
      <c r="C39" s="322" t="str">
        <f>IFERROR(VLOOKUP(B39,IDS!$A$1:$B$121,2,0),"")</f>
        <v/>
      </c>
      <c r="D39" s="4" t="s">
        <v>104</v>
      </c>
      <c r="E39" s="5"/>
      <c r="F39" s="195"/>
      <c r="G39" s="227">
        <f t="shared" si="16"/>
        <v>0</v>
      </c>
      <c r="H39" s="221">
        <f t="shared" si="13"/>
        <v>0</v>
      </c>
      <c r="I39" s="206">
        <f t="shared" si="14"/>
        <v>0</v>
      </c>
      <c r="J39" s="335">
        <f t="shared" si="0"/>
        <v>0</v>
      </c>
      <c r="K39" s="206">
        <f t="shared" si="1"/>
        <v>0</v>
      </c>
      <c r="L39" s="335">
        <f t="shared" si="2"/>
        <v>0</v>
      </c>
      <c r="M39" s="206">
        <f t="shared" si="3"/>
        <v>0</v>
      </c>
      <c r="N39" s="335">
        <f t="shared" si="4"/>
        <v>0</v>
      </c>
      <c r="O39" s="103">
        <f t="shared" si="15"/>
        <v>0</v>
      </c>
      <c r="P39" s="335">
        <f t="shared" si="5"/>
        <v>0</v>
      </c>
      <c r="R39" s="214">
        <f t="shared" si="6"/>
        <v>0</v>
      </c>
      <c r="T39" s="33" t="str">
        <f t="shared" si="7"/>
        <v/>
      </c>
    </row>
    <row r="40" spans="1:20" ht="14" x14ac:dyDescent="0.2">
      <c r="A40" s="22"/>
      <c r="B40" s="144"/>
      <c r="C40" s="322" t="str">
        <f>IFERROR(VLOOKUP(B40,IDS!$A$1:$B$121,2,0),"")</f>
        <v/>
      </c>
      <c r="D40" s="4" t="s">
        <v>65</v>
      </c>
      <c r="E40" s="5">
        <v>0</v>
      </c>
      <c r="F40" s="195"/>
      <c r="G40" s="227">
        <f t="shared" si="16"/>
        <v>0</v>
      </c>
      <c r="H40" s="221">
        <f t="shared" si="13"/>
        <v>0</v>
      </c>
      <c r="I40" s="206">
        <f t="shared" si="14"/>
        <v>0</v>
      </c>
      <c r="J40" s="335">
        <f t="shared" si="0"/>
        <v>0</v>
      </c>
      <c r="K40" s="206">
        <f t="shared" si="1"/>
        <v>0</v>
      </c>
      <c r="L40" s="335">
        <f t="shared" si="2"/>
        <v>0</v>
      </c>
      <c r="M40" s="206">
        <f t="shared" si="3"/>
        <v>0</v>
      </c>
      <c r="N40" s="335">
        <f t="shared" si="4"/>
        <v>0</v>
      </c>
      <c r="O40" s="103">
        <f t="shared" si="15"/>
        <v>0</v>
      </c>
      <c r="P40" s="335">
        <f t="shared" si="5"/>
        <v>0</v>
      </c>
      <c r="R40" s="214">
        <f t="shared" si="6"/>
        <v>0</v>
      </c>
      <c r="T40" s="33" t="str">
        <f t="shared" si="7"/>
        <v/>
      </c>
    </row>
    <row r="41" spans="1:20" ht="42" x14ac:dyDescent="0.2">
      <c r="A41" s="22"/>
      <c r="B41" s="144"/>
      <c r="C41" s="322" t="str">
        <f>IFERROR(VLOOKUP(B41,IDS!$A$1:$B$121,2,0),"")</f>
        <v/>
      </c>
      <c r="D41" s="4" t="s">
        <v>66</v>
      </c>
      <c r="E41" s="5"/>
      <c r="F41" s="195"/>
      <c r="G41" s="227">
        <f t="shared" si="16"/>
        <v>0</v>
      </c>
      <c r="H41" s="221">
        <f t="shared" si="13"/>
        <v>0</v>
      </c>
      <c r="I41" s="206">
        <f t="shared" si="14"/>
        <v>0</v>
      </c>
      <c r="J41" s="335">
        <f t="shared" si="0"/>
        <v>0</v>
      </c>
      <c r="K41" s="206">
        <f t="shared" si="1"/>
        <v>0</v>
      </c>
      <c r="L41" s="335">
        <f t="shared" si="2"/>
        <v>0</v>
      </c>
      <c r="M41" s="206">
        <f t="shared" si="3"/>
        <v>0</v>
      </c>
      <c r="N41" s="335">
        <f t="shared" si="4"/>
        <v>0</v>
      </c>
      <c r="O41" s="103">
        <f t="shared" si="15"/>
        <v>0</v>
      </c>
      <c r="P41" s="335">
        <f t="shared" si="5"/>
        <v>0</v>
      </c>
      <c r="R41" s="214">
        <f t="shared" si="6"/>
        <v>0</v>
      </c>
      <c r="T41" s="33" t="str">
        <f t="shared" si="7"/>
        <v/>
      </c>
    </row>
    <row r="42" spans="1:20" ht="14" x14ac:dyDescent="0.2">
      <c r="A42" s="22"/>
      <c r="B42" s="144"/>
      <c r="C42" s="322" t="str">
        <f>IFERROR(VLOOKUP(B42,IDS!$A$1:$B$121,2,0),"")</f>
        <v/>
      </c>
      <c r="D42" s="4" t="s">
        <v>67</v>
      </c>
      <c r="E42" s="5"/>
      <c r="F42" s="195"/>
      <c r="G42" s="227">
        <f t="shared" si="16"/>
        <v>0</v>
      </c>
      <c r="H42" s="221">
        <f t="shared" si="13"/>
        <v>0</v>
      </c>
      <c r="I42" s="206">
        <f t="shared" si="14"/>
        <v>0</v>
      </c>
      <c r="J42" s="335">
        <f t="shared" si="0"/>
        <v>0</v>
      </c>
      <c r="K42" s="206">
        <f t="shared" si="1"/>
        <v>0</v>
      </c>
      <c r="L42" s="335">
        <f t="shared" si="2"/>
        <v>0</v>
      </c>
      <c r="M42" s="206">
        <f t="shared" si="3"/>
        <v>0</v>
      </c>
      <c r="N42" s="335">
        <f t="shared" si="4"/>
        <v>0</v>
      </c>
      <c r="O42" s="103">
        <f t="shared" si="15"/>
        <v>0</v>
      </c>
      <c r="P42" s="335">
        <f t="shared" si="5"/>
        <v>0</v>
      </c>
      <c r="R42" s="214">
        <f t="shared" si="6"/>
        <v>0</v>
      </c>
      <c r="T42" s="33" t="str">
        <f t="shared" si="7"/>
        <v/>
      </c>
    </row>
    <row r="43" spans="1:20" ht="15" thickBot="1" x14ac:dyDescent="0.25">
      <c r="A43" s="23"/>
      <c r="B43" s="145"/>
      <c r="C43" s="322" t="str">
        <f>IFERROR(VLOOKUP(B43,IDS!$A$1:$B$121,2,0),"")</f>
        <v/>
      </c>
      <c r="D43" s="40"/>
      <c r="E43" s="31"/>
      <c r="F43" s="231"/>
      <c r="G43" s="228">
        <f t="shared" si="16"/>
        <v>0</v>
      </c>
      <c r="H43" s="229">
        <f t="shared" si="13"/>
        <v>0</v>
      </c>
      <c r="I43" s="206">
        <f t="shared" si="14"/>
        <v>0</v>
      </c>
      <c r="J43" s="335">
        <f t="shared" si="0"/>
        <v>0</v>
      </c>
      <c r="K43" s="206">
        <f t="shared" si="1"/>
        <v>0</v>
      </c>
      <c r="L43" s="335">
        <f t="shared" si="2"/>
        <v>0</v>
      </c>
      <c r="M43" s="206">
        <f t="shared" si="3"/>
        <v>0</v>
      </c>
      <c r="N43" s="335">
        <f t="shared" si="4"/>
        <v>0</v>
      </c>
      <c r="O43" s="109">
        <f t="shared" si="15"/>
        <v>0</v>
      </c>
      <c r="P43" s="335">
        <f t="shared" si="5"/>
        <v>0</v>
      </c>
      <c r="R43" s="214">
        <f t="shared" si="6"/>
        <v>0</v>
      </c>
      <c r="T43" s="33" t="str">
        <f t="shared" si="7"/>
        <v/>
      </c>
    </row>
    <row r="44" spans="1:20" ht="12.75" customHeight="1" thickBot="1" x14ac:dyDescent="0.25">
      <c r="A44" s="333" t="s">
        <v>68</v>
      </c>
      <c r="B44" s="334"/>
      <c r="C44" s="322" t="str">
        <f>IFERROR(VLOOKUP(B44,IDS!$A$1:$B$121,2,0),"")</f>
        <v/>
      </c>
      <c r="D44" s="334"/>
      <c r="E44" s="334"/>
      <c r="F44" s="334"/>
      <c r="G44" s="334"/>
      <c r="H44" s="334"/>
      <c r="I44" s="334"/>
      <c r="J44" s="335">
        <f t="shared" si="0"/>
        <v>0</v>
      </c>
      <c r="K44" s="334"/>
      <c r="L44" s="335">
        <f t="shared" si="2"/>
        <v>0</v>
      </c>
      <c r="M44" s="334"/>
      <c r="N44" s="335">
        <f t="shared" si="4"/>
        <v>0</v>
      </c>
      <c r="O44" s="334"/>
      <c r="P44" s="335">
        <f t="shared" si="5"/>
        <v>0</v>
      </c>
      <c r="R44" s="214">
        <f t="shared" si="6"/>
        <v>0</v>
      </c>
      <c r="T44" s="33" t="str">
        <f t="shared" si="7"/>
        <v/>
      </c>
    </row>
    <row r="45" spans="1:20" ht="14" x14ac:dyDescent="0.2">
      <c r="A45" s="43"/>
      <c r="B45" s="43"/>
      <c r="C45" s="322" t="str">
        <f>IFERROR(VLOOKUP(B45,IDS!$A$1:$B$121,2,0),"")</f>
        <v/>
      </c>
      <c r="D45" s="44" t="s">
        <v>69</v>
      </c>
      <c r="E45" s="30">
        <v>431</v>
      </c>
      <c r="F45" s="217"/>
      <c r="G45" s="233">
        <f t="shared" ref="G45:G54" si="17">E45+F45</f>
        <v>431</v>
      </c>
      <c r="H45" s="234">
        <f t="shared" ref="H45:H54" si="18">(G45*0.16)+G45</f>
        <v>499.96000000000004</v>
      </c>
      <c r="I45" s="206">
        <f>(F45*0.06)</f>
        <v>0</v>
      </c>
      <c r="J45" s="335">
        <f t="shared" si="0"/>
        <v>0</v>
      </c>
      <c r="K45" s="206">
        <f>(F45*0.2)</f>
        <v>0</v>
      </c>
      <c r="L45" s="335">
        <f t="shared" si="2"/>
        <v>0</v>
      </c>
      <c r="M45" s="206">
        <f>(F45*0.005)</f>
        <v>0</v>
      </c>
      <c r="N45" s="335">
        <f t="shared" si="4"/>
        <v>0</v>
      </c>
      <c r="O45" s="105">
        <f>(F45-I45-K45)</f>
        <v>0</v>
      </c>
      <c r="P45" s="335">
        <f t="shared" si="5"/>
        <v>0</v>
      </c>
      <c r="R45" s="214">
        <f t="shared" si="6"/>
        <v>0</v>
      </c>
      <c r="T45" s="33" t="str">
        <f t="shared" si="7"/>
        <v/>
      </c>
    </row>
    <row r="46" spans="1:20" ht="14" x14ac:dyDescent="0.2">
      <c r="A46" s="29"/>
      <c r="B46" s="29"/>
      <c r="C46" s="322" t="str">
        <f>IFERROR(VLOOKUP(B46,IDS!$A$1:$B$121,2,0),"")</f>
        <v/>
      </c>
      <c r="D46" s="4" t="s">
        <v>70</v>
      </c>
      <c r="E46" s="41">
        <v>0</v>
      </c>
      <c r="F46" s="195"/>
      <c r="G46" s="235">
        <f t="shared" si="17"/>
        <v>0</v>
      </c>
      <c r="H46" s="234">
        <f t="shared" si="18"/>
        <v>0</v>
      </c>
      <c r="I46" s="207">
        <f>(F46*0.06)</f>
        <v>0</v>
      </c>
      <c r="J46" s="335">
        <f t="shared" si="0"/>
        <v>0</v>
      </c>
      <c r="K46" s="207">
        <f>(F46*0.2)</f>
        <v>0</v>
      </c>
      <c r="L46" s="335">
        <f t="shared" si="2"/>
        <v>0</v>
      </c>
      <c r="M46" s="207">
        <f>(F46*0.005)</f>
        <v>0</v>
      </c>
      <c r="N46" s="335">
        <f t="shared" si="4"/>
        <v>0</v>
      </c>
      <c r="O46" s="103">
        <f>(F46-I46-K46)</f>
        <v>0</v>
      </c>
      <c r="P46" s="335">
        <f t="shared" si="5"/>
        <v>0</v>
      </c>
      <c r="R46" s="214">
        <f t="shared" si="6"/>
        <v>0</v>
      </c>
      <c r="T46" s="33" t="str">
        <f t="shared" si="7"/>
        <v/>
      </c>
    </row>
    <row r="47" spans="1:20" ht="14" x14ac:dyDescent="0.2">
      <c r="A47" s="29"/>
      <c r="B47" s="29"/>
      <c r="C47" s="322" t="str">
        <f>IFERROR(VLOOKUP(B47,IDS!$A$1:$B$121,2,0),"")</f>
        <v/>
      </c>
      <c r="D47" s="4" t="s">
        <v>71</v>
      </c>
      <c r="E47" s="41">
        <v>0</v>
      </c>
      <c r="F47" s="195"/>
      <c r="G47" s="235">
        <f t="shared" si="17"/>
        <v>0</v>
      </c>
      <c r="H47" s="234">
        <f t="shared" si="18"/>
        <v>0</v>
      </c>
      <c r="I47" s="207">
        <f>(F47*0.06)</f>
        <v>0</v>
      </c>
      <c r="J47" s="335">
        <f t="shared" si="0"/>
        <v>0</v>
      </c>
      <c r="K47" s="207">
        <f>(F47*0.2)</f>
        <v>0</v>
      </c>
      <c r="L47" s="335">
        <f t="shared" si="2"/>
        <v>0</v>
      </c>
      <c r="M47" s="207">
        <f>(F47*0.005)</f>
        <v>0</v>
      </c>
      <c r="N47" s="335">
        <f t="shared" si="4"/>
        <v>0</v>
      </c>
      <c r="O47" s="103">
        <f>(F47-I47-K47)</f>
        <v>0</v>
      </c>
      <c r="P47" s="335">
        <f t="shared" si="5"/>
        <v>0</v>
      </c>
      <c r="R47" s="214">
        <f t="shared" si="6"/>
        <v>0</v>
      </c>
      <c r="T47" s="33" t="str">
        <f t="shared" si="7"/>
        <v/>
      </c>
    </row>
    <row r="48" spans="1:20" ht="15" thickBot="1" x14ac:dyDescent="0.25">
      <c r="A48" s="42"/>
      <c r="B48" s="42"/>
      <c r="C48" s="322" t="str">
        <f>IFERROR(VLOOKUP(B48,IDS!$A$1:$B$121,2,0),"")</f>
        <v/>
      </c>
      <c r="D48" s="13"/>
      <c r="E48" s="106"/>
      <c r="F48" s="222"/>
      <c r="G48" s="236">
        <f t="shared" si="17"/>
        <v>0</v>
      </c>
      <c r="H48" s="237">
        <f t="shared" si="18"/>
        <v>0</v>
      </c>
      <c r="I48" s="208">
        <f>(F48*0.06)</f>
        <v>0</v>
      </c>
      <c r="J48" s="335">
        <f t="shared" si="0"/>
        <v>0</v>
      </c>
      <c r="K48" s="208">
        <f>(F48*0.2)</f>
        <v>0</v>
      </c>
      <c r="L48" s="335">
        <f t="shared" si="2"/>
        <v>0</v>
      </c>
      <c r="M48" s="208">
        <f>(F48*0.005)</f>
        <v>0</v>
      </c>
      <c r="N48" s="335">
        <f t="shared" si="4"/>
        <v>0</v>
      </c>
      <c r="O48" s="104">
        <f>(F48-I48-K48)</f>
        <v>0</v>
      </c>
      <c r="P48" s="335">
        <f t="shared" si="5"/>
        <v>0</v>
      </c>
      <c r="R48" s="214">
        <f t="shared" si="6"/>
        <v>0</v>
      </c>
      <c r="T48" s="33" t="str">
        <f t="shared" si="7"/>
        <v/>
      </c>
    </row>
    <row r="49" spans="1:20" ht="12.75" customHeight="1" thickBot="1" x14ac:dyDescent="0.25">
      <c r="A49" s="325" t="s">
        <v>72</v>
      </c>
      <c r="B49" s="326"/>
      <c r="C49" s="322" t="str">
        <f>IFERROR(VLOOKUP(B49,IDS!$A$1:$B$121,2,0),"")</f>
        <v/>
      </c>
      <c r="D49" s="326"/>
      <c r="E49" s="326"/>
      <c r="F49" s="326"/>
      <c r="G49" s="326"/>
      <c r="H49" s="326"/>
      <c r="I49" s="326"/>
      <c r="J49" s="335">
        <f t="shared" si="0"/>
        <v>0</v>
      </c>
      <c r="K49" s="326"/>
      <c r="L49" s="335">
        <f t="shared" si="2"/>
        <v>0</v>
      </c>
      <c r="M49" s="326"/>
      <c r="N49" s="335">
        <f t="shared" si="4"/>
        <v>0</v>
      </c>
      <c r="O49" s="326"/>
      <c r="P49" s="335">
        <f t="shared" si="5"/>
        <v>0</v>
      </c>
      <c r="R49" s="214">
        <f t="shared" si="6"/>
        <v>0</v>
      </c>
      <c r="T49" s="33" t="str">
        <f t="shared" si="7"/>
        <v/>
      </c>
    </row>
    <row r="50" spans="1:20" ht="14" x14ac:dyDescent="0.2">
      <c r="A50" s="43"/>
      <c r="B50" s="43"/>
      <c r="C50" s="322" t="str">
        <f>IFERROR(VLOOKUP(B50,IDS!$A$1:$B$121,2,0),"")</f>
        <v/>
      </c>
      <c r="D50" s="44" t="s">
        <v>73</v>
      </c>
      <c r="E50" s="107">
        <v>0</v>
      </c>
      <c r="F50" s="217"/>
      <c r="G50" s="233">
        <f t="shared" si="17"/>
        <v>0</v>
      </c>
      <c r="H50" s="234">
        <f t="shared" si="18"/>
        <v>0</v>
      </c>
      <c r="I50" s="206">
        <f t="shared" ref="I50:I55" si="19">(F50*0.06)</f>
        <v>0</v>
      </c>
      <c r="J50" s="335">
        <f t="shared" si="0"/>
        <v>0</v>
      </c>
      <c r="K50" s="206">
        <f t="shared" ref="K50:K55" si="20">(F50*0.2)</f>
        <v>0</v>
      </c>
      <c r="L50" s="335">
        <f t="shared" si="2"/>
        <v>0</v>
      </c>
      <c r="M50" s="206">
        <f t="shared" ref="M50:M55" si="21">(F50*0.005)</f>
        <v>0</v>
      </c>
      <c r="N50" s="335">
        <f t="shared" si="4"/>
        <v>0</v>
      </c>
      <c r="O50" s="105">
        <f t="shared" ref="O50:O55" si="22">(F50-I50-K50)</f>
        <v>0</v>
      </c>
      <c r="P50" s="335">
        <f t="shared" si="5"/>
        <v>0</v>
      </c>
      <c r="R50" s="214">
        <f t="shared" si="6"/>
        <v>0</v>
      </c>
      <c r="T50" s="33" t="str">
        <f t="shared" si="7"/>
        <v/>
      </c>
    </row>
    <row r="51" spans="1:20" ht="14" x14ac:dyDescent="0.2">
      <c r="A51" s="29"/>
      <c r="B51" s="29"/>
      <c r="C51" s="322" t="str">
        <f>IFERROR(VLOOKUP(B51,IDS!$A$1:$B$121,2,0),"")</f>
        <v/>
      </c>
      <c r="D51" s="4" t="s">
        <v>74</v>
      </c>
      <c r="E51" s="84">
        <v>0</v>
      </c>
      <c r="F51" s="195"/>
      <c r="G51" s="235">
        <f t="shared" si="17"/>
        <v>0</v>
      </c>
      <c r="H51" s="234">
        <f t="shared" si="18"/>
        <v>0</v>
      </c>
      <c r="I51" s="207">
        <f t="shared" si="19"/>
        <v>0</v>
      </c>
      <c r="J51" s="335">
        <f t="shared" si="0"/>
        <v>0</v>
      </c>
      <c r="K51" s="207">
        <f t="shared" si="20"/>
        <v>0</v>
      </c>
      <c r="L51" s="335">
        <f t="shared" si="2"/>
        <v>0</v>
      </c>
      <c r="M51" s="207">
        <f t="shared" si="21"/>
        <v>0</v>
      </c>
      <c r="N51" s="335">
        <f t="shared" si="4"/>
        <v>0</v>
      </c>
      <c r="O51" s="103">
        <f t="shared" si="22"/>
        <v>0</v>
      </c>
      <c r="P51" s="335">
        <f t="shared" si="5"/>
        <v>0</v>
      </c>
      <c r="R51" s="214">
        <f t="shared" si="6"/>
        <v>0</v>
      </c>
      <c r="T51" s="33" t="str">
        <f t="shared" si="7"/>
        <v/>
      </c>
    </row>
    <row r="52" spans="1:20" ht="28" x14ac:dyDescent="0.2">
      <c r="A52" s="29"/>
      <c r="B52" s="29"/>
      <c r="C52" s="322" t="str">
        <f>IFERROR(VLOOKUP(B52,IDS!$A$1:$B$121,2,0),"")</f>
        <v/>
      </c>
      <c r="D52" s="4" t="s">
        <v>75</v>
      </c>
      <c r="E52" s="80">
        <v>1827</v>
      </c>
      <c r="F52" s="195"/>
      <c r="G52" s="235">
        <f t="shared" si="17"/>
        <v>1827</v>
      </c>
      <c r="H52" s="234">
        <f t="shared" si="18"/>
        <v>2119.3200000000002</v>
      </c>
      <c r="I52" s="207">
        <f t="shared" si="19"/>
        <v>0</v>
      </c>
      <c r="J52" s="335">
        <f t="shared" si="0"/>
        <v>0</v>
      </c>
      <c r="K52" s="207">
        <f t="shared" si="20"/>
        <v>0</v>
      </c>
      <c r="L52" s="335">
        <f t="shared" si="2"/>
        <v>0</v>
      </c>
      <c r="M52" s="207">
        <f t="shared" si="21"/>
        <v>0</v>
      </c>
      <c r="N52" s="335">
        <f t="shared" si="4"/>
        <v>0</v>
      </c>
      <c r="O52" s="103">
        <f t="shared" si="22"/>
        <v>0</v>
      </c>
      <c r="P52" s="335">
        <f t="shared" si="5"/>
        <v>0</v>
      </c>
      <c r="R52" s="214">
        <f t="shared" si="6"/>
        <v>0</v>
      </c>
      <c r="T52" s="33" t="str">
        <f t="shared" si="7"/>
        <v/>
      </c>
    </row>
    <row r="53" spans="1:20" ht="28" x14ac:dyDescent="0.2">
      <c r="A53" s="29"/>
      <c r="B53" s="29"/>
      <c r="C53" s="322" t="str">
        <f>IFERROR(VLOOKUP(B53,IDS!$A$1:$B$121,2,0),"")</f>
        <v/>
      </c>
      <c r="D53" s="4" t="s">
        <v>76</v>
      </c>
      <c r="E53" s="80">
        <v>0</v>
      </c>
      <c r="F53" s="195"/>
      <c r="G53" s="235">
        <f t="shared" si="17"/>
        <v>0</v>
      </c>
      <c r="H53" s="234">
        <f t="shared" si="18"/>
        <v>0</v>
      </c>
      <c r="I53" s="207">
        <f t="shared" si="19"/>
        <v>0</v>
      </c>
      <c r="J53" s="335">
        <f t="shared" si="0"/>
        <v>0</v>
      </c>
      <c r="K53" s="207">
        <f t="shared" si="20"/>
        <v>0</v>
      </c>
      <c r="L53" s="335">
        <f t="shared" si="2"/>
        <v>0</v>
      </c>
      <c r="M53" s="207">
        <f t="shared" si="21"/>
        <v>0</v>
      </c>
      <c r="N53" s="335">
        <f t="shared" si="4"/>
        <v>0</v>
      </c>
      <c r="O53" s="103">
        <f t="shared" si="22"/>
        <v>0</v>
      </c>
      <c r="P53" s="335">
        <f t="shared" si="5"/>
        <v>0</v>
      </c>
      <c r="R53" s="214">
        <f t="shared" si="6"/>
        <v>0</v>
      </c>
      <c r="T53" s="33" t="str">
        <f t="shared" si="7"/>
        <v/>
      </c>
    </row>
    <row r="54" spans="1:20" ht="14" x14ac:dyDescent="0.2">
      <c r="A54" s="29"/>
      <c r="B54" s="29"/>
      <c r="C54" s="322" t="str">
        <f>IFERROR(VLOOKUP(B54,IDS!$A$1:$B$121,2,0),"")</f>
        <v/>
      </c>
      <c r="D54" s="4" t="s">
        <v>77</v>
      </c>
      <c r="E54" s="84">
        <v>0</v>
      </c>
      <c r="F54" s="195"/>
      <c r="G54" s="235">
        <f t="shared" si="17"/>
        <v>0</v>
      </c>
      <c r="H54" s="234">
        <f t="shared" si="18"/>
        <v>0</v>
      </c>
      <c r="I54" s="207">
        <f t="shared" si="19"/>
        <v>0</v>
      </c>
      <c r="J54" s="335">
        <f t="shared" si="0"/>
        <v>0</v>
      </c>
      <c r="K54" s="207">
        <f t="shared" si="20"/>
        <v>0</v>
      </c>
      <c r="L54" s="335">
        <f t="shared" si="2"/>
        <v>0</v>
      </c>
      <c r="M54" s="207">
        <f t="shared" si="21"/>
        <v>0</v>
      </c>
      <c r="N54" s="335">
        <f t="shared" si="4"/>
        <v>0</v>
      </c>
      <c r="O54" s="103">
        <f t="shared" si="22"/>
        <v>0</v>
      </c>
      <c r="P54" s="335">
        <f t="shared" si="5"/>
        <v>0</v>
      </c>
      <c r="R54" s="214">
        <f t="shared" si="6"/>
        <v>0</v>
      </c>
      <c r="T54" s="33" t="str">
        <f t="shared" si="7"/>
        <v/>
      </c>
    </row>
    <row r="55" spans="1:20" ht="28" x14ac:dyDescent="0.2">
      <c r="A55" s="29"/>
      <c r="B55" s="29"/>
      <c r="C55" s="322" t="str">
        <f>IFERROR(VLOOKUP(B55,IDS!$A$1:$B$121,2,0),"")</f>
        <v/>
      </c>
      <c r="D55" s="4" t="s">
        <v>160</v>
      </c>
      <c r="E55" s="84">
        <v>0</v>
      </c>
      <c r="F55" s="195"/>
      <c r="G55" s="235">
        <f>E55+F55</f>
        <v>0</v>
      </c>
      <c r="H55" s="234">
        <f>(G55*0.16)+G55</f>
        <v>0</v>
      </c>
      <c r="I55" s="207">
        <f t="shared" si="19"/>
        <v>0</v>
      </c>
      <c r="J55" s="335">
        <f t="shared" si="0"/>
        <v>0</v>
      </c>
      <c r="K55" s="207">
        <f t="shared" si="20"/>
        <v>0</v>
      </c>
      <c r="L55" s="335">
        <f t="shared" si="2"/>
        <v>0</v>
      </c>
      <c r="M55" s="207">
        <f t="shared" si="21"/>
        <v>0</v>
      </c>
      <c r="N55" s="335">
        <f t="shared" si="4"/>
        <v>0</v>
      </c>
      <c r="O55" s="103">
        <f t="shared" si="22"/>
        <v>0</v>
      </c>
      <c r="P55" s="335">
        <f t="shared" si="5"/>
        <v>0</v>
      </c>
      <c r="R55" s="214">
        <f t="shared" si="6"/>
        <v>0</v>
      </c>
      <c r="T55" s="33" t="str">
        <f t="shared" si="7"/>
        <v/>
      </c>
    </row>
    <row r="56" spans="1:20" x14ac:dyDescent="0.15">
      <c r="I56" s="211"/>
      <c r="J56" s="36"/>
    </row>
    <row r="57" spans="1:20" x14ac:dyDescent="0.15">
      <c r="I57" s="211"/>
      <c r="J57" s="36"/>
    </row>
    <row r="58" spans="1:20" x14ac:dyDescent="0.15">
      <c r="I58" s="211"/>
      <c r="J58" s="36"/>
    </row>
    <row r="59" spans="1:20" x14ac:dyDescent="0.15">
      <c r="I59" s="211"/>
      <c r="J59" s="36"/>
    </row>
    <row r="60" spans="1:20" x14ac:dyDescent="0.15">
      <c r="I60" s="211"/>
      <c r="J60" s="36"/>
    </row>
  </sheetData>
  <phoneticPr fontId="0" type="noConversion"/>
  <pageMargins left="0.75" right="0.75" top="1" bottom="1" header="0" footer="0"/>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55"/>
  <sheetViews>
    <sheetView workbookViewId="0">
      <selection activeCell="X7" sqref="X7"/>
    </sheetView>
  </sheetViews>
  <sheetFormatPr baseColWidth="10" defaultColWidth="11.5" defaultRowHeight="13" x14ac:dyDescent="0.15"/>
  <cols>
    <col min="1" max="1" width="10.33203125" style="32" bestFit="1" customWidth="1"/>
    <col min="2" max="2" width="42.1640625" style="32" customWidth="1"/>
    <col min="3" max="4" width="10.33203125" style="32" customWidth="1"/>
    <col min="5" max="5" width="71.33203125" style="33" customWidth="1"/>
    <col min="6" max="6" width="11.33203125" style="34" customWidth="1"/>
    <col min="7" max="7" width="13.5" style="34" customWidth="1"/>
    <col min="8" max="8" width="9.6640625" style="34" customWidth="1"/>
    <col min="9" max="9" width="9.6640625" style="34" bestFit="1" customWidth="1"/>
    <col min="10" max="10" width="11.5" style="33"/>
    <col min="11" max="11" width="7.33203125" style="33" bestFit="1" customWidth="1"/>
    <col min="12" max="12" width="11.6640625" style="33" bestFit="1" customWidth="1"/>
    <col min="13" max="13" width="7.33203125" style="33" bestFit="1" customWidth="1"/>
    <col min="14" max="14" width="11.5" style="33"/>
    <col min="15" max="15" width="6.33203125" style="33" bestFit="1" customWidth="1"/>
    <col min="16" max="16" width="11.5" style="33" customWidth="1"/>
    <col min="17" max="17" width="4.6640625" style="33" customWidth="1"/>
    <col min="18" max="18" width="4.83203125" style="33" customWidth="1"/>
    <col min="19" max="19" width="11.5" style="33"/>
    <col min="20" max="20" width="3" style="33" customWidth="1"/>
    <col min="21" max="16384" width="11.5" style="33"/>
  </cols>
  <sheetData>
    <row r="1" spans="1:21" ht="57" thickBot="1" x14ac:dyDescent="0.2">
      <c r="A1" s="90" t="s">
        <v>0</v>
      </c>
      <c r="B1" s="90"/>
      <c r="C1" s="90"/>
      <c r="D1" s="90"/>
      <c r="E1" s="91" t="s">
        <v>41</v>
      </c>
      <c r="F1" s="91" t="s">
        <v>120</v>
      </c>
      <c r="G1" s="91" t="s">
        <v>40</v>
      </c>
      <c r="H1" s="91" t="s">
        <v>85</v>
      </c>
      <c r="I1" s="91" t="s">
        <v>86</v>
      </c>
      <c r="J1" s="92" t="s">
        <v>133</v>
      </c>
      <c r="K1" s="93" t="s">
        <v>141</v>
      </c>
      <c r="L1" s="92" t="s">
        <v>134</v>
      </c>
      <c r="M1" s="93" t="s">
        <v>141</v>
      </c>
      <c r="N1" s="92" t="s">
        <v>145</v>
      </c>
      <c r="O1" s="93" t="s">
        <v>141</v>
      </c>
      <c r="P1" s="92" t="s">
        <v>135</v>
      </c>
      <c r="Q1" s="92" t="s">
        <v>141</v>
      </c>
      <c r="S1" s="312" t="s">
        <v>501</v>
      </c>
    </row>
    <row r="2" spans="1:21" ht="14" thickBot="1" x14ac:dyDescent="0.2">
      <c r="A2" s="319" t="s">
        <v>122</v>
      </c>
      <c r="B2" s="320"/>
      <c r="C2" s="320"/>
      <c r="D2" s="320"/>
      <c r="E2" s="320"/>
      <c r="F2" s="320"/>
      <c r="G2" s="320"/>
      <c r="H2" s="320"/>
      <c r="I2" s="320"/>
      <c r="J2" s="320"/>
      <c r="K2" s="320"/>
      <c r="L2" s="320"/>
      <c r="M2" s="320"/>
      <c r="N2" s="320"/>
      <c r="O2" s="320"/>
      <c r="P2" s="320"/>
      <c r="Q2" s="321"/>
      <c r="S2" s="94"/>
    </row>
    <row r="3" spans="1:21" ht="14" customHeight="1" thickBot="1" x14ac:dyDescent="0.2">
      <c r="A3" s="316" t="s">
        <v>1</v>
      </c>
      <c r="B3" s="317"/>
      <c r="C3" s="317"/>
      <c r="D3" s="317"/>
      <c r="E3" s="317"/>
      <c r="F3" s="317"/>
      <c r="G3" s="317"/>
      <c r="H3" s="317"/>
      <c r="I3" s="317"/>
      <c r="J3" s="317"/>
      <c r="K3" s="317"/>
      <c r="L3" s="317"/>
      <c r="M3" s="317"/>
      <c r="N3" s="317"/>
      <c r="O3" s="317"/>
      <c r="P3" s="317"/>
      <c r="Q3" s="318"/>
      <c r="S3" s="94"/>
    </row>
    <row r="4" spans="1:21" ht="15" thickBot="1" x14ac:dyDescent="0.25">
      <c r="A4" s="19"/>
      <c r="B4" s="148" t="s">
        <v>295</v>
      </c>
      <c r="C4" s="154" t="s">
        <v>296</v>
      </c>
      <c r="D4" s="322">
        <f>IFERROR(VLOOKUP(C4,IDS!$A$1:$B$121,2,0),"")</f>
        <v>95</v>
      </c>
      <c r="E4" s="4" t="s">
        <v>210</v>
      </c>
      <c r="F4" s="15">
        <v>0</v>
      </c>
      <c r="G4" s="15">
        <f>H4-F4</f>
        <v>50</v>
      </c>
      <c r="H4" s="96">
        <v>50</v>
      </c>
      <c r="I4" s="39">
        <f>(H4*0.16)+H4</f>
        <v>58</v>
      </c>
      <c r="J4" s="96">
        <f>(G4*0.1)</f>
        <v>5</v>
      </c>
      <c r="K4" s="336">
        <f>IFERROR(ROUND(J4/$G4*100,0),0)</f>
        <v>10</v>
      </c>
      <c r="L4" s="96">
        <f>(G4*0.05)</f>
        <v>2.5</v>
      </c>
      <c r="M4" s="336">
        <f>IFERROR(ROUND(L4/$G4*100,0),0)</f>
        <v>5</v>
      </c>
      <c r="N4" s="96">
        <f>(G4*0.05)</f>
        <v>2.5</v>
      </c>
      <c r="O4" s="336">
        <f>IFERROR(ROUND(N4/$G4*100,0),0)</f>
        <v>5</v>
      </c>
      <c r="P4" s="77">
        <f>(G4-J4-L4)</f>
        <v>42.5</v>
      </c>
      <c r="Q4" s="335">
        <f>IFERROR(P4/G4*100,0)</f>
        <v>85</v>
      </c>
      <c r="S4" s="214">
        <f>J4-N4</f>
        <v>2.5</v>
      </c>
      <c r="U4" s="33" t="str">
        <f>IF(D4="","",CONCATENATE("update catalogo_servicios set costo =",H4,", costo_servicio=",F4,", honorarios=",G4,", utilidad=",P4,", comision_venta = 'Porcentaje', comision_operativa='Porcentaje', comision_gestion='Porcentaje', comision_venta_monto=",J4,", porcentaje_venta=",K4,", comision_operativa_monto=",L4,", porcentaje_operativa=",M4,", comision_gestion_monto=",N4,", porcentaje_gestion=",O4,", porcentaje_utilidad=",Q4," where id=",D4,";"))</f>
        <v>update catalogo_servicios set costo =50, costo_servicio=0, honorarios=50, utilidad=42.5, comision_venta = 'Porcentaje', comision_operativa='Porcentaje', comision_gestion='Porcentaje', comision_venta_monto=5, porcentaje_venta=10, comision_operativa_monto=2.5, porcentaje_operativa=5, comision_gestion_monto=2.5, porcentaje_gestion=5, porcentaje_utilidad=85 where id=95;</v>
      </c>
    </row>
    <row r="5" spans="1:21" ht="15" thickBot="1" x14ac:dyDescent="0.25">
      <c r="A5" s="20"/>
      <c r="B5" s="148" t="s">
        <v>297</v>
      </c>
      <c r="C5" s="154" t="s">
        <v>298</v>
      </c>
      <c r="D5" s="322">
        <f>IFERROR(VLOOKUP(C5,IDS!$A$1:$B$121,2,0),"")</f>
        <v>94</v>
      </c>
      <c r="E5" s="4" t="s">
        <v>121</v>
      </c>
      <c r="F5" s="8">
        <v>0</v>
      </c>
      <c r="G5" s="15">
        <f t="shared" ref="G5:G35" si="0">H5-F5</f>
        <v>90</v>
      </c>
      <c r="H5" s="95">
        <v>90</v>
      </c>
      <c r="I5" s="39">
        <f t="shared" ref="I5:I35" si="1">(H5*0.16)+H5</f>
        <v>104.4</v>
      </c>
      <c r="J5" s="96">
        <f t="shared" ref="J5:J15" si="2">(G5*0.1)</f>
        <v>9</v>
      </c>
      <c r="K5" s="336">
        <f t="shared" ref="K5:K16" si="3">IFERROR(ROUND(J5/$G5*100,0),0)</f>
        <v>10</v>
      </c>
      <c r="L5" s="96">
        <f>(G5*0.05)</f>
        <v>4.5</v>
      </c>
      <c r="M5" s="336">
        <f t="shared" ref="M5:M16" si="4">IFERROR(ROUND(L5/$G5*100,0),0)</f>
        <v>5</v>
      </c>
      <c r="N5" s="96">
        <f>(G5*0.05)</f>
        <v>4.5</v>
      </c>
      <c r="O5" s="336">
        <f t="shared" ref="O5:O16" si="5">IFERROR(ROUND(N5/$G5*100,0),0)</f>
        <v>5</v>
      </c>
      <c r="P5" s="77">
        <f t="shared" ref="P5:P16" si="6">(G5-J5-L5)</f>
        <v>76.5</v>
      </c>
      <c r="Q5" s="335">
        <f t="shared" ref="Q5:Q16" si="7">IFERROR(P5/G5*100,0)</f>
        <v>85</v>
      </c>
      <c r="S5" s="214">
        <f t="shared" ref="S5:S55" si="8">J5-N5</f>
        <v>4.5</v>
      </c>
      <c r="U5" s="33" t="str">
        <f t="shared" ref="U5:U15" si="9">IF(D5="","",CONCATENATE("update catalogo_servicios set costo =",H5,", costo_servicio=",F5,", honorarios=",G5,", utilidad=",P5,", comision_venta = 'Porcentaje', comision_operativa='Porcentaje', comision_gestion='Porcentaje', comision_venta_monto=",J5,", porcentaje_venta=",K5,", comision_operativa_monto=",L5,", porcentaje_operativa=",M5,", comision_gestion_monto=",N5,", porcentaje_gestion=",O5,", porcentaje_utilidad=",Q5," where id=",D5,";"))</f>
        <v>update catalogo_servicios set costo =90, costo_servicio=0, honorarios=90, utilidad=76.5, comision_venta = 'Porcentaje', comision_operativa='Porcentaje', comision_gestion='Porcentaje', comision_venta_monto=9, porcentaje_venta=10, comision_operativa_monto=4.5, porcentaje_operativa=5, comision_gestion_monto=4.5, porcentaje_gestion=5, porcentaje_utilidad=85 where id=94;</v>
      </c>
    </row>
    <row r="6" spans="1:21" ht="15" thickBot="1" x14ac:dyDescent="0.25">
      <c r="A6" s="20"/>
      <c r="B6" s="155" t="s">
        <v>299</v>
      </c>
      <c r="C6" s="154" t="s">
        <v>300</v>
      </c>
      <c r="D6" s="322">
        <f>IFERROR(VLOOKUP(C6,IDS!$A$1:$B$121,2,0),"")</f>
        <v>93</v>
      </c>
      <c r="E6" s="4" t="s">
        <v>136</v>
      </c>
      <c r="F6" s="8">
        <v>0</v>
      </c>
      <c r="G6" s="15">
        <f t="shared" si="0"/>
        <v>25</v>
      </c>
      <c r="H6" s="95">
        <v>25</v>
      </c>
      <c r="I6" s="39">
        <f t="shared" si="1"/>
        <v>29</v>
      </c>
      <c r="J6" s="96">
        <f t="shared" si="2"/>
        <v>2.5</v>
      </c>
      <c r="K6" s="336">
        <f t="shared" si="3"/>
        <v>10</v>
      </c>
      <c r="L6" s="96">
        <f>(G6*0.05)</f>
        <v>1.25</v>
      </c>
      <c r="M6" s="336">
        <f t="shared" si="4"/>
        <v>5</v>
      </c>
      <c r="N6" s="96">
        <f>(G6*0.05)</f>
        <v>1.25</v>
      </c>
      <c r="O6" s="336">
        <f t="shared" si="5"/>
        <v>5</v>
      </c>
      <c r="P6" s="77">
        <f t="shared" si="6"/>
        <v>21.25</v>
      </c>
      <c r="Q6" s="335">
        <f t="shared" si="7"/>
        <v>85</v>
      </c>
      <c r="S6" s="214">
        <f t="shared" si="8"/>
        <v>1.25</v>
      </c>
      <c r="U6" s="33" t="str">
        <f t="shared" si="9"/>
        <v>update catalogo_servicios set costo =25, costo_servicio=0, honorarios=25, utilidad=21.25, comision_venta = 'Porcentaje', comision_operativa='Porcentaje', comision_gestion='Porcentaje', comision_venta_monto=2.5, porcentaje_venta=10, comision_operativa_monto=1.25, porcentaje_operativa=5, comision_gestion_monto=1.25, porcentaje_gestion=5, porcentaje_utilidad=85 where id=93;</v>
      </c>
    </row>
    <row r="7" spans="1:21" ht="29" thickBot="1" x14ac:dyDescent="0.25">
      <c r="A7" s="20" t="s">
        <v>164</v>
      </c>
      <c r="B7" s="148" t="s">
        <v>301</v>
      </c>
      <c r="C7" s="154" t="s">
        <v>302</v>
      </c>
      <c r="D7" s="322">
        <f>IFERROR(VLOOKUP(C7,IDS!$A$1:$B$121,2,0),"")</f>
        <v>89</v>
      </c>
      <c r="E7" s="1" t="s">
        <v>165</v>
      </c>
      <c r="F7" s="8">
        <v>225</v>
      </c>
      <c r="G7" s="15">
        <f>H7-F7</f>
        <v>550</v>
      </c>
      <c r="H7" s="95">
        <v>775</v>
      </c>
      <c r="I7" s="39">
        <f t="shared" si="1"/>
        <v>899</v>
      </c>
      <c r="J7" s="96">
        <f t="shared" si="2"/>
        <v>55</v>
      </c>
      <c r="K7" s="336">
        <f t="shared" si="3"/>
        <v>10</v>
      </c>
      <c r="L7" s="96">
        <f>(G7*0.05)</f>
        <v>27.5</v>
      </c>
      <c r="M7" s="336">
        <f t="shared" si="4"/>
        <v>5</v>
      </c>
      <c r="N7" s="96">
        <f>(G7*0.02)</f>
        <v>11</v>
      </c>
      <c r="O7" s="336">
        <f t="shared" si="5"/>
        <v>2</v>
      </c>
      <c r="P7" s="77">
        <f t="shared" si="6"/>
        <v>467.5</v>
      </c>
      <c r="Q7" s="335">
        <f t="shared" si="7"/>
        <v>85</v>
      </c>
      <c r="S7" s="214">
        <f t="shared" si="8"/>
        <v>44</v>
      </c>
      <c r="U7" s="33" t="str">
        <f t="shared" si="9"/>
        <v>update catalogo_servicios set costo =775, costo_servicio=225, honorarios=550, utilidad=467.5, comision_venta = 'Porcentaje', comision_operativa='Porcentaje', comision_gestion='Porcentaje', comision_venta_monto=55, porcentaje_venta=10, comision_operativa_monto=27.5, porcentaje_operativa=5, comision_gestion_monto=11, porcentaje_gestion=2, porcentaje_utilidad=85 where id=89;</v>
      </c>
    </row>
    <row r="8" spans="1:21" ht="15" thickBot="1" x14ac:dyDescent="0.25">
      <c r="A8" s="20"/>
      <c r="B8" s="155" t="s">
        <v>303</v>
      </c>
      <c r="C8" s="154" t="s">
        <v>304</v>
      </c>
      <c r="D8" s="322">
        <f>IFERROR(VLOOKUP(C8,IDS!$A$1:$B$121,2,0),"")</f>
        <v>86</v>
      </c>
      <c r="E8" s="1" t="s">
        <v>211</v>
      </c>
      <c r="F8" s="8">
        <v>0</v>
      </c>
      <c r="G8" s="15">
        <f>H8-F8</f>
        <v>150</v>
      </c>
      <c r="H8" s="95">
        <v>150</v>
      </c>
      <c r="I8" s="39">
        <f>(H8*0.16)+H8</f>
        <v>174</v>
      </c>
      <c r="J8" s="96">
        <f t="shared" si="2"/>
        <v>15</v>
      </c>
      <c r="K8" s="336">
        <f t="shared" si="3"/>
        <v>10</v>
      </c>
      <c r="L8" s="96">
        <v>0</v>
      </c>
      <c r="M8" s="336">
        <f t="shared" si="4"/>
        <v>0</v>
      </c>
      <c r="N8" s="96">
        <f t="shared" ref="N8:N16" si="10">(G8*0.02)</f>
        <v>3</v>
      </c>
      <c r="O8" s="336">
        <f t="shared" si="5"/>
        <v>2</v>
      </c>
      <c r="P8" s="77">
        <f t="shared" si="6"/>
        <v>135</v>
      </c>
      <c r="Q8" s="335">
        <f t="shared" si="7"/>
        <v>90</v>
      </c>
      <c r="S8" s="214">
        <f t="shared" si="8"/>
        <v>12</v>
      </c>
      <c r="U8" s="33" t="str">
        <f t="shared" si="9"/>
        <v>update catalogo_servicios set costo =150, costo_servicio=0, honorarios=150, utilidad=135, comision_venta = 'Porcentaje', comision_operativa='Porcentaje', comision_gestion='Porcentaje', comision_venta_monto=15, porcentaje_venta=10, comision_operativa_monto=0, porcentaje_operativa=0, comision_gestion_monto=3, porcentaje_gestion=2, porcentaje_utilidad=90 where id=86;</v>
      </c>
    </row>
    <row r="9" spans="1:21" ht="15" thickBot="1" x14ac:dyDescent="0.25">
      <c r="A9" s="20"/>
      <c r="B9" s="155" t="s">
        <v>305</v>
      </c>
      <c r="C9" s="154" t="s">
        <v>306</v>
      </c>
      <c r="D9" s="322">
        <f>IFERROR(VLOOKUP(C9,IDS!$A$1:$B$121,2,0),"")</f>
        <v>96</v>
      </c>
      <c r="E9" s="1" t="s">
        <v>217</v>
      </c>
      <c r="F9" s="8">
        <v>0</v>
      </c>
      <c r="G9" s="15">
        <f>H9-F9</f>
        <v>75</v>
      </c>
      <c r="H9" s="95">
        <v>75</v>
      </c>
      <c r="I9" s="39">
        <f>(H9*0.16)+H9</f>
        <v>87</v>
      </c>
      <c r="J9" s="96">
        <v>0</v>
      </c>
      <c r="K9" s="336">
        <f t="shared" si="3"/>
        <v>0</v>
      </c>
      <c r="L9" s="96">
        <v>7.5</v>
      </c>
      <c r="M9" s="336">
        <f t="shared" si="4"/>
        <v>10</v>
      </c>
      <c r="N9" s="96">
        <f t="shared" si="10"/>
        <v>1.5</v>
      </c>
      <c r="O9" s="336">
        <f t="shared" si="5"/>
        <v>2</v>
      </c>
      <c r="P9" s="77">
        <f t="shared" si="6"/>
        <v>67.5</v>
      </c>
      <c r="Q9" s="335">
        <f t="shared" si="7"/>
        <v>90</v>
      </c>
      <c r="S9" s="214">
        <f t="shared" si="8"/>
        <v>-1.5</v>
      </c>
      <c r="U9" s="33" t="str">
        <f t="shared" si="9"/>
        <v>update catalogo_servicios set costo =75, costo_servicio=0, honorarios=75, utilidad=67.5, comision_venta = 'Porcentaje', comision_operativa='Porcentaje', comision_gestion='Porcentaje', comision_venta_monto=0, porcentaje_venta=0, comision_operativa_monto=7.5, porcentaje_operativa=10, comision_gestion_monto=1.5, porcentaje_gestion=2, porcentaje_utilidad=90 where id=96;</v>
      </c>
    </row>
    <row r="10" spans="1:21" ht="31" thickBot="1" x14ac:dyDescent="0.25">
      <c r="A10" s="20"/>
      <c r="B10" s="156" t="s">
        <v>307</v>
      </c>
      <c r="C10" s="157" t="s">
        <v>308</v>
      </c>
      <c r="D10" s="322">
        <f>IFERROR(VLOOKUP(C10,IDS!$A$1:$B$121,2,0),"")</f>
        <v>97</v>
      </c>
      <c r="E10" s="1" t="s">
        <v>218</v>
      </c>
      <c r="F10" s="8">
        <v>0</v>
      </c>
      <c r="G10" s="15">
        <f>H10-F10</f>
        <v>100</v>
      </c>
      <c r="H10" s="95">
        <v>100</v>
      </c>
      <c r="I10" s="39">
        <f>(H10*0.16)+H10</f>
        <v>116</v>
      </c>
      <c r="J10" s="96">
        <v>0</v>
      </c>
      <c r="K10" s="336">
        <f t="shared" si="3"/>
        <v>0</v>
      </c>
      <c r="L10" s="96">
        <v>10</v>
      </c>
      <c r="M10" s="336">
        <f t="shared" si="4"/>
        <v>10</v>
      </c>
      <c r="N10" s="96">
        <f t="shared" si="10"/>
        <v>2</v>
      </c>
      <c r="O10" s="336">
        <f t="shared" si="5"/>
        <v>2</v>
      </c>
      <c r="P10" s="77">
        <f t="shared" si="6"/>
        <v>90</v>
      </c>
      <c r="Q10" s="335">
        <f t="shared" si="7"/>
        <v>90</v>
      </c>
      <c r="S10" s="214">
        <f t="shared" si="8"/>
        <v>-2</v>
      </c>
      <c r="U10" s="33" t="str">
        <f t="shared" si="9"/>
        <v>update catalogo_servicios set costo =100, costo_servicio=0, honorarios=100, utilidad=90, comision_venta = 'Porcentaje', comision_operativa='Porcentaje', comision_gestion='Porcentaje', comision_venta_monto=0, porcentaje_venta=0, comision_operativa_monto=10, porcentaje_operativa=10, comision_gestion_monto=2, porcentaje_gestion=2, porcentaje_utilidad=90 where id=97;</v>
      </c>
    </row>
    <row r="11" spans="1:21" ht="15" thickBot="1" x14ac:dyDescent="0.25">
      <c r="A11" s="20" t="s">
        <v>166</v>
      </c>
      <c r="B11" s="142"/>
      <c r="C11" s="142"/>
      <c r="D11" s="322" t="str">
        <f>IFERROR(VLOOKUP(C11,IDS!$A$1:$B$121,2,0),"")</f>
        <v/>
      </c>
      <c r="E11" s="1" t="s">
        <v>167</v>
      </c>
      <c r="F11" s="8">
        <v>100</v>
      </c>
      <c r="G11" s="15">
        <f t="shared" si="0"/>
        <v>100</v>
      </c>
      <c r="H11" s="95">
        <v>200</v>
      </c>
      <c r="I11" s="39">
        <f t="shared" si="1"/>
        <v>232</v>
      </c>
      <c r="J11" s="96">
        <v>0</v>
      </c>
      <c r="K11" s="336">
        <f t="shared" si="3"/>
        <v>0</v>
      </c>
      <c r="L11" s="96">
        <f t="shared" ref="L11:L16" si="11">(G11*0.05)</f>
        <v>5</v>
      </c>
      <c r="M11" s="336">
        <f t="shared" si="4"/>
        <v>5</v>
      </c>
      <c r="N11" s="96">
        <f t="shared" si="10"/>
        <v>2</v>
      </c>
      <c r="O11" s="336">
        <f t="shared" si="5"/>
        <v>2</v>
      </c>
      <c r="P11" s="77">
        <f t="shared" si="6"/>
        <v>95</v>
      </c>
      <c r="Q11" s="335">
        <f t="shared" si="7"/>
        <v>95</v>
      </c>
      <c r="S11" s="214">
        <f t="shared" si="8"/>
        <v>-2</v>
      </c>
      <c r="U11" s="33" t="str">
        <f t="shared" si="9"/>
        <v/>
      </c>
    </row>
    <row r="12" spans="1:21" ht="29" thickBot="1" x14ac:dyDescent="0.25">
      <c r="A12" s="20" t="s">
        <v>168</v>
      </c>
      <c r="B12" s="155" t="s">
        <v>309</v>
      </c>
      <c r="C12" s="154" t="s">
        <v>310</v>
      </c>
      <c r="D12" s="322">
        <f>IFERROR(VLOOKUP(C12,IDS!$A$1:$B$121,2,0),"")</f>
        <v>88</v>
      </c>
      <c r="E12" s="1" t="s">
        <v>212</v>
      </c>
      <c r="F12" s="8">
        <v>100</v>
      </c>
      <c r="G12" s="15">
        <f t="shared" si="0"/>
        <v>100</v>
      </c>
      <c r="H12" s="95">
        <v>200</v>
      </c>
      <c r="I12" s="39">
        <f t="shared" si="1"/>
        <v>232</v>
      </c>
      <c r="J12" s="96">
        <v>0</v>
      </c>
      <c r="K12" s="336">
        <f t="shared" si="3"/>
        <v>0</v>
      </c>
      <c r="L12" s="96">
        <f t="shared" si="11"/>
        <v>5</v>
      </c>
      <c r="M12" s="336">
        <f t="shared" si="4"/>
        <v>5</v>
      </c>
      <c r="N12" s="96">
        <f t="shared" si="10"/>
        <v>2</v>
      </c>
      <c r="O12" s="336">
        <f t="shared" si="5"/>
        <v>2</v>
      </c>
      <c r="P12" s="77">
        <f t="shared" si="6"/>
        <v>95</v>
      </c>
      <c r="Q12" s="335">
        <f t="shared" si="7"/>
        <v>95</v>
      </c>
      <c r="S12" s="214">
        <f t="shared" si="8"/>
        <v>-2</v>
      </c>
      <c r="U12" s="33" t="str">
        <f t="shared" si="9"/>
        <v>update catalogo_servicios set costo =200, costo_servicio=100, honorarios=100, utilidad=95, comision_venta = 'Porcentaje', comision_operativa='Porcentaje', comision_gestion='Porcentaje', comision_venta_monto=0, porcentaje_venta=0, comision_operativa_monto=5, porcentaje_operativa=5, comision_gestion_monto=2, porcentaje_gestion=2, porcentaje_utilidad=95 where id=88;</v>
      </c>
    </row>
    <row r="13" spans="1:21" ht="43" thickBot="1" x14ac:dyDescent="0.25">
      <c r="A13" s="20" t="s">
        <v>169</v>
      </c>
      <c r="B13" s="155" t="s">
        <v>311</v>
      </c>
      <c r="C13" s="154" t="s">
        <v>312</v>
      </c>
      <c r="D13" s="322">
        <f>IFERROR(VLOOKUP(C13,IDS!$A$1:$B$121,2,0),"")</f>
        <v>92</v>
      </c>
      <c r="E13" s="1" t="s">
        <v>213</v>
      </c>
      <c r="F13" s="8">
        <v>125</v>
      </c>
      <c r="G13" s="15">
        <f t="shared" si="0"/>
        <v>100</v>
      </c>
      <c r="H13" s="95">
        <v>225</v>
      </c>
      <c r="I13" s="39">
        <f t="shared" si="1"/>
        <v>261</v>
      </c>
      <c r="J13" s="96">
        <v>0</v>
      </c>
      <c r="K13" s="336">
        <f t="shared" si="3"/>
        <v>0</v>
      </c>
      <c r="L13" s="96">
        <f t="shared" si="11"/>
        <v>5</v>
      </c>
      <c r="M13" s="336">
        <f t="shared" si="4"/>
        <v>5</v>
      </c>
      <c r="N13" s="96">
        <f t="shared" si="10"/>
        <v>2</v>
      </c>
      <c r="O13" s="336">
        <f t="shared" si="5"/>
        <v>2</v>
      </c>
      <c r="P13" s="77">
        <f t="shared" si="6"/>
        <v>95</v>
      </c>
      <c r="Q13" s="335">
        <f t="shared" si="7"/>
        <v>95</v>
      </c>
      <c r="S13" s="214">
        <f t="shared" si="8"/>
        <v>-2</v>
      </c>
      <c r="U13" s="33" t="str">
        <f t="shared" si="9"/>
        <v>update catalogo_servicios set costo =225, costo_servicio=125, honorarios=100, utilidad=95, comision_venta = 'Porcentaje', comision_operativa='Porcentaje', comision_gestion='Porcentaje', comision_venta_monto=0, porcentaje_venta=0, comision_operativa_monto=5, porcentaje_operativa=5, comision_gestion_monto=2, porcentaje_gestion=2, porcentaje_utilidad=95 where id=92;</v>
      </c>
    </row>
    <row r="14" spans="1:21" ht="29" thickBot="1" x14ac:dyDescent="0.25">
      <c r="A14" s="20" t="s">
        <v>168</v>
      </c>
      <c r="B14" s="155" t="s">
        <v>313</v>
      </c>
      <c r="C14" s="154" t="s">
        <v>314</v>
      </c>
      <c r="D14" s="322">
        <f>IFERROR(VLOOKUP(C14,IDS!$A$1:$B$121,2,0),"")</f>
        <v>87</v>
      </c>
      <c r="E14" s="1" t="s">
        <v>214</v>
      </c>
      <c r="F14" s="8">
        <v>100</v>
      </c>
      <c r="G14" s="15">
        <f>H14-F14</f>
        <v>300</v>
      </c>
      <c r="H14" s="95">
        <v>400</v>
      </c>
      <c r="I14" s="39">
        <f>(H14*0.16)+H14</f>
        <v>464</v>
      </c>
      <c r="J14" s="96">
        <f t="shared" si="2"/>
        <v>30</v>
      </c>
      <c r="K14" s="336">
        <f t="shared" si="3"/>
        <v>10</v>
      </c>
      <c r="L14" s="96">
        <f t="shared" si="11"/>
        <v>15</v>
      </c>
      <c r="M14" s="336">
        <f t="shared" si="4"/>
        <v>5</v>
      </c>
      <c r="N14" s="96">
        <f t="shared" si="10"/>
        <v>6</v>
      </c>
      <c r="O14" s="336">
        <f t="shared" si="5"/>
        <v>2</v>
      </c>
      <c r="P14" s="77">
        <f t="shared" si="6"/>
        <v>255</v>
      </c>
      <c r="Q14" s="335">
        <f t="shared" si="7"/>
        <v>85</v>
      </c>
      <c r="S14" s="214">
        <f t="shared" si="8"/>
        <v>24</v>
      </c>
      <c r="U14" s="33" t="str">
        <f t="shared" si="9"/>
        <v>update catalogo_servicios set costo =400, costo_servicio=100, honorarios=300, utilidad=255, comision_venta = 'Porcentaje', comision_operativa='Porcentaje', comision_gestion='Porcentaje', comision_venta_monto=30, porcentaje_venta=10, comision_operativa_monto=15, porcentaje_operativa=5, comision_gestion_monto=6, porcentaje_gestion=2, porcentaje_utilidad=85 where id=87;</v>
      </c>
    </row>
    <row r="15" spans="1:21" ht="43" thickBot="1" x14ac:dyDescent="0.25">
      <c r="A15" s="20" t="s">
        <v>169</v>
      </c>
      <c r="B15" s="155" t="s">
        <v>315</v>
      </c>
      <c r="C15" s="154" t="s">
        <v>316</v>
      </c>
      <c r="D15" s="322">
        <f>IFERROR(VLOOKUP(C15,IDS!$A$1:$B$121,2,0),"")</f>
        <v>91</v>
      </c>
      <c r="E15" s="1" t="s">
        <v>215</v>
      </c>
      <c r="F15" s="8">
        <v>125</v>
      </c>
      <c r="G15" s="15">
        <f>H15-F15</f>
        <v>100</v>
      </c>
      <c r="H15" s="95">
        <v>225</v>
      </c>
      <c r="I15" s="39">
        <f>(H15*0.16)+H15</f>
        <v>261</v>
      </c>
      <c r="J15" s="96">
        <f t="shared" si="2"/>
        <v>10</v>
      </c>
      <c r="K15" s="336">
        <f t="shared" si="3"/>
        <v>10</v>
      </c>
      <c r="L15" s="96">
        <f t="shared" si="11"/>
        <v>5</v>
      </c>
      <c r="M15" s="336">
        <f t="shared" si="4"/>
        <v>5</v>
      </c>
      <c r="N15" s="96">
        <f t="shared" si="10"/>
        <v>2</v>
      </c>
      <c r="O15" s="336">
        <f t="shared" si="5"/>
        <v>2</v>
      </c>
      <c r="P15" s="77">
        <f t="shared" si="6"/>
        <v>85</v>
      </c>
      <c r="Q15" s="335">
        <f t="shared" si="7"/>
        <v>85</v>
      </c>
      <c r="S15" s="214">
        <f t="shared" si="8"/>
        <v>8</v>
      </c>
      <c r="U15" s="33" t="str">
        <f t="shared" si="9"/>
        <v>update catalogo_servicios set costo =225, costo_servicio=125, honorarios=100, utilidad=85, comision_venta = 'Porcentaje', comision_operativa='Porcentaje', comision_gestion='Porcentaje', comision_venta_monto=10, porcentaje_venta=10, comision_operativa_monto=5, porcentaje_operativa=5, comision_gestion_monto=2, porcentaje_gestion=2, porcentaje_utilidad=85 where id=91;</v>
      </c>
    </row>
    <row r="16" spans="1:21" ht="15" thickBot="1" x14ac:dyDescent="0.25">
      <c r="A16" s="20" t="s">
        <v>170</v>
      </c>
      <c r="B16" s="155" t="s">
        <v>317</v>
      </c>
      <c r="C16" s="154" t="s">
        <v>318</v>
      </c>
      <c r="D16" s="322">
        <f>IFERROR(VLOOKUP(C16,IDS!$A$1:$B$121,2,0),"")</f>
        <v>90</v>
      </c>
      <c r="E16" s="1" t="s">
        <v>216</v>
      </c>
      <c r="F16" s="8">
        <v>100</v>
      </c>
      <c r="G16" s="15">
        <f t="shared" si="0"/>
        <v>100</v>
      </c>
      <c r="H16" s="95">
        <v>200</v>
      </c>
      <c r="I16" s="39">
        <f t="shared" si="1"/>
        <v>232</v>
      </c>
      <c r="J16" s="96">
        <v>0</v>
      </c>
      <c r="K16" s="336">
        <f t="shared" si="3"/>
        <v>0</v>
      </c>
      <c r="L16" s="96">
        <f t="shared" si="11"/>
        <v>5</v>
      </c>
      <c r="M16" s="336">
        <f t="shared" si="4"/>
        <v>5</v>
      </c>
      <c r="N16" s="96">
        <f t="shared" si="10"/>
        <v>2</v>
      </c>
      <c r="O16" s="336">
        <f t="shared" si="5"/>
        <v>2</v>
      </c>
      <c r="P16" s="77">
        <f t="shared" si="6"/>
        <v>95</v>
      </c>
      <c r="Q16" s="335">
        <f t="shared" si="7"/>
        <v>95</v>
      </c>
      <c r="S16" s="214">
        <f t="shared" si="8"/>
        <v>-2</v>
      </c>
      <c r="U16" s="33" t="str">
        <f>IF(D16="","",CONCATENATE("update catalogo_servicios set costo =",H16,", costo_servicio=",F16,", honorarios=",G16,", utilidad=",P16,", comision_venta = 'Porcentaje', comision_operativa='Porcentaje', comision_gestion='Porcentaje', comision_venta_monto=",J16,", porcentaje_venta=",K16,", comision_operativa_monto=",L16,", porcentaje_operativa=",M16,", comision_gestion_monto=",N16,", porcentaje_gestion=",O16,", porcentaje_utilidad=",Q16," where id=",D16,";"))</f>
        <v>update catalogo_servicios set costo =200, costo_servicio=100, honorarios=100, utilidad=95, comision_venta = 'Porcentaje', comision_operativa='Porcentaje', comision_gestion='Porcentaje', comision_venta_monto=0, porcentaje_venta=0, comision_operativa_monto=5, porcentaje_operativa=5, comision_gestion_monto=2, porcentaje_gestion=2, porcentaje_utilidad=95 where id=90;</v>
      </c>
    </row>
    <row r="17" spans="1:19" ht="14" x14ac:dyDescent="0.15">
      <c r="A17" s="20" t="s">
        <v>171</v>
      </c>
      <c r="B17" s="142"/>
      <c r="C17" s="142"/>
      <c r="D17" s="142"/>
      <c r="E17" s="1" t="s">
        <v>172</v>
      </c>
      <c r="F17" s="8">
        <v>100</v>
      </c>
      <c r="G17" s="15">
        <f t="shared" si="0"/>
        <v>-100</v>
      </c>
      <c r="H17" s="95"/>
      <c r="I17" s="39">
        <f t="shared" si="1"/>
        <v>0</v>
      </c>
      <c r="J17" s="96"/>
      <c r="K17" s="81">
        <f t="shared" ref="K5:K35" si="12">J17/G17</f>
        <v>0</v>
      </c>
      <c r="L17" s="94"/>
      <c r="M17" s="94"/>
      <c r="N17" s="94"/>
      <c r="O17" s="94"/>
      <c r="P17" s="94"/>
      <c r="Q17" s="94"/>
      <c r="S17" s="214">
        <f t="shared" si="8"/>
        <v>0</v>
      </c>
    </row>
    <row r="18" spans="1:19" ht="28" x14ac:dyDescent="0.15">
      <c r="A18" s="20" t="s">
        <v>173</v>
      </c>
      <c r="B18" s="142"/>
      <c r="C18" s="142"/>
      <c r="D18" s="142"/>
      <c r="E18" s="1" t="s">
        <v>174</v>
      </c>
      <c r="F18" s="8">
        <v>125</v>
      </c>
      <c r="G18" s="15">
        <f t="shared" si="0"/>
        <v>-125</v>
      </c>
      <c r="H18" s="95"/>
      <c r="I18" s="39">
        <f t="shared" si="1"/>
        <v>0</v>
      </c>
      <c r="J18" s="96"/>
      <c r="K18" s="81">
        <f t="shared" si="12"/>
        <v>0</v>
      </c>
      <c r="L18" s="94"/>
      <c r="M18" s="94"/>
      <c r="N18" s="94"/>
      <c r="O18" s="94"/>
      <c r="P18" s="94"/>
      <c r="Q18" s="94"/>
      <c r="S18" s="214">
        <f t="shared" si="8"/>
        <v>0</v>
      </c>
    </row>
    <row r="19" spans="1:19" ht="14" x14ac:dyDescent="0.15">
      <c r="A19" s="20" t="s">
        <v>175</v>
      </c>
      <c r="B19" s="142"/>
      <c r="C19" s="142"/>
      <c r="D19" s="142"/>
      <c r="E19" s="1" t="s">
        <v>176</v>
      </c>
      <c r="F19" s="8">
        <v>300</v>
      </c>
      <c r="G19" s="15">
        <f t="shared" si="0"/>
        <v>-300</v>
      </c>
      <c r="H19" s="95"/>
      <c r="I19" s="39">
        <f t="shared" si="1"/>
        <v>0</v>
      </c>
      <c r="J19" s="96"/>
      <c r="K19" s="81">
        <f t="shared" si="12"/>
        <v>0</v>
      </c>
      <c r="L19" s="94"/>
      <c r="M19" s="94"/>
      <c r="N19" s="94"/>
      <c r="O19" s="94"/>
      <c r="P19" s="94"/>
      <c r="Q19" s="94"/>
      <c r="S19" s="214">
        <f t="shared" si="8"/>
        <v>0</v>
      </c>
    </row>
    <row r="20" spans="1:19" ht="14" x14ac:dyDescent="0.15">
      <c r="A20" s="20" t="s">
        <v>177</v>
      </c>
      <c r="B20" s="142"/>
      <c r="C20" s="142"/>
      <c r="D20" s="142"/>
      <c r="E20" s="1" t="s">
        <v>178</v>
      </c>
      <c r="F20" s="8">
        <v>100</v>
      </c>
      <c r="G20" s="15">
        <f t="shared" si="0"/>
        <v>-100</v>
      </c>
      <c r="H20" s="95"/>
      <c r="I20" s="39">
        <f t="shared" si="1"/>
        <v>0</v>
      </c>
      <c r="J20" s="96"/>
      <c r="K20" s="81">
        <f t="shared" si="12"/>
        <v>0</v>
      </c>
      <c r="L20" s="94"/>
      <c r="M20" s="94"/>
      <c r="N20" s="94"/>
      <c r="O20" s="94"/>
      <c r="P20" s="94"/>
      <c r="Q20" s="94"/>
      <c r="S20" s="214">
        <f t="shared" si="8"/>
        <v>0</v>
      </c>
    </row>
    <row r="21" spans="1:19" ht="14" x14ac:dyDescent="0.15">
      <c r="A21" s="20" t="s">
        <v>179</v>
      </c>
      <c r="B21" s="142"/>
      <c r="C21" s="142"/>
      <c r="D21" s="142"/>
      <c r="E21" s="1" t="s">
        <v>180</v>
      </c>
      <c r="F21" s="8">
        <v>100</v>
      </c>
      <c r="G21" s="15">
        <f t="shared" si="0"/>
        <v>-100</v>
      </c>
      <c r="H21" s="95"/>
      <c r="I21" s="39">
        <f t="shared" si="1"/>
        <v>0</v>
      </c>
      <c r="J21" s="96"/>
      <c r="K21" s="81">
        <f t="shared" si="12"/>
        <v>0</v>
      </c>
      <c r="L21" s="94"/>
      <c r="M21" s="94"/>
      <c r="N21" s="94"/>
      <c r="O21" s="94"/>
      <c r="P21" s="94"/>
      <c r="Q21" s="94"/>
      <c r="S21" s="214">
        <f t="shared" si="8"/>
        <v>0</v>
      </c>
    </row>
    <row r="22" spans="1:19" ht="14" x14ac:dyDescent="0.15">
      <c r="A22" s="20" t="s">
        <v>181</v>
      </c>
      <c r="B22" s="142"/>
      <c r="C22" s="142"/>
      <c r="D22" s="142"/>
      <c r="E22" s="1" t="s">
        <v>182</v>
      </c>
      <c r="F22" s="8">
        <v>125</v>
      </c>
      <c r="G22" s="15">
        <f t="shared" si="0"/>
        <v>-125</v>
      </c>
      <c r="H22" s="95"/>
      <c r="I22" s="39">
        <f t="shared" si="1"/>
        <v>0</v>
      </c>
      <c r="J22" s="96"/>
      <c r="K22" s="81">
        <f t="shared" si="12"/>
        <v>0</v>
      </c>
      <c r="L22" s="94"/>
      <c r="M22" s="94"/>
      <c r="N22" s="94"/>
      <c r="O22" s="94"/>
      <c r="P22" s="94"/>
      <c r="Q22" s="94"/>
      <c r="S22" s="214">
        <f t="shared" si="8"/>
        <v>0</v>
      </c>
    </row>
    <row r="23" spans="1:19" ht="14" x14ac:dyDescent="0.15">
      <c r="A23" s="20" t="s">
        <v>183</v>
      </c>
      <c r="B23" s="142"/>
      <c r="C23" s="142"/>
      <c r="D23" s="142"/>
      <c r="E23" s="1" t="s">
        <v>184</v>
      </c>
      <c r="F23" s="8">
        <v>100</v>
      </c>
      <c r="G23" s="15">
        <f t="shared" si="0"/>
        <v>-100</v>
      </c>
      <c r="H23" s="95"/>
      <c r="I23" s="39">
        <f t="shared" si="1"/>
        <v>0</v>
      </c>
      <c r="J23" s="96"/>
      <c r="K23" s="81">
        <f t="shared" si="12"/>
        <v>0</v>
      </c>
      <c r="L23" s="94"/>
      <c r="M23" s="94"/>
      <c r="N23" s="94"/>
      <c r="O23" s="94"/>
      <c r="P23" s="94"/>
      <c r="Q23" s="94"/>
      <c r="S23" s="214">
        <f t="shared" si="8"/>
        <v>0</v>
      </c>
    </row>
    <row r="24" spans="1:19" ht="14" x14ac:dyDescent="0.15">
      <c r="A24" s="20" t="s">
        <v>185</v>
      </c>
      <c r="B24" s="142"/>
      <c r="C24" s="142"/>
      <c r="D24" s="142"/>
      <c r="E24" s="1" t="s">
        <v>186</v>
      </c>
      <c r="F24" s="8">
        <v>100</v>
      </c>
      <c r="G24" s="15">
        <f t="shared" si="0"/>
        <v>-100</v>
      </c>
      <c r="H24" s="95"/>
      <c r="I24" s="39">
        <f t="shared" si="1"/>
        <v>0</v>
      </c>
      <c r="J24" s="96"/>
      <c r="K24" s="81">
        <f t="shared" si="12"/>
        <v>0</v>
      </c>
      <c r="L24" s="94"/>
      <c r="M24" s="94"/>
      <c r="N24" s="94"/>
      <c r="O24" s="94"/>
      <c r="P24" s="94"/>
      <c r="Q24" s="94"/>
      <c r="S24" s="214">
        <f t="shared" si="8"/>
        <v>0</v>
      </c>
    </row>
    <row r="25" spans="1:19" ht="14" x14ac:dyDescent="0.15">
      <c r="A25" s="20" t="s">
        <v>187</v>
      </c>
      <c r="B25" s="142"/>
      <c r="C25" s="142"/>
      <c r="D25" s="142"/>
      <c r="E25" s="1" t="s">
        <v>188</v>
      </c>
      <c r="F25" s="8">
        <v>200</v>
      </c>
      <c r="G25" s="15">
        <f t="shared" si="0"/>
        <v>-200</v>
      </c>
      <c r="H25" s="95"/>
      <c r="I25" s="39">
        <f t="shared" si="1"/>
        <v>0</v>
      </c>
      <c r="J25" s="96"/>
      <c r="K25" s="81">
        <f t="shared" si="12"/>
        <v>0</v>
      </c>
      <c r="L25" s="94"/>
      <c r="M25" s="94"/>
      <c r="N25" s="94"/>
      <c r="O25" s="94"/>
      <c r="P25" s="94"/>
      <c r="Q25" s="94"/>
      <c r="S25" s="214">
        <f t="shared" si="8"/>
        <v>0</v>
      </c>
    </row>
    <row r="26" spans="1:19" ht="14" x14ac:dyDescent="0.15">
      <c r="A26" s="20" t="s">
        <v>189</v>
      </c>
      <c r="B26" s="142"/>
      <c r="C26" s="142"/>
      <c r="D26" s="142"/>
      <c r="E26" s="1" t="s">
        <v>190</v>
      </c>
      <c r="F26" s="8">
        <v>100</v>
      </c>
      <c r="G26" s="15">
        <f t="shared" si="0"/>
        <v>-100</v>
      </c>
      <c r="H26" s="95"/>
      <c r="I26" s="39">
        <f t="shared" si="1"/>
        <v>0</v>
      </c>
      <c r="J26" s="96"/>
      <c r="K26" s="81">
        <f t="shared" si="12"/>
        <v>0</v>
      </c>
      <c r="L26" s="94"/>
      <c r="M26" s="94"/>
      <c r="N26" s="94"/>
      <c r="O26" s="94"/>
      <c r="P26" s="94"/>
      <c r="Q26" s="94"/>
      <c r="S26" s="214">
        <f t="shared" si="8"/>
        <v>0</v>
      </c>
    </row>
    <row r="27" spans="1:19" ht="14" x14ac:dyDescent="0.15">
      <c r="A27" s="20" t="s">
        <v>191</v>
      </c>
      <c r="B27" s="142"/>
      <c r="C27" s="142"/>
      <c r="D27" s="142"/>
      <c r="E27" s="1" t="s">
        <v>192</v>
      </c>
      <c r="F27" s="8">
        <v>100</v>
      </c>
      <c r="G27" s="15">
        <f t="shared" si="0"/>
        <v>-100</v>
      </c>
      <c r="H27" s="95"/>
      <c r="I27" s="39">
        <f t="shared" si="1"/>
        <v>0</v>
      </c>
      <c r="J27" s="96"/>
      <c r="K27" s="81">
        <f t="shared" si="12"/>
        <v>0</v>
      </c>
      <c r="L27" s="94"/>
      <c r="M27" s="94"/>
      <c r="N27" s="94"/>
      <c r="O27" s="94"/>
      <c r="P27" s="94"/>
      <c r="Q27" s="94"/>
      <c r="S27" s="214">
        <f t="shared" si="8"/>
        <v>0</v>
      </c>
    </row>
    <row r="28" spans="1:19" ht="14" x14ac:dyDescent="0.15">
      <c r="A28" s="20" t="s">
        <v>193</v>
      </c>
      <c r="B28" s="142"/>
      <c r="C28" s="142"/>
      <c r="D28" s="142"/>
      <c r="E28" s="1" t="s">
        <v>194</v>
      </c>
      <c r="F28" s="8">
        <v>100</v>
      </c>
      <c r="G28" s="15">
        <f t="shared" si="0"/>
        <v>-100</v>
      </c>
      <c r="H28" s="95"/>
      <c r="I28" s="39">
        <f t="shared" si="1"/>
        <v>0</v>
      </c>
      <c r="J28" s="96"/>
      <c r="K28" s="81">
        <f t="shared" si="12"/>
        <v>0</v>
      </c>
      <c r="L28" s="94"/>
      <c r="M28" s="94"/>
      <c r="N28" s="94"/>
      <c r="O28" s="94"/>
      <c r="P28" s="94"/>
      <c r="Q28" s="94"/>
      <c r="S28" s="214">
        <f t="shared" si="8"/>
        <v>0</v>
      </c>
    </row>
    <row r="29" spans="1:19" ht="14" x14ac:dyDescent="0.15">
      <c r="A29" s="20" t="s">
        <v>195</v>
      </c>
      <c r="B29" s="142"/>
      <c r="C29" s="142"/>
      <c r="D29" s="142"/>
      <c r="E29" s="1" t="s">
        <v>196</v>
      </c>
      <c r="F29" s="8">
        <v>100</v>
      </c>
      <c r="G29" s="15">
        <f t="shared" si="0"/>
        <v>-100</v>
      </c>
      <c r="H29" s="95"/>
      <c r="I29" s="39">
        <f t="shared" si="1"/>
        <v>0</v>
      </c>
      <c r="J29" s="96"/>
      <c r="K29" s="81">
        <f t="shared" si="12"/>
        <v>0</v>
      </c>
      <c r="L29" s="94"/>
      <c r="M29" s="94"/>
      <c r="N29" s="94"/>
      <c r="O29" s="94"/>
      <c r="P29" s="94"/>
      <c r="Q29" s="94"/>
      <c r="S29" s="214">
        <f t="shared" si="8"/>
        <v>0</v>
      </c>
    </row>
    <row r="30" spans="1:19" ht="14" x14ac:dyDescent="0.15">
      <c r="A30" s="20" t="s">
        <v>197</v>
      </c>
      <c r="B30" s="142"/>
      <c r="C30" s="142"/>
      <c r="D30" s="142"/>
      <c r="E30" s="1" t="s">
        <v>198</v>
      </c>
      <c r="F30" s="8">
        <v>100</v>
      </c>
      <c r="G30" s="15">
        <f t="shared" si="0"/>
        <v>-100</v>
      </c>
      <c r="H30" s="95"/>
      <c r="I30" s="39">
        <f t="shared" si="1"/>
        <v>0</v>
      </c>
      <c r="J30" s="96"/>
      <c r="K30" s="81">
        <f t="shared" si="12"/>
        <v>0</v>
      </c>
      <c r="L30" s="94"/>
      <c r="M30" s="94"/>
      <c r="N30" s="94"/>
      <c r="O30" s="94"/>
      <c r="P30" s="94"/>
      <c r="Q30" s="94"/>
      <c r="S30" s="214">
        <f t="shared" si="8"/>
        <v>0</v>
      </c>
    </row>
    <row r="31" spans="1:19" ht="14" x14ac:dyDescent="0.15">
      <c r="A31" s="20" t="s">
        <v>199</v>
      </c>
      <c r="B31" s="142"/>
      <c r="C31" s="142"/>
      <c r="D31" s="142"/>
      <c r="E31" s="1" t="s">
        <v>200</v>
      </c>
      <c r="F31" s="8">
        <v>400</v>
      </c>
      <c r="G31" s="15">
        <f t="shared" si="0"/>
        <v>-400</v>
      </c>
      <c r="H31" s="95"/>
      <c r="I31" s="39">
        <f t="shared" si="1"/>
        <v>0</v>
      </c>
      <c r="J31" s="96"/>
      <c r="K31" s="81">
        <f t="shared" si="12"/>
        <v>0</v>
      </c>
      <c r="L31" s="94"/>
      <c r="M31" s="94"/>
      <c r="N31" s="94"/>
      <c r="O31" s="94"/>
      <c r="P31" s="94"/>
      <c r="Q31" s="94"/>
      <c r="S31" s="214">
        <f t="shared" si="8"/>
        <v>0</v>
      </c>
    </row>
    <row r="32" spans="1:19" ht="14" x14ac:dyDescent="0.15">
      <c r="A32" s="20" t="s">
        <v>201</v>
      </c>
      <c r="B32" s="142"/>
      <c r="C32" s="142"/>
      <c r="D32" s="142"/>
      <c r="E32" s="1" t="s">
        <v>202</v>
      </c>
      <c r="F32" s="8">
        <v>400</v>
      </c>
      <c r="G32" s="15">
        <f t="shared" si="0"/>
        <v>-400</v>
      </c>
      <c r="H32" s="95"/>
      <c r="I32" s="39">
        <f t="shared" si="1"/>
        <v>0</v>
      </c>
      <c r="J32" s="96"/>
      <c r="K32" s="81">
        <f t="shared" si="12"/>
        <v>0</v>
      </c>
      <c r="L32" s="94"/>
      <c r="M32" s="94"/>
      <c r="N32" s="94"/>
      <c r="O32" s="94"/>
      <c r="P32" s="94"/>
      <c r="Q32" s="94"/>
      <c r="S32" s="214">
        <f t="shared" si="8"/>
        <v>0</v>
      </c>
    </row>
    <row r="33" spans="1:19" ht="14" x14ac:dyDescent="0.15">
      <c r="A33" s="20" t="s">
        <v>203</v>
      </c>
      <c r="B33" s="142"/>
      <c r="C33" s="142"/>
      <c r="D33" s="142"/>
      <c r="E33" s="1" t="s">
        <v>204</v>
      </c>
      <c r="F33" s="8">
        <v>200</v>
      </c>
      <c r="G33" s="15">
        <f t="shared" si="0"/>
        <v>-200</v>
      </c>
      <c r="H33" s="95"/>
      <c r="I33" s="39">
        <f t="shared" si="1"/>
        <v>0</v>
      </c>
      <c r="J33" s="96"/>
      <c r="K33" s="81">
        <f t="shared" si="12"/>
        <v>0</v>
      </c>
      <c r="L33" s="94"/>
      <c r="M33" s="94"/>
      <c r="N33" s="94"/>
      <c r="O33" s="94"/>
      <c r="P33" s="94"/>
      <c r="Q33" s="94"/>
      <c r="S33" s="214">
        <f t="shared" si="8"/>
        <v>0</v>
      </c>
    </row>
    <row r="34" spans="1:19" ht="28" x14ac:dyDescent="0.15">
      <c r="A34" s="20" t="s">
        <v>205</v>
      </c>
      <c r="B34" s="142"/>
      <c r="C34" s="142"/>
      <c r="D34" s="142"/>
      <c r="E34" s="1" t="s">
        <v>206</v>
      </c>
      <c r="F34" s="8">
        <v>100</v>
      </c>
      <c r="G34" s="15">
        <f t="shared" si="0"/>
        <v>-100</v>
      </c>
      <c r="H34" s="95"/>
      <c r="I34" s="39">
        <f t="shared" si="1"/>
        <v>0</v>
      </c>
      <c r="J34" s="96"/>
      <c r="K34" s="81">
        <f t="shared" si="12"/>
        <v>0</v>
      </c>
      <c r="L34" s="94"/>
      <c r="M34" s="94"/>
      <c r="N34" s="94"/>
      <c r="O34" s="94"/>
      <c r="P34" s="94"/>
      <c r="Q34" s="94"/>
      <c r="S34" s="214">
        <f t="shared" si="8"/>
        <v>0</v>
      </c>
    </row>
    <row r="35" spans="1:19" ht="14" x14ac:dyDescent="0.15">
      <c r="A35" s="20" t="s">
        <v>207</v>
      </c>
      <c r="B35" s="142"/>
      <c r="C35" s="142"/>
      <c r="D35" s="142"/>
      <c r="E35" s="1" t="s">
        <v>208</v>
      </c>
      <c r="F35" s="8">
        <v>200</v>
      </c>
      <c r="G35" s="15">
        <f t="shared" si="0"/>
        <v>-200</v>
      </c>
      <c r="H35" s="95"/>
      <c r="I35" s="39">
        <f t="shared" si="1"/>
        <v>0</v>
      </c>
      <c r="J35" s="96"/>
      <c r="K35" s="81">
        <f t="shared" si="12"/>
        <v>0</v>
      </c>
      <c r="L35" s="94"/>
      <c r="M35" s="94"/>
      <c r="N35" s="94"/>
      <c r="O35" s="94"/>
      <c r="P35" s="94"/>
      <c r="Q35" s="94"/>
      <c r="S35" s="214">
        <f t="shared" si="8"/>
        <v>0</v>
      </c>
    </row>
    <row r="36" spans="1:19" x14ac:dyDescent="0.15">
      <c r="J36" s="36"/>
      <c r="K36" s="36"/>
      <c r="S36" s="214">
        <f t="shared" si="8"/>
        <v>0</v>
      </c>
    </row>
    <row r="37" spans="1:19" x14ac:dyDescent="0.15">
      <c r="J37" s="36"/>
      <c r="K37" s="36"/>
      <c r="S37" s="214">
        <f t="shared" si="8"/>
        <v>0</v>
      </c>
    </row>
    <row r="38" spans="1:19" x14ac:dyDescent="0.15">
      <c r="J38" s="36"/>
      <c r="K38" s="36"/>
      <c r="S38" s="214">
        <f t="shared" si="8"/>
        <v>0</v>
      </c>
    </row>
    <row r="39" spans="1:19" x14ac:dyDescent="0.15">
      <c r="J39" s="36"/>
      <c r="K39" s="36"/>
      <c r="S39" s="214">
        <f t="shared" si="8"/>
        <v>0</v>
      </c>
    </row>
    <row r="40" spans="1:19" x14ac:dyDescent="0.15">
      <c r="J40" s="36"/>
      <c r="K40" s="36"/>
      <c r="S40" s="214">
        <f t="shared" si="8"/>
        <v>0</v>
      </c>
    </row>
    <row r="41" spans="1:19" x14ac:dyDescent="0.15">
      <c r="S41" s="214">
        <f t="shared" si="8"/>
        <v>0</v>
      </c>
    </row>
    <row r="42" spans="1:19" x14ac:dyDescent="0.15">
      <c r="S42" s="214">
        <f t="shared" si="8"/>
        <v>0</v>
      </c>
    </row>
    <row r="43" spans="1:19" x14ac:dyDescent="0.15">
      <c r="S43" s="214">
        <f t="shared" si="8"/>
        <v>0</v>
      </c>
    </row>
    <row r="44" spans="1:19" x14ac:dyDescent="0.15">
      <c r="S44" s="214">
        <f t="shared" si="8"/>
        <v>0</v>
      </c>
    </row>
    <row r="45" spans="1:19" x14ac:dyDescent="0.15">
      <c r="S45" s="214">
        <f t="shared" si="8"/>
        <v>0</v>
      </c>
    </row>
    <row r="46" spans="1:19" x14ac:dyDescent="0.15">
      <c r="S46" s="214">
        <f t="shared" si="8"/>
        <v>0</v>
      </c>
    </row>
    <row r="47" spans="1:19" x14ac:dyDescent="0.15">
      <c r="S47" s="214">
        <f t="shared" si="8"/>
        <v>0</v>
      </c>
    </row>
    <row r="48" spans="1:19" x14ac:dyDescent="0.15">
      <c r="S48" s="214">
        <f t="shared" si="8"/>
        <v>0</v>
      </c>
    </row>
    <row r="49" spans="19:19" x14ac:dyDescent="0.15">
      <c r="S49" s="214">
        <f t="shared" si="8"/>
        <v>0</v>
      </c>
    </row>
    <row r="50" spans="19:19" x14ac:dyDescent="0.15">
      <c r="S50" s="214">
        <f t="shared" si="8"/>
        <v>0</v>
      </c>
    </row>
    <row r="51" spans="19:19" x14ac:dyDescent="0.15">
      <c r="S51" s="214">
        <f t="shared" si="8"/>
        <v>0</v>
      </c>
    </row>
    <row r="52" spans="19:19" x14ac:dyDescent="0.15">
      <c r="S52" s="214">
        <f t="shared" si="8"/>
        <v>0</v>
      </c>
    </row>
    <row r="53" spans="19:19" x14ac:dyDescent="0.15">
      <c r="S53" s="214">
        <f t="shared" si="8"/>
        <v>0</v>
      </c>
    </row>
    <row r="54" spans="19:19" x14ac:dyDescent="0.15">
      <c r="S54" s="214">
        <f t="shared" si="8"/>
        <v>0</v>
      </c>
    </row>
    <row r="55" spans="19:19" x14ac:dyDescent="0.15">
      <c r="S55" s="214">
        <f t="shared" si="8"/>
        <v>0</v>
      </c>
    </row>
  </sheetData>
  <phoneticPr fontId="0" type="noConversion"/>
  <pageMargins left="0.75" right="0.75" top="1" bottom="1" header="0" footer="0"/>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9"/>
  <sheetViews>
    <sheetView workbookViewId="0">
      <selection activeCell="C3" sqref="C3"/>
    </sheetView>
  </sheetViews>
  <sheetFormatPr baseColWidth="10" defaultRowHeight="13" x14ac:dyDescent="0.15"/>
  <cols>
    <col min="1" max="1" width="75.1640625" customWidth="1"/>
    <col min="2" max="3" width="10.1640625" customWidth="1"/>
    <col min="4" max="4" width="9.6640625" bestFit="1" customWidth="1"/>
    <col min="5" max="5" width="13.5" customWidth="1"/>
    <col min="6" max="6" width="9.83203125" bestFit="1" customWidth="1"/>
    <col min="7" max="7" width="10" customWidth="1"/>
    <col min="8" max="8" width="10.5" bestFit="1" customWidth="1"/>
    <col min="9" max="9" width="7.33203125" bestFit="1" customWidth="1"/>
    <col min="10" max="10" width="11.5" customWidth="1"/>
    <col min="11" max="11" width="7.33203125" bestFit="1" customWidth="1"/>
    <col min="12" max="12" width="10.5" bestFit="1" customWidth="1"/>
    <col min="13" max="13" width="6.33203125" bestFit="1" customWidth="1"/>
    <col min="14" max="14" width="9.5" customWidth="1"/>
    <col min="15" max="15" width="7.5" customWidth="1"/>
    <col min="16" max="16" width="3.5" customWidth="1"/>
    <col min="17" max="17" width="10.83203125" style="33" customWidth="1"/>
  </cols>
  <sheetData>
    <row r="1" spans="1:17" s="127" customFormat="1" ht="57" thickBot="1" x14ac:dyDescent="0.2">
      <c r="A1" s="59" t="s">
        <v>123</v>
      </c>
      <c r="B1" s="59"/>
      <c r="C1" s="59"/>
      <c r="D1" s="59" t="s">
        <v>124</v>
      </c>
      <c r="E1" s="59" t="s">
        <v>40</v>
      </c>
      <c r="F1" s="59" t="s">
        <v>85</v>
      </c>
      <c r="G1" s="120" t="s">
        <v>86</v>
      </c>
      <c r="H1" s="120" t="s">
        <v>133</v>
      </c>
      <c r="I1" s="120" t="s">
        <v>141</v>
      </c>
      <c r="J1" s="120" t="s">
        <v>134</v>
      </c>
      <c r="K1" s="120" t="s">
        <v>141</v>
      </c>
      <c r="L1" s="120" t="s">
        <v>145</v>
      </c>
      <c r="M1" s="120" t="s">
        <v>141</v>
      </c>
      <c r="N1" s="120" t="s">
        <v>135</v>
      </c>
      <c r="O1" s="120" t="s">
        <v>141</v>
      </c>
      <c r="Q1" s="312" t="s">
        <v>501</v>
      </c>
    </row>
    <row r="2" spans="1:17" s="127" customFormat="1" ht="14" thickBot="1" x14ac:dyDescent="0.2">
      <c r="A2" s="337" t="s">
        <v>231</v>
      </c>
      <c r="B2" s="338"/>
      <c r="C2" s="338"/>
      <c r="D2" s="338"/>
      <c r="E2" s="338"/>
      <c r="F2" s="338"/>
      <c r="G2" s="338"/>
      <c r="H2" s="338"/>
      <c r="I2" s="338"/>
      <c r="J2" s="338"/>
      <c r="K2" s="338"/>
      <c r="L2" s="338"/>
      <c r="M2" s="338"/>
      <c r="N2" s="338"/>
      <c r="O2" s="339"/>
      <c r="P2"/>
      <c r="Q2" s="94"/>
    </row>
    <row r="3" spans="1:17" ht="15" thickBot="1" x14ac:dyDescent="0.25">
      <c r="A3" s="131" t="s">
        <v>232</v>
      </c>
      <c r="B3" s="159" t="s">
        <v>338</v>
      </c>
      <c r="C3" s="322">
        <f>IFERROR(VLOOKUP(B3,IDS!$A$1:$B$121,2,0),"")</f>
        <v>18</v>
      </c>
      <c r="D3" s="136">
        <v>0</v>
      </c>
      <c r="E3" s="136">
        <f>F3-D3</f>
        <v>10000</v>
      </c>
      <c r="F3" s="132">
        <v>10000</v>
      </c>
      <c r="G3" s="137">
        <f>(F3*0.16)+F3</f>
        <v>11600</v>
      </c>
      <c r="H3" s="132">
        <f>(E3*0.1)</f>
        <v>1000</v>
      </c>
      <c r="I3" s="133">
        <f>H3/E3</f>
        <v>0.1</v>
      </c>
      <c r="J3" s="132">
        <f>(E3*0.2)</f>
        <v>2000</v>
      </c>
      <c r="K3" s="133">
        <f>J3/E3</f>
        <v>0.2</v>
      </c>
      <c r="L3" s="132">
        <v>50</v>
      </c>
      <c r="M3" s="133">
        <f>L3/E3</f>
        <v>5.0000000000000001E-3</v>
      </c>
      <c r="N3" s="138">
        <f>(E3-H3-J3)</f>
        <v>7000</v>
      </c>
      <c r="O3" s="139">
        <f>N3/E3</f>
        <v>0.7</v>
      </c>
      <c r="Q3" s="214">
        <f t="shared" ref="Q3:Q9" si="0">H3-L3</f>
        <v>950</v>
      </c>
    </row>
    <row r="4" spans="1:17" ht="15" thickBot="1" x14ac:dyDescent="0.25">
      <c r="A4" s="134" t="s">
        <v>233</v>
      </c>
      <c r="B4" s="159" t="s">
        <v>339</v>
      </c>
      <c r="C4" s="322">
        <f>IFERROR(VLOOKUP(B4,IDS!$A$1:$B$121,2,0),"")</f>
        <v>16</v>
      </c>
      <c r="D4" s="9">
        <v>0</v>
      </c>
      <c r="E4" s="9">
        <f>F4-D4</f>
        <v>10000</v>
      </c>
      <c r="F4" s="9">
        <v>10000</v>
      </c>
      <c r="G4" s="9">
        <f>(F4*0.16)+F4</f>
        <v>11600</v>
      </c>
      <c r="H4" s="9">
        <f>(E4*0.1)</f>
        <v>1000</v>
      </c>
      <c r="I4" s="81">
        <f>H4/E4</f>
        <v>0.1</v>
      </c>
      <c r="J4" s="9">
        <f>(E4*0.2)</f>
        <v>2000</v>
      </c>
      <c r="K4" s="81">
        <f>J4/E4</f>
        <v>0.2</v>
      </c>
      <c r="L4" s="9">
        <v>50</v>
      </c>
      <c r="M4" s="81">
        <f>L4/E4</f>
        <v>5.0000000000000001E-3</v>
      </c>
      <c r="N4" s="77">
        <f>(E4-H4-J4)</f>
        <v>7000</v>
      </c>
      <c r="O4" s="79">
        <f>N4/E4</f>
        <v>0.7</v>
      </c>
      <c r="Q4" s="214">
        <f t="shared" si="0"/>
        <v>950</v>
      </c>
    </row>
    <row r="5" spans="1:17" ht="30" thickBot="1" x14ac:dyDescent="0.25">
      <c r="A5" s="135" t="s">
        <v>237</v>
      </c>
      <c r="B5" s="159" t="s">
        <v>340</v>
      </c>
      <c r="C5" s="322">
        <f>IFERROR(VLOOKUP(B5,IDS!$A$1:$B$121,2,0),"")</f>
        <v>19</v>
      </c>
      <c r="D5" s="9">
        <v>0</v>
      </c>
      <c r="E5" s="9">
        <f>F5-D5</f>
        <v>65000</v>
      </c>
      <c r="F5" s="9">
        <v>65000</v>
      </c>
      <c r="G5" s="9">
        <f>(F5*0.16)+F5</f>
        <v>75400</v>
      </c>
      <c r="H5" s="9">
        <f>(E5*0.06)</f>
        <v>3900</v>
      </c>
      <c r="I5" s="81">
        <f>H5/E5</f>
        <v>0.06</v>
      </c>
      <c r="J5" s="9">
        <f>(E5*0.2)</f>
        <v>13000</v>
      </c>
      <c r="K5" s="81">
        <f>J5/E5</f>
        <v>0.2</v>
      </c>
      <c r="L5" s="9">
        <f>(E5*0.005)</f>
        <v>325</v>
      </c>
      <c r="M5" s="81">
        <f>L5/E5</f>
        <v>5.0000000000000001E-3</v>
      </c>
      <c r="N5" s="77">
        <f>(E5-H5-J5)</f>
        <v>48100</v>
      </c>
      <c r="O5" s="79">
        <f>N5/E5</f>
        <v>0.74</v>
      </c>
      <c r="Q5" s="214">
        <f t="shared" si="0"/>
        <v>3575</v>
      </c>
    </row>
    <row r="6" spans="1:17" ht="15" thickBot="1" x14ac:dyDescent="0.25">
      <c r="A6" s="134" t="s">
        <v>238</v>
      </c>
      <c r="B6" s="159" t="s">
        <v>341</v>
      </c>
      <c r="C6" s="322">
        <f>IFERROR(VLOOKUP(B6,IDS!$A$1:$B$121,2,0),"")</f>
        <v>98</v>
      </c>
      <c r="D6" s="9">
        <v>0</v>
      </c>
      <c r="E6" s="81">
        <v>0</v>
      </c>
      <c r="F6" s="130">
        <v>0</v>
      </c>
      <c r="G6" s="130">
        <v>0</v>
      </c>
      <c r="H6" s="81">
        <v>0.1</v>
      </c>
      <c r="I6" s="81">
        <v>0.1</v>
      </c>
      <c r="J6" s="130" t="s">
        <v>234</v>
      </c>
      <c r="K6" s="130" t="s">
        <v>234</v>
      </c>
      <c r="L6" s="81">
        <v>0.05</v>
      </c>
      <c r="M6" s="81">
        <v>0.05</v>
      </c>
      <c r="N6" s="79">
        <v>0.9</v>
      </c>
      <c r="O6" s="79">
        <v>0.9</v>
      </c>
      <c r="Q6" s="214">
        <f t="shared" si="0"/>
        <v>0.05</v>
      </c>
    </row>
    <row r="7" spans="1:17" ht="15" thickBot="1" x14ac:dyDescent="0.25">
      <c r="A7" s="134" t="s">
        <v>239</v>
      </c>
      <c r="B7" s="159" t="s">
        <v>342</v>
      </c>
      <c r="C7" s="322">
        <f>IFERROR(VLOOKUP(B7,IDS!$A$1:$B$121,2,0),"")</f>
        <v>22</v>
      </c>
      <c r="D7" s="9">
        <v>0</v>
      </c>
      <c r="E7" s="81">
        <v>0.05</v>
      </c>
      <c r="F7" s="81">
        <v>0.05</v>
      </c>
      <c r="G7" s="81">
        <v>0.05</v>
      </c>
      <c r="H7" s="81">
        <v>0.1</v>
      </c>
      <c r="I7" s="81">
        <v>0.1</v>
      </c>
      <c r="J7" s="130" t="s">
        <v>234</v>
      </c>
      <c r="K7" s="130" t="s">
        <v>234</v>
      </c>
      <c r="L7" s="81">
        <v>0.05</v>
      </c>
      <c r="M7" s="81">
        <v>0.05</v>
      </c>
      <c r="N7" s="79">
        <v>0.9</v>
      </c>
      <c r="O7" s="79">
        <v>0.9</v>
      </c>
      <c r="Q7" s="214">
        <f t="shared" si="0"/>
        <v>0.05</v>
      </c>
    </row>
    <row r="8" spans="1:17" ht="15" thickBot="1" x14ac:dyDescent="0.25">
      <c r="A8" s="134" t="s">
        <v>240</v>
      </c>
      <c r="B8" s="159" t="s">
        <v>343</v>
      </c>
      <c r="C8" s="322">
        <f>IFERROR(VLOOKUP(B8,IDS!$A$1:$B$121,2,0),"")</f>
        <v>17</v>
      </c>
      <c r="D8" s="9">
        <v>0</v>
      </c>
      <c r="E8" s="9" t="s">
        <v>235</v>
      </c>
      <c r="F8" s="9" t="s">
        <v>235</v>
      </c>
      <c r="G8" s="9" t="s">
        <v>235</v>
      </c>
      <c r="H8" s="81">
        <v>0.05</v>
      </c>
      <c r="I8" s="81">
        <v>0.05</v>
      </c>
      <c r="J8" s="130" t="s">
        <v>234</v>
      </c>
      <c r="K8" s="130" t="s">
        <v>234</v>
      </c>
      <c r="L8" s="81">
        <v>5.0000000000000001E-3</v>
      </c>
      <c r="M8" s="81">
        <v>5.0000000000000001E-3</v>
      </c>
      <c r="N8" s="79">
        <v>0.9</v>
      </c>
      <c r="O8" s="79">
        <v>0.9</v>
      </c>
      <c r="Q8" s="214">
        <f t="shared" si="0"/>
        <v>4.5000000000000005E-2</v>
      </c>
    </row>
    <row r="9" spans="1:17" ht="15" thickBot="1" x14ac:dyDescent="0.25">
      <c r="A9" s="134" t="s">
        <v>241</v>
      </c>
      <c r="B9" s="159" t="s">
        <v>344</v>
      </c>
      <c r="C9" s="322">
        <f>IFERROR(VLOOKUP(B9,IDS!$A$1:$B$121,2,0),"")</f>
        <v>99</v>
      </c>
      <c r="D9" s="9">
        <v>0</v>
      </c>
      <c r="E9" s="9" t="s">
        <v>235</v>
      </c>
      <c r="F9" s="9" t="s">
        <v>235</v>
      </c>
      <c r="G9" s="9" t="s">
        <v>235</v>
      </c>
      <c r="H9" s="81">
        <v>0.1</v>
      </c>
      <c r="I9" s="81">
        <v>0.1</v>
      </c>
      <c r="J9" s="130" t="s">
        <v>234</v>
      </c>
      <c r="K9" s="130" t="s">
        <v>234</v>
      </c>
      <c r="L9" s="81">
        <v>0.05</v>
      </c>
      <c r="M9" s="81">
        <v>0.05</v>
      </c>
      <c r="N9" s="79">
        <v>0.9</v>
      </c>
      <c r="O9" s="79">
        <v>0.9</v>
      </c>
      <c r="Q9" s="214">
        <f t="shared" si="0"/>
        <v>0.05</v>
      </c>
    </row>
  </sheetData>
  <pageMargins left="0.7" right="0.7" top="0.75" bottom="0.75" header="0.3" footer="0.3"/>
  <pageSetup orientation="portrait" r:id="rId1"/>
  <ignoredErrors>
    <ignoredError sqref="H5"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6"/>
  <sheetViews>
    <sheetView topLeftCell="E1" workbookViewId="0">
      <selection activeCell="Q3" sqref="Q3:Q6"/>
    </sheetView>
  </sheetViews>
  <sheetFormatPr baseColWidth="10" defaultRowHeight="13" x14ac:dyDescent="0.15"/>
  <cols>
    <col min="1" max="1" width="57.33203125" bestFit="1" customWidth="1"/>
    <col min="2" max="2" width="10.5" bestFit="1" customWidth="1"/>
    <col min="3" max="3" width="10.5" customWidth="1"/>
    <col min="4" max="4" width="13.5" bestFit="1" customWidth="1"/>
    <col min="5" max="5" width="19.6640625" customWidth="1"/>
    <col min="7" max="7" width="7.83203125" customWidth="1"/>
    <col min="9" max="9" width="7.5" customWidth="1"/>
    <col min="11" max="11" width="8" customWidth="1"/>
    <col min="12" max="12" width="10.83203125" customWidth="1"/>
    <col min="13" max="13" width="7.33203125" customWidth="1"/>
    <col min="14" max="14" width="4.5" customWidth="1"/>
    <col min="15" max="15" width="10.83203125" style="33" customWidth="1"/>
    <col min="16" max="16" width="3.33203125" customWidth="1"/>
  </cols>
  <sheetData>
    <row r="1" spans="1:17" ht="57" thickBot="1" x14ac:dyDescent="0.25">
      <c r="A1" s="340" t="s">
        <v>229</v>
      </c>
      <c r="B1" s="341"/>
      <c r="C1" s="341"/>
      <c r="D1" s="341"/>
      <c r="E1" s="341"/>
      <c r="F1" s="341"/>
      <c r="G1" s="341"/>
      <c r="H1" s="341"/>
      <c r="I1" s="341"/>
      <c r="J1" s="341"/>
      <c r="K1" s="341"/>
      <c r="L1" s="341"/>
      <c r="M1" s="342"/>
      <c r="O1" s="312" t="s">
        <v>501</v>
      </c>
    </row>
    <row r="2" spans="1:17" ht="43" thickBot="1" x14ac:dyDescent="0.2">
      <c r="A2" s="119" t="s">
        <v>123</v>
      </c>
      <c r="B2" s="119"/>
      <c r="C2" s="119"/>
      <c r="D2" s="119" t="s">
        <v>40</v>
      </c>
      <c r="E2" s="120" t="s">
        <v>230</v>
      </c>
      <c r="F2" s="120" t="s">
        <v>133</v>
      </c>
      <c r="G2" s="120" t="s">
        <v>141</v>
      </c>
      <c r="H2" s="120" t="s">
        <v>134</v>
      </c>
      <c r="I2" s="120" t="s">
        <v>141</v>
      </c>
      <c r="J2" s="120" t="s">
        <v>145</v>
      </c>
      <c r="K2" s="120" t="s">
        <v>141</v>
      </c>
      <c r="L2" s="120" t="s">
        <v>135</v>
      </c>
      <c r="M2" s="120" t="s">
        <v>141</v>
      </c>
      <c r="O2" s="94"/>
    </row>
    <row r="3" spans="1:17" ht="15" thickBot="1" x14ac:dyDescent="0.25">
      <c r="A3" s="124" t="s">
        <v>225</v>
      </c>
      <c r="B3" s="165" t="s">
        <v>366</v>
      </c>
      <c r="C3" s="322">
        <f>IFERROR(VLOOKUP(B3,IDS!$A$1:$B$121,2,0),"")</f>
        <v>4</v>
      </c>
      <c r="D3" s="125">
        <v>2200</v>
      </c>
      <c r="E3" s="126">
        <f>D3*1.16</f>
        <v>2552</v>
      </c>
      <c r="F3" s="117">
        <f>(D3*0.1)</f>
        <v>220</v>
      </c>
      <c r="G3" s="336">
        <f>IFERROR(ROUND(F3/$D3*100,0),0)</f>
        <v>10</v>
      </c>
      <c r="H3" s="117">
        <f>(D3*0.05)</f>
        <v>110</v>
      </c>
      <c r="I3" s="336">
        <f>IFERROR(ROUND(H3/$D3*100,0),0)</f>
        <v>5</v>
      </c>
      <c r="J3" s="117">
        <f>(D3*0.02)</f>
        <v>44</v>
      </c>
      <c r="K3" s="336">
        <f>IFERROR(ROUND(J3/$D3*100,0),0)</f>
        <v>2</v>
      </c>
      <c r="L3" s="118">
        <f>(D3-F3-H3)</f>
        <v>1870</v>
      </c>
      <c r="M3" s="343">
        <f>L3/D3*100</f>
        <v>85</v>
      </c>
      <c r="O3" s="214">
        <f>F3-J3</f>
        <v>176</v>
      </c>
      <c r="Q3" s="33" t="str">
        <f>IF(C3="","",CONCATENATE("update catalogo_servicios set costo =",D3,", costo_servicio=",0,", honorarios=",D3,", utilidad=",L3,", comision_venta = 'Porcentaje', comision_operativa='Porcentaje', comision_gestion='Porcentaje', comision_venta_monto=",F3,", porcentaje_venta=",G3,", comision_operativa_monto=",H3,", porcentaje_operativa=",I3,", comision_gestion_monto=",J3,", porcentaje_gestion=",K3,", porcentaje_utilidad=",M3," where id=",C3,";"))</f>
        <v>update catalogo_servicios set costo =2200, costo_servicio=0, honorarios=2200, utilidad=1870, comision_venta = 'Porcentaje', comision_operativa='Porcentaje', comision_gestion='Porcentaje', comision_venta_monto=220, porcentaje_venta=10, comision_operativa_monto=110, porcentaje_operativa=5, comision_gestion_monto=44, porcentaje_gestion=2, porcentaje_utilidad=85 where id=4;</v>
      </c>
    </row>
    <row r="4" spans="1:17" ht="15" thickBot="1" x14ac:dyDescent="0.25">
      <c r="A4" s="121" t="s">
        <v>226</v>
      </c>
      <c r="B4" s="165" t="s">
        <v>367</v>
      </c>
      <c r="C4" s="322">
        <f>IFERROR(VLOOKUP(B4,IDS!$A$1:$B$121,2,0),"")</f>
        <v>2</v>
      </c>
      <c r="D4" s="122">
        <v>700</v>
      </c>
      <c r="E4" s="123">
        <f>D4*1.16</f>
        <v>812</v>
      </c>
      <c r="F4" s="115">
        <f>(D4*0.1)</f>
        <v>70</v>
      </c>
      <c r="G4" s="336">
        <f t="shared" ref="G4:G6" si="0">IFERROR(ROUND(F4/$D4*100,0),0)</f>
        <v>10</v>
      </c>
      <c r="H4" s="117">
        <f>(D4*0.05)</f>
        <v>35</v>
      </c>
      <c r="I4" s="336">
        <f t="shared" ref="I4:I6" si="1">IFERROR(ROUND(H4/$D4*100,0),0)</f>
        <v>5</v>
      </c>
      <c r="J4" s="117">
        <f>(D4*0.02)</f>
        <v>14</v>
      </c>
      <c r="K4" s="336">
        <f t="shared" ref="K4:K6" si="2">IFERROR(ROUND(J4/$D4*100,0),0)</f>
        <v>2</v>
      </c>
      <c r="L4" s="116">
        <f>(D4-F4-H4)</f>
        <v>595</v>
      </c>
      <c r="M4" s="343">
        <f t="shared" ref="M4:M6" si="3">L4/D4*100</f>
        <v>85</v>
      </c>
      <c r="O4" s="214">
        <f>F4-J4</f>
        <v>56</v>
      </c>
      <c r="Q4" s="33" t="str">
        <f t="shared" ref="Q4:Q6" si="4">IF(C4="","",CONCATENATE("update catalogo_servicios set costo =",D4,", costo_servicio=",0,", honorarios=",D4,", utilidad=",L4,", comision_venta = 'Porcentaje', comision_operativa='Porcentaje', comision_gestion='Porcentaje', comision_venta_monto=",F4,", porcentaje_venta=",G4,", comision_operativa_monto=",H4,", porcentaje_operativa=",I4,", comision_gestion_monto=",J4,", porcentaje_gestion=",K4,", porcentaje_utilidad=",M4," where id=",C4,";"))</f>
        <v>update catalogo_servicios set costo =700, costo_servicio=0, honorarios=700, utilidad=595, comision_venta = 'Porcentaje', comision_operativa='Porcentaje', comision_gestion='Porcentaje', comision_venta_monto=70, porcentaje_venta=10, comision_operativa_monto=35, porcentaje_operativa=5, comision_gestion_monto=14, porcentaje_gestion=2, porcentaje_utilidad=85 where id=2;</v>
      </c>
    </row>
    <row r="5" spans="1:17" ht="15" thickBot="1" x14ac:dyDescent="0.25">
      <c r="A5" s="121" t="s">
        <v>227</v>
      </c>
      <c r="B5" s="165" t="s">
        <v>368</v>
      </c>
      <c r="C5" s="322">
        <f>IFERROR(VLOOKUP(B5,IDS!$A$1:$B$121,2,0),"")</f>
        <v>3</v>
      </c>
      <c r="D5" s="122">
        <v>2800</v>
      </c>
      <c r="E5" s="123">
        <f>D5*1.16</f>
        <v>3248</v>
      </c>
      <c r="F5" s="115">
        <f>(D5*0.1)</f>
        <v>280</v>
      </c>
      <c r="G5" s="336">
        <f t="shared" si="0"/>
        <v>10</v>
      </c>
      <c r="H5" s="117">
        <f>(D5*0.05)</f>
        <v>140</v>
      </c>
      <c r="I5" s="336">
        <f t="shared" si="1"/>
        <v>5</v>
      </c>
      <c r="J5" s="117">
        <f>(D5*0.02)</f>
        <v>56</v>
      </c>
      <c r="K5" s="336">
        <f t="shared" si="2"/>
        <v>2</v>
      </c>
      <c r="L5" s="116">
        <f>(D5-F5-H5)</f>
        <v>2380</v>
      </c>
      <c r="M5" s="343">
        <f t="shared" si="3"/>
        <v>85</v>
      </c>
      <c r="O5" s="214">
        <f>F5-J5</f>
        <v>224</v>
      </c>
      <c r="Q5" s="33" t="str">
        <f t="shared" si="4"/>
        <v>update catalogo_servicios set costo =2800, costo_servicio=0, honorarios=2800, utilidad=2380, comision_venta = 'Porcentaje', comision_operativa='Porcentaje', comision_gestion='Porcentaje', comision_venta_monto=280, porcentaje_venta=10, comision_operativa_monto=140, porcentaje_operativa=5, comision_gestion_monto=56, porcentaje_gestion=2, porcentaje_utilidad=85 where id=3;</v>
      </c>
    </row>
    <row r="6" spans="1:17" ht="15" thickBot="1" x14ac:dyDescent="0.25">
      <c r="A6" s="121" t="s">
        <v>228</v>
      </c>
      <c r="B6" s="165" t="s">
        <v>369</v>
      </c>
      <c r="C6" s="322">
        <f>IFERROR(VLOOKUP(B6,IDS!$A$1:$B$121,2,0),"")</f>
        <v>1</v>
      </c>
      <c r="D6" s="122">
        <v>1700</v>
      </c>
      <c r="E6" s="123">
        <f>D6*1.16</f>
        <v>1971.9999999999998</v>
      </c>
      <c r="F6" s="115">
        <f>(D6*0.1)</f>
        <v>170</v>
      </c>
      <c r="G6" s="336">
        <f t="shared" si="0"/>
        <v>10</v>
      </c>
      <c r="H6" s="117">
        <f>(D6*0.05)</f>
        <v>85</v>
      </c>
      <c r="I6" s="336">
        <f t="shared" si="1"/>
        <v>5</v>
      </c>
      <c r="J6" s="117">
        <f>(D6*0.02)</f>
        <v>34</v>
      </c>
      <c r="K6" s="336">
        <f t="shared" si="2"/>
        <v>2</v>
      </c>
      <c r="L6" s="116">
        <f>(D6-F6-H6)</f>
        <v>1445</v>
      </c>
      <c r="M6" s="343">
        <f t="shared" si="3"/>
        <v>85</v>
      </c>
      <c r="O6" s="214">
        <f>F6-J6</f>
        <v>136</v>
      </c>
      <c r="Q6" s="33" t="str">
        <f t="shared" si="4"/>
        <v>update catalogo_servicios set costo =1700, costo_servicio=0, honorarios=1700, utilidad=1445, comision_venta = 'Porcentaje', comision_operativa='Porcentaje', comision_gestion='Porcentaje', comision_venta_monto=170, porcentaje_venta=10, comision_operativa_monto=85, porcentaje_operativa=5, comision_gestion_monto=34, porcentaje_gestion=2, porcentaje_utilidad=85 where id=1;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3"/>
  <sheetViews>
    <sheetView workbookViewId="0">
      <selection activeCell="G11" sqref="G11"/>
    </sheetView>
  </sheetViews>
  <sheetFormatPr baseColWidth="10" defaultRowHeight="13" x14ac:dyDescent="0.15"/>
  <cols>
    <col min="1" max="1" width="65.1640625" customWidth="1"/>
    <col min="6" max="6" width="23.1640625" bestFit="1" customWidth="1"/>
    <col min="8" max="8" width="4.6640625" customWidth="1"/>
    <col min="9" max="9" width="10.83203125" style="33" customWidth="1"/>
  </cols>
  <sheetData>
    <row r="1" spans="1:9" ht="57" thickBot="1" x14ac:dyDescent="0.2">
      <c r="A1" s="313" t="s">
        <v>370</v>
      </c>
      <c r="B1" s="314"/>
      <c r="C1" s="314"/>
      <c r="D1" s="314"/>
      <c r="E1" s="314"/>
      <c r="F1" s="314"/>
      <c r="G1" s="315"/>
      <c r="I1" s="312" t="s">
        <v>501</v>
      </c>
    </row>
    <row r="2" spans="1:9" s="127" customFormat="1" ht="29" thickBot="1" x14ac:dyDescent="0.2">
      <c r="A2" s="59" t="s">
        <v>123</v>
      </c>
      <c r="B2" s="59"/>
      <c r="C2" s="59" t="s">
        <v>124</v>
      </c>
      <c r="D2" s="59" t="s">
        <v>85</v>
      </c>
      <c r="E2" s="120" t="s">
        <v>133</v>
      </c>
      <c r="F2" s="120" t="s">
        <v>134</v>
      </c>
      <c r="G2" s="120" t="s">
        <v>145</v>
      </c>
      <c r="I2" s="94"/>
    </row>
    <row r="3" spans="1:9" ht="16" thickBot="1" x14ac:dyDescent="0.25">
      <c r="A3" s="156" t="s">
        <v>371</v>
      </c>
      <c r="B3" s="154" t="s">
        <v>372</v>
      </c>
      <c r="C3" s="166">
        <v>1500</v>
      </c>
      <c r="D3" s="167">
        <f>C3*1.16</f>
        <v>1739.9999999999998</v>
      </c>
      <c r="E3" s="166">
        <v>150</v>
      </c>
      <c r="F3" s="168">
        <v>200</v>
      </c>
      <c r="G3" s="166">
        <v>20</v>
      </c>
      <c r="I3" s="214">
        <f>E3-G3</f>
        <v>130</v>
      </c>
    </row>
    <row r="4" spans="1:9" ht="31" thickBot="1" x14ac:dyDescent="0.25">
      <c r="A4" s="150" t="s">
        <v>373</v>
      </c>
      <c r="B4" s="154" t="s">
        <v>374</v>
      </c>
      <c r="C4" s="156" t="s">
        <v>375</v>
      </c>
      <c r="D4" s="167" t="s">
        <v>236</v>
      </c>
      <c r="E4" s="169">
        <v>0.1</v>
      </c>
      <c r="F4" s="170" t="s">
        <v>376</v>
      </c>
      <c r="G4" s="171">
        <v>5.0000000000000001E-3</v>
      </c>
      <c r="I4" s="214">
        <f t="shared" ref="I4:I13" si="0">E4-G4</f>
        <v>9.5000000000000001E-2</v>
      </c>
    </row>
    <row r="5" spans="1:9" ht="16" thickBot="1" x14ac:dyDescent="0.25">
      <c r="A5" s="156" t="s">
        <v>377</v>
      </c>
      <c r="B5" s="154" t="s">
        <v>378</v>
      </c>
      <c r="C5" s="166">
        <v>3500</v>
      </c>
      <c r="D5" s="166">
        <f>C5*1.16</f>
        <v>4059.9999999999995</v>
      </c>
      <c r="E5" s="169">
        <v>0.1</v>
      </c>
      <c r="F5" s="170" t="s">
        <v>376</v>
      </c>
      <c r="G5" s="166">
        <v>25</v>
      </c>
      <c r="I5" s="214">
        <f t="shared" si="0"/>
        <v>-24.9</v>
      </c>
    </row>
    <row r="6" spans="1:9" ht="31" thickBot="1" x14ac:dyDescent="0.25">
      <c r="A6" s="156" t="s">
        <v>379</v>
      </c>
      <c r="B6" s="154" t="s">
        <v>380</v>
      </c>
      <c r="C6" s="166" t="s">
        <v>236</v>
      </c>
      <c r="D6" s="166" t="s">
        <v>236</v>
      </c>
      <c r="E6" s="169">
        <v>0.1</v>
      </c>
      <c r="F6" s="170" t="s">
        <v>376</v>
      </c>
      <c r="G6" s="171">
        <v>5.0000000000000001E-3</v>
      </c>
      <c r="I6" s="214">
        <f t="shared" si="0"/>
        <v>9.5000000000000001E-2</v>
      </c>
    </row>
    <row r="7" spans="1:9" ht="16" thickBot="1" x14ac:dyDescent="0.25">
      <c r="A7" s="156" t="s">
        <v>381</v>
      </c>
      <c r="B7" s="154" t="s">
        <v>382</v>
      </c>
      <c r="C7" s="166">
        <v>5000</v>
      </c>
      <c r="D7" s="166">
        <f>C7*1.16</f>
        <v>5800</v>
      </c>
      <c r="E7" s="169">
        <v>0.06</v>
      </c>
      <c r="F7" s="170" t="s">
        <v>376</v>
      </c>
      <c r="G7" s="171">
        <v>5.0000000000000001E-3</v>
      </c>
      <c r="I7" s="214">
        <f t="shared" si="0"/>
        <v>5.5E-2</v>
      </c>
    </row>
    <row r="8" spans="1:9" ht="16" thickBot="1" x14ac:dyDescent="0.25">
      <c r="A8" s="156" t="s">
        <v>383</v>
      </c>
      <c r="B8" s="154" t="s">
        <v>384</v>
      </c>
      <c r="C8" s="166">
        <v>3500</v>
      </c>
      <c r="D8" s="167">
        <f>C8*1.16</f>
        <v>4059.9999999999995</v>
      </c>
      <c r="E8" s="169">
        <v>0.1</v>
      </c>
      <c r="F8" s="168" t="s">
        <v>417</v>
      </c>
      <c r="G8" s="166">
        <v>35</v>
      </c>
      <c r="I8" s="214">
        <f t="shared" si="0"/>
        <v>-34.9</v>
      </c>
    </row>
    <row r="9" spans="1:9" ht="16" thickBot="1" x14ac:dyDescent="0.25">
      <c r="A9" s="156" t="s">
        <v>395</v>
      </c>
      <c r="B9" s="154" t="s">
        <v>396</v>
      </c>
      <c r="C9" s="166">
        <v>2000</v>
      </c>
      <c r="D9" s="166">
        <f>C9*1.16</f>
        <v>2320</v>
      </c>
      <c r="E9" s="169">
        <v>0.06</v>
      </c>
      <c r="F9" s="172" t="s">
        <v>376</v>
      </c>
      <c r="G9" s="171">
        <v>5.0000000000000001E-3</v>
      </c>
      <c r="I9" s="214">
        <f t="shared" si="0"/>
        <v>5.5E-2</v>
      </c>
    </row>
    <row r="10" spans="1:9" ht="16" thickBot="1" x14ac:dyDescent="0.25">
      <c r="A10" s="156" t="s">
        <v>400</v>
      </c>
      <c r="B10" s="154" t="s">
        <v>401</v>
      </c>
      <c r="C10" s="166" t="s">
        <v>236</v>
      </c>
      <c r="D10" s="166" t="s">
        <v>236</v>
      </c>
      <c r="E10" s="169">
        <v>0.06</v>
      </c>
      <c r="F10" s="170" t="s">
        <v>376</v>
      </c>
      <c r="G10" s="171">
        <v>5.0000000000000001E-3</v>
      </c>
      <c r="I10" s="214">
        <f t="shared" si="0"/>
        <v>5.5E-2</v>
      </c>
    </row>
    <row r="11" spans="1:9" ht="31" thickBot="1" x14ac:dyDescent="0.25">
      <c r="A11" s="156" t="s">
        <v>402</v>
      </c>
      <c r="B11" s="154" t="s">
        <v>403</v>
      </c>
      <c r="C11" s="166">
        <v>2000</v>
      </c>
      <c r="D11" s="166">
        <f>C11*1.16</f>
        <v>2320</v>
      </c>
      <c r="E11" s="169">
        <v>0.1</v>
      </c>
      <c r="F11" s="170" t="s">
        <v>376</v>
      </c>
      <c r="G11" s="166">
        <v>20</v>
      </c>
      <c r="I11" s="214">
        <f t="shared" si="0"/>
        <v>-19.899999999999999</v>
      </c>
    </row>
    <row r="12" spans="1:9" ht="16" thickBot="1" x14ac:dyDescent="0.25">
      <c r="A12" s="156" t="s">
        <v>404</v>
      </c>
      <c r="B12" s="154" t="s">
        <v>405</v>
      </c>
      <c r="C12" s="166">
        <v>1000</v>
      </c>
      <c r="D12" s="166">
        <f>C12*1.16</f>
        <v>1160</v>
      </c>
      <c r="E12" s="169">
        <v>0.1</v>
      </c>
      <c r="F12" s="170" t="s">
        <v>376</v>
      </c>
      <c r="G12" s="166">
        <v>10</v>
      </c>
      <c r="I12" s="214">
        <f t="shared" si="0"/>
        <v>-9.9</v>
      </c>
    </row>
    <row r="13" spans="1:9" ht="16" thickBot="1" x14ac:dyDescent="0.25">
      <c r="A13" s="156" t="s">
        <v>406</v>
      </c>
      <c r="B13" s="154" t="s">
        <v>407</v>
      </c>
      <c r="C13" s="166" t="s">
        <v>408</v>
      </c>
      <c r="D13" s="166" t="s">
        <v>234</v>
      </c>
      <c r="E13" s="169" t="s">
        <v>234</v>
      </c>
      <c r="F13" s="170" t="s">
        <v>234</v>
      </c>
      <c r="G13" s="171">
        <v>0.06</v>
      </c>
      <c r="I13" s="214" t="e">
        <f t="shared" si="0"/>
        <v>#VALUE!</v>
      </c>
    </row>
  </sheetData>
  <mergeCells count="1">
    <mergeCell ref="A1:G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5"/>
  <sheetViews>
    <sheetView workbookViewId="0">
      <selection activeCell="F14" sqref="F14"/>
    </sheetView>
  </sheetViews>
  <sheetFormatPr baseColWidth="10" defaultRowHeight="13" x14ac:dyDescent="0.15"/>
  <cols>
    <col min="1" max="1" width="4.1640625" bestFit="1" customWidth="1"/>
    <col min="2" max="2" width="31.33203125" bestFit="1" customWidth="1"/>
    <col min="4" max="4" width="9.33203125" bestFit="1" customWidth="1"/>
    <col min="5" max="5" width="10.83203125" bestFit="1" customWidth="1"/>
    <col min="6" max="6" width="9.83203125" bestFit="1" customWidth="1"/>
    <col min="7" max="7" width="10" bestFit="1" customWidth="1"/>
    <col min="9" max="9" width="10.83203125" bestFit="1" customWidth="1"/>
    <col min="10" max="10" width="7.6640625" bestFit="1" customWidth="1"/>
  </cols>
  <sheetData>
    <row r="1" spans="1:10" ht="14" thickBot="1" x14ac:dyDescent="0.2"/>
    <row r="2" spans="1:10" s="33" customFormat="1" ht="29" thickBot="1" x14ac:dyDescent="0.2">
      <c r="A2" s="28" t="s">
        <v>0</v>
      </c>
      <c r="B2" s="17" t="s">
        <v>41</v>
      </c>
      <c r="C2" s="17"/>
      <c r="D2" s="17" t="s">
        <v>128</v>
      </c>
      <c r="E2" s="17" t="s">
        <v>40</v>
      </c>
      <c r="F2" s="17" t="s">
        <v>85</v>
      </c>
      <c r="G2" s="18" t="s">
        <v>86</v>
      </c>
      <c r="I2" s="66" t="s">
        <v>94</v>
      </c>
      <c r="J2" s="67" t="s">
        <v>93</v>
      </c>
    </row>
    <row r="3" spans="1:10" s="33" customFormat="1" ht="14" x14ac:dyDescent="0.15">
      <c r="A3" s="26"/>
      <c r="B3" s="10" t="s">
        <v>89</v>
      </c>
      <c r="C3" s="10"/>
      <c r="D3" s="11">
        <v>300</v>
      </c>
      <c r="E3" s="11">
        <v>500</v>
      </c>
      <c r="F3" s="11">
        <f>D3+E3</f>
        <v>800</v>
      </c>
      <c r="G3" s="37">
        <f>(F3*0.16)+F3</f>
        <v>928</v>
      </c>
      <c r="I3" s="68"/>
      <c r="J3" s="69"/>
    </row>
    <row r="4" spans="1:10" s="33" customFormat="1" ht="14" x14ac:dyDescent="0.15">
      <c r="A4" s="20"/>
      <c r="B4" s="1" t="s">
        <v>90</v>
      </c>
      <c r="C4" s="1"/>
      <c r="D4" s="2">
        <v>600</v>
      </c>
      <c r="E4" s="5">
        <v>900</v>
      </c>
      <c r="F4" s="8">
        <f>D4+E4</f>
        <v>1500</v>
      </c>
      <c r="G4" s="16">
        <f>(F4*0.16)+F4</f>
        <v>1740</v>
      </c>
      <c r="I4" s="70">
        <v>1500</v>
      </c>
      <c r="J4" s="71"/>
    </row>
    <row r="5" spans="1:10" s="33" customFormat="1" ht="169" thickBot="1" x14ac:dyDescent="0.2">
      <c r="A5" s="74"/>
      <c r="B5" s="12" t="s">
        <v>129</v>
      </c>
      <c r="C5" s="12"/>
      <c r="D5" s="75">
        <v>1500</v>
      </c>
      <c r="E5" s="31">
        <v>1500</v>
      </c>
      <c r="F5" s="49">
        <f>D5+E5</f>
        <v>3000</v>
      </c>
      <c r="G5" s="38">
        <f>(F5*0.16)+F5</f>
        <v>3480</v>
      </c>
      <c r="I5" s="72">
        <v>9000</v>
      </c>
      <c r="J5" s="7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F10"/>
  <sheetViews>
    <sheetView showGridLines="0" workbookViewId="0">
      <selection activeCell="B8" sqref="B8"/>
    </sheetView>
  </sheetViews>
  <sheetFormatPr baseColWidth="10" defaultRowHeight="13" x14ac:dyDescent="0.15"/>
  <cols>
    <col min="1" max="1" width="1.1640625" customWidth="1"/>
    <col min="2" max="2" width="64.5" customWidth="1"/>
    <col min="3" max="3" width="1.5" customWidth="1"/>
    <col min="4" max="4" width="5.5" customWidth="1"/>
    <col min="5" max="6" width="16" customWidth="1"/>
  </cols>
  <sheetData>
    <row r="1" spans="2:6" ht="14" x14ac:dyDescent="0.15">
      <c r="B1" s="51" t="s">
        <v>112</v>
      </c>
      <c r="C1" s="51"/>
      <c r="D1" s="55"/>
      <c r="E1" s="55"/>
      <c r="F1" s="55"/>
    </row>
    <row r="2" spans="2:6" ht="14" x14ac:dyDescent="0.15">
      <c r="B2" s="51" t="s">
        <v>113</v>
      </c>
      <c r="C2" s="51"/>
      <c r="D2" s="55"/>
      <c r="E2" s="55"/>
      <c r="F2" s="55"/>
    </row>
    <row r="3" spans="2:6" x14ac:dyDescent="0.15">
      <c r="B3" s="52"/>
      <c r="C3" s="52"/>
      <c r="D3" s="56"/>
      <c r="E3" s="56"/>
      <c r="F3" s="56"/>
    </row>
    <row r="4" spans="2:6" ht="56" x14ac:dyDescent="0.15">
      <c r="B4" s="52" t="s">
        <v>114</v>
      </c>
      <c r="C4" s="52"/>
      <c r="D4" s="56"/>
      <c r="E4" s="56"/>
      <c r="F4" s="56"/>
    </row>
    <row r="5" spans="2:6" x14ac:dyDescent="0.15">
      <c r="B5" s="52"/>
      <c r="C5" s="52"/>
      <c r="D5" s="56"/>
      <c r="E5" s="56"/>
      <c r="F5" s="56"/>
    </row>
    <row r="6" spans="2:6" ht="14" x14ac:dyDescent="0.15">
      <c r="B6" s="51" t="s">
        <v>115</v>
      </c>
      <c r="C6" s="51"/>
      <c r="D6" s="55"/>
      <c r="E6" s="55" t="s">
        <v>116</v>
      </c>
      <c r="F6" s="55" t="s">
        <v>117</v>
      </c>
    </row>
    <row r="7" spans="2:6" ht="14" thickBot="1" x14ac:dyDescent="0.2">
      <c r="B7" s="52"/>
      <c r="C7" s="52"/>
      <c r="D7" s="56"/>
      <c r="E7" s="56"/>
      <c r="F7" s="56"/>
    </row>
    <row r="8" spans="2:6" ht="43" thickBot="1" x14ac:dyDescent="0.2">
      <c r="B8" s="53" t="s">
        <v>118</v>
      </c>
      <c r="C8" s="54"/>
      <c r="D8" s="57"/>
      <c r="E8" s="57">
        <v>15</v>
      </c>
      <c r="F8" s="58" t="s">
        <v>119</v>
      </c>
    </row>
    <row r="9" spans="2:6" x14ac:dyDescent="0.15">
      <c r="B9" s="52"/>
      <c r="C9" s="52"/>
      <c r="D9" s="56"/>
      <c r="E9" s="56"/>
      <c r="F9" s="56"/>
    </row>
    <row r="10" spans="2:6" x14ac:dyDescent="0.15">
      <c r="B10" s="52"/>
      <c r="C10" s="52"/>
      <c r="D10" s="56"/>
      <c r="E10" s="56"/>
      <c r="F10" s="5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Hojas de cálculo</vt:lpstr>
      </vt:variant>
      <vt:variant>
        <vt:i4>9</vt:i4>
      </vt:variant>
      <vt:variant>
        <vt:lpstr>Rangos con nombre</vt:lpstr>
      </vt:variant>
      <vt:variant>
        <vt:i4>27</vt:i4>
      </vt:variant>
    </vt:vector>
  </HeadingPairs>
  <TitlesOfParts>
    <vt:vector size="36" baseType="lpstr">
      <vt:lpstr>IMPI</vt:lpstr>
      <vt:lpstr>IDS</vt:lpstr>
      <vt:lpstr>INDAUTOR</vt:lpstr>
      <vt:lpstr>USA</vt:lpstr>
      <vt:lpstr>FRANQUICIAS</vt:lpstr>
      <vt:lpstr>CODIGO DE BARRAS</vt:lpstr>
      <vt:lpstr>SERV. JURIDICOS</vt:lpstr>
      <vt:lpstr>DISEÑO</vt:lpstr>
      <vt:lpstr>Informe de compatibilidad</vt:lpstr>
      <vt:lpstr>USA!appeal</vt:lpstr>
      <vt:lpstr>USA!comp</vt:lpstr>
      <vt:lpstr>USA!enroll</vt:lpstr>
      <vt:lpstr>USA!exam</vt:lpstr>
      <vt:lpstr>USA!extend</vt:lpstr>
      <vt:lpstr>USA!fast</vt:lpstr>
      <vt:lpstr>USA!fin</vt:lpstr>
      <vt:lpstr>USA!international</vt:lpstr>
      <vt:lpstr>USA!intfees</vt:lpstr>
      <vt:lpstr>USA!issuance</vt:lpstr>
      <vt:lpstr>USA!madrid</vt:lpstr>
      <vt:lpstr>USA!maintain</vt:lpstr>
      <vt:lpstr>USA!misc</vt:lpstr>
      <vt:lpstr>USA!national</vt:lpstr>
      <vt:lpstr>USA!note1a</vt:lpstr>
      <vt:lpstr>USA!note1b</vt:lpstr>
      <vt:lpstr>USA!note1c</vt:lpstr>
      <vt:lpstr>USA!note3</vt:lpstr>
      <vt:lpstr>USA!note4</vt:lpstr>
      <vt:lpstr>USA!patapp</vt:lpstr>
      <vt:lpstr>USA!patservice</vt:lpstr>
      <vt:lpstr>USA!petition</vt:lpstr>
      <vt:lpstr>USA!post</vt:lpstr>
      <vt:lpstr>USA!search</vt:lpstr>
      <vt:lpstr>USA!tm</vt:lpstr>
      <vt:lpstr>USA!tmsvc</vt:lpstr>
      <vt:lpstr>USA!wipo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Alfredo Delgado Montes</dc:creator>
  <cp:lastModifiedBy>Martin Valenz</cp:lastModifiedBy>
  <cp:lastPrinted>2004-11-04T21:18:30Z</cp:lastPrinted>
  <dcterms:created xsi:type="dcterms:W3CDTF">2004-07-08T19:51:35Z</dcterms:created>
  <dcterms:modified xsi:type="dcterms:W3CDTF">2019-08-21T06:25:54Z</dcterms:modified>
</cp:coreProperties>
</file>