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valenz/Dropbox/Proyectos/Emporio/docs/"/>
    </mc:Choice>
  </mc:AlternateContent>
  <xr:revisionPtr revIDLastSave="0" documentId="13_ncr:1_{0F5D3B74-2EE7-6942-AD7D-1F86FC69F658}" xr6:coauthVersionLast="36" xr6:coauthVersionMax="36" xr10:uidLastSave="{00000000-0000-0000-0000-000000000000}"/>
  <bookViews>
    <workbookView xWindow="0" yWindow="460" windowWidth="22940" windowHeight="16300" firstSheet="1" activeTab="7" xr2:uid="{00000000-000D-0000-FFFF-FFFF00000000}"/>
  </bookViews>
  <sheets>
    <sheet name="IMPI" sheetId="1" r:id="rId1"/>
    <sheet name="catalogo_servicios" sheetId="9" r:id="rId2"/>
    <sheet name="INDAUTOR" sheetId="2" r:id="rId3"/>
    <sheet name="USA" sheetId="3" r:id="rId4"/>
    <sheet name="FRANQUICIAS" sheetId="5" r:id="rId5"/>
    <sheet name="CODIGO DE BARRAS" sheetId="6" r:id="rId6"/>
    <sheet name="DISEÑO" sheetId="7" r:id="rId7"/>
    <sheet name="SERV. JURIDICOS" sheetId="8" r:id="rId8"/>
    <sheet name="Informe de compatibilidad" sheetId="4" r:id="rId9"/>
  </sheets>
  <definedNames>
    <definedName name="appeal" localSheetId="3">USA!$A$205</definedName>
    <definedName name="comp" localSheetId="3">USA!$A$459</definedName>
    <definedName name="enroll" localSheetId="3">USA!$A$412</definedName>
    <definedName name="exam" localSheetId="3">USA!$A$104</definedName>
    <definedName name="extend" localSheetId="3">USA!$A$126</definedName>
    <definedName name="fast" localSheetId="3">USA!$A$572</definedName>
    <definedName name="fin" localSheetId="3">USA!$A$449</definedName>
    <definedName name="international" localSheetId="3">USA!$A$316</definedName>
    <definedName name="intfees" localSheetId="3">USA!$A$535</definedName>
    <definedName name="issuance" localSheetId="3">USA!$A$181</definedName>
    <definedName name="madrid" localSheetId="3">USA!$A$515</definedName>
    <definedName name="maintain" localSheetId="3">USA!$A$137</definedName>
    <definedName name="misc" localSheetId="3">USA!$A$154</definedName>
    <definedName name="national" localSheetId="3">USA!$A$269</definedName>
    <definedName name="note1a" localSheetId="3">USA!$A$93</definedName>
    <definedName name="note1b" localSheetId="3">USA!$A$267</definedName>
    <definedName name="note1c" localSheetId="3">USA!$A$239</definedName>
    <definedName name="note3" localSheetId="3">USA!$A$357</definedName>
    <definedName name="note4" localSheetId="3">USA!$A$545</definedName>
    <definedName name="patapp" localSheetId="3">USA!$A$40</definedName>
    <definedName name="patservice" localSheetId="3">USA!$A$359</definedName>
    <definedName name="petition" localSheetId="3">USA!$A$241</definedName>
    <definedName name="post" localSheetId="3">USA!$A$113</definedName>
    <definedName name="search" localSheetId="3">USA!$A$95</definedName>
    <definedName name="tm" localSheetId="3">USA!$A$462</definedName>
    <definedName name="tmsvc" localSheetId="3">USA!$A$547</definedName>
    <definedName name="wipo" localSheetId="3">USA!$A$335</definedName>
  </definedNames>
  <calcPr calcId="181029"/>
</workbook>
</file>

<file path=xl/calcChain.xml><?xml version="1.0" encoding="utf-8"?>
<calcChain xmlns="http://schemas.openxmlformats.org/spreadsheetml/2006/main">
  <c r="C3" i="8" l="1"/>
  <c r="O3" i="8" s="1"/>
  <c r="C4" i="8"/>
  <c r="O4" i="8" s="1"/>
  <c r="C5" i="8"/>
  <c r="O5" i="8" s="1"/>
  <c r="C6" i="8"/>
  <c r="O6" i="8" s="1"/>
  <c r="C7" i="8"/>
  <c r="O7" i="8" s="1"/>
  <c r="C8" i="8"/>
  <c r="O8" i="8" s="1"/>
  <c r="C9" i="8"/>
  <c r="O9" i="8" s="1"/>
  <c r="C10" i="8"/>
  <c r="O10" i="8" s="1"/>
  <c r="C11" i="8"/>
  <c r="O11" i="8" s="1"/>
  <c r="C12" i="8"/>
  <c r="O12" i="8" s="1"/>
  <c r="C13" i="8"/>
  <c r="O13" i="8" s="1"/>
  <c r="C14" i="8"/>
  <c r="O14" i="8" s="1"/>
  <c r="C15" i="8"/>
  <c r="O15" i="8" s="1"/>
  <c r="C16" i="8"/>
  <c r="O16" i="8" s="1"/>
  <c r="C17" i="8"/>
  <c r="O17" i="8" s="1"/>
  <c r="C18" i="8"/>
  <c r="O18" i="8" s="1"/>
  <c r="C19" i="8"/>
  <c r="O19" i="8" s="1"/>
  <c r="C2" i="8"/>
  <c r="O2" i="8" s="1"/>
  <c r="C4" i="6"/>
  <c r="C5" i="6"/>
  <c r="C6" i="6"/>
  <c r="C3" i="6"/>
  <c r="R6" i="5"/>
  <c r="S6" i="5"/>
  <c r="R7" i="5"/>
  <c r="S7" i="5"/>
  <c r="R8" i="5"/>
  <c r="S8" i="5"/>
  <c r="R9" i="5"/>
  <c r="S9" i="5"/>
  <c r="Q6" i="5"/>
  <c r="T6" i="5"/>
  <c r="Q7" i="5"/>
  <c r="T7" i="5"/>
  <c r="Q8" i="5"/>
  <c r="T8" i="5"/>
  <c r="Q9" i="5"/>
  <c r="T9" i="5"/>
  <c r="C4" i="5"/>
  <c r="C5" i="5"/>
  <c r="C6" i="5"/>
  <c r="C7" i="5"/>
  <c r="C8" i="5"/>
  <c r="C9" i="5"/>
  <c r="C3" i="5"/>
  <c r="D5" i="3"/>
  <c r="D6" i="3"/>
  <c r="D7" i="3"/>
  <c r="D8" i="3"/>
  <c r="D9" i="3"/>
  <c r="D10" i="3"/>
  <c r="D11" i="3"/>
  <c r="X11" i="3" s="1"/>
  <c r="D12" i="3"/>
  <c r="D13" i="3"/>
  <c r="D14" i="3"/>
  <c r="D15" i="3"/>
  <c r="D16" i="3"/>
  <c r="D4" i="3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R8" i="2"/>
  <c r="S8" i="2"/>
  <c r="T8" i="2"/>
  <c r="U8" i="2"/>
  <c r="R21" i="2"/>
  <c r="S21" i="2"/>
  <c r="T21" i="2"/>
  <c r="U21" i="2"/>
  <c r="R42" i="2"/>
  <c r="S42" i="2"/>
  <c r="T42" i="2"/>
  <c r="U42" i="2"/>
  <c r="R47" i="2"/>
  <c r="S47" i="2"/>
  <c r="T47" i="2"/>
  <c r="U47" i="2"/>
  <c r="C5" i="2"/>
  <c r="C6" i="2"/>
  <c r="C7" i="2"/>
  <c r="C8" i="2"/>
  <c r="W8" i="2" s="1"/>
  <c r="C9" i="2"/>
  <c r="W9" i="2" s="1"/>
  <c r="C10" i="2"/>
  <c r="W10" i="2" s="1"/>
  <c r="C11" i="2"/>
  <c r="W11" i="2" s="1"/>
  <c r="C12" i="2"/>
  <c r="W12" i="2" s="1"/>
  <c r="C13" i="2"/>
  <c r="W13" i="2" s="1"/>
  <c r="C14" i="2"/>
  <c r="W14" i="2" s="1"/>
  <c r="C15" i="2"/>
  <c r="W15" i="2" s="1"/>
  <c r="C16" i="2"/>
  <c r="W16" i="2" s="1"/>
  <c r="C17" i="2"/>
  <c r="W17" i="2" s="1"/>
  <c r="C18" i="2"/>
  <c r="W18" i="2" s="1"/>
  <c r="C19" i="2"/>
  <c r="W19" i="2" s="1"/>
  <c r="C20" i="2"/>
  <c r="W20" i="2" s="1"/>
  <c r="C21" i="2"/>
  <c r="W21" i="2" s="1"/>
  <c r="C22" i="2"/>
  <c r="C23" i="2"/>
  <c r="C24" i="2"/>
  <c r="C25" i="2"/>
  <c r="C26" i="2"/>
  <c r="C27" i="2"/>
  <c r="C28" i="2"/>
  <c r="C4" i="2"/>
  <c r="D5" i="1"/>
  <c r="D6" i="1"/>
  <c r="D7" i="1"/>
  <c r="D8" i="1"/>
  <c r="D9" i="1"/>
  <c r="D10" i="1"/>
  <c r="D11" i="1"/>
  <c r="D12" i="1"/>
  <c r="AA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47" i="1" s="1"/>
  <c r="D48" i="1"/>
  <c r="D49" i="1"/>
  <c r="D50" i="1"/>
  <c r="D51" i="1"/>
  <c r="D52" i="1"/>
  <c r="D53" i="1"/>
  <c r="D54" i="1"/>
  <c r="D55" i="1"/>
  <c r="D56" i="1"/>
  <c r="F56" i="1" s="1"/>
  <c r="D57" i="1"/>
  <c r="D58" i="1"/>
  <c r="D59" i="1"/>
  <c r="D60" i="1"/>
  <c r="D61" i="1"/>
  <c r="D62" i="1"/>
  <c r="D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F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" i="1"/>
  <c r="J39" i="1"/>
  <c r="E18" i="8"/>
  <c r="E17" i="8"/>
  <c r="E13" i="8"/>
  <c r="E12" i="8"/>
  <c r="E11" i="8"/>
  <c r="E10" i="8"/>
  <c r="E9" i="8"/>
  <c r="E7" i="8"/>
  <c r="E6" i="8"/>
  <c r="E4" i="8"/>
  <c r="E2" i="8"/>
  <c r="L25" i="1"/>
  <c r="J25" i="1"/>
  <c r="N25" i="1" s="1"/>
  <c r="R25" i="1"/>
  <c r="I25" i="1"/>
  <c r="L21" i="1"/>
  <c r="J21" i="1"/>
  <c r="I21" i="1"/>
  <c r="L13" i="1"/>
  <c r="J13" i="1"/>
  <c r="I13" i="1"/>
  <c r="P25" i="1"/>
  <c r="S25" i="1"/>
  <c r="T25" i="1" s="1"/>
  <c r="S21" i="1"/>
  <c r="T21" i="1" s="1"/>
  <c r="P13" i="1"/>
  <c r="R13" i="1"/>
  <c r="L8" i="1"/>
  <c r="J8" i="1"/>
  <c r="P8" i="1" s="1"/>
  <c r="I8" i="1"/>
  <c r="J12" i="1"/>
  <c r="J9" i="1"/>
  <c r="L10" i="1"/>
  <c r="J10" i="1"/>
  <c r="P10" i="1" s="1"/>
  <c r="N10" i="1"/>
  <c r="I10" i="1"/>
  <c r="L18" i="1"/>
  <c r="J18" i="1"/>
  <c r="I18" i="1"/>
  <c r="L17" i="1"/>
  <c r="J17" i="1"/>
  <c r="I17" i="1"/>
  <c r="L16" i="1"/>
  <c r="J16" i="1"/>
  <c r="N16" i="1" s="1"/>
  <c r="I16" i="1"/>
  <c r="L14" i="1"/>
  <c r="J14" i="1"/>
  <c r="S14" i="1" s="1"/>
  <c r="T14" i="1" s="1"/>
  <c r="I14" i="1"/>
  <c r="L15" i="1"/>
  <c r="J15" i="1"/>
  <c r="S15" i="1"/>
  <c r="T15" i="1" s="1"/>
  <c r="I15" i="1"/>
  <c r="R10" i="1"/>
  <c r="S10" i="1"/>
  <c r="T10" i="1" s="1"/>
  <c r="Q52" i="1"/>
  <c r="R52" i="1" s="1"/>
  <c r="S51" i="1"/>
  <c r="T51" i="1"/>
  <c r="G5" i="5"/>
  <c r="E5" i="5"/>
  <c r="H5" i="5" s="1"/>
  <c r="G4" i="5"/>
  <c r="E4" i="5"/>
  <c r="M4" i="5" s="1"/>
  <c r="S4" i="5" s="1"/>
  <c r="G3" i="5"/>
  <c r="E3" i="5"/>
  <c r="M3" i="5" s="1"/>
  <c r="S3" i="5" s="1"/>
  <c r="K3" i="6"/>
  <c r="Q3" i="6" s="1"/>
  <c r="F6" i="6"/>
  <c r="G6" i="6" s="1"/>
  <c r="O6" i="6" s="1"/>
  <c r="F5" i="6"/>
  <c r="G5" i="6" s="1"/>
  <c r="O5" i="6" s="1"/>
  <c r="F4" i="6"/>
  <c r="I3" i="6"/>
  <c r="P3" i="6" s="1"/>
  <c r="F3" i="6"/>
  <c r="L3" i="6" s="1"/>
  <c r="M3" i="6" s="1"/>
  <c r="R3" i="6" s="1"/>
  <c r="E6" i="6"/>
  <c r="E5" i="6"/>
  <c r="E4" i="6"/>
  <c r="E3" i="6"/>
  <c r="M53" i="2"/>
  <c r="N53" i="2" s="1"/>
  <c r="T53" i="2" s="1"/>
  <c r="K53" i="2"/>
  <c r="L53" i="2"/>
  <c r="S53" i="2" s="1"/>
  <c r="I53" i="2"/>
  <c r="J53" i="2" s="1"/>
  <c r="R53" i="2" s="1"/>
  <c r="M52" i="2"/>
  <c r="N52" i="2"/>
  <c r="T52" i="2" s="1"/>
  <c r="K52" i="2"/>
  <c r="L52" i="2" s="1"/>
  <c r="S52" i="2" s="1"/>
  <c r="I52" i="2"/>
  <c r="O52" i="2" s="1"/>
  <c r="P52" i="2" s="1"/>
  <c r="U52" i="2" s="1"/>
  <c r="M51" i="2"/>
  <c r="N51" i="2" s="1"/>
  <c r="T51" i="2" s="1"/>
  <c r="K51" i="2"/>
  <c r="L51" i="2"/>
  <c r="S51" i="2" s="1"/>
  <c r="I51" i="2"/>
  <c r="O51" i="2" s="1"/>
  <c r="P51" i="2" s="1"/>
  <c r="U51" i="2" s="1"/>
  <c r="M50" i="2"/>
  <c r="N50" i="2"/>
  <c r="T50" i="2" s="1"/>
  <c r="K50" i="2"/>
  <c r="O50" i="2" s="1"/>
  <c r="P50" i="2" s="1"/>
  <c r="U50" i="2" s="1"/>
  <c r="L50" i="2"/>
  <c r="S50" i="2" s="1"/>
  <c r="I50" i="2"/>
  <c r="M49" i="2"/>
  <c r="N49" i="2" s="1"/>
  <c r="T49" i="2" s="1"/>
  <c r="K49" i="2"/>
  <c r="L49" i="2" s="1"/>
  <c r="S49" i="2" s="1"/>
  <c r="I49" i="2"/>
  <c r="M48" i="2"/>
  <c r="N48" i="2"/>
  <c r="T48" i="2" s="1"/>
  <c r="K48" i="2"/>
  <c r="L48" i="2"/>
  <c r="S48" i="2" s="1"/>
  <c r="I48" i="2"/>
  <c r="O48" i="2" s="1"/>
  <c r="P48" i="2" s="1"/>
  <c r="U48" i="2" s="1"/>
  <c r="M46" i="2"/>
  <c r="N46" i="2" s="1"/>
  <c r="T46" i="2" s="1"/>
  <c r="K46" i="2"/>
  <c r="L46" i="2"/>
  <c r="S46" i="2" s="1"/>
  <c r="I46" i="2"/>
  <c r="O46" i="2" s="1"/>
  <c r="P46" i="2" s="1"/>
  <c r="U46" i="2" s="1"/>
  <c r="M45" i="2"/>
  <c r="N45" i="2"/>
  <c r="T45" i="2" s="1"/>
  <c r="K45" i="2"/>
  <c r="L45" i="2"/>
  <c r="S45" i="2" s="1"/>
  <c r="I45" i="2"/>
  <c r="O45" i="2"/>
  <c r="P45" i="2" s="1"/>
  <c r="U45" i="2" s="1"/>
  <c r="M44" i="2"/>
  <c r="N44" i="2" s="1"/>
  <c r="T44" i="2" s="1"/>
  <c r="K44" i="2"/>
  <c r="L44" i="2" s="1"/>
  <c r="S44" i="2" s="1"/>
  <c r="I44" i="2"/>
  <c r="O44" i="2" s="1"/>
  <c r="P44" i="2" s="1"/>
  <c r="U44" i="2" s="1"/>
  <c r="M43" i="2"/>
  <c r="N43" i="2" s="1"/>
  <c r="T43" i="2" s="1"/>
  <c r="K43" i="2"/>
  <c r="L43" i="2"/>
  <c r="S43" i="2" s="1"/>
  <c r="I43" i="2"/>
  <c r="J43" i="2" s="1"/>
  <c r="R43" i="2" s="1"/>
  <c r="M41" i="2"/>
  <c r="N41" i="2"/>
  <c r="T41" i="2" s="1"/>
  <c r="K41" i="2"/>
  <c r="L41" i="2" s="1"/>
  <c r="S41" i="2" s="1"/>
  <c r="I41" i="2"/>
  <c r="O41" i="2" s="1"/>
  <c r="P41" i="2" s="1"/>
  <c r="U41" i="2" s="1"/>
  <c r="M40" i="2"/>
  <c r="N40" i="2"/>
  <c r="T40" i="2" s="1"/>
  <c r="K40" i="2"/>
  <c r="L40" i="2"/>
  <c r="S40" i="2" s="1"/>
  <c r="I40" i="2"/>
  <c r="J40" i="2"/>
  <c r="R40" i="2" s="1"/>
  <c r="M39" i="2"/>
  <c r="N39" i="2"/>
  <c r="T39" i="2" s="1"/>
  <c r="K39" i="2"/>
  <c r="L39" i="2"/>
  <c r="S39" i="2" s="1"/>
  <c r="I39" i="2"/>
  <c r="O39" i="2"/>
  <c r="P39" i="2" s="1"/>
  <c r="U39" i="2" s="1"/>
  <c r="M38" i="2"/>
  <c r="N38" i="2" s="1"/>
  <c r="T38" i="2" s="1"/>
  <c r="K38" i="2"/>
  <c r="L38" i="2" s="1"/>
  <c r="S38" i="2" s="1"/>
  <c r="I38" i="2"/>
  <c r="O38" i="2"/>
  <c r="P38" i="2" s="1"/>
  <c r="U38" i="2" s="1"/>
  <c r="M37" i="2"/>
  <c r="N37" i="2"/>
  <c r="T37" i="2" s="1"/>
  <c r="K37" i="2"/>
  <c r="L37" i="2" s="1"/>
  <c r="S37" i="2" s="1"/>
  <c r="I37" i="2"/>
  <c r="M36" i="2"/>
  <c r="N36" i="2"/>
  <c r="T36" i="2" s="1"/>
  <c r="K36" i="2"/>
  <c r="L36" i="2" s="1"/>
  <c r="S36" i="2" s="1"/>
  <c r="I36" i="2"/>
  <c r="O36" i="2" s="1"/>
  <c r="P36" i="2" s="1"/>
  <c r="U36" i="2" s="1"/>
  <c r="M35" i="2"/>
  <c r="N35" i="2"/>
  <c r="T35" i="2" s="1"/>
  <c r="K35" i="2"/>
  <c r="L35" i="2"/>
  <c r="S35" i="2" s="1"/>
  <c r="I35" i="2"/>
  <c r="M34" i="2"/>
  <c r="N34" i="2"/>
  <c r="T34" i="2" s="1"/>
  <c r="K34" i="2"/>
  <c r="L34" i="2" s="1"/>
  <c r="S34" i="2" s="1"/>
  <c r="I34" i="2"/>
  <c r="M33" i="2"/>
  <c r="N33" i="2"/>
  <c r="T33" i="2" s="1"/>
  <c r="K33" i="2"/>
  <c r="I33" i="2"/>
  <c r="M32" i="2"/>
  <c r="N32" i="2"/>
  <c r="T32" i="2" s="1"/>
  <c r="K32" i="2"/>
  <c r="L32" i="2"/>
  <c r="S32" i="2" s="1"/>
  <c r="I32" i="2"/>
  <c r="O32" i="2"/>
  <c r="P32" i="2" s="1"/>
  <c r="U32" i="2" s="1"/>
  <c r="M31" i="2"/>
  <c r="N31" i="2" s="1"/>
  <c r="T31" i="2" s="1"/>
  <c r="K31" i="2"/>
  <c r="I31" i="2"/>
  <c r="J31" i="2" s="1"/>
  <c r="R31" i="2" s="1"/>
  <c r="M30" i="2"/>
  <c r="N30" i="2"/>
  <c r="T30" i="2" s="1"/>
  <c r="K30" i="2"/>
  <c r="L30" i="2" s="1"/>
  <c r="S30" i="2" s="1"/>
  <c r="I30" i="2"/>
  <c r="O30" i="2" s="1"/>
  <c r="P30" i="2" s="1"/>
  <c r="U30" i="2" s="1"/>
  <c r="M29" i="2"/>
  <c r="N29" i="2" s="1"/>
  <c r="T29" i="2" s="1"/>
  <c r="K29" i="2"/>
  <c r="L29" i="2"/>
  <c r="S29" i="2" s="1"/>
  <c r="I29" i="2"/>
  <c r="O29" i="2" s="1"/>
  <c r="P29" i="2" s="1"/>
  <c r="U29" i="2" s="1"/>
  <c r="M20" i="2"/>
  <c r="N20" i="2"/>
  <c r="T20" i="2" s="1"/>
  <c r="K20" i="2"/>
  <c r="L20" i="2"/>
  <c r="S20" i="2" s="1"/>
  <c r="I20" i="2"/>
  <c r="J20" i="2" s="1"/>
  <c r="R20" i="2" s="1"/>
  <c r="M19" i="2"/>
  <c r="N19" i="2" s="1"/>
  <c r="T19" i="2" s="1"/>
  <c r="K19" i="2"/>
  <c r="L19" i="2"/>
  <c r="S19" i="2" s="1"/>
  <c r="I19" i="2"/>
  <c r="O19" i="2" s="1"/>
  <c r="P19" i="2" s="1"/>
  <c r="U19" i="2" s="1"/>
  <c r="M18" i="2"/>
  <c r="N18" i="2"/>
  <c r="T18" i="2" s="1"/>
  <c r="K18" i="2"/>
  <c r="L18" i="2"/>
  <c r="S18" i="2" s="1"/>
  <c r="I18" i="2"/>
  <c r="O18" i="2" s="1"/>
  <c r="J18" i="2"/>
  <c r="R18" i="2" s="1"/>
  <c r="P18" i="2"/>
  <c r="U18" i="2" s="1"/>
  <c r="M17" i="2"/>
  <c r="N17" i="2"/>
  <c r="T17" i="2" s="1"/>
  <c r="K17" i="2"/>
  <c r="L17" i="2"/>
  <c r="S17" i="2" s="1"/>
  <c r="I17" i="2"/>
  <c r="M16" i="2"/>
  <c r="N16" i="2" s="1"/>
  <c r="T16" i="2" s="1"/>
  <c r="K16" i="2"/>
  <c r="L16" i="2" s="1"/>
  <c r="S16" i="2" s="1"/>
  <c r="I16" i="2"/>
  <c r="M15" i="2"/>
  <c r="N15" i="2" s="1"/>
  <c r="T15" i="2" s="1"/>
  <c r="K15" i="2"/>
  <c r="L15" i="2"/>
  <c r="S15" i="2" s="1"/>
  <c r="I15" i="2"/>
  <c r="J15" i="2" s="1"/>
  <c r="R15" i="2" s="1"/>
  <c r="M14" i="2"/>
  <c r="N14" i="2" s="1"/>
  <c r="T14" i="2" s="1"/>
  <c r="K14" i="2"/>
  <c r="L14" i="2"/>
  <c r="S14" i="2" s="1"/>
  <c r="I14" i="2"/>
  <c r="J14" i="2" s="1"/>
  <c r="R14" i="2" s="1"/>
  <c r="M13" i="2"/>
  <c r="N13" i="2"/>
  <c r="T13" i="2" s="1"/>
  <c r="K13" i="2"/>
  <c r="L13" i="2" s="1"/>
  <c r="S13" i="2" s="1"/>
  <c r="I13" i="2"/>
  <c r="M12" i="2"/>
  <c r="N12" i="2" s="1"/>
  <c r="T12" i="2" s="1"/>
  <c r="K12" i="2"/>
  <c r="L12" i="2"/>
  <c r="S12" i="2" s="1"/>
  <c r="I12" i="2"/>
  <c r="O12" i="2" s="1"/>
  <c r="P12" i="2" s="1"/>
  <c r="U12" i="2" s="1"/>
  <c r="M11" i="2"/>
  <c r="N11" i="2"/>
  <c r="T11" i="2" s="1"/>
  <c r="K11" i="2"/>
  <c r="L11" i="2" s="1"/>
  <c r="S11" i="2" s="1"/>
  <c r="I11" i="2"/>
  <c r="M10" i="2"/>
  <c r="N10" i="2" s="1"/>
  <c r="T10" i="2" s="1"/>
  <c r="K10" i="2"/>
  <c r="O10" i="2"/>
  <c r="P10" i="2"/>
  <c r="U10" i="2" s="1"/>
  <c r="L10" i="2"/>
  <c r="S10" i="2" s="1"/>
  <c r="I10" i="2"/>
  <c r="M9" i="2"/>
  <c r="N9" i="2"/>
  <c r="T9" i="2" s="1"/>
  <c r="K9" i="2"/>
  <c r="L9" i="2" s="1"/>
  <c r="S9" i="2" s="1"/>
  <c r="I9" i="2"/>
  <c r="O9" i="2"/>
  <c r="P9" i="2" s="1"/>
  <c r="U9" i="2" s="1"/>
  <c r="F28" i="2"/>
  <c r="L28" i="2" s="1"/>
  <c r="S28" i="2" s="1"/>
  <c r="N28" i="2"/>
  <c r="T28" i="2" s="1"/>
  <c r="O28" i="2"/>
  <c r="P28" i="2" s="1"/>
  <c r="U28" i="2" s="1"/>
  <c r="F25" i="2"/>
  <c r="N25" i="2"/>
  <c r="T25" i="2" s="1"/>
  <c r="F27" i="2"/>
  <c r="I27" i="2" s="1"/>
  <c r="H27" i="2"/>
  <c r="F26" i="2"/>
  <c r="O26" i="2"/>
  <c r="P26" i="2" s="1"/>
  <c r="U26" i="2" s="1"/>
  <c r="F24" i="2"/>
  <c r="N24" i="2"/>
  <c r="T24" i="2" s="1"/>
  <c r="F23" i="2"/>
  <c r="O23" i="2" s="1"/>
  <c r="P23" i="2" s="1"/>
  <c r="U23" i="2" s="1"/>
  <c r="F22" i="2"/>
  <c r="O22" i="2" s="1"/>
  <c r="P22" i="2" s="1"/>
  <c r="U22" i="2" s="1"/>
  <c r="H7" i="2"/>
  <c r="F7" i="2"/>
  <c r="L7" i="2"/>
  <c r="S7" i="2" s="1"/>
  <c r="N7" i="2"/>
  <c r="T7" i="2" s="1"/>
  <c r="O48" i="1"/>
  <c r="P48" i="1"/>
  <c r="K50" i="1"/>
  <c r="L50" i="1" s="1"/>
  <c r="K49" i="1"/>
  <c r="L49" i="1"/>
  <c r="K48" i="1"/>
  <c r="L48" i="1" s="1"/>
  <c r="Q119" i="1"/>
  <c r="R119" i="1"/>
  <c r="O119" i="1"/>
  <c r="S119" i="1" s="1"/>
  <c r="T119" i="1" s="1"/>
  <c r="M119" i="1"/>
  <c r="N119" i="1"/>
  <c r="Q118" i="1"/>
  <c r="R118" i="1" s="1"/>
  <c r="O118" i="1"/>
  <c r="M118" i="1"/>
  <c r="S118" i="1" s="1"/>
  <c r="T118" i="1" s="1"/>
  <c r="Q113" i="1"/>
  <c r="R113" i="1" s="1"/>
  <c r="O113" i="1"/>
  <c r="P113" i="1"/>
  <c r="M113" i="1"/>
  <c r="N113" i="1" s="1"/>
  <c r="Q112" i="1"/>
  <c r="R112" i="1"/>
  <c r="O112" i="1"/>
  <c r="M112" i="1"/>
  <c r="N112" i="1" s="1"/>
  <c r="Q111" i="1"/>
  <c r="R111" i="1" s="1"/>
  <c r="O111" i="1"/>
  <c r="M111" i="1"/>
  <c r="N111" i="1" s="1"/>
  <c r="Q106" i="1"/>
  <c r="R106" i="1" s="1"/>
  <c r="O106" i="1"/>
  <c r="P106" i="1"/>
  <c r="M106" i="1"/>
  <c r="N106" i="1" s="1"/>
  <c r="Q105" i="1"/>
  <c r="R105" i="1"/>
  <c r="O105" i="1"/>
  <c r="P105" i="1" s="1"/>
  <c r="M105" i="1"/>
  <c r="Q104" i="1"/>
  <c r="R104" i="1"/>
  <c r="O104" i="1"/>
  <c r="S104" i="1" s="1"/>
  <c r="T104" i="1" s="1"/>
  <c r="M104" i="1"/>
  <c r="N104" i="1"/>
  <c r="Q103" i="1"/>
  <c r="R103" i="1" s="1"/>
  <c r="O103" i="1"/>
  <c r="P103" i="1"/>
  <c r="M103" i="1"/>
  <c r="S103" i="1" s="1"/>
  <c r="T103" i="1" s="1"/>
  <c r="Q102" i="1"/>
  <c r="R102" i="1"/>
  <c r="O102" i="1"/>
  <c r="S102" i="1" s="1"/>
  <c r="T102" i="1" s="1"/>
  <c r="M102" i="1"/>
  <c r="N102" i="1" s="1"/>
  <c r="Q98" i="1"/>
  <c r="R98" i="1" s="1"/>
  <c r="O98" i="1"/>
  <c r="M98" i="1"/>
  <c r="N98" i="1"/>
  <c r="Q97" i="1"/>
  <c r="R97" i="1" s="1"/>
  <c r="O97" i="1"/>
  <c r="P97" i="1"/>
  <c r="M97" i="1"/>
  <c r="N97" i="1" s="1"/>
  <c r="Q96" i="1"/>
  <c r="R96" i="1" s="1"/>
  <c r="O96" i="1"/>
  <c r="P96" i="1"/>
  <c r="M96" i="1"/>
  <c r="N96" i="1" s="1"/>
  <c r="Q95" i="1"/>
  <c r="R95" i="1" s="1"/>
  <c r="O95" i="1"/>
  <c r="P95" i="1" s="1"/>
  <c r="M95" i="1"/>
  <c r="N95" i="1" s="1"/>
  <c r="Q94" i="1"/>
  <c r="R94" i="1" s="1"/>
  <c r="O94" i="1"/>
  <c r="P94" i="1"/>
  <c r="M94" i="1"/>
  <c r="S94" i="1" s="1"/>
  <c r="Q93" i="1"/>
  <c r="R93" i="1" s="1"/>
  <c r="O93" i="1"/>
  <c r="M93" i="1"/>
  <c r="N93" i="1" s="1"/>
  <c r="Q92" i="1"/>
  <c r="R92" i="1" s="1"/>
  <c r="O92" i="1"/>
  <c r="P92" i="1"/>
  <c r="M92" i="1"/>
  <c r="N92" i="1" s="1"/>
  <c r="Q91" i="1"/>
  <c r="R91" i="1" s="1"/>
  <c r="O91" i="1"/>
  <c r="P91" i="1" s="1"/>
  <c r="M91" i="1"/>
  <c r="N91" i="1" s="1"/>
  <c r="Q89" i="1"/>
  <c r="R89" i="1" s="1"/>
  <c r="O89" i="1"/>
  <c r="P89" i="1" s="1"/>
  <c r="M89" i="1"/>
  <c r="N89" i="1" s="1"/>
  <c r="Q88" i="1"/>
  <c r="R88" i="1" s="1"/>
  <c r="O88" i="1"/>
  <c r="P88" i="1" s="1"/>
  <c r="M88" i="1"/>
  <c r="N88" i="1" s="1"/>
  <c r="Q87" i="1"/>
  <c r="R87" i="1" s="1"/>
  <c r="O87" i="1"/>
  <c r="P87" i="1" s="1"/>
  <c r="M87" i="1"/>
  <c r="N87" i="1"/>
  <c r="Q86" i="1"/>
  <c r="R86" i="1" s="1"/>
  <c r="O86" i="1"/>
  <c r="P86" i="1"/>
  <c r="M86" i="1"/>
  <c r="N86" i="1" s="1"/>
  <c r="Q85" i="1"/>
  <c r="R85" i="1" s="1"/>
  <c r="O85" i="1"/>
  <c r="P85" i="1" s="1"/>
  <c r="M85" i="1"/>
  <c r="Q84" i="1"/>
  <c r="R84" i="1" s="1"/>
  <c r="O84" i="1"/>
  <c r="P84" i="1" s="1"/>
  <c r="M84" i="1"/>
  <c r="Q78" i="1"/>
  <c r="R78" i="1" s="1"/>
  <c r="O78" i="1"/>
  <c r="P78" i="1" s="1"/>
  <c r="M78" i="1"/>
  <c r="S78" i="1" s="1"/>
  <c r="T78" i="1" s="1"/>
  <c r="Q77" i="1"/>
  <c r="R77" i="1" s="1"/>
  <c r="O77" i="1"/>
  <c r="P77" i="1" s="1"/>
  <c r="M77" i="1"/>
  <c r="N77" i="1" s="1"/>
  <c r="Q72" i="1"/>
  <c r="R72" i="1"/>
  <c r="O72" i="1"/>
  <c r="P72" i="1" s="1"/>
  <c r="M72" i="1"/>
  <c r="N72" i="1"/>
  <c r="Q71" i="1"/>
  <c r="R71" i="1" s="1"/>
  <c r="O71" i="1"/>
  <c r="P71" i="1" s="1"/>
  <c r="M71" i="1"/>
  <c r="Q70" i="1"/>
  <c r="R70" i="1" s="1"/>
  <c r="O70" i="1"/>
  <c r="P70" i="1" s="1"/>
  <c r="M70" i="1"/>
  <c r="N70" i="1"/>
  <c r="Q65" i="1"/>
  <c r="R65" i="1" s="1"/>
  <c r="O65" i="1"/>
  <c r="P65" i="1" s="1"/>
  <c r="M65" i="1"/>
  <c r="Q64" i="1"/>
  <c r="R64" i="1" s="1"/>
  <c r="O64" i="1"/>
  <c r="P64" i="1" s="1"/>
  <c r="M64" i="1"/>
  <c r="N64" i="1" s="1"/>
  <c r="Q62" i="1"/>
  <c r="R62" i="1" s="1"/>
  <c r="O62" i="1"/>
  <c r="P62" i="1" s="1"/>
  <c r="M62" i="1"/>
  <c r="Q61" i="1"/>
  <c r="R61" i="1" s="1"/>
  <c r="O61" i="1"/>
  <c r="P61" i="1"/>
  <c r="M61" i="1"/>
  <c r="S61" i="1" s="1"/>
  <c r="T61" i="1" s="1"/>
  <c r="Q60" i="1"/>
  <c r="R60" i="1" s="1"/>
  <c r="O60" i="1"/>
  <c r="P60" i="1" s="1"/>
  <c r="M60" i="1"/>
  <c r="N60" i="1" s="1"/>
  <c r="Q55" i="1"/>
  <c r="R55" i="1" s="1"/>
  <c r="O55" i="1"/>
  <c r="P55" i="1" s="1"/>
  <c r="M55" i="1"/>
  <c r="N55" i="1"/>
  <c r="Q54" i="1"/>
  <c r="R54" i="1" s="1"/>
  <c r="O54" i="1"/>
  <c r="P54" i="1"/>
  <c r="M54" i="1"/>
  <c r="N54" i="1" s="1"/>
  <c r="Q53" i="1"/>
  <c r="R53" i="1" s="1"/>
  <c r="O53" i="1"/>
  <c r="P53" i="1" s="1"/>
  <c r="M53" i="1"/>
  <c r="N53" i="1" s="1"/>
  <c r="O52" i="1"/>
  <c r="P52" i="1" s="1"/>
  <c r="M52" i="1"/>
  <c r="N52" i="1"/>
  <c r="R51" i="1"/>
  <c r="P51" i="1"/>
  <c r="Q50" i="1"/>
  <c r="R50" i="1"/>
  <c r="O50" i="1"/>
  <c r="P50" i="1" s="1"/>
  <c r="M50" i="1"/>
  <c r="Q49" i="1"/>
  <c r="R49" i="1" s="1"/>
  <c r="O49" i="1"/>
  <c r="P49" i="1" s="1"/>
  <c r="M49" i="1"/>
  <c r="N49" i="1" s="1"/>
  <c r="Q48" i="1"/>
  <c r="R48" i="1" s="1"/>
  <c r="M48" i="1"/>
  <c r="S48" i="1"/>
  <c r="T48" i="1" s="1"/>
  <c r="Q46" i="1"/>
  <c r="R46" i="1" s="1"/>
  <c r="O46" i="1"/>
  <c r="P46" i="1"/>
  <c r="M46" i="1"/>
  <c r="N46" i="1" s="1"/>
  <c r="Q45" i="1"/>
  <c r="R45" i="1" s="1"/>
  <c r="O45" i="1"/>
  <c r="P45" i="1" s="1"/>
  <c r="M45" i="1"/>
  <c r="S45" i="1" s="1"/>
  <c r="T45" i="1" s="1"/>
  <c r="Q44" i="1"/>
  <c r="R44" i="1" s="1"/>
  <c r="O44" i="1"/>
  <c r="P44" i="1"/>
  <c r="M44" i="1"/>
  <c r="N44" i="1" s="1"/>
  <c r="N118" i="1"/>
  <c r="N94" i="1"/>
  <c r="N61" i="1"/>
  <c r="N51" i="1"/>
  <c r="F3" i="7"/>
  <c r="G3" i="7" s="1"/>
  <c r="F4" i="7"/>
  <c r="G4" i="7"/>
  <c r="F5" i="7"/>
  <c r="G5" i="7" s="1"/>
  <c r="G4" i="3"/>
  <c r="I4" i="3"/>
  <c r="J4" i="3"/>
  <c r="L4" i="3"/>
  <c r="M4" i="3" s="1"/>
  <c r="T4" i="3" s="1"/>
  <c r="N4" i="3"/>
  <c r="O4" i="3"/>
  <c r="U4" i="3" s="1"/>
  <c r="G5" i="3"/>
  <c r="L5" i="3" s="1"/>
  <c r="M5" i="3" s="1"/>
  <c r="T5" i="3" s="1"/>
  <c r="I5" i="3"/>
  <c r="G6" i="3"/>
  <c r="J6" i="3" s="1"/>
  <c r="K6" i="3" s="1"/>
  <c r="S6" i="3" s="1"/>
  <c r="I6" i="3"/>
  <c r="N6" i="3"/>
  <c r="O6" i="3" s="1"/>
  <c r="U6" i="3" s="1"/>
  <c r="G7" i="3"/>
  <c r="I7" i="3"/>
  <c r="O7" i="3"/>
  <c r="U7" i="3" s="1"/>
  <c r="G8" i="3"/>
  <c r="J8" i="3" s="1"/>
  <c r="I8" i="3"/>
  <c r="G9" i="3"/>
  <c r="O9" i="3" s="1"/>
  <c r="U9" i="3" s="1"/>
  <c r="I9" i="3"/>
  <c r="G10" i="3"/>
  <c r="K10" i="3" s="1"/>
  <c r="S10" i="3" s="1"/>
  <c r="I10" i="3"/>
  <c r="O10" i="3"/>
  <c r="U10" i="3" s="1"/>
  <c r="G11" i="3"/>
  <c r="L11" i="3" s="1"/>
  <c r="M11" i="3" s="1"/>
  <c r="T11" i="3" s="1"/>
  <c r="I11" i="3"/>
  <c r="G12" i="3"/>
  <c r="K12" i="3"/>
  <c r="S12" i="3" s="1"/>
  <c r="I12" i="3"/>
  <c r="G13" i="3"/>
  <c r="I13" i="3"/>
  <c r="P13" i="3"/>
  <c r="Q13" i="3" s="1"/>
  <c r="V13" i="3" s="1"/>
  <c r="G14" i="3"/>
  <c r="I14" i="3"/>
  <c r="J14" i="3"/>
  <c r="K14" i="3" s="1"/>
  <c r="S14" i="3" s="1"/>
  <c r="M14" i="3"/>
  <c r="T14" i="3" s="1"/>
  <c r="N14" i="3"/>
  <c r="O14" i="3"/>
  <c r="U14" i="3" s="1"/>
  <c r="G15" i="3"/>
  <c r="J15" i="3" s="1"/>
  <c r="I15" i="3"/>
  <c r="G16" i="3"/>
  <c r="I16" i="3"/>
  <c r="K16" i="3"/>
  <c r="S16" i="3" s="1"/>
  <c r="P16" i="3"/>
  <c r="Q16" i="3" s="1"/>
  <c r="V16" i="3" s="1"/>
  <c r="G17" i="3"/>
  <c r="K17" i="3" s="1"/>
  <c r="I17" i="3"/>
  <c r="G18" i="3"/>
  <c r="K18" i="3"/>
  <c r="I18" i="3"/>
  <c r="G19" i="3"/>
  <c r="K19" i="3" s="1"/>
  <c r="I19" i="3"/>
  <c r="G20" i="3"/>
  <c r="K20" i="3" s="1"/>
  <c r="I20" i="3"/>
  <c r="G21" i="3"/>
  <c r="I21" i="3"/>
  <c r="K21" i="3"/>
  <c r="G22" i="3"/>
  <c r="K22" i="3"/>
  <c r="I22" i="3"/>
  <c r="G23" i="3"/>
  <c r="K23" i="3" s="1"/>
  <c r="I23" i="3"/>
  <c r="G24" i="3"/>
  <c r="K24" i="3" s="1"/>
  <c r="I24" i="3"/>
  <c r="G25" i="3"/>
  <c r="K25" i="3" s="1"/>
  <c r="I25" i="3"/>
  <c r="G26" i="3"/>
  <c r="K26" i="3"/>
  <c r="I26" i="3"/>
  <c r="G27" i="3"/>
  <c r="K27" i="3" s="1"/>
  <c r="I27" i="3"/>
  <c r="G28" i="3"/>
  <c r="K28" i="3" s="1"/>
  <c r="I28" i="3"/>
  <c r="G29" i="3"/>
  <c r="I29" i="3"/>
  <c r="K29" i="3"/>
  <c r="G30" i="3"/>
  <c r="K30" i="3"/>
  <c r="I30" i="3"/>
  <c r="G31" i="3"/>
  <c r="K31" i="3" s="1"/>
  <c r="I31" i="3"/>
  <c r="G32" i="3"/>
  <c r="K32" i="3" s="1"/>
  <c r="I32" i="3"/>
  <c r="G33" i="3"/>
  <c r="K33" i="3" s="1"/>
  <c r="I33" i="3"/>
  <c r="G34" i="3"/>
  <c r="K34" i="3"/>
  <c r="I34" i="3"/>
  <c r="G35" i="3"/>
  <c r="K35" i="3" s="1"/>
  <c r="I35" i="3"/>
  <c r="F4" i="2"/>
  <c r="N4" i="2" s="1"/>
  <c r="T4" i="2" s="1"/>
  <c r="H4" i="2"/>
  <c r="F5" i="2"/>
  <c r="L5" i="2"/>
  <c r="S5" i="2" s="1"/>
  <c r="O5" i="2"/>
  <c r="P5" i="2"/>
  <c r="U5" i="2" s="1"/>
  <c r="H5" i="2"/>
  <c r="F6" i="2"/>
  <c r="J6" i="2"/>
  <c r="R6" i="2" s="1"/>
  <c r="H6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3" i="2"/>
  <c r="H43" i="2"/>
  <c r="G44" i="2"/>
  <c r="H44" i="2"/>
  <c r="G45" i="2"/>
  <c r="H45" i="2"/>
  <c r="G46" i="2"/>
  <c r="H46" i="2"/>
  <c r="G48" i="2"/>
  <c r="H48" i="2"/>
  <c r="G49" i="2"/>
  <c r="H49" i="2"/>
  <c r="G50" i="2"/>
  <c r="H50" i="2"/>
  <c r="G51" i="2"/>
  <c r="H51" i="2"/>
  <c r="G52" i="2"/>
  <c r="H52" i="2"/>
  <c r="G53" i="2"/>
  <c r="H53" i="2"/>
  <c r="I4" i="1"/>
  <c r="J4" i="1"/>
  <c r="R4" i="1" s="1"/>
  <c r="L4" i="1"/>
  <c r="I5" i="1"/>
  <c r="J5" i="1"/>
  <c r="S5" i="1" s="1"/>
  <c r="T5" i="1" s="1"/>
  <c r="N5" i="1"/>
  <c r="L5" i="1"/>
  <c r="I6" i="1"/>
  <c r="J6" i="1"/>
  <c r="R6" i="1" s="1"/>
  <c r="P6" i="1"/>
  <c r="L6" i="1"/>
  <c r="I7" i="1"/>
  <c r="J7" i="1"/>
  <c r="N7" i="1" s="1"/>
  <c r="L7" i="1"/>
  <c r="I9" i="1"/>
  <c r="L9" i="1"/>
  <c r="P9" i="1"/>
  <c r="I11" i="1"/>
  <c r="J11" i="1"/>
  <c r="N11" i="1" s="1"/>
  <c r="L11" i="1"/>
  <c r="I12" i="1"/>
  <c r="S12" i="1"/>
  <c r="T12" i="1" s="1"/>
  <c r="L12" i="1"/>
  <c r="I19" i="1"/>
  <c r="J19" i="1"/>
  <c r="P19" i="1" s="1"/>
  <c r="L19" i="1"/>
  <c r="I20" i="1"/>
  <c r="J20" i="1"/>
  <c r="R20" i="1" s="1"/>
  <c r="L20" i="1"/>
  <c r="N20" i="1"/>
  <c r="I22" i="1"/>
  <c r="J22" i="1"/>
  <c r="S22" i="1" s="1"/>
  <c r="T22" i="1" s="1"/>
  <c r="L22" i="1"/>
  <c r="I23" i="1"/>
  <c r="J23" i="1"/>
  <c r="N23" i="1" s="1"/>
  <c r="L23" i="1"/>
  <c r="I24" i="1"/>
  <c r="J24" i="1"/>
  <c r="N24" i="1" s="1"/>
  <c r="L24" i="1"/>
  <c r="I26" i="1"/>
  <c r="J26" i="1"/>
  <c r="N26" i="1" s="1"/>
  <c r="L26" i="1"/>
  <c r="I27" i="1"/>
  <c r="J27" i="1"/>
  <c r="R27" i="1" s="1"/>
  <c r="L27" i="1"/>
  <c r="I28" i="1"/>
  <c r="J28" i="1"/>
  <c r="S28" i="1" s="1"/>
  <c r="T28" i="1" s="1"/>
  <c r="L28" i="1"/>
  <c r="P28" i="1"/>
  <c r="I29" i="1"/>
  <c r="J29" i="1"/>
  <c r="S29" i="1"/>
  <c r="T29" i="1"/>
  <c r="L29" i="1"/>
  <c r="I30" i="1"/>
  <c r="J30" i="1"/>
  <c r="P30" i="1" s="1"/>
  <c r="S30" i="1"/>
  <c r="T30" i="1" s="1"/>
  <c r="L30" i="1"/>
  <c r="I31" i="1"/>
  <c r="J31" i="1"/>
  <c r="M31" i="1" s="1"/>
  <c r="N31" i="1" s="1"/>
  <c r="L31" i="1"/>
  <c r="I32" i="1"/>
  <c r="J32" i="1"/>
  <c r="M32" i="1" s="1"/>
  <c r="N32" i="1" s="1"/>
  <c r="L32" i="1"/>
  <c r="I33" i="1"/>
  <c r="J33" i="1"/>
  <c r="O33" i="1"/>
  <c r="P33" i="1"/>
  <c r="L33" i="1"/>
  <c r="I34" i="1"/>
  <c r="J34" i="1"/>
  <c r="O34" i="1"/>
  <c r="P34" i="1" s="1"/>
  <c r="L34" i="1"/>
  <c r="I35" i="1"/>
  <c r="J35" i="1"/>
  <c r="O35" i="1" s="1"/>
  <c r="L35" i="1"/>
  <c r="I36" i="1"/>
  <c r="J36" i="1"/>
  <c r="O36" i="1" s="1"/>
  <c r="P36" i="1" s="1"/>
  <c r="L36" i="1"/>
  <c r="I37" i="1"/>
  <c r="J37" i="1"/>
  <c r="Q37" i="1" s="1"/>
  <c r="R37" i="1" s="1"/>
  <c r="L37" i="1"/>
  <c r="I39" i="1"/>
  <c r="Q39" i="1"/>
  <c r="R39" i="1" s="1"/>
  <c r="L39" i="1"/>
  <c r="I40" i="1"/>
  <c r="J40" i="1"/>
  <c r="M40" i="1" s="1"/>
  <c r="L40" i="1"/>
  <c r="I41" i="1"/>
  <c r="J41" i="1"/>
  <c r="M41" i="1" s="1"/>
  <c r="N41" i="1" s="1"/>
  <c r="L41" i="1"/>
  <c r="I43" i="1"/>
  <c r="J43" i="1"/>
  <c r="S43" i="1" s="1"/>
  <c r="T43" i="1" s="1"/>
  <c r="L43" i="1"/>
  <c r="I44" i="1"/>
  <c r="K44" i="1"/>
  <c r="L44" i="1" s="1"/>
  <c r="I45" i="1"/>
  <c r="K45" i="1"/>
  <c r="L45" i="1" s="1"/>
  <c r="I46" i="1"/>
  <c r="K46" i="1"/>
  <c r="L46" i="1" s="1"/>
  <c r="I48" i="1"/>
  <c r="I49" i="1"/>
  <c r="I50" i="1"/>
  <c r="I51" i="1"/>
  <c r="K51" i="1"/>
  <c r="L51" i="1"/>
  <c r="I52" i="1"/>
  <c r="K52" i="1"/>
  <c r="L52" i="1" s="1"/>
  <c r="I53" i="1"/>
  <c r="K53" i="1"/>
  <c r="L53" i="1"/>
  <c r="I54" i="1"/>
  <c r="K54" i="1"/>
  <c r="L54" i="1"/>
  <c r="I55" i="1"/>
  <c r="K55" i="1"/>
  <c r="L55" i="1"/>
  <c r="I57" i="1"/>
  <c r="J57" i="1"/>
  <c r="O57" i="1" s="1"/>
  <c r="P57" i="1" s="1"/>
  <c r="L57" i="1"/>
  <c r="I58" i="1"/>
  <c r="J58" i="1"/>
  <c r="O58" i="1" s="1"/>
  <c r="M58" i="1"/>
  <c r="N58" i="1" s="1"/>
  <c r="L58" i="1"/>
  <c r="I60" i="1"/>
  <c r="K60" i="1"/>
  <c r="L60" i="1"/>
  <c r="I61" i="1"/>
  <c r="K61" i="1"/>
  <c r="L61" i="1" s="1"/>
  <c r="I62" i="1"/>
  <c r="K62" i="1"/>
  <c r="L62" i="1" s="1"/>
  <c r="I64" i="1"/>
  <c r="L64" i="1"/>
  <c r="I65" i="1"/>
  <c r="L65" i="1"/>
  <c r="I66" i="1"/>
  <c r="J66" i="1"/>
  <c r="N66" i="1"/>
  <c r="L66" i="1"/>
  <c r="I67" i="1"/>
  <c r="J67" i="1"/>
  <c r="O67" i="1"/>
  <c r="L67" i="1"/>
  <c r="I68" i="1"/>
  <c r="J68" i="1"/>
  <c r="M68" i="1" s="1"/>
  <c r="N68" i="1" s="1"/>
  <c r="L68" i="1"/>
  <c r="I69" i="1"/>
  <c r="J69" i="1"/>
  <c r="S69" i="1" s="1"/>
  <c r="T69" i="1" s="1"/>
  <c r="L69" i="1"/>
  <c r="I70" i="1"/>
  <c r="K70" i="1"/>
  <c r="L70" i="1" s="1"/>
  <c r="I71" i="1"/>
  <c r="K71" i="1"/>
  <c r="L71" i="1" s="1"/>
  <c r="I72" i="1"/>
  <c r="K72" i="1"/>
  <c r="L72" i="1" s="1"/>
  <c r="I73" i="1"/>
  <c r="J73" i="1"/>
  <c r="P73" i="1" s="1"/>
  <c r="S73" i="1"/>
  <c r="T73" i="1" s="1"/>
  <c r="L73" i="1"/>
  <c r="I74" i="1"/>
  <c r="J74" i="1"/>
  <c r="R74" i="1" s="1"/>
  <c r="L74" i="1"/>
  <c r="I75" i="1"/>
  <c r="J75" i="1"/>
  <c r="S75" i="1" s="1"/>
  <c r="T75" i="1" s="1"/>
  <c r="L75" i="1"/>
  <c r="I76" i="1"/>
  <c r="J76" i="1"/>
  <c r="R76" i="1" s="1"/>
  <c r="L76" i="1"/>
  <c r="I77" i="1"/>
  <c r="K77" i="1"/>
  <c r="L77" i="1" s="1"/>
  <c r="I78" i="1"/>
  <c r="K78" i="1"/>
  <c r="L78" i="1" s="1"/>
  <c r="I80" i="1"/>
  <c r="J80" i="1"/>
  <c r="Q80" i="1" s="1"/>
  <c r="R80" i="1" s="1"/>
  <c r="M80" i="1"/>
  <c r="N80" i="1" s="1"/>
  <c r="L80" i="1"/>
  <c r="I81" i="1"/>
  <c r="J81" i="1"/>
  <c r="M81" i="1" s="1"/>
  <c r="N81" i="1" s="1"/>
  <c r="L81" i="1"/>
  <c r="I83" i="1"/>
  <c r="J83" i="1"/>
  <c r="M83" i="1"/>
  <c r="N83" i="1" s="1"/>
  <c r="L83" i="1"/>
  <c r="I84" i="1"/>
  <c r="K84" i="1"/>
  <c r="L84" i="1"/>
  <c r="I85" i="1"/>
  <c r="K85" i="1"/>
  <c r="L85" i="1" s="1"/>
  <c r="I86" i="1"/>
  <c r="K86" i="1"/>
  <c r="L86" i="1" s="1"/>
  <c r="I87" i="1"/>
  <c r="L87" i="1"/>
  <c r="I88" i="1"/>
  <c r="L88" i="1"/>
  <c r="I89" i="1"/>
  <c r="L89" i="1"/>
  <c r="I90" i="1"/>
  <c r="I91" i="1"/>
  <c r="K91" i="1"/>
  <c r="L91" i="1" s="1"/>
  <c r="I92" i="1"/>
  <c r="K92" i="1"/>
  <c r="L92" i="1"/>
  <c r="I93" i="1"/>
  <c r="K93" i="1"/>
  <c r="L93" i="1" s="1"/>
  <c r="I94" i="1"/>
  <c r="K94" i="1"/>
  <c r="L94" i="1" s="1"/>
  <c r="I95" i="1"/>
  <c r="L95" i="1"/>
  <c r="I96" i="1"/>
  <c r="L96" i="1"/>
  <c r="I97" i="1"/>
  <c r="L97" i="1"/>
  <c r="I98" i="1"/>
  <c r="L98" i="1"/>
  <c r="I99" i="1"/>
  <c r="J99" i="1"/>
  <c r="Q99" i="1" s="1"/>
  <c r="R99" i="1" s="1"/>
  <c r="L99" i="1"/>
  <c r="I100" i="1"/>
  <c r="J100" i="1"/>
  <c r="L100" i="1"/>
  <c r="I102" i="1"/>
  <c r="K102" i="1"/>
  <c r="L102" i="1" s="1"/>
  <c r="I103" i="1"/>
  <c r="K103" i="1"/>
  <c r="L103" i="1" s="1"/>
  <c r="I104" i="1"/>
  <c r="K104" i="1"/>
  <c r="L104" i="1"/>
  <c r="I105" i="1"/>
  <c r="L105" i="1"/>
  <c r="I106" i="1"/>
  <c r="L106" i="1"/>
  <c r="I107" i="1"/>
  <c r="J107" i="1"/>
  <c r="P107" i="1" s="1"/>
  <c r="L107" i="1"/>
  <c r="I108" i="1"/>
  <c r="J108" i="1"/>
  <c r="Q108" i="1" s="1"/>
  <c r="R108" i="1" s="1"/>
  <c r="L108" i="1"/>
  <c r="I109" i="1"/>
  <c r="J109" i="1"/>
  <c r="M109" i="1" s="1"/>
  <c r="L109" i="1"/>
  <c r="I110" i="1"/>
  <c r="J110" i="1"/>
  <c r="P110" i="1" s="1"/>
  <c r="L110" i="1"/>
  <c r="I111" i="1"/>
  <c r="K111" i="1"/>
  <c r="L111" i="1" s="1"/>
  <c r="I112" i="1"/>
  <c r="K112" i="1"/>
  <c r="L112" i="1"/>
  <c r="I113" i="1"/>
  <c r="K113" i="1"/>
  <c r="L113" i="1" s="1"/>
  <c r="I114" i="1"/>
  <c r="J114" i="1"/>
  <c r="L114" i="1"/>
  <c r="I115" i="1"/>
  <c r="J115" i="1"/>
  <c r="R115" i="1" s="1"/>
  <c r="L115" i="1"/>
  <c r="I116" i="1"/>
  <c r="J116" i="1"/>
  <c r="L116" i="1"/>
  <c r="I117" i="1"/>
  <c r="J117" i="1"/>
  <c r="P117" i="1" s="1"/>
  <c r="L117" i="1"/>
  <c r="I118" i="1"/>
  <c r="K118" i="1"/>
  <c r="L118" i="1" s="1"/>
  <c r="I119" i="1"/>
  <c r="K119" i="1"/>
  <c r="L119" i="1" s="1"/>
  <c r="I120" i="1"/>
  <c r="J120" i="1"/>
  <c r="Q120" i="1" s="1"/>
  <c r="R120" i="1" s="1"/>
  <c r="L120" i="1"/>
  <c r="I121" i="1"/>
  <c r="J121" i="1"/>
  <c r="M121" i="1" s="1"/>
  <c r="N121" i="1" s="1"/>
  <c r="L121" i="1"/>
  <c r="N11" i="3"/>
  <c r="O11" i="3" s="1"/>
  <c r="U11" i="3" s="1"/>
  <c r="K11" i="3"/>
  <c r="S11" i="3" s="1"/>
  <c r="K13" i="3"/>
  <c r="S13" i="3" s="1"/>
  <c r="P43" i="1"/>
  <c r="G4" i="6"/>
  <c r="O4" i="6" s="1"/>
  <c r="L4" i="2"/>
  <c r="S4" i="2" s="1"/>
  <c r="L27" i="2"/>
  <c r="S27" i="2" s="1"/>
  <c r="O53" i="2"/>
  <c r="P53" i="2"/>
  <c r="U53" i="2" s="1"/>
  <c r="I7" i="2"/>
  <c r="J7" i="2"/>
  <c r="R7" i="2" s="1"/>
  <c r="L25" i="2"/>
  <c r="S25" i="2" s="1"/>
  <c r="O24" i="2"/>
  <c r="P24" i="2" s="1"/>
  <c r="U24" i="2" s="1"/>
  <c r="L26" i="2"/>
  <c r="S26" i="2" s="1"/>
  <c r="N27" i="2"/>
  <c r="T27" i="2" s="1"/>
  <c r="O25" i="2"/>
  <c r="P25" i="2" s="1"/>
  <c r="U25" i="2" s="1"/>
  <c r="O40" i="2"/>
  <c r="P40" i="2"/>
  <c r="U40" i="2" s="1"/>
  <c r="J48" i="2"/>
  <c r="R48" i="2" s="1"/>
  <c r="J49" i="2"/>
  <c r="R49" i="2" s="1"/>
  <c r="J50" i="2"/>
  <c r="R50" i="2" s="1"/>
  <c r="J52" i="2"/>
  <c r="R52" i="2" s="1"/>
  <c r="J45" i="2"/>
  <c r="R45" i="2" s="1"/>
  <c r="J25" i="2"/>
  <c r="R25" i="2" s="1"/>
  <c r="J26" i="2"/>
  <c r="R26" i="2" s="1"/>
  <c r="J28" i="2"/>
  <c r="R28" i="2" s="1"/>
  <c r="J33" i="2"/>
  <c r="R33" i="2" s="1"/>
  <c r="J34" i="2"/>
  <c r="R34" i="2" s="1"/>
  <c r="J35" i="2"/>
  <c r="R35" i="2" s="1"/>
  <c r="J37" i="2"/>
  <c r="R37" i="2" s="1"/>
  <c r="J38" i="2"/>
  <c r="R38" i="2" s="1"/>
  <c r="J9" i="2"/>
  <c r="R9" i="2" s="1"/>
  <c r="J10" i="2"/>
  <c r="R10" i="2" s="1"/>
  <c r="J11" i="2"/>
  <c r="R11" i="2" s="1"/>
  <c r="J12" i="2"/>
  <c r="R12" i="2" s="1"/>
  <c r="J13" i="2"/>
  <c r="R13" i="2" s="1"/>
  <c r="J16" i="2"/>
  <c r="R16" i="2" s="1"/>
  <c r="J17" i="2"/>
  <c r="R17" i="2" s="1"/>
  <c r="I4" i="6"/>
  <c r="P4" i="6" s="1"/>
  <c r="K4" i="6"/>
  <c r="Q4" i="6" s="1"/>
  <c r="I5" i="6"/>
  <c r="P5" i="6" s="1"/>
  <c r="K5" i="6"/>
  <c r="Q5" i="6" s="1"/>
  <c r="L5" i="6"/>
  <c r="M5" i="6" s="1"/>
  <c r="R5" i="6" s="1"/>
  <c r="I6" i="6"/>
  <c r="P6" i="6" s="1"/>
  <c r="K6" i="6"/>
  <c r="Q6" i="6" s="1"/>
  <c r="L4" i="6"/>
  <c r="M4" i="6" s="1"/>
  <c r="R4" i="6" s="1"/>
  <c r="H23" i="2"/>
  <c r="H28" i="2"/>
  <c r="H25" i="2"/>
  <c r="H22" i="2"/>
  <c r="H24" i="2"/>
  <c r="H26" i="2"/>
  <c r="L5" i="5"/>
  <c r="J4" i="5"/>
  <c r="K4" i="5" s="1"/>
  <c r="R4" i="5" s="1"/>
  <c r="J5" i="5"/>
  <c r="K5" i="5"/>
  <c r="R5" i="5" s="1"/>
  <c r="M5" i="5"/>
  <c r="S5" i="5" s="1"/>
  <c r="S117" i="1"/>
  <c r="T117" i="1" s="1"/>
  <c r="S107" i="1"/>
  <c r="T107" i="1" s="1"/>
  <c r="L90" i="1"/>
  <c r="J90" i="1"/>
  <c r="P90" i="1" s="1"/>
  <c r="I5" i="5"/>
  <c r="Q5" i="5" s="1"/>
  <c r="N30" i="1"/>
  <c r="R12" i="1"/>
  <c r="N12" i="1"/>
  <c r="T94" i="1"/>
  <c r="S86" i="1"/>
  <c r="T86" i="1" s="1"/>
  <c r="N85" i="1"/>
  <c r="P12" i="1"/>
  <c r="O99" i="1"/>
  <c r="P99" i="1" s="1"/>
  <c r="Q41" i="1"/>
  <c r="R41" i="1"/>
  <c r="N5" i="5"/>
  <c r="O5" i="5"/>
  <c r="T5" i="5" s="1"/>
  <c r="O108" i="1"/>
  <c r="P108" i="1" s="1"/>
  <c r="Q100" i="1"/>
  <c r="R100" i="1" s="1"/>
  <c r="M100" i="1"/>
  <c r="N100" i="1" s="1"/>
  <c r="O100" i="1"/>
  <c r="O80" i="1"/>
  <c r="P80" i="1" s="1"/>
  <c r="P66" i="1"/>
  <c r="Q35" i="1"/>
  <c r="R35" i="1"/>
  <c r="M13" i="3"/>
  <c r="T13" i="3" s="1"/>
  <c r="O13" i="3"/>
  <c r="U13" i="3" s="1"/>
  <c r="P7" i="3"/>
  <c r="Q7" i="3" s="1"/>
  <c r="V7" i="3" s="1"/>
  <c r="K7" i="3"/>
  <c r="S7" i="3" s="1"/>
  <c r="M7" i="3"/>
  <c r="T7" i="3" s="1"/>
  <c r="N50" i="1"/>
  <c r="O7" i="2"/>
  <c r="P7" i="2"/>
  <c r="U7" i="2" s="1"/>
  <c r="O109" i="1"/>
  <c r="P109" i="1" s="1"/>
  <c r="M67" i="1"/>
  <c r="N67" i="1" s="1"/>
  <c r="Q33" i="1"/>
  <c r="R33" i="1"/>
  <c r="S7" i="1"/>
  <c r="T7" i="1" s="1"/>
  <c r="P14" i="3"/>
  <c r="Q14" i="3" s="1"/>
  <c r="V14" i="3" s="1"/>
  <c r="X14" i="3" s="1"/>
  <c r="O41" i="1"/>
  <c r="P41" i="1" s="1"/>
  <c r="P69" i="1"/>
  <c r="S115" i="1"/>
  <c r="T115" i="1" s="1"/>
  <c r="Q68" i="1"/>
  <c r="R68" i="1" s="1"/>
  <c r="Q40" i="1"/>
  <c r="R40" i="1" s="1"/>
  <c r="J5" i="3"/>
  <c r="K5" i="3" s="1"/>
  <c r="S5" i="3" s="1"/>
  <c r="K4" i="3"/>
  <c r="S4" i="3" s="1"/>
  <c r="P4" i="3"/>
  <c r="Q4" i="3" s="1"/>
  <c r="V4" i="3" s="1"/>
  <c r="P112" i="1"/>
  <c r="L31" i="2"/>
  <c r="S31" i="2" s="1"/>
  <c r="M9" i="3"/>
  <c r="T9" i="3" s="1"/>
  <c r="O15" i="2"/>
  <c r="P15" i="2" s="1"/>
  <c r="U15" i="2" s="1"/>
  <c r="L33" i="2"/>
  <c r="S33" i="2" s="1"/>
  <c r="O33" i="2"/>
  <c r="P33" i="2"/>
  <c r="U33" i="2" s="1"/>
  <c r="N26" i="2"/>
  <c r="T26" i="2" s="1"/>
  <c r="J29" i="2"/>
  <c r="R29" i="2" s="1"/>
  <c r="J24" i="2"/>
  <c r="R24" i="2" s="1"/>
  <c r="O13" i="2"/>
  <c r="P13" i="2"/>
  <c r="U13" i="2" s="1"/>
  <c r="O37" i="2"/>
  <c r="P37" i="2"/>
  <c r="U37" i="2" s="1"/>
  <c r="J32" i="2"/>
  <c r="R32" i="2" s="1"/>
  <c r="J23" i="2"/>
  <c r="R23" i="2" s="1"/>
  <c r="N5" i="2"/>
  <c r="T5" i="2" s="1"/>
  <c r="J5" i="2"/>
  <c r="R5" i="2" s="1"/>
  <c r="L24" i="2"/>
  <c r="S24" i="2" s="1"/>
  <c r="O6" i="2"/>
  <c r="P6" i="2"/>
  <c r="U6" i="2" s="1"/>
  <c r="N6" i="2"/>
  <c r="T6" i="2" s="1"/>
  <c r="O35" i="2"/>
  <c r="P35" i="2"/>
  <c r="U35" i="2" s="1"/>
  <c r="O49" i="2"/>
  <c r="P49" i="2" s="1"/>
  <c r="U49" i="2" s="1"/>
  <c r="J39" i="2"/>
  <c r="R39" i="2" s="1"/>
  <c r="O43" i="2"/>
  <c r="P43" i="2"/>
  <c r="U43" i="2" s="1"/>
  <c r="O17" i="2"/>
  <c r="P17" i="2"/>
  <c r="U17" i="2" s="1"/>
  <c r="L6" i="2"/>
  <c r="S6" i="2" s="1"/>
  <c r="S116" i="1"/>
  <c r="T116" i="1" s="1"/>
  <c r="R110" i="1"/>
  <c r="Q67" i="1"/>
  <c r="R67" i="1" s="1"/>
  <c r="S66" i="1"/>
  <c r="T66" i="1" s="1"/>
  <c r="N48" i="1"/>
  <c r="N71" i="1"/>
  <c r="N43" i="1"/>
  <c r="O31" i="1"/>
  <c r="P31" i="1"/>
  <c r="S70" i="1"/>
  <c r="T70" i="1"/>
  <c r="R66" i="1"/>
  <c r="P116" i="1"/>
  <c r="R43" i="1"/>
  <c r="S85" i="1"/>
  <c r="T85" i="1" s="1"/>
  <c r="S92" i="1"/>
  <c r="T92" i="1" s="1"/>
  <c r="S105" i="1"/>
  <c r="T105" i="1" s="1"/>
  <c r="O68" i="1"/>
  <c r="P68" i="1" s="1"/>
  <c r="P11" i="1"/>
  <c r="P75" i="1"/>
  <c r="N117" i="1"/>
  <c r="S20" i="1"/>
  <c r="T20" i="1" s="1"/>
  <c r="R18" i="1"/>
  <c r="R75" i="1"/>
  <c r="P74" i="1"/>
  <c r="R117" i="1"/>
  <c r="S52" i="1"/>
  <c r="T52" i="1"/>
  <c r="N105" i="1"/>
  <c r="S44" i="1"/>
  <c r="T44" i="1" s="1"/>
  <c r="N29" i="1"/>
  <c r="P29" i="1"/>
  <c r="Q34" i="1"/>
  <c r="R34" i="1"/>
  <c r="R30" i="1"/>
  <c r="S98" i="1"/>
  <c r="T98" i="1" s="1"/>
  <c r="S113" i="1"/>
  <c r="T113" i="1" s="1"/>
  <c r="S16" i="1"/>
  <c r="T16" i="1" s="1"/>
  <c r="R17" i="1"/>
  <c r="O83" i="1"/>
  <c r="P83" i="1" s="1"/>
  <c r="O39" i="1"/>
  <c r="S50" i="1"/>
  <c r="T50" i="1" s="1"/>
  <c r="S60" i="1"/>
  <c r="T60" i="1" s="1"/>
  <c r="P100" i="1"/>
  <c r="O37" i="1"/>
  <c r="P37" i="1" s="1"/>
  <c r="S53" i="1"/>
  <c r="T53" i="1" s="1"/>
  <c r="S55" i="1"/>
  <c r="T55" i="1" s="1"/>
  <c r="R16" i="1"/>
  <c r="P17" i="1"/>
  <c r="Q83" i="1"/>
  <c r="R83" i="1" s="1"/>
  <c r="R29" i="1"/>
  <c r="M37" i="1"/>
  <c r="N37" i="1" s="1"/>
  <c r="M36" i="1"/>
  <c r="N36" i="1" s="1"/>
  <c r="M35" i="1"/>
  <c r="N35" i="1" s="1"/>
  <c r="N34" i="1"/>
  <c r="M33" i="1"/>
  <c r="N33" i="1" s="1"/>
  <c r="S89" i="1"/>
  <c r="T89" i="1"/>
  <c r="P16" i="1"/>
  <c r="N18" i="1"/>
  <c r="P35" i="1"/>
  <c r="P27" i="1"/>
  <c r="P111" i="1"/>
  <c r="P14" i="1"/>
  <c r="P5" i="1"/>
  <c r="S54" i="1"/>
  <c r="T54" i="1" s="1"/>
  <c r="P23" i="1"/>
  <c r="S49" i="1"/>
  <c r="T49" i="1"/>
  <c r="R15" i="1"/>
  <c r="R69" i="1"/>
  <c r="M39" i="1"/>
  <c r="N39" i="1" s="1"/>
  <c r="Q32" i="1"/>
  <c r="R32" i="1"/>
  <c r="P93" i="1"/>
  <c r="R90" i="1"/>
  <c r="R5" i="1"/>
  <c r="O32" i="1"/>
  <c r="P32" i="1" s="1"/>
  <c r="R7" i="1"/>
  <c r="P7" i="1"/>
  <c r="N62" i="1"/>
  <c r="S106" i="1"/>
  <c r="T106" i="1" s="1"/>
  <c r="P118" i="1"/>
  <c r="P15" i="1"/>
  <c r="P26" i="1"/>
  <c r="S23" i="1"/>
  <c r="T23" i="1" s="1"/>
  <c r="R23" i="1"/>
  <c r="S77" i="1"/>
  <c r="T77" i="1" s="1"/>
  <c r="N22" i="1"/>
  <c r="R24" i="1"/>
  <c r="M6" i="1"/>
  <c r="Q36" i="1"/>
  <c r="R36" i="1" s="1"/>
  <c r="M57" i="1"/>
  <c r="N57" i="1" s="1"/>
  <c r="N27" i="1"/>
  <c r="P24" i="1"/>
  <c r="S110" i="1"/>
  <c r="T110" i="1" s="1"/>
  <c r="N76" i="1"/>
  <c r="P76" i="1"/>
  <c r="S24" i="1"/>
  <c r="T24" i="1" s="1"/>
  <c r="N84" i="1"/>
  <c r="S84" i="1"/>
  <c r="T84" i="1"/>
  <c r="P98" i="1"/>
  <c r="R14" i="1"/>
  <c r="N15" i="1"/>
  <c r="N14" i="1"/>
  <c r="N6" i="1"/>
  <c r="T5" i="6" l="1"/>
  <c r="N40" i="1"/>
  <c r="P58" i="1"/>
  <c r="S58" i="1"/>
  <c r="T58" i="1" s="1"/>
  <c r="J27" i="2"/>
  <c r="R27" i="2" s="1"/>
  <c r="O27" i="2"/>
  <c r="P27" i="2" s="1"/>
  <c r="U27" i="2" s="1"/>
  <c r="X13" i="3"/>
  <c r="K9" i="3"/>
  <c r="S9" i="3" s="1"/>
  <c r="N45" i="1"/>
  <c r="P102" i="1"/>
  <c r="N103" i="1"/>
  <c r="P104" i="1"/>
  <c r="P119" i="1"/>
  <c r="L22" i="2"/>
  <c r="S22" i="2" s="1"/>
  <c r="N23" i="2"/>
  <c r="T23" i="2" s="1"/>
  <c r="O14" i="2"/>
  <c r="P14" i="2" s="1"/>
  <c r="U14" i="2" s="1"/>
  <c r="J44" i="2"/>
  <c r="R44" i="2" s="1"/>
  <c r="J3" i="5"/>
  <c r="K3" i="5" s="1"/>
  <c r="R3" i="5" s="1"/>
  <c r="AA120" i="1"/>
  <c r="F120" i="1"/>
  <c r="AA116" i="1"/>
  <c r="F116" i="1"/>
  <c r="AA112" i="1"/>
  <c r="F112" i="1"/>
  <c r="AA108" i="1"/>
  <c r="F108" i="1"/>
  <c r="AA104" i="1"/>
  <c r="F104" i="1"/>
  <c r="AA100" i="1"/>
  <c r="F100" i="1"/>
  <c r="AA96" i="1"/>
  <c r="F96" i="1"/>
  <c r="AA92" i="1"/>
  <c r="F92" i="1"/>
  <c r="AA88" i="1"/>
  <c r="F88" i="1"/>
  <c r="AA84" i="1"/>
  <c r="F84" i="1"/>
  <c r="AA80" i="1"/>
  <c r="F80" i="1"/>
  <c r="F76" i="1"/>
  <c r="AA72" i="1"/>
  <c r="F72" i="1"/>
  <c r="W25" i="2"/>
  <c r="V5" i="5"/>
  <c r="S67" i="1"/>
  <c r="T67" i="1" s="1"/>
  <c r="P9" i="3"/>
  <c r="Q9" i="3" s="1"/>
  <c r="V9" i="3" s="1"/>
  <c r="X9" i="3" s="1"/>
  <c r="AA119" i="1"/>
  <c r="F119" i="1"/>
  <c r="AA115" i="1"/>
  <c r="F115" i="1"/>
  <c r="AA111" i="1"/>
  <c r="F111" i="1"/>
  <c r="AA107" i="1"/>
  <c r="F107" i="1"/>
  <c r="AA103" i="1"/>
  <c r="F103" i="1"/>
  <c r="AA99" i="1"/>
  <c r="F99" i="1"/>
  <c r="AA95" i="1"/>
  <c r="F95" i="1"/>
  <c r="AA91" i="1"/>
  <c r="F91" i="1"/>
  <c r="AA87" i="1"/>
  <c r="F87" i="1"/>
  <c r="AA83" i="1"/>
  <c r="F83" i="1"/>
  <c r="AA75" i="1"/>
  <c r="F75" i="1"/>
  <c r="AA71" i="1"/>
  <c r="F71" i="1"/>
  <c r="AA67" i="1"/>
  <c r="F67" i="1"/>
  <c r="S39" i="1"/>
  <c r="T39" i="1" s="1"/>
  <c r="O120" i="1"/>
  <c r="P120" i="1" s="1"/>
  <c r="N107" i="1"/>
  <c r="S57" i="1"/>
  <c r="T57" i="1" s="1"/>
  <c r="S27" i="1"/>
  <c r="T27" i="1" s="1"/>
  <c r="N73" i="1"/>
  <c r="S112" i="1"/>
  <c r="T112" i="1" s="1"/>
  <c r="Q58" i="1"/>
  <c r="R58" i="1" s="1"/>
  <c r="N74" i="1"/>
  <c r="S108" i="1"/>
  <c r="T108" i="1" s="1"/>
  <c r="R73" i="1"/>
  <c r="Q31" i="1"/>
  <c r="R31" i="1" s="1"/>
  <c r="J41" i="2"/>
  <c r="R41" i="2" s="1"/>
  <c r="P5" i="3"/>
  <c r="Q5" i="3" s="1"/>
  <c r="V5" i="3" s="1"/>
  <c r="X5" i="3" s="1"/>
  <c r="M120" i="1"/>
  <c r="N120" i="1" s="1"/>
  <c r="O40" i="1"/>
  <c r="P40" i="1" s="1"/>
  <c r="N115" i="1"/>
  <c r="M99" i="1"/>
  <c r="N99" i="1" s="1"/>
  <c r="Q81" i="1"/>
  <c r="R81" i="1" s="1"/>
  <c r="N19" i="1"/>
  <c r="H3" i="5"/>
  <c r="R107" i="1"/>
  <c r="H4" i="5"/>
  <c r="J4" i="2"/>
  <c r="R4" i="2" s="1"/>
  <c r="J36" i="2"/>
  <c r="R36" i="2" s="1"/>
  <c r="J30" i="2"/>
  <c r="R30" i="2" s="1"/>
  <c r="J22" i="2"/>
  <c r="R22" i="2" s="1"/>
  <c r="J51" i="2"/>
  <c r="R51" i="2" s="1"/>
  <c r="N22" i="2"/>
  <c r="T22" i="2" s="1"/>
  <c r="P12" i="3"/>
  <c r="Q12" i="3" s="1"/>
  <c r="V12" i="3" s="1"/>
  <c r="N12" i="3"/>
  <c r="O12" i="3" s="1"/>
  <c r="U12" i="3" s="1"/>
  <c r="O4" i="2"/>
  <c r="P4" i="2" s="1"/>
  <c r="U4" i="2" s="1"/>
  <c r="M16" i="3"/>
  <c r="T16" i="3" s="1"/>
  <c r="X16" i="3"/>
  <c r="M8" i="3"/>
  <c r="T8" i="3" s="1"/>
  <c r="L6" i="3"/>
  <c r="M6" i="3" s="1"/>
  <c r="T6" i="3" s="1"/>
  <c r="S62" i="1"/>
  <c r="T62" i="1" s="1"/>
  <c r="S65" i="1"/>
  <c r="T65" i="1" s="1"/>
  <c r="S71" i="1"/>
  <c r="T71" i="1" s="1"/>
  <c r="O20" i="2"/>
  <c r="P20" i="2" s="1"/>
  <c r="U20" i="2" s="1"/>
  <c r="L23" i="2"/>
  <c r="S23" i="2" s="1"/>
  <c r="O34" i="2"/>
  <c r="P34" i="2" s="1"/>
  <c r="U34" i="2" s="1"/>
  <c r="P21" i="1"/>
  <c r="R21" i="1"/>
  <c r="N21" i="1"/>
  <c r="W7" i="2"/>
  <c r="N75" i="1"/>
  <c r="S74" i="1"/>
  <c r="T74" i="1" s="1"/>
  <c r="M108" i="1"/>
  <c r="N108" i="1" s="1"/>
  <c r="S33" i="1"/>
  <c r="T33" i="1" s="1"/>
  <c r="S26" i="1"/>
  <c r="T26" i="1" s="1"/>
  <c r="P115" i="1"/>
  <c r="S95" i="1"/>
  <c r="T95" i="1" s="1"/>
  <c r="S6" i="1"/>
  <c r="T6" i="1" s="1"/>
  <c r="N4" i="1"/>
  <c r="S76" i="1"/>
  <c r="T76" i="1" s="1"/>
  <c r="S31" i="1"/>
  <c r="T31" i="1" s="1"/>
  <c r="S96" i="1"/>
  <c r="T96" i="1" s="1"/>
  <c r="S111" i="1"/>
  <c r="T111" i="1" s="1"/>
  <c r="S88" i="1"/>
  <c r="T88" i="1" s="1"/>
  <c r="P22" i="1"/>
  <c r="S120" i="1"/>
  <c r="T120" i="1" s="1"/>
  <c r="S72" i="1"/>
  <c r="T72" i="1" s="1"/>
  <c r="J19" i="2"/>
  <c r="R19" i="2" s="1"/>
  <c r="O11" i="2"/>
  <c r="P11" i="2" s="1"/>
  <c r="U11" i="2" s="1"/>
  <c r="O31" i="2"/>
  <c r="P31" i="2" s="1"/>
  <c r="U31" i="2" s="1"/>
  <c r="N5" i="3"/>
  <c r="O5" i="3" s="1"/>
  <c r="U5" i="3" s="1"/>
  <c r="Q109" i="1"/>
  <c r="R109" i="1" s="1"/>
  <c r="P6" i="3"/>
  <c r="Q6" i="3" s="1"/>
  <c r="V6" i="3" s="1"/>
  <c r="X6" i="3" s="1"/>
  <c r="X7" i="3"/>
  <c r="J46" i="2"/>
  <c r="R46" i="2" s="1"/>
  <c r="T4" i="6"/>
  <c r="P11" i="3"/>
  <c r="Q11" i="3" s="1"/>
  <c r="V11" i="3" s="1"/>
  <c r="M12" i="3"/>
  <c r="T12" i="3" s="1"/>
  <c r="P20" i="1"/>
  <c r="N16" i="3"/>
  <c r="O16" i="3" s="1"/>
  <c r="U16" i="3" s="1"/>
  <c r="M15" i="3"/>
  <c r="T15" i="3" s="1"/>
  <c r="X4" i="3"/>
  <c r="O16" i="2"/>
  <c r="P16" i="2" s="1"/>
  <c r="U16" i="2" s="1"/>
  <c r="S8" i="1"/>
  <c r="T8" i="1" s="1"/>
  <c r="S13" i="1"/>
  <c r="T13" i="1" s="1"/>
  <c r="N13" i="1"/>
  <c r="AA121" i="1"/>
  <c r="F121" i="1"/>
  <c r="AA117" i="1"/>
  <c r="F117" i="1"/>
  <c r="AA113" i="1"/>
  <c r="F113" i="1"/>
  <c r="AA109" i="1"/>
  <c r="F109" i="1"/>
  <c r="AA105" i="1"/>
  <c r="F105" i="1"/>
  <c r="AA101" i="1"/>
  <c r="F101" i="1"/>
  <c r="AA97" i="1"/>
  <c r="F97" i="1"/>
  <c r="AA93" i="1"/>
  <c r="F93" i="1"/>
  <c r="AA89" i="1"/>
  <c r="F89" i="1"/>
  <c r="AA85" i="1"/>
  <c r="F85" i="1"/>
  <c r="AA81" i="1"/>
  <c r="F81" i="1"/>
  <c r="AA77" i="1"/>
  <c r="F77" i="1"/>
  <c r="AA73" i="1"/>
  <c r="F73" i="1"/>
  <c r="AA69" i="1"/>
  <c r="F69" i="1"/>
  <c r="AA65" i="1"/>
  <c r="F65" i="1"/>
  <c r="AA61" i="1"/>
  <c r="F61" i="1"/>
  <c r="AA57" i="1"/>
  <c r="F57" i="1"/>
  <c r="AA53" i="1"/>
  <c r="F53" i="1"/>
  <c r="AA49" i="1"/>
  <c r="F49" i="1"/>
  <c r="AA45" i="1"/>
  <c r="F45" i="1"/>
  <c r="AA41" i="1"/>
  <c r="F41" i="1"/>
  <c r="AA37" i="1"/>
  <c r="F37" i="1"/>
  <c r="AA33" i="1"/>
  <c r="F33" i="1"/>
  <c r="AA29" i="1"/>
  <c r="F29" i="1"/>
  <c r="AA25" i="1"/>
  <c r="F25" i="1"/>
  <c r="AA21" i="1"/>
  <c r="F21" i="1"/>
  <c r="AA17" i="1"/>
  <c r="F17" i="1"/>
  <c r="AA13" i="1"/>
  <c r="F13" i="1"/>
  <c r="F9" i="1"/>
  <c r="AA5" i="1"/>
  <c r="F5" i="1"/>
  <c r="W26" i="2"/>
  <c r="W22" i="2"/>
  <c r="W6" i="2"/>
  <c r="AA68" i="1"/>
  <c r="F68" i="1"/>
  <c r="AA64" i="1"/>
  <c r="F64" i="1"/>
  <c r="AA60" i="1"/>
  <c r="F60" i="1"/>
  <c r="AA52" i="1"/>
  <c r="F52" i="1"/>
  <c r="AA48" i="1"/>
  <c r="F48" i="1"/>
  <c r="AA44" i="1"/>
  <c r="F44" i="1"/>
  <c r="AA40" i="1"/>
  <c r="F40" i="1"/>
  <c r="AA36" i="1"/>
  <c r="F36" i="1"/>
  <c r="AA32" i="1"/>
  <c r="F32" i="1"/>
  <c r="AA28" i="1"/>
  <c r="F28" i="1"/>
  <c r="AA24" i="1"/>
  <c r="F24" i="1"/>
  <c r="AA20" i="1"/>
  <c r="F20" i="1"/>
  <c r="AA16" i="1"/>
  <c r="F16" i="1"/>
  <c r="AA8" i="1"/>
  <c r="F8" i="1"/>
  <c r="W5" i="2"/>
  <c r="AA59" i="1"/>
  <c r="F59" i="1"/>
  <c r="AA55" i="1"/>
  <c r="F55" i="1"/>
  <c r="AA51" i="1"/>
  <c r="F51" i="1"/>
  <c r="AA43" i="1"/>
  <c r="F43" i="1"/>
  <c r="AA39" i="1"/>
  <c r="F39" i="1"/>
  <c r="AA35" i="1"/>
  <c r="F35" i="1"/>
  <c r="AA31" i="1"/>
  <c r="F31" i="1"/>
  <c r="AA27" i="1"/>
  <c r="F27" i="1"/>
  <c r="AA23" i="1"/>
  <c r="F23" i="1"/>
  <c r="F19" i="1"/>
  <c r="AA15" i="1"/>
  <c r="F15" i="1"/>
  <c r="F11" i="1"/>
  <c r="AA7" i="1"/>
  <c r="F7" i="1"/>
  <c r="W28" i="2"/>
  <c r="W24" i="2"/>
  <c r="F4" i="1"/>
  <c r="AA118" i="1"/>
  <c r="F118" i="1"/>
  <c r="F114" i="1"/>
  <c r="AA110" i="1"/>
  <c r="F110" i="1"/>
  <c r="AA106" i="1"/>
  <c r="F106" i="1"/>
  <c r="AA102" i="1"/>
  <c r="F102" i="1"/>
  <c r="AA98" i="1"/>
  <c r="F98" i="1"/>
  <c r="AA94" i="1"/>
  <c r="F94" i="1"/>
  <c r="AA90" i="1"/>
  <c r="F90" i="1"/>
  <c r="AA86" i="1"/>
  <c r="F86" i="1"/>
  <c r="AA82" i="1"/>
  <c r="F82" i="1"/>
  <c r="AA78" i="1"/>
  <c r="F78" i="1"/>
  <c r="AA74" i="1"/>
  <c r="F74" i="1"/>
  <c r="AA70" i="1"/>
  <c r="F70" i="1"/>
  <c r="AA66" i="1"/>
  <c r="F66" i="1"/>
  <c r="AA62" i="1"/>
  <c r="F62" i="1"/>
  <c r="AA58" i="1"/>
  <c r="F58" i="1"/>
  <c r="AA54" i="1"/>
  <c r="F54" i="1"/>
  <c r="AA50" i="1"/>
  <c r="F50" i="1"/>
  <c r="AA46" i="1"/>
  <c r="F46" i="1"/>
  <c r="AA42" i="1"/>
  <c r="F42" i="1"/>
  <c r="AA38" i="1"/>
  <c r="F38" i="1"/>
  <c r="AA34" i="1"/>
  <c r="F34" i="1"/>
  <c r="AA30" i="1"/>
  <c r="F30" i="1"/>
  <c r="AA26" i="1"/>
  <c r="F26" i="1"/>
  <c r="AA22" i="1"/>
  <c r="F22" i="1"/>
  <c r="AA18" i="1"/>
  <c r="F18" i="1"/>
  <c r="AA14" i="1"/>
  <c r="F14" i="1"/>
  <c r="AA10" i="1"/>
  <c r="F10" i="1"/>
  <c r="AA6" i="1"/>
  <c r="F6" i="1"/>
  <c r="W27" i="2"/>
  <c r="W23" i="2"/>
  <c r="V9" i="5"/>
  <c r="V7" i="5"/>
  <c r="F12" i="1"/>
  <c r="G3" i="6"/>
  <c r="O3" i="6" s="1"/>
  <c r="T3" i="6" s="1"/>
  <c r="L6" i="6"/>
  <c r="M6" i="6" s="1"/>
  <c r="R6" i="6" s="1"/>
  <c r="V6" i="5"/>
  <c r="V8" i="5"/>
  <c r="P8" i="3"/>
  <c r="Q8" i="3" s="1"/>
  <c r="V8" i="3" s="1"/>
  <c r="K8" i="3"/>
  <c r="S8" i="3" s="1"/>
  <c r="K15" i="3"/>
  <c r="S15" i="3" s="1"/>
  <c r="P15" i="3"/>
  <c r="Q15" i="3" s="1"/>
  <c r="V15" i="3" s="1"/>
  <c r="O15" i="3"/>
  <c r="U15" i="3" s="1"/>
  <c r="P10" i="3"/>
  <c r="Q10" i="3" s="1"/>
  <c r="V10" i="3" s="1"/>
  <c r="M10" i="3"/>
  <c r="T10" i="3" s="1"/>
  <c r="O8" i="3"/>
  <c r="U8" i="3" s="1"/>
  <c r="N109" i="1"/>
  <c r="S109" i="1"/>
  <c r="T109" i="1" s="1"/>
  <c r="R116" i="1"/>
  <c r="N116" i="1"/>
  <c r="S17" i="1"/>
  <c r="T17" i="1" s="1"/>
  <c r="N17" i="1"/>
  <c r="S32" i="1"/>
  <c r="T32" i="1" s="1"/>
  <c r="S35" i="1"/>
  <c r="T35" i="1" s="1"/>
  <c r="S4" i="1"/>
  <c r="T4" i="1" s="1"/>
  <c r="S41" i="1"/>
  <c r="T41" i="1" s="1"/>
  <c r="S37" i="1"/>
  <c r="T37" i="1" s="1"/>
  <c r="Q57" i="1"/>
  <c r="R57" i="1" s="1"/>
  <c r="S97" i="1"/>
  <c r="T97" i="1" s="1"/>
  <c r="S99" i="1"/>
  <c r="T99" i="1" s="1"/>
  <c r="S64" i="1"/>
  <c r="T64" i="1" s="1"/>
  <c r="R28" i="1"/>
  <c r="P39" i="1"/>
  <c r="S68" i="1"/>
  <c r="T68" i="1" s="1"/>
  <c r="S80" i="1"/>
  <c r="T80" i="1" s="1"/>
  <c r="S93" i="1"/>
  <c r="T93" i="1" s="1"/>
  <c r="O81" i="1"/>
  <c r="P81" i="1" s="1"/>
  <c r="N110" i="1"/>
  <c r="P67" i="1"/>
  <c r="N28" i="1"/>
  <c r="S19" i="1"/>
  <c r="T19" i="1" s="1"/>
  <c r="N78" i="1"/>
  <c r="O121" i="1"/>
  <c r="P121" i="1" s="1"/>
  <c r="P4" i="1"/>
  <c r="S100" i="1"/>
  <c r="T100" i="1" s="1"/>
  <c r="N114" i="1"/>
  <c r="P114" i="1"/>
  <c r="S114" i="1"/>
  <c r="T114" i="1" s="1"/>
  <c r="S11" i="1"/>
  <c r="T11" i="1" s="1"/>
  <c r="R11" i="1"/>
  <c r="M9" i="1"/>
  <c r="N9" i="1" s="1"/>
  <c r="S9" i="1"/>
  <c r="T9" i="1" s="1"/>
  <c r="R9" i="1"/>
  <c r="S83" i="1"/>
  <c r="T83" i="1" s="1"/>
  <c r="S36" i="1"/>
  <c r="T36" i="1" s="1"/>
  <c r="S87" i="1"/>
  <c r="T87" i="1" s="1"/>
  <c r="N65" i="1"/>
  <c r="R22" i="1"/>
  <c r="R26" i="1"/>
  <c r="N90" i="1"/>
  <c r="S90" i="1"/>
  <c r="T90" i="1" s="1"/>
  <c r="N69" i="1"/>
  <c r="R114" i="1"/>
  <c r="S34" i="1"/>
  <c r="T34" i="1" s="1"/>
  <c r="S46" i="1"/>
  <c r="T46" i="1" s="1"/>
  <c r="S91" i="1"/>
  <c r="T91" i="1" s="1"/>
  <c r="Q121" i="1"/>
  <c r="R121" i="1" s="1"/>
  <c r="R19" i="1"/>
  <c r="S18" i="1"/>
  <c r="T18" i="1" s="1"/>
  <c r="P18" i="1"/>
  <c r="R8" i="1"/>
  <c r="N8" i="1"/>
  <c r="X15" i="3" l="1"/>
  <c r="X10" i="3"/>
  <c r="X8" i="3"/>
  <c r="AA9" i="1"/>
  <c r="I4" i="5"/>
  <c r="Q4" i="5" s="1"/>
  <c r="N4" i="5"/>
  <c r="O4" i="5" s="1"/>
  <c r="T4" i="5" s="1"/>
  <c r="V4" i="5" s="1"/>
  <c r="AA11" i="1"/>
  <c r="AA19" i="1"/>
  <c r="T6" i="6"/>
  <c r="I3" i="5"/>
  <c r="Q3" i="5" s="1"/>
  <c r="N3" i="5"/>
  <c r="S40" i="1"/>
  <c r="T40" i="1" s="1"/>
  <c r="AA114" i="1"/>
  <c r="AA4" i="1"/>
  <c r="X12" i="3"/>
  <c r="W4" i="2"/>
  <c r="AA76" i="1"/>
  <c r="S81" i="1"/>
  <c r="T81" i="1" s="1"/>
  <c r="S121" i="1"/>
  <c r="T121" i="1" s="1"/>
  <c r="O3" i="5" l="1"/>
  <c r="T3" i="5" s="1"/>
  <c r="V3" i="5"/>
</calcChain>
</file>

<file path=xl/sharedStrings.xml><?xml version="1.0" encoding="utf-8"?>
<sst xmlns="http://schemas.openxmlformats.org/spreadsheetml/2006/main" count="876" uniqueCount="545">
  <si>
    <t>Art.</t>
  </si>
  <si>
    <t>MARCAS, AVISOS Y NOMBRES COMERCIALES</t>
  </si>
  <si>
    <t>14ª</t>
  </si>
  <si>
    <t>14b</t>
  </si>
  <si>
    <t>14c</t>
  </si>
  <si>
    <t>14d</t>
  </si>
  <si>
    <t>14e</t>
  </si>
  <si>
    <t>14f</t>
  </si>
  <si>
    <t>DENOMINACIONES DE ORIGEN</t>
  </si>
  <si>
    <t>Denominación de origen o modificación de la misma</t>
  </si>
  <si>
    <t>Autorización o renovación</t>
  </si>
  <si>
    <t>Inscripción de un permiso otorgado por el usuario</t>
  </si>
  <si>
    <t>Búsqueda técnica de Patente</t>
  </si>
  <si>
    <t>1a</t>
  </si>
  <si>
    <t>1b</t>
  </si>
  <si>
    <t>Entrada a fase nacional (conforme Capitulo 1, oficina designada)</t>
  </si>
  <si>
    <t>1c</t>
  </si>
  <si>
    <t>Entrada a fase nacional (conforme Capitulo 1, oficina elegida)</t>
  </si>
  <si>
    <t>1d</t>
  </si>
  <si>
    <t>Por publicación anticipada</t>
  </si>
  <si>
    <t>1e</t>
  </si>
  <si>
    <t>Por la expedición del título</t>
  </si>
  <si>
    <t>1f</t>
  </si>
  <si>
    <t>Por el cambio de texto o dibujos, cada vez</t>
  </si>
  <si>
    <t>2a</t>
  </si>
  <si>
    <t xml:space="preserve">Por cada anualidad, de la 1ª a la 5ª </t>
  </si>
  <si>
    <t>2b</t>
  </si>
  <si>
    <t>Por cada anualidad, de la 6ª a la 10ª</t>
  </si>
  <si>
    <t>2c</t>
  </si>
  <si>
    <t>Por cada anualidad, de la 11ª a la última</t>
  </si>
  <si>
    <t>9ª</t>
  </si>
  <si>
    <t>9b</t>
  </si>
  <si>
    <t>9c</t>
  </si>
  <si>
    <t>9d</t>
  </si>
  <si>
    <t>10ª</t>
  </si>
  <si>
    <t>Por cada anualidad, de la 1ª a la 3ª</t>
  </si>
  <si>
    <t>10b</t>
  </si>
  <si>
    <t>Por cada anualidad, de la 4ª a la 6ª</t>
  </si>
  <si>
    <t>10c</t>
  </si>
  <si>
    <t>Por cada anualidad, de la 7ª a la ultima</t>
  </si>
  <si>
    <t>HONORARIOS</t>
  </si>
  <si>
    <t>RUBROS</t>
  </si>
  <si>
    <t>Inventores Independientes</t>
  </si>
  <si>
    <t>Instituciones de investigación del sector público</t>
  </si>
  <si>
    <t>Instituciones Educativas</t>
  </si>
  <si>
    <t>micro y pequeña empresa</t>
  </si>
  <si>
    <t>Poderes</t>
  </si>
  <si>
    <t>Mandatos de Percepción</t>
  </si>
  <si>
    <t>Contratos</t>
  </si>
  <si>
    <t>Contratos Tipo</t>
  </si>
  <si>
    <t>Escrituras y Estatutos de Sociedades de Gestión Colectiva</t>
  </si>
  <si>
    <t>Búsqueda de Antecedentes Registrales</t>
  </si>
  <si>
    <t>Anotaciones Marginales</t>
  </si>
  <si>
    <t>Anotación Marginal de Revocación del Poder</t>
  </si>
  <si>
    <t>Duplicados</t>
  </si>
  <si>
    <t>Corrección</t>
  </si>
  <si>
    <t>Apertura de Sobre de Seudónimo</t>
  </si>
  <si>
    <t>Reserva de Derechos al Uso Exclusivo para Publicaciones y Difusiones Periódicas</t>
  </si>
  <si>
    <t>Renovación de Reserva de Derechos al Uso Exclusivo para Publicaciones y Difusiones Periódicas</t>
  </si>
  <si>
    <t>Anotación Marginal en Expedientes</t>
  </si>
  <si>
    <t xml:space="preserve">Copias Simples </t>
  </si>
  <si>
    <t>Copias Certificadas</t>
  </si>
  <si>
    <t>Solicitud de Declaración Administrativa de Nulidad de Reservas de Derechos</t>
  </si>
  <si>
    <t>Solicitud de Declaración Administrativa de Cancelación de los Actos Emitidos por el INDAUTOR</t>
  </si>
  <si>
    <t>Solicitud ISBN</t>
  </si>
  <si>
    <t>Solicitud Subsiguiente de ISBN</t>
  </si>
  <si>
    <t>Solicitud ISSN</t>
  </si>
  <si>
    <r>
      <t>Cedula de Integración Solicitud ISSN Solicitud de Digito identificador del ISSN (Para ayudarle en el llenado del formato están los documentos</t>
    </r>
    <r>
      <rPr>
        <sz val="10"/>
        <color indexed="12"/>
        <rFont val="Arial"/>
        <family val="2"/>
      </rPr>
      <t xml:space="preserve"> Naturaleza Jurídica de la Empresa </t>
    </r>
    <r>
      <rPr>
        <sz val="10"/>
        <rFont val="Arial"/>
        <family val="2"/>
      </rPr>
      <t>y</t>
    </r>
    <r>
      <rPr>
        <sz val="10"/>
        <color indexed="12"/>
        <rFont val="Arial"/>
        <family val="2"/>
      </rPr>
      <t xml:space="preserve"> Tabla de Materias)</t>
    </r>
  </si>
  <si>
    <t>Ficha catalografica ISSN</t>
  </si>
  <si>
    <t>DIRECCION JURIDICA</t>
  </si>
  <si>
    <t>Procedimiento de Avenencia</t>
  </si>
  <si>
    <t>Consultas por Escrito</t>
  </si>
  <si>
    <t>Recurso Administrativo de Revisión</t>
  </si>
  <si>
    <t>DIRECCION DE PROTECCION CONTRA LA VIOLACION DEL DERECHO DE AUTOR</t>
  </si>
  <si>
    <t>Autorización para Operar como Sociedad de Gestión Colectiva</t>
  </si>
  <si>
    <t>Procedimiento para el Establecimiento de Tarifas para el Pago de Regalías</t>
  </si>
  <si>
    <t>Procedimiento para la Autorización de Apoderados para la Gestión Individual de Derechos Patrimoniales</t>
  </si>
  <si>
    <t>Presentación del Escrito que de Inicio al Procedimiento de Infracción Administrativa en Materia de Derechos de Autor</t>
  </si>
  <si>
    <t>Solicitud de Revocación de Operación como Sociedad de Gestión Colectiva</t>
  </si>
  <si>
    <t>DERECHO DE AUTOR</t>
  </si>
  <si>
    <t>* tiene incluido el 50% de descuento en costos del IMPI:</t>
  </si>
  <si>
    <t>*PATENTES (para Micro y Pequeña Empresa, Instituciones Educativas  o de investigación del sector público e Inventores independientes)</t>
  </si>
  <si>
    <t>PATENTES</t>
  </si>
  <si>
    <t>15a</t>
  </si>
  <si>
    <t>15b</t>
  </si>
  <si>
    <t>15c</t>
  </si>
  <si>
    <t>E.L. + IVA</t>
  </si>
  <si>
    <t>E.L. NETO</t>
  </si>
  <si>
    <t>Por cada anualidad, de la 1ª a la 9ª</t>
  </si>
  <si>
    <t>Por cada anualidad, de la 10ª a la ultima</t>
  </si>
  <si>
    <t>Rediseño de Logotipo</t>
  </si>
  <si>
    <t>Diseño de Logotipo</t>
  </si>
  <si>
    <t>11a</t>
  </si>
  <si>
    <t>11b</t>
  </si>
  <si>
    <t>Grapho</t>
  </si>
  <si>
    <t>Publimagen</t>
  </si>
  <si>
    <t>Copia Certificada de Titulos a color</t>
  </si>
  <si>
    <t>27a BIS</t>
  </si>
  <si>
    <t>Por el estudio de una solicitud de licencia obligatoria o de modificación de sus condiciones.</t>
  </si>
  <si>
    <t>Por el estudio de la solicitud de rehabilitación de una patente caduca por falta de pago oportuno de la anualidad correspondiente</t>
  </si>
  <si>
    <t>Por la transformación de una solicitud de patente a una de registro de modelo de utilidad o de diseño industrial, o viceversa</t>
  </si>
  <si>
    <t>Por la reconsideración interpuesta en contra de una denegación de patente</t>
  </si>
  <si>
    <t xml:space="preserve">Por la presentación de solicitudes de registros de esquemas de trazado de circuitos integrados, así como por los servicios a que se refiere el artículo 38
de la Ley, hasta la conclusión del trámite o, en su caso, expedición del título de registro
</t>
  </si>
  <si>
    <t>9e</t>
  </si>
  <si>
    <t>Pago por requerimientos en plazo adicional de 2 meses, por cada uno</t>
  </si>
  <si>
    <r>
      <t>Cédula de Integración Solicitud ISBN Solicitud del Dígito identificador del ISBN (Para ayudarle en el llenado del formato están los documentos</t>
    </r>
    <r>
      <rPr>
        <sz val="10"/>
        <color indexed="48"/>
        <rFont val="Arial"/>
        <family val="2"/>
      </rPr>
      <t xml:space="preserve"> </t>
    </r>
    <r>
      <rPr>
        <sz val="10"/>
        <color indexed="12"/>
        <rFont val="Arial"/>
        <family val="2"/>
      </rPr>
      <t>Naturaleza Jurídica de la Empresa</t>
    </r>
    <r>
      <rPr>
        <sz val="10"/>
        <rFont val="Arial"/>
        <family val="2"/>
      </rPr>
      <t xml:space="preserve"> y </t>
    </r>
    <r>
      <rPr>
        <sz val="10"/>
        <color indexed="12"/>
        <rFont val="Arial"/>
        <family val="2"/>
      </rPr>
      <t>Tabla de Materias</t>
    </r>
    <r>
      <rPr>
        <sz val="10"/>
        <rFont val="Arial"/>
        <family val="2"/>
      </rPr>
      <t>)</t>
    </r>
  </si>
  <si>
    <t>Cédula de Integración Solicitud Subsiguiente de ISBN</t>
  </si>
  <si>
    <t>Solicitud de Diseño Industrial (PYMES)</t>
  </si>
  <si>
    <t>Solicitud de Diseño Industrial (MICROS)</t>
  </si>
  <si>
    <t>Solicitud de Diseño Industrial (MACROS)</t>
  </si>
  <si>
    <t>INDAUTOR NETO</t>
  </si>
  <si>
    <t>IMPI + iva</t>
  </si>
  <si>
    <t>IMPI NETO</t>
  </si>
  <si>
    <t>Entrada a fase nacional (conforme Capitulo 2, oficina elegida)</t>
  </si>
  <si>
    <t>Contestación de Requerimientos (CLIENTES)</t>
  </si>
  <si>
    <t>Informe de compatibilidad para TARIFARIO IMPI-INDAUTOR.xls</t>
  </si>
  <si>
    <t>Ejecutar el 15/03/2013 12:22</t>
  </si>
  <si>
    <t>Las siguientes características de este libro no son compatibles con versiones anteriores de Excel. Estas características podrían perderse o degradarse si abre el libro con una versión anterior de Excel o si lo guarda con un formato de archivo anterior.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</si>
  <si>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</si>
  <si>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</si>
  <si>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</si>
  <si>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</si>
  <si>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</si>
  <si>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USPTO</t>
  </si>
  <si>
    <t>Estudio de Factibilidad Fonético y Figurativo</t>
  </si>
  <si>
    <t>TARIFARIO USPTO (precios en $$USD)</t>
  </si>
  <si>
    <t>NOMBRE DEL SERVICIO</t>
  </si>
  <si>
    <t>COSTO</t>
  </si>
  <si>
    <t>Inscripción o cancelacion de contratos de Franquicias</t>
  </si>
  <si>
    <t>Contestacion de Requisitos y Anterioridades (CLIENTES)</t>
  </si>
  <si>
    <t>Contestacion de Anterioridades e Impedimentos Legales (CLIENTES)</t>
  </si>
  <si>
    <t>*MODELO DE UTILIDAD, CIRCUITOS INTEGRADOS Y DISEÑOS INDUSTRIALES (para Micro y Pequeña Empresa, Instituciones Educativas  o de investigación del sector público e Inventores independientes)</t>
  </si>
  <si>
    <t>MODELO DE UTILIDAD, CIRCUITOS INTEGRADOS Y DISEÑOS INDUSTRIALES</t>
  </si>
  <si>
    <t>Contestacion de Requisitos (CLIENTES)</t>
  </si>
  <si>
    <t>ADRIANA</t>
  </si>
  <si>
    <t>Diseño de Imagen Corporativa:                                                                                                    Entrega de 2 propuestas de logotipo
Tarjeta de presentación
Hoja membretada tamaño carta
Sobre Tamaño carta
Recibos (si se utilizan)
Flotilla
Uniformes
Promocionales
Carpeta corporativa
Facturas
Gafetes para personal</t>
  </si>
  <si>
    <t>Dictamen Previo para Publicaciones o Difusiones Periódicas, Personas o Grupos dedicados a Actividades Artísticas</t>
  </si>
  <si>
    <t>Reserva de Derechos al Uso Exclusivo para Personas o Grupos dedicados a Actividades Artísticas, Personajes Ficticios o Humanos de Caracterización y Promociones Publicitarias</t>
  </si>
  <si>
    <t>Renovación de Reserva de Derechos al Uso Exclusivo para Personas o Grupos dedicados a Actividades Artísticas, Personajes Ficticios o Humanos de Caracterización y Promociones Publicitarias</t>
  </si>
  <si>
    <t>COMISION VENTA</t>
  </si>
  <si>
    <t>COMISION OPERATIVA</t>
  </si>
  <si>
    <t>UTILIDAD FINAL</t>
  </si>
  <si>
    <t>DIRECCION DEL REGISTRO PUBLICO  (todo + $200.00 de paqueteria)</t>
  </si>
  <si>
    <t>Estudio de Factibilidad subsecuente hasta máximo 3</t>
  </si>
  <si>
    <t>Solicitud de Declaración Administrativa de nulidad (los honorarios son base y pueden variar)</t>
  </si>
  <si>
    <t>Solicitud de Declaración Administrativa de caducidad, cancelación (los honorarios son base y pueden variar)</t>
  </si>
  <si>
    <t>Solicitud de Declaración Administrativa de infracción (los honorarios son base y pueden variar)</t>
  </si>
  <si>
    <t>Transmisión o cesión de derechos, cambio de nombre (Incluye contrato e inscripción)</t>
  </si>
  <si>
    <t>Contestación de Requerimientos (NO CLIENTES) (siempre proponer salvamento)</t>
  </si>
  <si>
    <t>Solicitud de Patente (MICROS) (los honorarios son base y pueden variar)</t>
  </si>
  <si>
    <t>Solicitud de Patente (PYMES) (los honorarios son base y pueden variar)</t>
  </si>
  <si>
    <t>Solicitud de Patente (MACRO) (los honorarios son base y pueden variar)</t>
  </si>
  <si>
    <t>Contestacion de Anterioridades e Impedimentos Legales (CLIENTES) (los honorarios son base y pueden variar)</t>
  </si>
  <si>
    <t>Solicitud de Modelo de Utilidad (MICROS) (los honorarios son base y pueden variar)</t>
  </si>
  <si>
    <t>Solicitud de Modelo de Utilidad (PYMES) (los honorarios son base y pueden variar)</t>
  </si>
  <si>
    <t>Solicitud de Modelo de Utilidad (MACROS) (los honorarios son base y pueden variar)</t>
  </si>
  <si>
    <t>%</t>
  </si>
  <si>
    <t>Juicio de Nulidad ente el TFJA x Negativa de Marca</t>
  </si>
  <si>
    <t>Juicio de Nulidad ente el TFJA x Sentencia de Declaracion Adminitrativa</t>
  </si>
  <si>
    <t>Pago final por sentencia favorable a juicio de nulidad x Negativa de Marca</t>
  </si>
  <si>
    <t>COMISION GESTION</t>
  </si>
  <si>
    <t>14g</t>
  </si>
  <si>
    <t>14h</t>
  </si>
  <si>
    <t>14i</t>
  </si>
  <si>
    <t>14j</t>
  </si>
  <si>
    <t>Marca notoriamente conocida</t>
  </si>
  <si>
    <t>Marca Famosa</t>
  </si>
  <si>
    <t>Emisión de la declaración de marca notoriamente conocida, por cada clase en la que se reconoce</t>
  </si>
  <si>
    <t>Emisión de la declaración de marca famosa</t>
  </si>
  <si>
    <t>Actualización de una declaración de marca notoriamente conocida, por cada clase en la que se reconozca la notoriedad</t>
  </si>
  <si>
    <t>Actualización de una declaración de marca famosa</t>
  </si>
  <si>
    <t>Oposición a una solicitud de registro de marca, aviso o nombre comercial</t>
  </si>
  <si>
    <t>Estudio de Factibilidad (el IMPI cobra $102.62, pero no se solicitara)</t>
  </si>
  <si>
    <t>Cambio de apoderado legal (para cliente que nos contraten)</t>
  </si>
  <si>
    <t>Cambio de domicilio Social o del Titular, (cambio para oir y recibir notificaciones no tiene costo)</t>
  </si>
  <si>
    <t>Solicitud de práctica de Visitas de Inspección a Establecimientos Comerciales a petición de parte</t>
  </si>
  <si>
    <t>REGISTRO DE OBRAS</t>
  </si>
  <si>
    <t>REGISTRO DE DOCUMENTOS</t>
  </si>
  <si>
    <t>DIRECCION DE RESERVAS DE DERECHO  (todo + $200.00 de paqueteria)</t>
  </si>
  <si>
    <t>JUICIO DE AMPARO</t>
  </si>
  <si>
    <t>2.6(a)(1)(iv)</t>
  </si>
  <si>
    <t>Application for registration, per international class (electronic filing, TEAS Plus application)</t>
  </si>
  <si>
    <t>2.6(a)(2)</t>
  </si>
  <si>
    <t>Filing an amendment to allege use under §1(c), per class</t>
  </si>
  <si>
    <t>2.6(a)(3)</t>
  </si>
  <si>
    <t>2.6(a)(4)</t>
  </si>
  <si>
    <t>2.6(a)(15)</t>
  </si>
  <si>
    <t>2.6(a)(19)</t>
  </si>
  <si>
    <t>Dividing an application, per new application (file wrapper) created</t>
  </si>
  <si>
    <t>2.6(a)(1)(v)</t>
  </si>
  <si>
    <t>Additional fee for application that doesn't meet TEAS Plus or TEAS RF filing requirements, per class</t>
  </si>
  <si>
    <t>2.6(a)(5)</t>
  </si>
  <si>
    <t>Application for renewal under §9, per class</t>
  </si>
  <si>
    <t>2.6(a)(6)</t>
  </si>
  <si>
    <t>Additional fee for filing renewal application during grace period, per class</t>
  </si>
  <si>
    <t>2.6(a)(21)</t>
  </si>
  <si>
    <t>Correcting a deficiency in a renewal application</t>
  </si>
  <si>
    <t>2.6(a)(12)</t>
  </si>
  <si>
    <t>Filing §8 affidavit, per class</t>
  </si>
  <si>
    <t>2.6(a)(14)</t>
  </si>
  <si>
    <t>Additional fee for filing §8 affidavit during grace period, per class</t>
  </si>
  <si>
    <t>2.6(a)(20)</t>
  </si>
  <si>
    <t>Correcting a deficiency in a §8 affidavit</t>
  </si>
  <si>
    <t>2.6(a)(13)</t>
  </si>
  <si>
    <t>Filing §15 affidavit, per class</t>
  </si>
  <si>
    <t>2.6(a)(7)</t>
  </si>
  <si>
    <t>Publication of mark under §12(c), per class</t>
  </si>
  <si>
    <t>2.6(a)(8)</t>
  </si>
  <si>
    <t>Issuing new certificate of registration</t>
  </si>
  <si>
    <t>2.6(a)(9)</t>
  </si>
  <si>
    <t>Certificate of correction, registrant's error</t>
  </si>
  <si>
    <t>2.6(a)(10)</t>
  </si>
  <si>
    <t>Filing disclaimer to registration</t>
  </si>
  <si>
    <t>2.6(a)(11)</t>
  </si>
  <si>
    <t>Filing amendment to registration</t>
  </si>
  <si>
    <t>2.6(a)(16)</t>
  </si>
  <si>
    <t>Petition for cancellation, per class</t>
  </si>
  <si>
    <t>2.6(a)(17)</t>
  </si>
  <si>
    <t>Notice of opposition, per class</t>
  </si>
  <si>
    <t>2.6(a)(18)</t>
  </si>
  <si>
    <t>Ex parte appeal, per class</t>
  </si>
  <si>
    <t>2.6(a)(22)</t>
  </si>
  <si>
    <t>Filing a request for an extension of time to file a notice of opposition under §2.102(c)(1)(ii) or (c)(2)</t>
  </si>
  <si>
    <t>2.6(a)(23)</t>
  </si>
  <si>
    <t>Filing a request for an extension of time to file a notice of opposition under §2.102(c)(3)</t>
  </si>
  <si>
    <t>Búsqueda Figurativa (logotipo)</t>
  </si>
  <si>
    <t>Estudio de Factibilidad Fonético o Figurativo</t>
  </si>
  <si>
    <t>Titulo de registro de Marca en EU</t>
  </si>
  <si>
    <t>Filing a statement of use under §1(d)(1), per class (DECLARACION DE USO A CLIENTES EN PROCESO DE REGISTRO)</t>
  </si>
  <si>
    <t>Filing a request for a six-month extension of time for filing a statement of use under §1(d)(1), per class (EXTENSION DE 6 MESES DE PLAZO PARA UN SOU A CLIENTES EN PROCESO DE REGISTRO)</t>
  </si>
  <si>
    <t>Filing a statement of use under §1(d)(1), per class (DECLARACION DE USO A CLIENTES QUE DEBEN HACERLO EN SU QUINTO AÑO)</t>
  </si>
  <si>
    <t>Filing a request for a six-month extension of time for filing a statement of use under §1(d)(1), per class (EXTENSION DE 6 MESES DE PLAZO PARA UN SOU A CLIENTES QUE DEBEN HACERLO EN SU QUINTO AÑO)</t>
  </si>
  <si>
    <t>Petitions to the Director (POR REVIVIR UN PROCESO DE REGISTRO)</t>
  </si>
  <si>
    <t>Contestación de Requisitos</t>
  </si>
  <si>
    <t>Contestación a Impedimentos y Anterioridades (A TRAVES DE DESPACHO EN EU Y DESCONTANDO SUS HONORARIOS)</t>
  </si>
  <si>
    <t>Programas computacionales, Softwares, APPs</t>
  </si>
  <si>
    <t>Cinematográfica y demás Obras Audiovisuales</t>
  </si>
  <si>
    <t>Literaria; Musical, con o sin Letra; Dramática; Danza; Pictórica o de Dibujo; Escultórica y de Carácter Plástico; Caricatura e Historieta; Arquitectónica; Programa de Radio y Televisión; Fotográfica; Obras de Arte Aplicado; Colecciones de Obras; y demás obras que por analogía puedan considerarse obras literarías o artísticas, se incluirán en la rama que les sea más afín a su naturaleza.</t>
  </si>
  <si>
    <t>Certificado de Registro de Obras</t>
  </si>
  <si>
    <t>Certificado de Reserva de Derechos al Uso Exclusivo para Personas o Grupos dedicados a Actividades Artísticas, Personajes Ficticios o Humanos de Caracterización y Promociones Publicitarias</t>
  </si>
  <si>
    <t>Dictamen Previo para Personajes Ficticios o Simbólicos, o Humanos de Caracterización, Promociones Publicitarias.</t>
  </si>
  <si>
    <t>CODIGO DE BARRAS (ingresos anuales hasta 500 mil)</t>
  </si>
  <si>
    <t>RENOVACION CODIGO DE BARRAS (ingresos anuales hasta 500 mil)</t>
  </si>
  <si>
    <t>CODIGO DE BARRAS (ingresos anuales arriba de 500 mil)</t>
  </si>
  <si>
    <t>RENOVACION CODIGO DE BARRAS (ingresos anuales arriba de 500 mil)</t>
  </si>
  <si>
    <t>CODIGO DE BARRAS</t>
  </si>
  <si>
    <t>HONORARIOS NETO</t>
  </si>
  <si>
    <t>FRANQUICIAS</t>
  </si>
  <si>
    <t>CONSULTORIA PARA PERFILAR UN NEGOCIO EN FRANQUICIA</t>
  </si>
  <si>
    <t>REP. LEGAL EN FIRMA DE CONTRATOS DE FRANQUICIA</t>
  </si>
  <si>
    <t>X</t>
  </si>
  <si>
    <t>X PROYECTO</t>
  </si>
  <si>
    <t xml:space="preserve">*(1) PROYECTO LEGAL DE FRANQUICIA O LICENCIA DE USO Y PROGRAMA DE COMERCIALIZACIÓN </t>
  </si>
  <si>
    <t>*(1) La tarifa del proyecto legal y de comercialización es base. Puede aumentarse hasta los $85,000.00 pesos</t>
  </si>
  <si>
    <t>*(2) CONSULTORIA DE FRANQUICIA EMPORIO LEGAL</t>
  </si>
  <si>
    <t>*(3) El despacho recibe comision del 12% del costo total del Desarrollo de Franquicia por parte de FEHER &amp; FEHER. Sobre esa cantidad se estiman las comisiones por venta y gestion.</t>
  </si>
  <si>
    <t>*(3) CONSULTORIA DE FRANQUICIA FEHER&amp;FEHER</t>
  </si>
  <si>
    <t>*(4) REP. COMERCIAL DE FRANQUICIA (TIENDA DE FRANQUICIAS) A SU VENTA</t>
  </si>
  <si>
    <t>*(5) VENTA DE FRANQUICIA O NEGOCIO (TIENDA DE FRANQUICIAS)</t>
  </si>
  <si>
    <t>*(4)(5) Es el % sobre la Cuota Inicial/Canon de Franquicia/Fee de entrada que cobre la franquicia siempre y cuando no sea inferior a $15,000.00 pesos, en caso contrario esa sería la tarifa mínima</t>
  </si>
  <si>
    <t>*(2) El porcentaje de comision establecida NO es por el costo total del Desarrollo de Franquicia. Es sobre la utilidad generada despues de pagar a los demas consultores involucrados en el proyecto</t>
  </si>
  <si>
    <t>Por la Declaracion de uso de Marca</t>
  </si>
  <si>
    <t>Renovacion de un Registro de Marca, Aviso o Nombre Comercial</t>
  </si>
  <si>
    <t>Titulo de Registro de Marca, Aviso o Nombre Comercial</t>
  </si>
  <si>
    <t>TARIFARIO IMPI (actualizado agosto 2018)</t>
  </si>
  <si>
    <t>Marca, Aviso Comercial o Nombre Comercial (EN FISICO)</t>
  </si>
  <si>
    <t>Marca, Aviso Comercial o Nombre Comercial (EN LINEA)</t>
  </si>
  <si>
    <t>ESTUDIO DE FACTIBILIDAD (inicial figurativo o nominativo)</t>
  </si>
  <si>
    <t>ESTUDIO DE FACTIBILIDAD (complementario figurativo o nominativo)</t>
  </si>
  <si>
    <t>ESTUDIO DE FACTIBILIDAD (subsecuente) hasta maximo 3</t>
  </si>
  <si>
    <t>EF</t>
  </si>
  <si>
    <t>EF(s)</t>
  </si>
  <si>
    <t>REGISTRO DE MARCA, AVISO O NOMBRE COMERCIAL</t>
  </si>
  <si>
    <t>RM</t>
  </si>
  <si>
    <t>TITULO DE MARCA, AVISO O NOMBRE COMERCIAL</t>
  </si>
  <si>
    <t>TITRM</t>
  </si>
  <si>
    <t>RENOVACION DE MARCA, AVISO O NOMBRE COMERCIAL</t>
  </si>
  <si>
    <t>REN</t>
  </si>
  <si>
    <t>DECLARACION DE USO DE MARCA, AVISO O NOMBRE COMERCIAL</t>
  </si>
  <si>
    <t>DUSO</t>
  </si>
  <si>
    <t>MARCA NOTORIAMENTE CONOCIDA</t>
  </si>
  <si>
    <t>MNC</t>
  </si>
  <si>
    <t>MARCA FAMOSA</t>
  </si>
  <si>
    <t>MF</t>
  </si>
  <si>
    <t>TITULO DE MARCA NOTORIAMENTE CONOCIDA</t>
  </si>
  <si>
    <t>TITMNC</t>
  </si>
  <si>
    <t>TITULO DE MARCA FAMOSA</t>
  </si>
  <si>
    <t>TITMF</t>
  </si>
  <si>
    <t>OP</t>
  </si>
  <si>
    <t>RM*</t>
  </si>
  <si>
    <t>COPIA CERTIFICADA DE TITULOS A COLOR</t>
  </si>
  <si>
    <t>CCERT</t>
  </si>
  <si>
    <t>CONTESTACION DE REQUERIMIENTOS  (para clientes de registro con nosotros)</t>
  </si>
  <si>
    <t>CR</t>
  </si>
  <si>
    <t>CONTESTACION DE ANTERIORIDADES  (para clientes de registro con nosotros)</t>
  </si>
  <si>
    <t>CANT</t>
  </si>
  <si>
    <t>Contestación de Anterioridades (CLIENTES)</t>
  </si>
  <si>
    <t>Contestación de Impedimentos (CLIENTES)</t>
  </si>
  <si>
    <t>CONTESTACION DE IMPEDIMENTO LEGAL (para clientes de registro con nosotros)</t>
  </si>
  <si>
    <t>CIMP</t>
  </si>
  <si>
    <t>Contestación de Impedimentos (NO CLIENTES) (siempre proponer salvamento)</t>
  </si>
  <si>
    <t>Contestación de Anterioridades (NO CLIENTES) (siempre proponer salvamento)</t>
  </si>
  <si>
    <t>CONTESTACION DE REQUERIMIENTOS (NO CLIENTES) (siempre proponer salvamento)</t>
  </si>
  <si>
    <t>CR*</t>
  </si>
  <si>
    <t>CONTESTACION DE ANTERIORIDADES (NO CLIENTES) (siempre proponer salvamento)</t>
  </si>
  <si>
    <t>CANT*</t>
  </si>
  <si>
    <t>CONTESTACION DE IMPEDIMENTO LEGAL  (NO CLIENTES) (siempre proponer salvamento)</t>
  </si>
  <si>
    <t>CIMP*</t>
  </si>
  <si>
    <t>PAGO POR REQUERIMIENTOS EN PLAZO ADICIONAL DE 2 MESES POR C/U</t>
  </si>
  <si>
    <t>PLAD</t>
  </si>
  <si>
    <t>TRANSMISION O CESION DE DERECHOS (incluye 1 signo distintivo)</t>
  </si>
  <si>
    <t>CDER</t>
  </si>
  <si>
    <t>INSCRIPCION DE LICENCIAS, REGLAS DE USO, CONTRATO DE FRANQUICIAS  (incluye 1 signo distintivo)</t>
  </si>
  <si>
    <t>INSCONT</t>
  </si>
  <si>
    <t>ACREDITAMIENTO O CAMBIO DE APODERADO LEGAL (para clientes que contraten algo mas y esto sea necesario)</t>
  </si>
  <si>
    <t>CAPO</t>
  </si>
  <si>
    <t>CAMBIO DE DOMICILIO SOCIAL O DEL TITULAR, CAMBIO DE APODERADO LEGAL</t>
  </si>
  <si>
    <t>CDOM</t>
  </si>
  <si>
    <t>ESTUDIO DE FACTIBILIDAD EN EU FONETICO O FIGURATIVO</t>
  </si>
  <si>
    <t>EFEU</t>
  </si>
  <si>
    <t>ESTUDIO DE FACTIBILIDAD EN EU FONETICO Y FIGURATIVO</t>
  </si>
  <si>
    <t>EFEUD</t>
  </si>
  <si>
    <t>ESTUDIO DE FACTIBILIDAD SUBSECUENTE (FONETICO O FIGURATIVO)</t>
  </si>
  <si>
    <t>EFEUS</t>
  </si>
  <si>
    <t>REGISTRO DE MARCA EN EU</t>
  </si>
  <si>
    <t>RMEU</t>
  </si>
  <si>
    <t>TITULO DE REGISTRO DE MARCA EN EU</t>
  </si>
  <si>
    <t>TITRMEU</t>
  </si>
  <si>
    <t>CONTESTACION DE REQUERIMIENTOS EN EU</t>
  </si>
  <si>
    <t>CREU</t>
  </si>
  <si>
    <t>CONTESTACION DE IMPEDIMENTOS Y ANTERIORIDADES EN EU (*hay que sumar los honorarios del despacho en EU)</t>
  </si>
  <si>
    <t>CANTEU</t>
  </si>
  <si>
    <t>DECLARACION DE USO A CLIENTES EN PROCESO DE REGISTRO (STATEMENT OF USE)</t>
  </si>
  <si>
    <t>SOU</t>
  </si>
  <si>
    <t>EXTENSION DE PLAZO 6 MESES A CLIENTES EN PROCESO DE REGISTRO</t>
  </si>
  <si>
    <t>EXTIME</t>
  </si>
  <si>
    <t>DECLARACION DE USO A CLIENTES EN SU 5o AÑO (STATEMENT OF USE)</t>
  </si>
  <si>
    <t>SOU5</t>
  </si>
  <si>
    <t>EXTENSION DE PLAZO 6 MESES A CLIENTES EN SU 5o AÑO</t>
  </si>
  <si>
    <t>EXTIME5</t>
  </si>
  <si>
    <t>REVIVIR PROCESO DE REGISTRO (Petitions to the Director)</t>
  </si>
  <si>
    <t>PTD</t>
  </si>
  <si>
    <t>BUSQUEDA TECNICA (micros, inventores Independientes, escuelas)</t>
  </si>
  <si>
    <t>BT</t>
  </si>
  <si>
    <t>PAT</t>
  </si>
  <si>
    <t>TITULO DE PATENTE</t>
  </si>
  <si>
    <t>TITPAT</t>
  </si>
  <si>
    <t>ANUALIDADES DE PATENTE O MODELO DE UTILIDAD</t>
  </si>
  <si>
    <t>ANUPAT</t>
  </si>
  <si>
    <t>PATENTE (x proyecto)</t>
  </si>
  <si>
    <t>20% utilidad</t>
  </si>
  <si>
    <t xml:space="preserve">MODELO DE UTILIDAD </t>
  </si>
  <si>
    <t>MU</t>
  </si>
  <si>
    <t>ESQUEMAS DE TRAZADO DE CIRCUITOS INTEGRADOS (persona fisica)</t>
  </si>
  <si>
    <t>ETCIF</t>
  </si>
  <si>
    <t>ESQUEMAS DE TRAZADO DE CIRCUITOS INTEGRADOS (persona moral)</t>
  </si>
  <si>
    <t>ETCIM</t>
  </si>
  <si>
    <t>DISEÑO INDUSTRIAL (microempresa persona física)</t>
  </si>
  <si>
    <t>DIMICROF</t>
  </si>
  <si>
    <t>DISEÑO INDUSTRIAL (microempresa persona moral)</t>
  </si>
  <si>
    <t>DIMICROM</t>
  </si>
  <si>
    <t>DISEÑO INDUSTRIAL (pymes persona física)</t>
  </si>
  <si>
    <t>DIPYMEF</t>
  </si>
  <si>
    <t>ANUALIDADES DE DISEÑO INDUSTRIAL</t>
  </si>
  <si>
    <t>ANUDI</t>
  </si>
  <si>
    <t>TITULO DISEÑO INDUSTRIAL (microempresa, pymes y macros persona física)</t>
  </si>
  <si>
    <t>TDIMICROF</t>
  </si>
  <si>
    <t>DISEÑO INDUSTRIAL (pymes persona moral)</t>
  </si>
  <si>
    <t>DIPYMEM</t>
  </si>
  <si>
    <t>DISEÑO INDUSTRIAL (grandes y macro persona física)</t>
  </si>
  <si>
    <t>DIMACROF</t>
  </si>
  <si>
    <t>DISEÑO INDUSTRIAL (grandes y macro persona moral)</t>
  </si>
  <si>
    <t>DIMACROM</t>
  </si>
  <si>
    <t>TITULO DISEÑO INDUSTRIAL (microempresa, pymes y macros persona moral)</t>
  </si>
  <si>
    <t>TDIMICROM</t>
  </si>
  <si>
    <t>PNFRAN</t>
  </si>
  <si>
    <t>REPLCF</t>
  </si>
  <si>
    <t>PLFYC</t>
  </si>
  <si>
    <t>CFEL</t>
  </si>
  <si>
    <t>CF&amp;F</t>
  </si>
  <si>
    <t>REPFRAN</t>
  </si>
  <si>
    <t>VTAFRAN</t>
  </si>
  <si>
    <t>RO</t>
  </si>
  <si>
    <t>REGISTRO DE OBRA DE PROGRAMAS COMPUTACIONALES</t>
  </si>
  <si>
    <t>RPROG</t>
  </si>
  <si>
    <t>REGISTRO DE OBRAS AUDIOVISUALES</t>
  </si>
  <si>
    <t>ROA</t>
  </si>
  <si>
    <t>ENTREGA CERTIFICADO DE REGISTRO OBRAS</t>
  </si>
  <si>
    <t>CERTRO</t>
  </si>
  <si>
    <t>DICTAMEN PREVIO: PUBLICACIONES PERIODICAS Y NOMBRES ARTISTICOS</t>
  </si>
  <si>
    <t>DPPN</t>
  </si>
  <si>
    <t>DICTAMEN PREVIO: PERSONAJES FICTICIOS Y PROMOCIONES PUBLICITARIAS</t>
  </si>
  <si>
    <t>DPPP</t>
  </si>
  <si>
    <t>RESERVA DERECHOS: PUBLICACIONES Y DIFUSIONES PERIODICAS</t>
  </si>
  <si>
    <t>RDPD</t>
  </si>
  <si>
    <t>RENOVACION RESERVA DERECHOS: PUBLICACIONES Y DIFUSIONES PERIODICAS</t>
  </si>
  <si>
    <t>RENRDPD</t>
  </si>
  <si>
    <t>RESERVA DERECHOS: Nombres Artísticos, Personajes Ficticios y Promociones Publicitarias</t>
  </si>
  <si>
    <t>RDNPP</t>
  </si>
  <si>
    <t>ENTREGA CERTIFICADO RESERVA DERECHOS: Nombres Artísticos, Personajes Ficticios y Promociones Publicitarias</t>
  </si>
  <si>
    <t>CERTRD</t>
  </si>
  <si>
    <t>RENOVACION RESERVA DERECHOS: Nombres Artísticos, Personajes Ficticios y Promociones Publicitarias</t>
  </si>
  <si>
    <t>RENRDNPP</t>
  </si>
  <si>
    <t>CBAR(-500)</t>
  </si>
  <si>
    <t>RENCB(-500)</t>
  </si>
  <si>
    <t>CBAR(+500)</t>
  </si>
  <si>
    <t>RENCB(+500)</t>
  </si>
  <si>
    <t>SERVICIOS JURÍDICOS</t>
  </si>
  <si>
    <t>AVISO DE PRIVACIDAD</t>
  </si>
  <si>
    <t>AVP</t>
  </si>
  <si>
    <t>AUDITORÍA, MEDIOS Y PROCEDIMIENTOS X SECRETOS INDUSTRIALES</t>
  </si>
  <si>
    <t>AMPSI</t>
  </si>
  <si>
    <t>X PROYECTO (min. 6 hrs)</t>
  </si>
  <si>
    <t>20% sobre utilidad</t>
  </si>
  <si>
    <t>CONTRATOS DE CONFIDENCIALIDAD X SECRETOS INDUSTRIALES</t>
  </si>
  <si>
    <t>CCONF</t>
  </si>
  <si>
    <t>CONTRATOS LEGALES DE TRANSFERENCIA DE TECNOLOGÍA, REPRESENTACIÓN, LICENCIA, PROMISORIO, COLABORACION COMERCIAL, ADENDUMS O CUALQUIER TIPO DE CONTRATO</t>
  </si>
  <si>
    <t>CLEG</t>
  </si>
  <si>
    <t>CONTRATO DE OBRA POR ENCARGO</t>
  </si>
  <si>
    <t>COPE</t>
  </si>
  <si>
    <t>NOTIFICACIÓN EXTRAJUDICIAL POR INFRACCIÓN, NULIDAD, CANCELACION…</t>
  </si>
  <si>
    <t>NOTIF</t>
  </si>
  <si>
    <t>$100 x envio o $250 personal</t>
  </si>
  <si>
    <t>SOLICITUD DE DECLARACIÓN ADMINISTRATIVA DE INFRACCIÓN, NULIDAD, CADUCIDAD, CANCELACIÓN Y EN MATERIA DE COMERCIO</t>
  </si>
  <si>
    <t>SOLADM</t>
  </si>
  <si>
    <t>X PROYECTO ($40-$60 mil)</t>
  </si>
  <si>
    <t>JUICIO DE NULIDAD ANTE EL TFJA VS RESOLUCION NEGATIVA DEL IMPI</t>
  </si>
  <si>
    <t>JNUL</t>
  </si>
  <si>
    <t>POR RESOLUCION FAVORABLE DE JUICIO DE NULIDAD ANTE EL TFJFA VS RESOLUCION NEGAVA DEL IMPI</t>
  </si>
  <si>
    <t>TITJNUL</t>
  </si>
  <si>
    <t>AMPARO VS RESOLUCION NEGATIVA DEL TFJA</t>
  </si>
  <si>
    <t>AMP</t>
  </si>
  <si>
    <t>POR RESOLUCION FAVORABLE DE AMPARO VS RESOLUCION NEGAVA DEL IMPI</t>
  </si>
  <si>
    <t>TITAMP</t>
  </si>
  <si>
    <t>COSTO POR HORA DE ALEGATOS EN NULIDAD O AMPARO POR NEGATIVA</t>
  </si>
  <si>
    <t>ALEG</t>
  </si>
  <si>
    <t>JUICIO CONTENCIOSO ADMINISTRATIVO ANTE EL TFJA</t>
  </si>
  <si>
    <t>JCADM</t>
  </si>
  <si>
    <t>JAMP</t>
  </si>
  <si>
    <t>JUICIO CIVIL (Daños y perjuicios, incumplimiento de contrato, etc)</t>
  </si>
  <si>
    <t>JCIL</t>
  </si>
  <si>
    <t>COSTO POR HORA DE HONORARIOS EN ASESORÍA O SERVICIOS JURIDICOS ESPECIALIZADOS EN PROPIEDAD INTELECTUAL</t>
  </si>
  <si>
    <t>HXHE</t>
  </si>
  <si>
    <t>COSTO POR HORA DE HONORARIOS EN ASESORÍA O SERVICIOS JURIDICOS GENERALES</t>
  </si>
  <si>
    <t>HXHG</t>
  </si>
  <si>
    <t>GESTIONES NOTARIALES</t>
  </si>
  <si>
    <t>GN</t>
  </si>
  <si>
    <t>30%/CT</t>
  </si>
  <si>
    <t>NULL</t>
  </si>
  <si>
    <t>REP. COMERCIAL DE FRANQUICIA (TIENDA DE FRANQUICIAS) A SU VENTA</t>
  </si>
  <si>
    <t>Es el % sobre la Cuota Inicial/Canon de Franquicia/Fee de entrada que cobre la franquicia siempre y cuando no sea inferior a $15,000.00 pesos, en caso contrario esa sería la tarifa mínima</t>
  </si>
  <si>
    <t>La tarifa del proyecto legal y de comercialización es base. Puede aumentarse hasta los $85,000.00 pesos</t>
  </si>
  <si>
    <t>OFD</t>
  </si>
  <si>
    <t>OTORGAMIENTO DE FRANQUICIA DIFUSION (FRANCHISE STORE)</t>
  </si>
  <si>
    <t>OFC</t>
  </si>
  <si>
    <t>OTORGAMIENTO DE FRANQUICIA COMERCIALIZACION (FRANCHISE STORE)</t>
  </si>
  <si>
    <t>CONSULTORIA DE FRANQUICIA FEHER&amp;FEHER</t>
  </si>
  <si>
    <t>El despacho recibe comision del 12% del costo total del Desarrollo de Franquicia por parte de FEHER &amp; FEHER. Sobre esa cantidad se estiman las comisiones por venta y gestion.</t>
  </si>
  <si>
    <t>CBLFS</t>
  </si>
  <si>
    <t>CONTRATACION DE BUSQUEDA DE LOCALES CON FRANCHISE STORE</t>
  </si>
  <si>
    <t>TITMU</t>
  </si>
  <si>
    <t>TITULO DE MODELO DE UTILIDAD</t>
  </si>
  <si>
    <t>PATENTE</t>
  </si>
  <si>
    <t>El costo varía de 40mil a 60mil pesos</t>
  </si>
  <si>
    <t>JUICIO DE NULIDAD ANTE EL TFJFA VS RESOLUCION NEGAVA DEL IMPI</t>
  </si>
  <si>
    <t>JUICIO CONTENCIOSO ADMINISTRATIVO ANTE EL TFJFA</t>
  </si>
  <si>
    <t>TITULO DE MARCA</t>
  </si>
  <si>
    <t>TITRENNC</t>
  </si>
  <si>
    <t>TITULO DE RENOVACION DE NOMBRE COMERCIAL</t>
  </si>
  <si>
    <t>TITRENM</t>
  </si>
  <si>
    <t>TITULO DE RENOVACION DE MARCA</t>
  </si>
  <si>
    <t>TITRENAC</t>
  </si>
  <si>
    <t>TITULO DE RENOVACION DE AVISO COMERCIAL</t>
  </si>
  <si>
    <t>TITNC</t>
  </si>
  <si>
    <t>TITULO NOMBRE COMERCIAL</t>
  </si>
  <si>
    <t>TITAC</t>
  </si>
  <si>
    <t>TITULO AVISO COMERCIAL</t>
  </si>
  <si>
    <t>REGISTRO DE MARCA</t>
  </si>
  <si>
    <t>RENNC</t>
  </si>
  <si>
    <t>RENOVACION DE NOMBRE COMERCIAL</t>
  </si>
  <si>
    <t>RENAC</t>
  </si>
  <si>
    <t>RENOVACION DE AVISO COMERCIAL</t>
  </si>
  <si>
    <t>RENOVACION DE MARCA</t>
  </si>
  <si>
    <t>NEG</t>
  </si>
  <si>
    <t>Negativas</t>
  </si>
  <si>
    <t>NC</t>
  </si>
  <si>
    <t>NOMBRE COMERCIAL</t>
  </si>
  <si>
    <t>EF(c)</t>
  </si>
  <si>
    <t>CUSO</t>
  </si>
  <si>
    <t>COMPROBACION DE USO DE MARCA o AVISO COMERCIAL</t>
  </si>
  <si>
    <t>AC</t>
  </si>
  <si>
    <t>AVISO COMERCIAL</t>
  </si>
  <si>
    <t>CONSULTORIA DE FRANQUICIA EMPORIO LEGAL</t>
  </si>
  <si>
    <t>El porcentaje de comision establecida NO es por el costo total del Desarrollo de Franquicia. Es sobre la utilidad generada despues de pagar a los demas consultores involucrados en el proyecto</t>
  </si>
  <si>
    <t>VENTA DE FRANQUICIA O NEGOCIO (TIENDA DE FRANQUICIAS)</t>
  </si>
  <si>
    <t>PAQ</t>
  </si>
  <si>
    <t>catalogo</t>
  </si>
  <si>
    <t>ID</t>
  </si>
  <si>
    <t>venta</t>
  </si>
  <si>
    <t>op</t>
  </si>
  <si>
    <t>ges</t>
  </si>
  <si>
    <t>porc</t>
  </si>
  <si>
    <t>id</t>
  </si>
  <si>
    <t>ven</t>
  </si>
  <si>
    <t>ge</t>
  </si>
  <si>
    <t>ut</t>
  </si>
  <si>
    <t>TRADUCC</t>
  </si>
  <si>
    <t>ISBN</t>
  </si>
  <si>
    <t>EF(MIXTO)</t>
  </si>
  <si>
    <t>RENDUSO</t>
  </si>
  <si>
    <t>LUSO</t>
  </si>
  <si>
    <t>RENOVACION RESERVA DERECHOS: Nombres Art√≠sticos</t>
  </si>
  <si>
    <t>RESERVA DERECHOS: Nombres Art√≠sticos</t>
  </si>
  <si>
    <t>ENTREGA CERTIFICADO RESERVA DERECHOS: Nombres Art√≠sticos</t>
  </si>
  <si>
    <t>PROYECTO LEGAL DE FRANQUICIA Y ANEXOS DE COMERCIALIZACI√ìN</t>
  </si>
  <si>
    <t>TITULO DISE√ëO INDUSTRIAL (microempresa</t>
  </si>
  <si>
    <t>MODELO DE UTILIDAD</t>
  </si>
  <si>
    <t>DISE√ëO INDUSTRIAL (pymes persona moral)</t>
  </si>
  <si>
    <t>DISE√ëO INDUSTRIAL (pymes persona f√≠sica)</t>
  </si>
  <si>
    <t>DISE√ëO INDUSTRIAL (microempresa persona moral)</t>
  </si>
  <si>
    <t>DISE√ëO INDUSTRIAL (microempresa persona f√≠sica)</t>
  </si>
  <si>
    <t>DISE√ëO INDUSTRIAL (grandes y macro persona moral)</t>
  </si>
  <si>
    <t>DISE√ëO INDUSTRIAL (grandes y macro persona f√≠sica)</t>
  </si>
  <si>
    <t>BUSQUEDA TECNICA (micros</t>
  </si>
  <si>
    <t>SOLICITUD DE DECLARACI√ìN ADMINISTRATIVA DE INFRACCI√ìN</t>
  </si>
  <si>
    <t>NOTIFICACI√ìN EXTRAJUDICIAL POR INFRACCI√ìN</t>
  </si>
  <si>
    <t>COSTO POR HORA DE HONORARIOS EN ASESOR√çA O SERVICIOS JURIDICOS GENERALES</t>
  </si>
  <si>
    <t>COSTO POR HORA DE HONORARIOS EN ASESOR√çA O SERVICIOS JURIDICOS ESPECIALIZADOS EN PROPIEDAD INTELECTUAL</t>
  </si>
  <si>
    <t>CONTRATOS LEGALES DE TRANSFERENCIA DE TECNOLOG√çA</t>
  </si>
  <si>
    <t>AUDITOR√çA</t>
  </si>
  <si>
    <t>Oposici√≥n a una solicitud de registro de marca</t>
  </si>
  <si>
    <t>INSCRIPCION DE LICENCIAS</t>
  </si>
  <si>
    <t>CONTESTACION DE REQUERIMIENTOS  (para clientes no registrados con nosotros)</t>
  </si>
  <si>
    <t>CONTESTACION DE IMPEDIMENTO LEGAL (para clientes no registrados con nosotros)</t>
  </si>
  <si>
    <t>CAMBIO DE DOMICILIO SOCIAL O DEL TITULAR</t>
  </si>
  <si>
    <t>CONTESTACION DE ANTERIORIDADES  (para no clientes pero quieren registrar con nosotros)</t>
  </si>
  <si>
    <t>DECLARACION DE USO A CLIENTES EN SU 5o A√ëO (STATEMENT OF USE)</t>
  </si>
  <si>
    <t>EXTENSION DE PLAZO 6 MESES A CLIENTES EN SU 5o A√ëO</t>
  </si>
  <si>
    <t>JUICIO CIVIL (Da√±os y perjuicios</t>
  </si>
  <si>
    <t>Paqueter√≠a</t>
  </si>
  <si>
    <t>ANUALIDADES DE DISE√ëO INDUSTRIAL</t>
  </si>
  <si>
    <t>DECLARACION DE USO DE MARCA</t>
  </si>
  <si>
    <t>TRADUCCION</t>
  </si>
  <si>
    <t>ESTUDIO DE FACTIBILIDAD (Mixto)</t>
  </si>
  <si>
    <t>RENOVACION Y DECLARACION DE USO DE SIGNOS DISNTINTIVOS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</si>
</sst>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2">
    <xf numFmtId="0" fontId="0" fillId="0" borderId="0" xfId="0"/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2" fillId="0" borderId="0" xfId="0" applyFont="1"/>
    <xf numFmtId="0" fontId="3" fillId="0" borderId="2" xfId="0" applyFont="1" applyBorder="1" applyAlignment="1">
      <alignment vertical="top" wrapText="1"/>
    </xf>
    <xf numFmtId="4" fontId="3" fillId="0" borderId="2" xfId="0" applyNumberFormat="1" applyFont="1" applyBorder="1" applyAlignment="1">
      <alignment horizontal="right" vertical="top" wrapText="1"/>
    </xf>
    <xf numFmtId="4" fontId="3" fillId="0" borderId="0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4" fontId="3" fillId="0" borderId="3" xfId="0" applyNumberFormat="1" applyFont="1" applyBorder="1" applyAlignment="1">
      <alignment horizontal="right" vertical="top" wrapText="1"/>
    </xf>
    <xf numFmtId="4" fontId="3" fillId="0" borderId="4" xfId="0" applyNumberFormat="1" applyFont="1" applyBorder="1" applyAlignment="1">
      <alignment horizontal="right" vertical="top" wrapText="1"/>
    </xf>
    <xf numFmtId="0" fontId="3" fillId="0" borderId="5" xfId="0" applyFont="1" applyBorder="1" applyAlignment="1">
      <alignment vertical="top" wrapText="1"/>
    </xf>
    <xf numFmtId="4" fontId="6" fillId="0" borderId="1" xfId="0" applyNumberFormat="1" applyFont="1" applyBorder="1" applyAlignment="1">
      <alignment horizontal="right" vertical="top" wrapText="1"/>
    </xf>
    <xf numFmtId="4" fontId="6" fillId="0" borderId="2" xfId="0" applyNumberFormat="1" applyFont="1" applyBorder="1" applyAlignment="1">
      <alignment horizontal="right" vertical="top" wrapText="1"/>
    </xf>
    <xf numFmtId="0" fontId="3" fillId="0" borderId="6" xfId="0" applyFont="1" applyBorder="1" applyAlignment="1">
      <alignment vertical="top" wrapText="1"/>
    </xf>
    <xf numFmtId="4" fontId="6" fillId="0" borderId="6" xfId="0" applyNumberFormat="1" applyFont="1" applyBorder="1" applyAlignment="1">
      <alignment horizontal="right" vertical="top" wrapText="1"/>
    </xf>
    <xf numFmtId="0" fontId="3" fillId="0" borderId="7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" fontId="6" fillId="0" borderId="3" xfId="0" applyNumberFormat="1" applyFont="1" applyBorder="1" applyAlignment="1">
      <alignment horizontal="right" vertical="top" wrapText="1"/>
    </xf>
    <xf numFmtId="0" fontId="3" fillId="0" borderId="8" xfId="0" applyFont="1" applyBorder="1" applyAlignment="1">
      <alignment vertical="top" wrapText="1"/>
    </xf>
    <xf numFmtId="4" fontId="6" fillId="0" borderId="8" xfId="0" applyNumberFormat="1" applyFont="1" applyBorder="1" applyAlignment="1">
      <alignment horizontal="right" vertical="top" wrapText="1"/>
    </xf>
    <xf numFmtId="4" fontId="6" fillId="0" borderId="9" xfId="0" applyNumberFormat="1" applyFont="1" applyBorder="1" applyAlignment="1">
      <alignment horizontal="right" vertical="top" wrapText="1"/>
    </xf>
    <xf numFmtId="4" fontId="3" fillId="0" borderId="8" xfId="0" applyNumberFormat="1" applyFont="1" applyBorder="1" applyAlignment="1">
      <alignment horizontal="right" vertical="top" wrapText="1"/>
    </xf>
    <xf numFmtId="4" fontId="2" fillId="2" borderId="10" xfId="0" applyNumberFormat="1" applyFont="1" applyFill="1" applyBorder="1" applyAlignment="1">
      <alignment horizontal="center" vertical="top" wrapText="1"/>
    </xf>
    <xf numFmtId="4" fontId="2" fillId="2" borderId="11" xfId="0" applyNumberFormat="1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" fontId="3" fillId="0" borderId="21" xfId="0" applyNumberFormat="1" applyFont="1" applyBorder="1" applyAlignment="1">
      <alignment horizontal="right" vertical="top" wrapText="1"/>
    </xf>
    <xf numFmtId="4" fontId="3" fillId="0" borderId="22" xfId="0" applyNumberFormat="1" applyFont="1" applyBorder="1" applyAlignment="1">
      <alignment horizontal="right" vertical="top" wrapText="1"/>
    </xf>
    <xf numFmtId="4" fontId="3" fillId="0" borderId="6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4" fontId="6" fillId="0" borderId="23" xfId="0" applyNumberFormat="1" applyFont="1" applyBorder="1" applyAlignment="1">
      <alignment horizontal="right" vertical="top" wrapText="1"/>
    </xf>
    <xf numFmtId="4" fontId="6" fillId="0" borderId="24" xfId="0" applyNumberFormat="1" applyFont="1" applyBorder="1" applyAlignment="1">
      <alignment horizontal="right" vertical="top" wrapText="1"/>
    </xf>
    <xf numFmtId="4" fontId="3" fillId="0" borderId="25" xfId="0" applyNumberFormat="1" applyFont="1" applyBorder="1" applyAlignment="1">
      <alignment horizontal="right" vertical="top" wrapText="1"/>
    </xf>
    <xf numFmtId="4" fontId="6" fillId="0" borderId="11" xfId="0" applyNumberFormat="1" applyFont="1" applyBorder="1" applyAlignment="1">
      <alignment horizontal="right" vertical="top" wrapText="1"/>
    </xf>
    <xf numFmtId="0" fontId="2" fillId="0" borderId="8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4" fontId="6" fillId="0" borderId="21" xfId="0" applyNumberFormat="1" applyFont="1" applyBorder="1" applyAlignment="1">
      <alignment horizontal="right" vertical="top" wrapText="1"/>
    </xf>
    <xf numFmtId="0" fontId="3" fillId="0" borderId="22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8" fontId="3" fillId="0" borderId="2" xfId="0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4" fontId="6" fillId="0" borderId="26" xfId="0" applyNumberFormat="1" applyFont="1" applyBorder="1" applyAlignment="1">
      <alignment horizontal="righ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1" xfId="0" applyFont="1" applyBorder="1" applyAlignment="1">
      <alignment vertical="top" wrapText="1"/>
    </xf>
    <xf numFmtId="8" fontId="3" fillId="0" borderId="4" xfId="0" applyNumberFormat="1" applyFont="1" applyBorder="1" applyAlignment="1">
      <alignment horizontal="right" vertical="top" wrapText="1"/>
    </xf>
    <xf numFmtId="8" fontId="3" fillId="0" borderId="21" xfId="0" applyNumberFormat="1" applyFont="1" applyBorder="1" applyAlignment="1">
      <alignment horizontal="righ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vertical="top" wrapText="1"/>
    </xf>
    <xf numFmtId="4" fontId="3" fillId="0" borderId="28" xfId="0" applyNumberFormat="1" applyFont="1" applyBorder="1" applyAlignment="1">
      <alignment horizontal="right" vertical="top" wrapText="1"/>
    </xf>
    <xf numFmtId="4" fontId="6" fillId="0" borderId="7" xfId="0" applyNumberFormat="1" applyFont="1" applyBorder="1" applyAlignment="1">
      <alignment horizontal="right" vertical="top" wrapText="1"/>
    </xf>
    <xf numFmtId="0" fontId="2" fillId="0" borderId="28" xfId="0" applyFont="1" applyBorder="1" applyAlignment="1">
      <alignment vertical="top" wrapText="1"/>
    </xf>
    <xf numFmtId="4" fontId="7" fillId="0" borderId="1" xfId="0" applyNumberFormat="1" applyFont="1" applyBorder="1" applyAlignment="1">
      <alignment horizontal="right" vertical="top" wrapText="1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9" xfId="0" applyNumberFormat="1" applyBorder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0" xfId="0" applyNumberFormat="1" applyBorder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2" fillId="5" borderId="32" xfId="0" applyFont="1" applyFill="1" applyBorder="1" applyAlignment="1">
      <alignment horizontal="center" wrapText="1"/>
    </xf>
    <xf numFmtId="4" fontId="2" fillId="0" borderId="8" xfId="0" applyNumberFormat="1" applyFont="1" applyBorder="1" applyAlignment="1">
      <alignment horizontal="right" vertical="top" wrapText="1"/>
    </xf>
    <xf numFmtId="4" fontId="7" fillId="0" borderId="6" xfId="0" applyNumberFormat="1" applyFont="1" applyBorder="1" applyAlignment="1">
      <alignment horizontal="right" vertical="top" wrapText="1"/>
    </xf>
    <xf numFmtId="4" fontId="7" fillId="0" borderId="8" xfId="0" applyNumberFormat="1" applyFont="1" applyBorder="1" applyAlignment="1">
      <alignment horizontal="right" vertical="top" wrapText="1"/>
    </xf>
    <xf numFmtId="4" fontId="2" fillId="0" borderId="2" xfId="0" applyNumberFormat="1" applyFont="1" applyBorder="1" applyAlignment="1">
      <alignment horizontal="right" vertical="top" wrapText="1"/>
    </xf>
    <xf numFmtId="4" fontId="2" fillId="0" borderId="22" xfId="0" applyNumberFormat="1" applyFont="1" applyBorder="1" applyAlignment="1">
      <alignment horizontal="right" vertical="top" wrapText="1"/>
    </xf>
    <xf numFmtId="4" fontId="7" fillId="0" borderId="2" xfId="0" applyNumberFormat="1" applyFont="1" applyBorder="1" applyAlignment="1">
      <alignment horizontal="right" vertical="top" wrapText="1"/>
    </xf>
    <xf numFmtId="4" fontId="6" fillId="0" borderId="33" xfId="0" applyNumberFormat="1" applyFont="1" applyBorder="1" applyAlignment="1">
      <alignment horizontal="righ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vertical="top" wrapText="1"/>
    </xf>
    <xf numFmtId="4" fontId="3" fillId="0" borderId="36" xfId="0" applyNumberFormat="1" applyFont="1" applyBorder="1" applyAlignment="1">
      <alignment horizontal="right" vertical="top" wrapText="1"/>
    </xf>
    <xf numFmtId="4" fontId="2" fillId="6" borderId="1" xfId="0" applyNumberFormat="1" applyFont="1" applyFill="1" applyBorder="1" applyAlignment="1">
      <alignment horizontal="right" vertical="top" wrapText="1"/>
    </xf>
    <xf numFmtId="4" fontId="7" fillId="6" borderId="8" xfId="0" applyNumberFormat="1" applyFont="1" applyFill="1" applyBorder="1" applyAlignment="1">
      <alignment horizontal="right" vertical="top" wrapText="1"/>
    </xf>
    <xf numFmtId="4" fontId="2" fillId="0" borderId="4" xfId="0" applyNumberFormat="1" applyFont="1" applyBorder="1" applyAlignment="1">
      <alignment horizontal="right" vertical="top" wrapText="1"/>
    </xf>
    <xf numFmtId="0" fontId="3" fillId="0" borderId="20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4" fontId="3" fillId="0" borderId="10" xfId="0" applyNumberFormat="1" applyFont="1" applyBorder="1" applyAlignment="1">
      <alignment horizontal="right" vertical="top" wrapText="1"/>
    </xf>
    <xf numFmtId="4" fontId="7" fillId="0" borderId="10" xfId="0" applyNumberFormat="1" applyFont="1" applyBorder="1" applyAlignment="1">
      <alignment horizontal="right" vertical="top" wrapText="1"/>
    </xf>
    <xf numFmtId="0" fontId="3" fillId="0" borderId="37" xfId="0" applyFont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4" fontId="3" fillId="0" borderId="35" xfId="0" applyNumberFormat="1" applyFont="1" applyBorder="1" applyAlignment="1">
      <alignment horizontal="right" vertical="top" wrapText="1"/>
    </xf>
    <xf numFmtId="4" fontId="7" fillId="0" borderId="35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4" fontId="7" fillId="6" borderId="2" xfId="0" applyNumberFormat="1" applyFont="1" applyFill="1" applyBorder="1" applyAlignment="1">
      <alignment horizontal="right" vertical="top" wrapText="1"/>
    </xf>
    <xf numFmtId="4" fontId="6" fillId="0" borderId="38" xfId="0" applyNumberFormat="1" applyFont="1" applyBorder="1" applyAlignment="1">
      <alignment horizontal="right" vertical="top" wrapText="1"/>
    </xf>
    <xf numFmtId="4" fontId="6" fillId="0" borderId="39" xfId="0" applyNumberFormat="1" applyFont="1" applyBorder="1" applyAlignment="1">
      <alignment horizontal="right" vertical="top" wrapText="1"/>
    </xf>
    <xf numFmtId="4" fontId="6" fillId="0" borderId="40" xfId="0" applyNumberFormat="1" applyFont="1" applyBorder="1" applyAlignment="1">
      <alignment horizontal="right" vertical="top" wrapText="1"/>
    </xf>
    <xf numFmtId="0" fontId="3" fillId="0" borderId="41" xfId="0" applyFont="1" applyBorder="1" applyAlignment="1">
      <alignment horizontal="left" vertical="top" wrapText="1"/>
    </xf>
    <xf numFmtId="0" fontId="3" fillId="0" borderId="42" xfId="0" applyFont="1" applyBorder="1" applyAlignment="1">
      <alignment vertical="top" wrapText="1"/>
    </xf>
    <xf numFmtId="4" fontId="3" fillId="0" borderId="42" xfId="0" applyNumberFormat="1" applyFont="1" applyBorder="1" applyAlignment="1">
      <alignment horizontal="right" vertical="top" wrapText="1"/>
    </xf>
    <xf numFmtId="4" fontId="2" fillId="0" borderId="42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4" fontId="6" fillId="0" borderId="43" xfId="0" applyNumberFormat="1" applyFont="1" applyBorder="1" applyAlignment="1">
      <alignment horizontal="right" vertical="top" wrapText="1"/>
    </xf>
    <xf numFmtId="4" fontId="7" fillId="0" borderId="28" xfId="0" applyNumberFormat="1" applyFont="1" applyBorder="1" applyAlignment="1">
      <alignment horizontal="right" vertical="top" wrapText="1"/>
    </xf>
    <xf numFmtId="4" fontId="6" fillId="0" borderId="44" xfId="0" applyNumberFormat="1" applyFont="1" applyBorder="1" applyAlignment="1">
      <alignment horizontal="right" vertical="top" wrapText="1"/>
    </xf>
    <xf numFmtId="4" fontId="7" fillId="6" borderId="35" xfId="0" applyNumberFormat="1" applyFont="1" applyFill="1" applyBorder="1" applyAlignment="1">
      <alignment horizontal="right" vertical="top" wrapText="1"/>
    </xf>
    <xf numFmtId="4" fontId="7" fillId="6" borderId="22" xfId="0" applyNumberFormat="1" applyFont="1" applyFill="1" applyBorder="1" applyAlignment="1">
      <alignment horizontal="right" vertical="top" wrapText="1"/>
    </xf>
    <xf numFmtId="4" fontId="2" fillId="2" borderId="45" xfId="0" applyNumberFormat="1" applyFont="1" applyFill="1" applyBorder="1" applyAlignment="1">
      <alignment horizontal="center" vertical="top" wrapText="1"/>
    </xf>
    <xf numFmtId="4" fontId="2" fillId="2" borderId="46" xfId="0" applyNumberFormat="1" applyFont="1" applyFill="1" applyBorder="1" applyAlignment="1">
      <alignment horizontal="center" vertical="top" wrapText="1"/>
    </xf>
    <xf numFmtId="0" fontId="3" fillId="0" borderId="27" xfId="0" applyFont="1" applyBorder="1"/>
    <xf numFmtId="0" fontId="3" fillId="0" borderId="38" xfId="0" applyFont="1" applyBorder="1"/>
    <xf numFmtId="0" fontId="3" fillId="0" borderId="15" xfId="0" applyFont="1" applyBorder="1"/>
    <xf numFmtId="0" fontId="3" fillId="0" borderId="39" xfId="0" applyFont="1" applyBorder="1"/>
    <xf numFmtId="0" fontId="3" fillId="0" borderId="16" xfId="0" applyFont="1" applyBorder="1"/>
    <xf numFmtId="0" fontId="3" fillId="0" borderId="40" xfId="0" applyFont="1" applyBorder="1"/>
    <xf numFmtId="0" fontId="3" fillId="0" borderId="47" xfId="0" applyFont="1" applyBorder="1" applyAlignment="1">
      <alignment horizontal="left" vertical="top" wrapText="1"/>
    </xf>
    <xf numFmtId="4" fontId="3" fillId="0" borderId="7" xfId="0" applyNumberFormat="1" applyFont="1" applyBorder="1" applyAlignment="1">
      <alignment horizontal="right" vertical="top" wrapText="1"/>
    </xf>
    <xf numFmtId="0" fontId="3" fillId="6" borderId="4" xfId="0" applyFont="1" applyFill="1" applyBorder="1" applyAlignment="1">
      <alignment vertical="top" wrapText="1"/>
    </xf>
    <xf numFmtId="0" fontId="3" fillId="0" borderId="0" xfId="0" applyFont="1" applyFill="1"/>
    <xf numFmtId="4" fontId="3" fillId="0" borderId="2" xfId="0" applyNumberFormat="1" applyFont="1" applyBorder="1"/>
    <xf numFmtId="0" fontId="3" fillId="7" borderId="2" xfId="0" applyFont="1" applyFill="1" applyBorder="1" applyAlignment="1">
      <alignment horizontal="left" vertical="top" wrapText="1"/>
    </xf>
    <xf numFmtId="4" fontId="6" fillId="7" borderId="2" xfId="0" applyNumberFormat="1" applyFont="1" applyFill="1" applyBorder="1" applyAlignment="1">
      <alignment horizontal="right" vertical="top" wrapText="1"/>
    </xf>
    <xf numFmtId="9" fontId="3" fillId="0" borderId="2" xfId="0" applyNumberFormat="1" applyFont="1" applyBorder="1" applyAlignment="1">
      <alignment horizontal="right" vertical="top" wrapText="1"/>
    </xf>
    <xf numFmtId="4" fontId="3" fillId="6" borderId="2" xfId="0" applyNumberFormat="1" applyFont="1" applyFill="1" applyBorder="1" applyAlignment="1">
      <alignment horizontal="right" vertical="top" wrapText="1"/>
    </xf>
    <xf numFmtId="9" fontId="3" fillId="6" borderId="2" xfId="0" applyNumberFormat="1" applyFont="1" applyFill="1" applyBorder="1" applyAlignment="1">
      <alignment horizontal="right" vertical="top" wrapText="1"/>
    </xf>
    <xf numFmtId="4" fontId="3" fillId="0" borderId="2" xfId="0" applyNumberFormat="1" applyFont="1" applyFill="1" applyBorder="1" applyAlignment="1">
      <alignment horizontal="right" vertical="top" wrapText="1"/>
    </xf>
    <xf numFmtId="0" fontId="3" fillId="6" borderId="2" xfId="0" applyFont="1" applyFill="1" applyBorder="1" applyAlignment="1">
      <alignment vertical="top" wrapText="1"/>
    </xf>
    <xf numFmtId="4" fontId="6" fillId="6" borderId="2" xfId="0" applyNumberFormat="1" applyFont="1" applyFill="1" applyBorder="1" applyAlignment="1">
      <alignment horizontal="right" vertical="top" wrapText="1"/>
    </xf>
    <xf numFmtId="4" fontId="3" fillId="6" borderId="2" xfId="0" applyNumberFormat="1" applyFont="1" applyFill="1" applyBorder="1"/>
    <xf numFmtId="10" fontId="3" fillId="0" borderId="2" xfId="0" applyNumberFormat="1" applyFont="1" applyBorder="1" applyAlignment="1">
      <alignment horizontal="right" vertical="top" wrapText="1"/>
    </xf>
    <xf numFmtId="10" fontId="3" fillId="6" borderId="2" xfId="0" applyNumberFormat="1" applyFont="1" applyFill="1" applyBorder="1" applyAlignment="1">
      <alignment horizontal="right" vertical="top" wrapText="1"/>
    </xf>
    <xf numFmtId="10" fontId="3" fillId="0" borderId="0" xfId="0" applyNumberFormat="1" applyFont="1"/>
    <xf numFmtId="10" fontId="3" fillId="0" borderId="0" xfId="0" applyNumberFormat="1" applyFont="1" applyBorder="1"/>
    <xf numFmtId="10" fontId="3" fillId="0" borderId="2" xfId="0" applyNumberFormat="1" applyFont="1" applyFill="1" applyBorder="1" applyAlignment="1">
      <alignment horizontal="right" vertical="top" wrapText="1"/>
    </xf>
    <xf numFmtId="4" fontId="3" fillId="8" borderId="2" xfId="0" applyNumberFormat="1" applyFont="1" applyFill="1" applyBorder="1" applyAlignment="1">
      <alignment horizontal="right" vertical="top" wrapText="1"/>
    </xf>
    <xf numFmtId="10" fontId="3" fillId="8" borderId="2" xfId="0" applyNumberFormat="1" applyFont="1" applyFill="1" applyBorder="1" applyAlignment="1">
      <alignment horizontal="right" vertical="top" wrapText="1"/>
    </xf>
    <xf numFmtId="8" fontId="3" fillId="0" borderId="2" xfId="0" applyNumberFormat="1" applyFont="1" applyFill="1" applyBorder="1" applyAlignment="1">
      <alignment horizontal="right" vertical="top" wrapText="1"/>
    </xf>
    <xf numFmtId="4" fontId="3" fillId="0" borderId="21" xfId="0" applyNumberFormat="1" applyFont="1" applyFill="1" applyBorder="1" applyAlignment="1">
      <alignment horizontal="right" vertical="top" wrapText="1"/>
    </xf>
    <xf numFmtId="4" fontId="3" fillId="0" borderId="28" xfId="0" applyNumberFormat="1" applyFont="1" applyFill="1" applyBorder="1" applyAlignment="1">
      <alignment horizontal="right" vertical="top" wrapText="1"/>
    </xf>
    <xf numFmtId="4" fontId="3" fillId="0" borderId="22" xfId="0" applyNumberFormat="1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2" fillId="2" borderId="42" xfId="0" applyFont="1" applyFill="1" applyBorder="1" applyAlignment="1">
      <alignment horizontal="left" vertical="top" wrapText="1"/>
    </xf>
    <xf numFmtId="4" fontId="2" fillId="2" borderId="42" xfId="0" applyNumberFormat="1" applyFont="1" applyFill="1" applyBorder="1" applyAlignment="1">
      <alignment horizontal="center" vertical="top" wrapText="1"/>
    </xf>
    <xf numFmtId="4" fontId="2" fillId="2" borderId="4" xfId="0" applyNumberFormat="1" applyFont="1" applyFill="1" applyBorder="1" applyAlignment="1">
      <alignment horizontal="center" vertical="top" wrapText="1"/>
    </xf>
    <xf numFmtId="10" fontId="2" fillId="2" borderId="4" xfId="0" applyNumberFormat="1" applyFont="1" applyFill="1" applyBorder="1" applyAlignment="1">
      <alignment horizontal="center" vertical="top" wrapText="1"/>
    </xf>
    <xf numFmtId="0" fontId="3" fillId="0" borderId="2" xfId="0" applyFont="1" applyBorder="1"/>
    <xf numFmtId="4" fontId="6" fillId="0" borderId="48" xfId="0" applyNumberFormat="1" applyFont="1" applyBorder="1" applyAlignment="1">
      <alignment horizontal="right" vertical="top" wrapText="1"/>
    </xf>
    <xf numFmtId="4" fontId="6" fillId="0" borderId="49" xfId="0" applyNumberFormat="1" applyFont="1" applyBorder="1" applyAlignment="1">
      <alignment horizontal="right" vertical="top" wrapText="1"/>
    </xf>
    <xf numFmtId="4" fontId="3" fillId="6" borderId="4" xfId="0" applyNumberFormat="1" applyFont="1" applyFill="1" applyBorder="1" applyAlignment="1">
      <alignment horizontal="right" vertical="top" wrapText="1"/>
    </xf>
    <xf numFmtId="4" fontId="7" fillId="6" borderId="4" xfId="0" applyNumberFormat="1" applyFont="1" applyFill="1" applyBorder="1" applyAlignment="1">
      <alignment horizontal="right" vertical="top" wrapText="1"/>
    </xf>
    <xf numFmtId="4" fontId="6" fillId="6" borderId="4" xfId="0" applyNumberFormat="1" applyFont="1" applyFill="1" applyBorder="1" applyAlignment="1">
      <alignment horizontal="right" vertical="top" wrapText="1"/>
    </xf>
    <xf numFmtId="4" fontId="3" fillId="8" borderId="4" xfId="0" applyNumberFormat="1" applyFont="1" applyFill="1" applyBorder="1" applyAlignment="1">
      <alignment horizontal="right" vertical="top" wrapText="1"/>
    </xf>
    <xf numFmtId="10" fontId="3" fillId="8" borderId="4" xfId="0" applyNumberFormat="1" applyFont="1" applyFill="1" applyBorder="1" applyAlignment="1">
      <alignment horizontal="right" vertical="top" wrapText="1"/>
    </xf>
    <xf numFmtId="10" fontId="3" fillId="6" borderId="4" xfId="0" applyNumberFormat="1" applyFont="1" applyFill="1" applyBorder="1" applyAlignment="1">
      <alignment horizontal="right" vertical="top" wrapText="1"/>
    </xf>
    <xf numFmtId="4" fontId="3" fillId="6" borderId="4" xfId="0" applyNumberFormat="1" applyFont="1" applyFill="1" applyBorder="1"/>
    <xf numFmtId="9" fontId="3" fillId="6" borderId="4" xfId="0" applyNumberFormat="1" applyFont="1" applyFill="1" applyBorder="1" applyAlignment="1">
      <alignment horizontal="right" vertical="top" wrapText="1"/>
    </xf>
    <xf numFmtId="4" fontId="3" fillId="8" borderId="21" xfId="0" applyNumberFormat="1" applyFont="1" applyFill="1" applyBorder="1" applyAlignment="1">
      <alignment horizontal="right" vertical="top" wrapText="1"/>
    </xf>
    <xf numFmtId="10" fontId="3" fillId="8" borderId="21" xfId="0" applyNumberFormat="1" applyFont="1" applyFill="1" applyBorder="1" applyAlignment="1">
      <alignment horizontal="right" vertical="top" wrapText="1"/>
    </xf>
    <xf numFmtId="4" fontId="3" fillId="6" borderId="21" xfId="0" applyNumberFormat="1" applyFont="1" applyFill="1" applyBorder="1" applyAlignment="1">
      <alignment horizontal="right" vertical="top" wrapText="1"/>
    </xf>
    <xf numFmtId="10" fontId="3" fillId="6" borderId="21" xfId="0" applyNumberFormat="1" applyFont="1" applyFill="1" applyBorder="1" applyAlignment="1">
      <alignment horizontal="right" vertical="top" wrapText="1"/>
    </xf>
    <xf numFmtId="4" fontId="3" fillId="6" borderId="21" xfId="0" applyNumberFormat="1" applyFont="1" applyFill="1" applyBorder="1"/>
    <xf numFmtId="9" fontId="3" fillId="6" borderId="21" xfId="0" applyNumberFormat="1" applyFont="1" applyFill="1" applyBorder="1" applyAlignment="1">
      <alignment horizontal="right" vertical="top" wrapText="1"/>
    </xf>
    <xf numFmtId="0" fontId="3" fillId="0" borderId="50" xfId="0" applyFont="1" applyBorder="1" applyAlignment="1">
      <alignment horizontal="left" vertical="top" wrapText="1"/>
    </xf>
    <xf numFmtId="4" fontId="3" fillId="0" borderId="51" xfId="0" applyNumberFormat="1" applyFont="1" applyBorder="1" applyAlignment="1">
      <alignment horizontal="right" vertical="top" wrapText="1"/>
    </xf>
    <xf numFmtId="4" fontId="7" fillId="6" borderId="42" xfId="0" applyNumberFormat="1" applyFont="1" applyFill="1" applyBorder="1" applyAlignment="1">
      <alignment horizontal="right" vertical="top" wrapText="1"/>
    </xf>
    <xf numFmtId="0" fontId="2" fillId="0" borderId="52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4" fontId="7" fillId="6" borderId="21" xfId="0" applyNumberFormat="1" applyFont="1" applyFill="1" applyBorder="1" applyAlignment="1">
      <alignment horizontal="right" vertical="top" wrapText="1"/>
    </xf>
    <xf numFmtId="4" fontId="6" fillId="0" borderId="53" xfId="0" applyNumberFormat="1" applyFont="1" applyBorder="1" applyAlignment="1">
      <alignment horizontal="right" vertical="top" wrapText="1"/>
    </xf>
    <xf numFmtId="0" fontId="3" fillId="7" borderId="21" xfId="0" applyFont="1" applyFill="1" applyBorder="1" applyAlignment="1">
      <alignment horizontal="left" vertical="top" wrapText="1"/>
    </xf>
    <xf numFmtId="4" fontId="7" fillId="0" borderId="21" xfId="0" applyNumberFormat="1" applyFont="1" applyBorder="1" applyAlignment="1">
      <alignment horizontal="right" vertical="top" wrapText="1"/>
    </xf>
    <xf numFmtId="10" fontId="3" fillId="0" borderId="21" xfId="0" applyNumberFormat="1" applyFont="1" applyBorder="1" applyAlignment="1">
      <alignment horizontal="right" vertical="top" wrapText="1"/>
    </xf>
    <xf numFmtId="9" fontId="3" fillId="0" borderId="21" xfId="0" applyNumberFormat="1" applyFont="1" applyBorder="1" applyAlignment="1">
      <alignment horizontal="right" vertical="top" wrapText="1"/>
    </xf>
    <xf numFmtId="4" fontId="2" fillId="2" borderId="25" xfId="0" applyNumberFormat="1" applyFont="1" applyFill="1" applyBorder="1" applyAlignment="1">
      <alignment horizontal="center" vertical="top" wrapText="1"/>
    </xf>
    <xf numFmtId="10" fontId="2" fillId="2" borderId="25" xfId="0" applyNumberFormat="1" applyFont="1" applyFill="1" applyBorder="1" applyAlignment="1">
      <alignment horizontal="center" vertical="top" wrapText="1"/>
    </xf>
    <xf numFmtId="4" fontId="2" fillId="2" borderId="54" xfId="0" applyNumberFormat="1" applyFont="1" applyFill="1" applyBorder="1" applyAlignment="1">
      <alignment horizontal="center" vertical="top" wrapText="1"/>
    </xf>
    <xf numFmtId="4" fontId="3" fillId="0" borderId="2" xfId="0" applyNumberFormat="1" applyFont="1" applyFill="1" applyBorder="1" applyAlignment="1">
      <alignment vertical="top"/>
    </xf>
    <xf numFmtId="9" fontId="3" fillId="0" borderId="2" xfId="0" applyNumberFormat="1" applyFont="1" applyFill="1" applyBorder="1" applyAlignment="1">
      <alignment horizontal="right" vertical="top" wrapText="1"/>
    </xf>
    <xf numFmtId="4" fontId="7" fillId="0" borderId="4" xfId="0" applyNumberFormat="1" applyFont="1" applyBorder="1" applyAlignment="1">
      <alignment horizontal="right" vertical="top" wrapText="1"/>
    </xf>
    <xf numFmtId="4" fontId="3" fillId="0" borderId="4" xfId="0" applyNumberFormat="1" applyFont="1" applyFill="1" applyBorder="1" applyAlignment="1">
      <alignment horizontal="right" vertical="top" wrapText="1"/>
    </xf>
    <xf numFmtId="10" fontId="3" fillId="0" borderId="4" xfId="0" applyNumberFormat="1" applyFont="1" applyFill="1" applyBorder="1" applyAlignment="1">
      <alignment horizontal="right" vertical="top" wrapText="1"/>
    </xf>
    <xf numFmtId="4" fontId="3" fillId="0" borderId="4" xfId="0" applyNumberFormat="1" applyFont="1" applyFill="1" applyBorder="1" applyAlignment="1">
      <alignment vertical="top"/>
    </xf>
    <xf numFmtId="9" fontId="3" fillId="0" borderId="4" xfId="0" applyNumberFormat="1" applyFont="1" applyFill="1" applyBorder="1" applyAlignment="1">
      <alignment horizontal="right" vertical="top" wrapText="1"/>
    </xf>
    <xf numFmtId="10" fontId="3" fillId="0" borderId="21" xfId="0" applyNumberFormat="1" applyFont="1" applyFill="1" applyBorder="1" applyAlignment="1">
      <alignment horizontal="right" vertical="top" wrapText="1"/>
    </xf>
    <xf numFmtId="4" fontId="3" fillId="0" borderId="21" xfId="0" applyNumberFormat="1" applyFont="1" applyFill="1" applyBorder="1" applyAlignment="1">
      <alignment vertical="top"/>
    </xf>
    <xf numFmtId="9" fontId="3" fillId="0" borderId="21" xfId="0" applyNumberFormat="1" applyFont="1" applyFill="1" applyBorder="1" applyAlignment="1">
      <alignment horizontal="right" vertical="top" wrapText="1"/>
    </xf>
    <xf numFmtId="4" fontId="10" fillId="0" borderId="4" xfId="0" applyNumberFormat="1" applyFont="1" applyBorder="1" applyAlignment="1">
      <alignment horizontal="right" vertical="top" wrapText="1"/>
    </xf>
    <xf numFmtId="8" fontId="3" fillId="0" borderId="21" xfId="0" applyNumberFormat="1" applyFont="1" applyFill="1" applyBorder="1" applyAlignment="1">
      <alignment horizontal="right" vertical="top" wrapText="1"/>
    </xf>
    <xf numFmtId="4" fontId="11" fillId="0" borderId="8" xfId="0" applyNumberFormat="1" applyFont="1" applyBorder="1" applyAlignment="1">
      <alignment horizontal="right" vertical="top" wrapText="1"/>
    </xf>
    <xf numFmtId="4" fontId="11" fillId="0" borderId="1" xfId="0" applyNumberFormat="1" applyFont="1" applyBorder="1" applyAlignment="1">
      <alignment horizontal="right" vertical="top" wrapText="1"/>
    </xf>
    <xf numFmtId="4" fontId="11" fillId="0" borderId="3" xfId="0" applyNumberFormat="1" applyFont="1" applyBorder="1" applyAlignment="1">
      <alignment horizontal="right" vertical="top" wrapText="1"/>
    </xf>
    <xf numFmtId="4" fontId="11" fillId="0" borderId="2" xfId="0" applyNumberFormat="1" applyFont="1" applyBorder="1" applyAlignment="1">
      <alignment horizontal="right" vertical="top" wrapText="1"/>
    </xf>
    <xf numFmtId="4" fontId="6" fillId="0" borderId="28" xfId="0" applyNumberFormat="1" applyFont="1" applyBorder="1" applyAlignment="1">
      <alignment horizontal="right" vertical="top" wrapText="1"/>
    </xf>
    <xf numFmtId="10" fontId="3" fillId="0" borderId="28" xfId="0" applyNumberFormat="1" applyFont="1" applyFill="1" applyBorder="1" applyAlignment="1">
      <alignment horizontal="right" vertical="top" wrapText="1"/>
    </xf>
    <xf numFmtId="4" fontId="3" fillId="0" borderId="28" xfId="0" applyNumberFormat="1" applyFont="1" applyFill="1" applyBorder="1" applyAlignment="1">
      <alignment vertical="top"/>
    </xf>
    <xf numFmtId="9" fontId="3" fillId="0" borderId="38" xfId="0" applyNumberFormat="1" applyFont="1" applyFill="1" applyBorder="1" applyAlignment="1">
      <alignment horizontal="right" vertical="top" wrapText="1"/>
    </xf>
    <xf numFmtId="9" fontId="3" fillId="0" borderId="39" xfId="0" applyNumberFormat="1" applyFont="1" applyFill="1" applyBorder="1" applyAlignment="1">
      <alignment horizontal="right" vertical="top" wrapText="1"/>
    </xf>
    <xf numFmtId="4" fontId="11" fillId="0" borderId="22" xfId="0" applyNumberFormat="1" applyFont="1" applyBorder="1" applyAlignment="1">
      <alignment horizontal="right" vertical="top" wrapText="1"/>
    </xf>
    <xf numFmtId="4" fontId="6" fillId="0" borderId="22" xfId="0" applyNumberFormat="1" applyFont="1" applyBorder="1" applyAlignment="1">
      <alignment horizontal="right" vertical="top" wrapText="1"/>
    </xf>
    <xf numFmtId="10" fontId="3" fillId="0" borderId="22" xfId="0" applyNumberFormat="1" applyFont="1" applyFill="1" applyBorder="1" applyAlignment="1">
      <alignment horizontal="right" vertical="top" wrapText="1"/>
    </xf>
    <xf numFmtId="4" fontId="3" fillId="0" borderId="22" xfId="0" applyNumberFormat="1" applyFont="1" applyFill="1" applyBorder="1" applyAlignment="1">
      <alignment vertical="top"/>
    </xf>
    <xf numFmtId="9" fontId="3" fillId="0" borderId="40" xfId="0" applyNumberFormat="1" applyFont="1" applyFill="1" applyBorder="1" applyAlignment="1">
      <alignment horizontal="right" vertical="top" wrapText="1"/>
    </xf>
    <xf numFmtId="8" fontId="3" fillId="0" borderId="28" xfId="0" applyNumberFormat="1" applyFont="1" applyBorder="1" applyAlignment="1">
      <alignment horizontal="right" vertical="top" wrapText="1"/>
    </xf>
    <xf numFmtId="4" fontId="11" fillId="0" borderId="28" xfId="0" applyNumberFormat="1" applyFont="1" applyBorder="1" applyAlignment="1">
      <alignment horizontal="right" vertical="top" wrapText="1"/>
    </xf>
    <xf numFmtId="0" fontId="2" fillId="9" borderId="55" xfId="0" applyFont="1" applyFill="1" applyBorder="1" applyAlignment="1">
      <alignment horizontal="left" vertical="top" wrapText="1"/>
    </xf>
    <xf numFmtId="0" fontId="2" fillId="9" borderId="56" xfId="0" applyFont="1" applyFill="1" applyBorder="1" applyAlignment="1">
      <alignment horizontal="center" vertical="top" wrapText="1"/>
    </xf>
    <xf numFmtId="4" fontId="2" fillId="9" borderId="56" xfId="0" applyNumberFormat="1" applyFont="1" applyFill="1" applyBorder="1" applyAlignment="1">
      <alignment horizontal="center" vertical="top" wrapText="1"/>
    </xf>
    <xf numFmtId="4" fontId="2" fillId="9" borderId="57" xfId="0" applyNumberFormat="1" applyFont="1" applyFill="1" applyBorder="1" applyAlignment="1">
      <alignment horizontal="center" vertical="top" wrapText="1"/>
    </xf>
    <xf numFmtId="4" fontId="11" fillId="0" borderId="21" xfId="0" applyNumberFormat="1" applyFont="1" applyBorder="1" applyAlignment="1">
      <alignment horizontal="right" vertical="top" wrapText="1"/>
    </xf>
    <xf numFmtId="9" fontId="3" fillId="0" borderId="53" xfId="0" applyNumberFormat="1" applyFont="1" applyFill="1" applyBorder="1" applyAlignment="1">
      <alignment horizontal="right" vertical="top" wrapText="1"/>
    </xf>
    <xf numFmtId="4" fontId="3" fillId="0" borderId="36" xfId="0" applyNumberFormat="1" applyFont="1" applyFill="1" applyBorder="1" applyAlignment="1">
      <alignment horizontal="right" vertical="top" wrapText="1"/>
    </xf>
    <xf numFmtId="4" fontId="3" fillId="10" borderId="2" xfId="0" applyNumberFormat="1" applyFont="1" applyFill="1" applyBorder="1" applyAlignment="1">
      <alignment horizontal="right" vertical="top" wrapText="1"/>
    </xf>
    <xf numFmtId="10" fontId="3" fillId="10" borderId="21" xfId="0" applyNumberFormat="1" applyFont="1" applyFill="1" applyBorder="1" applyAlignment="1">
      <alignment horizontal="right" vertical="top" wrapText="1"/>
    </xf>
    <xf numFmtId="4" fontId="3" fillId="10" borderId="2" xfId="0" applyNumberFormat="1" applyFont="1" applyFill="1" applyBorder="1"/>
    <xf numFmtId="4" fontId="3" fillId="10" borderId="21" xfId="0" applyNumberFormat="1" applyFont="1" applyFill="1" applyBorder="1" applyAlignment="1">
      <alignment horizontal="right" vertical="top" wrapText="1"/>
    </xf>
    <xf numFmtId="4" fontId="3" fillId="10" borderId="21" xfId="0" applyNumberFormat="1" applyFont="1" applyFill="1" applyBorder="1"/>
    <xf numFmtId="0" fontId="2" fillId="5" borderId="58" xfId="0" applyFont="1" applyFill="1" applyBorder="1" applyAlignment="1">
      <alignment horizontal="center"/>
    </xf>
    <xf numFmtId="0" fontId="2" fillId="5" borderId="58" xfId="0" applyFont="1" applyFill="1" applyBorder="1" applyAlignment="1">
      <alignment horizontal="center" wrapText="1"/>
    </xf>
    <xf numFmtId="0" fontId="12" fillId="10" borderId="2" xfId="0" applyFont="1" applyFill="1" applyBorder="1" applyAlignment="1"/>
    <xf numFmtId="44" fontId="12" fillId="10" borderId="2" xfId="1" applyFont="1" applyFill="1" applyBorder="1" applyAlignment="1">
      <alignment horizontal="center" vertical="center"/>
    </xf>
    <xf numFmtId="164" fontId="12" fillId="10" borderId="2" xfId="1" applyNumberFormat="1" applyFont="1" applyFill="1" applyBorder="1" applyAlignment="1">
      <alignment horizontal="center" vertical="center"/>
    </xf>
    <xf numFmtId="10" fontId="3" fillId="10" borderId="2" xfId="0" applyNumberFormat="1" applyFont="1" applyFill="1" applyBorder="1" applyAlignment="1">
      <alignment horizontal="right" vertical="top" wrapText="1"/>
    </xf>
    <xf numFmtId="0" fontId="12" fillId="10" borderId="21" xfId="0" applyFont="1" applyFill="1" applyBorder="1" applyAlignment="1"/>
    <xf numFmtId="44" fontId="12" fillId="10" borderId="21" xfId="1" applyFont="1" applyFill="1" applyBorder="1" applyAlignment="1">
      <alignment horizontal="center" vertical="center"/>
    </xf>
    <xf numFmtId="164" fontId="12" fillId="10" borderId="21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59" xfId="0" applyFont="1" applyFill="1" applyBorder="1" applyAlignment="1">
      <alignment horizontal="left" vertical="top" wrapText="1"/>
    </xf>
    <xf numFmtId="4" fontId="2" fillId="2" borderId="60" xfId="0" applyNumberFormat="1" applyFont="1" applyFill="1" applyBorder="1" applyAlignment="1">
      <alignment horizontal="center" vertical="top" wrapText="1"/>
    </xf>
    <xf numFmtId="0" fontId="13" fillId="11" borderId="58" xfId="0" applyFont="1" applyFill="1" applyBorder="1" applyAlignment="1"/>
    <xf numFmtId="0" fontId="13" fillId="11" borderId="0" xfId="0" applyFont="1" applyFill="1" applyBorder="1" applyAlignment="1">
      <alignment wrapText="1"/>
    </xf>
    <xf numFmtId="4" fontId="6" fillId="0" borderId="61" xfId="0" applyNumberFormat="1" applyFont="1" applyBorder="1" applyAlignment="1">
      <alignment horizontal="right" vertical="top" wrapText="1"/>
    </xf>
    <xf numFmtId="10" fontId="3" fillId="0" borderId="4" xfId="0" applyNumberFormat="1" applyFont="1" applyBorder="1" applyAlignment="1">
      <alignment horizontal="right" vertical="top" wrapText="1"/>
    </xf>
    <xf numFmtId="0" fontId="13" fillId="11" borderId="59" xfId="0" applyFont="1" applyFill="1" applyBorder="1" applyAlignment="1"/>
    <xf numFmtId="0" fontId="13" fillId="11" borderId="59" xfId="0" applyFont="1" applyFill="1" applyBorder="1" applyAlignment="1">
      <alignment wrapText="1"/>
    </xf>
    <xf numFmtId="4" fontId="6" fillId="0" borderId="42" xfId="0" applyNumberFormat="1" applyFont="1" applyBorder="1" applyAlignment="1">
      <alignment horizontal="right" vertical="top" wrapText="1"/>
    </xf>
    <xf numFmtId="4" fontId="6" fillId="0" borderId="51" xfId="0" applyNumberFormat="1" applyFont="1" applyBorder="1" applyAlignment="1">
      <alignment horizontal="right" vertical="top" wrapText="1"/>
    </xf>
    <xf numFmtId="4" fontId="3" fillId="0" borderId="4" xfId="0" applyNumberFormat="1" applyFont="1" applyBorder="1"/>
    <xf numFmtId="9" fontId="3" fillId="0" borderId="4" xfId="0" applyNumberFormat="1" applyFont="1" applyBorder="1" applyAlignment="1">
      <alignment horizontal="right" vertical="top" wrapText="1"/>
    </xf>
    <xf numFmtId="4" fontId="3" fillId="7" borderId="2" xfId="0" applyNumberFormat="1" applyFont="1" applyFill="1" applyBorder="1" applyAlignment="1">
      <alignment horizontal="right" vertical="top" wrapText="1"/>
    </xf>
    <xf numFmtId="10" fontId="3" fillId="7" borderId="2" xfId="0" applyNumberFormat="1" applyFont="1" applyFill="1" applyBorder="1" applyAlignment="1">
      <alignment horizontal="right" vertical="top" wrapText="1"/>
    </xf>
    <xf numFmtId="4" fontId="3" fillId="7" borderId="21" xfId="0" applyNumberFormat="1" applyFont="1" applyFill="1" applyBorder="1" applyAlignment="1">
      <alignment horizontal="right" vertical="top" wrapText="1"/>
    </xf>
    <xf numFmtId="10" fontId="3" fillId="7" borderId="21" xfId="0" applyNumberFormat="1" applyFont="1" applyFill="1" applyBorder="1" applyAlignment="1">
      <alignment horizontal="right" vertical="top" wrapText="1"/>
    </xf>
    <xf numFmtId="4" fontId="3" fillId="7" borderId="2" xfId="0" applyNumberFormat="1" applyFont="1" applyFill="1" applyBorder="1"/>
    <xf numFmtId="9" fontId="3" fillId="7" borderId="2" xfId="0" applyNumberFormat="1" applyFont="1" applyFill="1" applyBorder="1" applyAlignment="1">
      <alignment horizontal="right" vertical="top" wrapText="1"/>
    </xf>
    <xf numFmtId="4" fontId="3" fillId="7" borderId="21" xfId="0" applyNumberFormat="1" applyFont="1" applyFill="1" applyBorder="1"/>
    <xf numFmtId="9" fontId="3" fillId="7" borderId="21" xfId="0" applyNumberFormat="1" applyFont="1" applyFill="1" applyBorder="1" applyAlignment="1">
      <alignment horizontal="right" vertical="top" wrapText="1"/>
    </xf>
    <xf numFmtId="0" fontId="3" fillId="8" borderId="2" xfId="0" applyFont="1" applyFill="1" applyBorder="1" applyAlignment="1">
      <alignment horizontal="left" vertical="top" wrapText="1"/>
    </xf>
    <xf numFmtId="4" fontId="7" fillId="0" borderId="2" xfId="0" applyNumberFormat="1" applyFont="1" applyFill="1" applyBorder="1" applyAlignment="1">
      <alignment horizontal="right" vertical="top" wrapText="1"/>
    </xf>
    <xf numFmtId="4" fontId="6" fillId="0" borderId="2" xfId="0" applyNumberFormat="1" applyFont="1" applyFill="1" applyBorder="1" applyAlignment="1">
      <alignment horizontal="right" vertical="top" wrapText="1"/>
    </xf>
    <xf numFmtId="4" fontId="3" fillId="0" borderId="2" xfId="0" applyNumberFormat="1" applyFont="1" applyFill="1" applyBorder="1"/>
    <xf numFmtId="4" fontId="13" fillId="0" borderId="2" xfId="0" applyNumberFormat="1" applyFont="1" applyFill="1" applyBorder="1" applyAlignment="1">
      <alignment horizontal="right" vertical="top" wrapText="1"/>
    </xf>
    <xf numFmtId="0" fontId="3" fillId="0" borderId="70" xfId="0" applyFont="1" applyBorder="1" applyAlignment="1">
      <alignment horizontal="left" vertical="top" wrapText="1"/>
    </xf>
    <xf numFmtId="0" fontId="3" fillId="0" borderId="71" xfId="0" applyFont="1" applyBorder="1" applyAlignment="1">
      <alignment horizontal="left" vertical="top" wrapText="1"/>
    </xf>
    <xf numFmtId="0" fontId="3" fillId="0" borderId="72" xfId="0" applyFont="1" applyBorder="1" applyAlignment="1">
      <alignment horizontal="left" vertical="top" wrapText="1"/>
    </xf>
    <xf numFmtId="0" fontId="3" fillId="0" borderId="73" xfId="0" applyFont="1" applyBorder="1" applyAlignment="1">
      <alignment horizontal="left" vertical="top" wrapText="1"/>
    </xf>
    <xf numFmtId="0" fontId="3" fillId="0" borderId="74" xfId="0" applyFont="1" applyBorder="1" applyAlignment="1">
      <alignment horizontal="left" vertical="top" wrapText="1"/>
    </xf>
    <xf numFmtId="0" fontId="3" fillId="0" borderId="75" xfId="0" applyFont="1" applyBorder="1" applyAlignment="1">
      <alignment horizontal="left" vertical="top" wrapText="1"/>
    </xf>
    <xf numFmtId="0" fontId="3" fillId="0" borderId="76" xfId="0" applyFont="1" applyBorder="1" applyAlignment="1">
      <alignment horizontal="left" vertical="top" wrapText="1"/>
    </xf>
    <xf numFmtId="0" fontId="3" fillId="0" borderId="77" xfId="0" applyFont="1" applyBorder="1" applyAlignment="1">
      <alignment horizontal="left" vertical="top" wrapText="1"/>
    </xf>
    <xf numFmtId="0" fontId="3" fillId="0" borderId="78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2" fillId="0" borderId="71" xfId="0" applyFont="1" applyBorder="1" applyAlignment="1">
      <alignment vertical="top" wrapText="1"/>
    </xf>
    <xf numFmtId="0" fontId="12" fillId="6" borderId="58" xfId="0" applyFont="1" applyFill="1" applyBorder="1" applyAlignment="1"/>
    <xf numFmtId="0" fontId="12" fillId="13" borderId="58" xfId="0" applyFont="1" applyFill="1" applyBorder="1" applyAlignment="1"/>
    <xf numFmtId="0" fontId="12" fillId="13" borderId="58" xfId="0" applyFont="1" applyFill="1" applyBorder="1" applyAlignment="1">
      <alignment horizontal="center"/>
    </xf>
    <xf numFmtId="0" fontId="12" fillId="14" borderId="58" xfId="0" applyFont="1" applyFill="1" applyBorder="1" applyAlignment="1">
      <alignment horizontal="center"/>
    </xf>
    <xf numFmtId="0" fontId="12" fillId="6" borderId="58" xfId="0" applyFont="1" applyFill="1" applyBorder="1" applyAlignment="1">
      <alignment wrapText="1"/>
    </xf>
    <xf numFmtId="0" fontId="12" fillId="13" borderId="58" xfId="0" applyFont="1" applyFill="1" applyBorder="1" applyAlignment="1">
      <alignment wrapText="1"/>
    </xf>
    <xf numFmtId="0" fontId="12" fillId="13" borderId="58" xfId="0" applyFont="1" applyFill="1" applyBorder="1" applyAlignment="1">
      <alignment horizontal="center" vertical="center"/>
    </xf>
    <xf numFmtId="0" fontId="12" fillId="13" borderId="58" xfId="0" applyFont="1" applyFill="1" applyBorder="1" applyAlignment="1">
      <alignment vertical="center" wrapText="1"/>
    </xf>
    <xf numFmtId="0" fontId="12" fillId="15" borderId="58" xfId="0" applyFont="1" applyFill="1" applyBorder="1" applyAlignment="1">
      <alignment horizontal="center"/>
    </xf>
    <xf numFmtId="0" fontId="12" fillId="15" borderId="58" xfId="0" applyFont="1" applyFill="1" applyBorder="1" applyAlignment="1"/>
    <xf numFmtId="0" fontId="12" fillId="15" borderId="58" xfId="0" applyFont="1" applyFill="1" applyBorder="1" applyAlignment="1">
      <alignment wrapText="1"/>
    </xf>
    <xf numFmtId="0" fontId="12" fillId="15" borderId="58" xfId="0" applyFont="1" applyFill="1" applyBorder="1" applyAlignment="1">
      <alignment horizontal="center" vertical="center"/>
    </xf>
    <xf numFmtId="0" fontId="12" fillId="16" borderId="58" xfId="0" applyFont="1" applyFill="1" applyBorder="1" applyAlignment="1">
      <alignment horizontal="center"/>
    </xf>
    <xf numFmtId="0" fontId="12" fillId="16" borderId="58" xfId="0" applyFont="1" applyFill="1" applyBorder="1" applyAlignment="1"/>
    <xf numFmtId="4" fontId="2" fillId="6" borderId="8" xfId="0" applyNumberFormat="1" applyFont="1" applyFill="1" applyBorder="1" applyAlignment="1">
      <alignment horizontal="right" vertical="top" wrapText="1"/>
    </xf>
    <xf numFmtId="0" fontId="3" fillId="0" borderId="0" xfId="0" applyFont="1" applyBorder="1" applyAlignment="1">
      <alignment vertical="top" wrapText="1"/>
    </xf>
    <xf numFmtId="4" fontId="6" fillId="0" borderId="0" xfId="0" applyNumberFormat="1" applyFont="1" applyBorder="1" applyAlignment="1">
      <alignment horizontal="right" vertical="top" wrapText="1"/>
    </xf>
    <xf numFmtId="0" fontId="12" fillId="11" borderId="58" xfId="0" applyFont="1" applyFill="1" applyBorder="1" applyAlignment="1">
      <alignment horizontal="center"/>
    </xf>
    <xf numFmtId="0" fontId="2" fillId="9" borderId="79" xfId="0" applyFont="1" applyFill="1" applyBorder="1" applyAlignment="1">
      <alignment horizontal="left" vertical="top" wrapText="1"/>
    </xf>
    <xf numFmtId="0" fontId="12" fillId="12" borderId="58" xfId="0" applyFont="1" applyFill="1" applyBorder="1" applyAlignment="1">
      <alignment horizontal="center"/>
    </xf>
    <xf numFmtId="0" fontId="12" fillId="12" borderId="58" xfId="0" applyFont="1" applyFill="1" applyBorder="1" applyAlignment="1">
      <alignment wrapText="1"/>
    </xf>
    <xf numFmtId="0" fontId="12" fillId="12" borderId="58" xfId="0" applyFont="1" applyFill="1" applyBorder="1" applyAlignment="1">
      <alignment horizontal="center" vertical="center"/>
    </xf>
    <xf numFmtId="0" fontId="12" fillId="12" borderId="58" xfId="0" applyFont="1" applyFill="1" applyBorder="1" applyAlignment="1">
      <alignment vertical="center" wrapText="1"/>
    </xf>
    <xf numFmtId="0" fontId="12" fillId="10" borderId="58" xfId="0" applyFont="1" applyFill="1" applyBorder="1" applyAlignment="1">
      <alignment horizontal="center"/>
    </xf>
    <xf numFmtId="164" fontId="12" fillId="15" borderId="58" xfId="0" applyNumberFormat="1" applyFont="1" applyFill="1" applyBorder="1" applyAlignment="1">
      <alignment horizontal="center" vertical="center"/>
    </xf>
    <xf numFmtId="44" fontId="12" fillId="15" borderId="58" xfId="1" applyFont="1" applyFill="1" applyBorder="1" applyAlignment="1">
      <alignment horizontal="center" vertical="center"/>
    </xf>
    <xf numFmtId="164" fontId="15" fillId="15" borderId="58" xfId="0" applyNumberFormat="1" applyFont="1" applyFill="1" applyBorder="1" applyAlignment="1">
      <alignment horizontal="center" vertical="center"/>
    </xf>
    <xf numFmtId="9" fontId="12" fillId="15" borderId="58" xfId="0" applyNumberFormat="1" applyFont="1" applyFill="1" applyBorder="1" applyAlignment="1">
      <alignment horizontal="center" vertical="center"/>
    </xf>
    <xf numFmtId="10" fontId="15" fillId="15" borderId="58" xfId="0" applyNumberFormat="1" applyFont="1" applyFill="1" applyBorder="1" applyAlignment="1">
      <alignment horizontal="center" vertical="center"/>
    </xf>
    <xf numFmtId="165" fontId="12" fillId="15" borderId="58" xfId="0" applyNumberFormat="1" applyFont="1" applyFill="1" applyBorder="1" applyAlignment="1">
      <alignment horizontal="center" vertical="center"/>
    </xf>
    <xf numFmtId="10" fontId="12" fillId="15" borderId="58" xfId="0" applyNumberFormat="1" applyFont="1" applyFill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/>
    </xf>
    <xf numFmtId="0" fontId="12" fillId="13" borderId="0" xfId="0" applyFont="1" applyFill="1" applyBorder="1" applyAlignment="1">
      <alignment horizontal="center"/>
    </xf>
    <xf numFmtId="0" fontId="2" fillId="3" borderId="60" xfId="0" applyFont="1" applyFill="1" applyBorder="1" applyAlignment="1">
      <alignment vertical="top" wrapText="1"/>
    </xf>
    <xf numFmtId="0" fontId="2" fillId="3" borderId="69" xfId="0" applyFont="1" applyFill="1" applyBorder="1" applyAlignment="1">
      <alignment vertical="top" wrapText="1"/>
    </xf>
    <xf numFmtId="0" fontId="2" fillId="3" borderId="25" xfId="0" applyFont="1" applyFill="1" applyBorder="1" applyAlignment="1">
      <alignment vertical="top" wrapText="1"/>
    </xf>
    <xf numFmtId="0" fontId="2" fillId="3" borderId="54" xfId="0" applyFont="1" applyFill="1" applyBorder="1" applyAlignment="1">
      <alignment vertical="top" wrapText="1"/>
    </xf>
    <xf numFmtId="0" fontId="2" fillId="3" borderId="59" xfId="0" applyFont="1" applyFill="1" applyBorder="1" applyAlignment="1">
      <alignment vertical="top" wrapText="1"/>
    </xf>
    <xf numFmtId="0" fontId="2" fillId="3" borderId="62" xfId="0" applyFont="1" applyFill="1" applyBorder="1" applyAlignment="1">
      <alignment vertical="top" wrapText="1"/>
    </xf>
    <xf numFmtId="0" fontId="2" fillId="3" borderId="63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4" fontId="2" fillId="2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/>
    </xf>
    <xf numFmtId="9" fontId="3" fillId="0" borderId="0" xfId="0" applyNumberFormat="1" applyFont="1" applyBorder="1" applyAlignment="1">
      <alignment horizontal="right" vertical="top" wrapText="1"/>
    </xf>
    <xf numFmtId="9" fontId="3" fillId="0" borderId="0" xfId="0" applyNumberFormat="1" applyFont="1" applyFill="1" applyBorder="1" applyAlignment="1">
      <alignment horizontal="right" vertical="top" wrapText="1"/>
    </xf>
    <xf numFmtId="9" fontId="3" fillId="6" borderId="0" xfId="0" applyNumberFormat="1" applyFont="1" applyFill="1" applyBorder="1" applyAlignment="1">
      <alignment horizontal="right" vertical="top" wrapText="1"/>
    </xf>
    <xf numFmtId="9" fontId="3" fillId="7" borderId="0" xfId="0" applyNumberFormat="1" applyFont="1" applyFill="1" applyBorder="1" applyAlignment="1">
      <alignment horizontal="right" vertical="top" wrapText="1"/>
    </xf>
    <xf numFmtId="2" fontId="3" fillId="0" borderId="0" xfId="0" applyNumberFormat="1" applyFont="1" applyBorder="1" applyAlignment="1">
      <alignment horizontal="right" vertical="top" wrapText="1"/>
    </xf>
    <xf numFmtId="0" fontId="2" fillId="12" borderId="59" xfId="0" applyFont="1" applyFill="1" applyBorder="1" applyAlignment="1">
      <alignment vertical="top" wrapText="1"/>
    </xf>
    <xf numFmtId="0" fontId="2" fillId="12" borderId="62" xfId="0" applyFont="1" applyFill="1" applyBorder="1" applyAlignment="1">
      <alignment vertical="top" wrapText="1"/>
    </xf>
    <xf numFmtId="0" fontId="2" fillId="12" borderId="63" xfId="0" applyFont="1" applyFill="1" applyBorder="1" applyAlignment="1">
      <alignment vertical="top" wrapText="1"/>
    </xf>
    <xf numFmtId="0" fontId="2" fillId="12" borderId="45" xfId="0" applyFont="1" applyFill="1" applyBorder="1" applyAlignment="1"/>
    <xf numFmtId="0" fontId="2" fillId="12" borderId="64" xfId="0" applyFont="1" applyFill="1" applyBorder="1" applyAlignment="1"/>
    <xf numFmtId="0" fontId="2" fillId="12" borderId="65" xfId="0" applyFont="1" applyFill="1" applyBorder="1" applyAlignment="1"/>
    <xf numFmtId="0" fontId="2" fillId="12" borderId="60" xfId="0" applyFont="1" applyFill="1" applyBorder="1" applyAlignment="1"/>
    <xf numFmtId="0" fontId="2" fillId="12" borderId="69" xfId="0" applyFont="1" applyFill="1" applyBorder="1" applyAlignment="1"/>
    <xf numFmtId="0" fontId="2" fillId="12" borderId="25" xfId="0" applyFont="1" applyFill="1" applyBorder="1" applyAlignment="1"/>
    <xf numFmtId="0" fontId="2" fillId="12" borderId="54" xfId="0" applyFont="1" applyFill="1" applyBorder="1" applyAlignment="1"/>
    <xf numFmtId="0" fontId="2" fillId="12" borderId="66" xfId="0" applyFont="1" applyFill="1" applyBorder="1" applyAlignment="1">
      <alignment vertical="top" wrapText="1"/>
    </xf>
    <xf numFmtId="0" fontId="2" fillId="12" borderId="67" xfId="0" applyFont="1" applyFill="1" applyBorder="1" applyAlignment="1">
      <alignment vertical="top" wrapText="1"/>
    </xf>
    <xf numFmtId="0" fontId="2" fillId="12" borderId="68" xfId="0" applyFont="1" applyFill="1" applyBorder="1" applyAlignment="1">
      <alignment vertical="top" wrapText="1"/>
    </xf>
    <xf numFmtId="0" fontId="12" fillId="12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4" borderId="59" xfId="0" applyFont="1" applyFill="1" applyBorder="1" applyAlignment="1"/>
    <xf numFmtId="0" fontId="2" fillId="4" borderId="62" xfId="0" applyFont="1" applyFill="1" applyBorder="1" applyAlignment="1"/>
    <xf numFmtId="0" fontId="2" fillId="4" borderId="63" xfId="0" applyFont="1" applyFill="1" applyBorder="1" applyAlignment="1"/>
    <xf numFmtId="0" fontId="12" fillId="15" borderId="0" xfId="0" applyFont="1" applyFill="1" applyBorder="1" applyAlignment="1">
      <alignment horizontal="center"/>
    </xf>
    <xf numFmtId="0" fontId="2" fillId="9" borderId="59" xfId="0" applyFont="1" applyFill="1" applyBorder="1" applyAlignment="1"/>
    <xf numFmtId="0" fontId="2" fillId="9" borderId="62" xfId="0" applyFont="1" applyFill="1" applyBorder="1" applyAlignment="1"/>
    <xf numFmtId="0" fontId="2" fillId="9" borderId="69" xfId="0" applyFont="1" applyFill="1" applyBorder="1" applyAlignment="1"/>
    <xf numFmtId="0" fontId="12" fillId="11" borderId="0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right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right" vertical="top" wrapText="1"/>
    </xf>
    <xf numFmtId="0" fontId="9" fillId="9" borderId="59" xfId="0" applyFont="1" applyFill="1" applyBorder="1" applyAlignment="1"/>
    <xf numFmtId="0" fontId="9" fillId="9" borderId="62" xfId="0" applyFont="1" applyFill="1" applyBorder="1" applyAlignment="1"/>
    <xf numFmtId="0" fontId="9" fillId="9" borderId="63" xfId="0" applyFont="1" applyFill="1" applyBorder="1" applyAlignment="1"/>
    <xf numFmtId="0" fontId="12" fillId="10" borderId="0" xfId="0" applyFont="1" applyFill="1" applyBorder="1" applyAlignment="1">
      <alignment horizontal="center"/>
    </xf>
    <xf numFmtId="0" fontId="14" fillId="17" borderId="45" xfId="0" applyFont="1" applyFill="1" applyBorder="1" applyAlignment="1">
      <alignment vertical="top" wrapText="1"/>
    </xf>
    <xf numFmtId="0" fontId="14" fillId="17" borderId="64" xfId="0" applyFont="1" applyFill="1" applyBorder="1" applyAlignment="1">
      <alignment vertical="top" wrapText="1"/>
    </xf>
    <xf numFmtId="0" fontId="14" fillId="17" borderId="65" xfId="0" applyFont="1" applyFill="1" applyBorder="1" applyAlignment="1">
      <alignment vertical="top" wrapText="1"/>
    </xf>
    <xf numFmtId="0" fontId="2" fillId="4" borderId="60" xfId="0" applyFont="1" applyFill="1" applyBorder="1" applyAlignment="1">
      <alignment horizontal="center"/>
    </xf>
    <xf numFmtId="0" fontId="2" fillId="4" borderId="69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7"/>
  <sheetViews>
    <sheetView topLeftCell="U1" zoomScaleNormal="100" workbookViewId="0">
      <pane ySplit="1" topLeftCell="A121" activePane="bottomLeft" state="frozen"/>
      <selection pane="bottomLeft" activeCell="AA4" sqref="AA4:AA121"/>
    </sheetView>
  </sheetViews>
  <sheetFormatPr baseColWidth="10" defaultColWidth="11.5" defaultRowHeight="13" x14ac:dyDescent="0.15"/>
  <cols>
    <col min="1" max="1" width="5.6640625" style="39" customWidth="1"/>
    <col min="2" max="2" width="52.6640625" style="39" customWidth="1"/>
    <col min="3" max="6" width="7.83203125" style="39" customWidth="1"/>
    <col min="7" max="7" width="58.6640625" style="40" bestFit="1" customWidth="1"/>
    <col min="8" max="8" width="10" style="40" bestFit="1" customWidth="1"/>
    <col min="9" max="9" width="10.5" style="41" bestFit="1" customWidth="1"/>
    <col min="10" max="10" width="13.5" style="41" bestFit="1" customWidth="1"/>
    <col min="11" max="12" width="9.6640625" style="41" bestFit="1" customWidth="1"/>
    <col min="13" max="13" width="10.5" style="40" bestFit="1" customWidth="1"/>
    <col min="14" max="14" width="7.33203125" style="135" bestFit="1" customWidth="1"/>
    <col min="15" max="15" width="11.83203125" style="40" bestFit="1" customWidth="1"/>
    <col min="16" max="16" width="7.33203125" style="135" bestFit="1" customWidth="1"/>
    <col min="17" max="17" width="11.6640625" style="40" bestFit="1" customWidth="1"/>
    <col min="18" max="18" width="7.33203125" style="135" bestFit="1" customWidth="1"/>
    <col min="19" max="19" width="9.5" style="40" bestFit="1" customWidth="1"/>
    <col min="20" max="20" width="5.6640625" style="40" bestFit="1" customWidth="1"/>
    <col min="21" max="21" width="5.6640625" style="40" customWidth="1"/>
    <col min="22" max="22" width="6.6640625" style="40" bestFit="1" customWidth="1"/>
    <col min="23" max="24" width="5.6640625" style="40" customWidth="1"/>
    <col min="25" max="25" width="7.33203125" style="40" bestFit="1" customWidth="1"/>
    <col min="26" max="26" width="2.6640625" style="40" customWidth="1"/>
    <col min="27" max="16384" width="11.5" style="40"/>
  </cols>
  <sheetData>
    <row r="1" spans="1:27" ht="29" thickBot="1" x14ac:dyDescent="0.2">
      <c r="A1" s="231" t="s">
        <v>0</v>
      </c>
      <c r="B1" s="231"/>
      <c r="C1" s="231"/>
      <c r="D1" s="231"/>
      <c r="E1" s="231"/>
      <c r="F1" s="231"/>
      <c r="G1" s="232" t="s">
        <v>41</v>
      </c>
      <c r="H1" s="178" t="s">
        <v>111</v>
      </c>
      <c r="I1" s="178" t="s">
        <v>112</v>
      </c>
      <c r="J1" s="178" t="s">
        <v>40</v>
      </c>
      <c r="K1" s="178" t="s">
        <v>86</v>
      </c>
      <c r="L1" s="178" t="s">
        <v>87</v>
      </c>
      <c r="M1" s="178" t="s">
        <v>139</v>
      </c>
      <c r="N1" s="179" t="s">
        <v>156</v>
      </c>
      <c r="O1" s="178" t="s">
        <v>140</v>
      </c>
      <c r="P1" s="179" t="s">
        <v>156</v>
      </c>
      <c r="Q1" s="178" t="s">
        <v>160</v>
      </c>
      <c r="R1" s="179" t="s">
        <v>156</v>
      </c>
      <c r="S1" s="178" t="s">
        <v>141</v>
      </c>
      <c r="T1" s="180" t="s">
        <v>156</v>
      </c>
      <c r="U1" s="308"/>
      <c r="V1" s="308"/>
      <c r="W1" s="308"/>
      <c r="X1" s="308"/>
      <c r="Y1" s="308"/>
    </row>
    <row r="2" spans="1:27" ht="14" thickBot="1" x14ac:dyDescent="0.2">
      <c r="A2" s="348" t="s">
        <v>264</v>
      </c>
      <c r="B2" s="349"/>
      <c r="C2" s="349"/>
      <c r="D2" s="349"/>
      <c r="E2" s="349"/>
      <c r="F2" s="349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1"/>
      <c r="U2" s="309"/>
      <c r="V2" s="309"/>
      <c r="W2" s="309"/>
      <c r="X2" s="309"/>
      <c r="Y2" s="309"/>
    </row>
    <row r="3" spans="1:27" ht="13.5" customHeight="1" thickBot="1" x14ac:dyDescent="0.2">
      <c r="A3" s="300" t="s">
        <v>1</v>
      </c>
      <c r="B3" s="301"/>
      <c r="C3" s="301"/>
      <c r="D3" s="301" t="s">
        <v>497</v>
      </c>
      <c r="E3" s="301" t="s">
        <v>496</v>
      </c>
      <c r="F3" s="301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3"/>
      <c r="U3" s="307"/>
      <c r="V3" s="307" t="s">
        <v>498</v>
      </c>
      <c r="W3" s="307" t="s">
        <v>499</v>
      </c>
      <c r="X3" s="307" t="s">
        <v>500</v>
      </c>
      <c r="Y3" s="307" t="s">
        <v>501</v>
      </c>
    </row>
    <row r="4" spans="1:27" ht="18" customHeight="1" thickBot="1" x14ac:dyDescent="0.25">
      <c r="A4" s="174"/>
      <c r="B4" s="267" t="s">
        <v>267</v>
      </c>
      <c r="C4" s="269" t="s">
        <v>270</v>
      </c>
      <c r="D4" s="299">
        <f>IFERROR(VLOOKUP(C4,catalogo_servicios!$B$1:$C$106,2,0),"")</f>
        <v>73</v>
      </c>
      <c r="E4" s="299" t="str">
        <f>IFERROR(VLOOKUP(C4,catalogo_servicios!$B$1:$B$106,1,0),"")</f>
        <v>EF</v>
      </c>
      <c r="F4" s="299" t="str">
        <f>IF(AND(C4="",D4=""),"",IF(AND(C4&lt;&gt;"",D4=""),"Nuevo","Ya"))</f>
        <v>Ya</v>
      </c>
      <c r="G4" s="57" t="s">
        <v>172</v>
      </c>
      <c r="H4" s="36">
        <v>0</v>
      </c>
      <c r="I4" s="36">
        <f t="shared" ref="I4:I14" si="0">(H4*0.16)+H4</f>
        <v>0</v>
      </c>
      <c r="J4" s="36">
        <f t="shared" ref="J4:J10" si="1">K4-H4</f>
        <v>400</v>
      </c>
      <c r="K4" s="175">
        <v>400</v>
      </c>
      <c r="L4" s="50">
        <f t="shared" ref="L4:L37" si="2">(K4*0.16)+K4</f>
        <v>464</v>
      </c>
      <c r="M4" s="36">
        <v>40</v>
      </c>
      <c r="N4" s="176">
        <f>M4/J4</f>
        <v>0.1</v>
      </c>
      <c r="O4" s="36">
        <v>20</v>
      </c>
      <c r="P4" s="176">
        <f>O4/J4</f>
        <v>0.05</v>
      </c>
      <c r="Q4" s="36">
        <v>20</v>
      </c>
      <c r="R4" s="176">
        <f>Q4/J4</f>
        <v>0.05</v>
      </c>
      <c r="S4" s="298">
        <f t="shared" ref="S4:S33" si="3">(J4-M4-O4)</f>
        <v>340</v>
      </c>
      <c r="T4" s="177">
        <f>S4/J4</f>
        <v>0.85</v>
      </c>
      <c r="U4" s="310"/>
      <c r="V4" s="314">
        <v>10</v>
      </c>
      <c r="W4" s="314">
        <v>5</v>
      </c>
      <c r="X4" s="314">
        <v>5</v>
      </c>
      <c r="Y4" s="314">
        <v>85</v>
      </c>
      <c r="AA4" s="40" t="str">
        <f>IF(D4="","",CONCATENATE("update catalogo_servicios set costo_servicio = ",I4,", costo = ",K4,", honorarios = ",J4,", utilidad = ",S4,", porcentaje_utilidad = ",Y4,", comision_venta_monto=",M4,", porcentaje_venta=",V4,", comision_operativa_monto=",O4,", porcentaje_operativa=",W4,", comision_gestion_monto=",Q4,", porcentaje_gestion=",X4," where id = ",D4,";"))</f>
        <v>update catalogo_servicios set costo_servicio = 0, costo = 400, honorarios = 400, utilidad = 340, porcentaje_utilidad = 85, comision_venta_monto=40, porcentaje_venta=10, comision_operativa_monto=20, porcentaje_operativa=5, comision_gestion_monto=20, porcentaje_gestion=5 where id = 73;</v>
      </c>
    </row>
    <row r="5" spans="1:27" ht="15" thickBot="1" x14ac:dyDescent="0.25">
      <c r="A5" s="124">
        <v>24</v>
      </c>
      <c r="B5" s="268" t="s">
        <v>268</v>
      </c>
      <c r="C5" s="269" t="s">
        <v>487</v>
      </c>
      <c r="D5" s="299">
        <f>IFERROR(VLOOKUP(C5,catalogo_servicios!$B$1:$C$106,2,0),"")</f>
        <v>72</v>
      </c>
      <c r="E5" s="299" t="str">
        <f>IFERROR(VLOOKUP(C5,catalogo_servicios!$B$1:$B$106,1,0),"")</f>
        <v>EF(c)</v>
      </c>
      <c r="F5" s="299" t="str">
        <f t="shared" ref="F5:F68" si="4">IF(AND(C5="",D5=""),"",IF(AND(C5&lt;&gt;"",D5=""),"Nuevo","Ya"))</f>
        <v>Ya</v>
      </c>
      <c r="G5" s="4" t="s">
        <v>225</v>
      </c>
      <c r="H5" s="5">
        <v>0</v>
      </c>
      <c r="I5" s="5">
        <f t="shared" si="0"/>
        <v>0</v>
      </c>
      <c r="J5" s="5">
        <f t="shared" si="1"/>
        <v>100</v>
      </c>
      <c r="K5" s="80">
        <v>100</v>
      </c>
      <c r="L5" s="13">
        <f t="shared" si="2"/>
        <v>116</v>
      </c>
      <c r="M5" s="5">
        <v>10</v>
      </c>
      <c r="N5" s="133">
        <f t="shared" ref="N5:N37" si="5">M5/J5</f>
        <v>0.1</v>
      </c>
      <c r="O5" s="5">
        <v>5</v>
      </c>
      <c r="P5" s="133">
        <f t="shared" ref="P5:P37" si="6">O5/J5</f>
        <v>0.05</v>
      </c>
      <c r="Q5" s="5">
        <v>5</v>
      </c>
      <c r="R5" s="133">
        <f t="shared" ref="R5:R37" si="7">Q5/J5</f>
        <v>0.05</v>
      </c>
      <c r="S5" s="123">
        <f t="shared" si="3"/>
        <v>85</v>
      </c>
      <c r="T5" s="126">
        <f t="shared" ref="T5:T37" si="8">S5/J5</f>
        <v>0.85</v>
      </c>
      <c r="U5" s="310"/>
      <c r="V5" s="314">
        <v>10</v>
      </c>
      <c r="W5" s="314">
        <v>5</v>
      </c>
      <c r="X5" s="314">
        <v>5</v>
      </c>
      <c r="Y5" s="314">
        <v>85</v>
      </c>
      <c r="AA5" s="40" t="str">
        <f t="shared" ref="AA5:AA68" si="9">IF(D5="","",CONCATENATE("update catalogo_servicios set costo_servicio = ",I5,", costo = ",K5,", honorarios = ",J5,", utilidad = ",S5,", porcentaje_utilidad = ",Y5,", comision_venta_monto=",M5,", porcentaje_venta=",V5,", comision_operativa_monto=",O5,", porcentaje_operativa=",W5,", comision_gestion_monto=",Q5,", porcentaje_gestion=",X5," where id = ",D5,";"))</f>
        <v>update catalogo_servicios set costo_servicio = 0, costo = 100, honorarios = 100, utilidad = 85, porcentaje_utilidad = 85, comision_venta_monto=10, porcentaje_venta=10, comision_operativa_monto=5, porcentaje_operativa=5, comision_gestion_monto=5, porcentaje_gestion=5 where id = 72;</v>
      </c>
    </row>
    <row r="6" spans="1:27" ht="15" thickBot="1" x14ac:dyDescent="0.25">
      <c r="A6" s="124"/>
      <c r="B6" s="268" t="s">
        <v>269</v>
      </c>
      <c r="C6" s="269" t="s">
        <v>271</v>
      </c>
      <c r="D6" s="299">
        <f>IFERROR(VLOOKUP(C6,catalogo_servicios!$B$1:$C$106,2,0),"")</f>
        <v>71</v>
      </c>
      <c r="E6" s="299" t="str">
        <f>IFERROR(VLOOKUP(C6,catalogo_servicios!$B$1:$B$106,1,0),"")</f>
        <v>EF(s)</v>
      </c>
      <c r="F6" s="299" t="str">
        <f t="shared" si="4"/>
        <v>Ya</v>
      </c>
      <c r="G6" s="4" t="s">
        <v>143</v>
      </c>
      <c r="H6" s="5">
        <v>0</v>
      </c>
      <c r="I6" s="5">
        <f t="shared" si="0"/>
        <v>0</v>
      </c>
      <c r="J6" s="5">
        <f t="shared" si="1"/>
        <v>200</v>
      </c>
      <c r="K6" s="80">
        <v>200</v>
      </c>
      <c r="L6" s="13">
        <f t="shared" si="2"/>
        <v>232</v>
      </c>
      <c r="M6" s="5">
        <f>(J6*0.1)</f>
        <v>20</v>
      </c>
      <c r="N6" s="133">
        <f t="shared" si="5"/>
        <v>0.1</v>
      </c>
      <c r="O6" s="5">
        <v>10</v>
      </c>
      <c r="P6" s="133">
        <f t="shared" si="6"/>
        <v>0.05</v>
      </c>
      <c r="Q6" s="5">
        <v>10</v>
      </c>
      <c r="R6" s="133">
        <f t="shared" si="7"/>
        <v>0.05</v>
      </c>
      <c r="S6" s="123">
        <f t="shared" si="3"/>
        <v>170</v>
      </c>
      <c r="T6" s="126">
        <f t="shared" si="8"/>
        <v>0.85</v>
      </c>
      <c r="U6" s="310"/>
      <c r="V6" s="314">
        <v>10</v>
      </c>
      <c r="W6" s="314">
        <v>5</v>
      </c>
      <c r="X6" s="314">
        <v>5</v>
      </c>
      <c r="Y6" s="314">
        <v>85</v>
      </c>
      <c r="AA6" s="40" t="str">
        <f t="shared" si="9"/>
        <v>update catalogo_servicios set costo_servicio = 0, costo = 200, honorarios = 200, utilidad = 170, porcentaje_utilidad = 85, comision_venta_monto=20, porcentaje_venta=10, comision_operativa_monto=10, porcentaje_operativa=5, comision_gestion_monto=10, porcentaje_gestion=5 where id = 71;</v>
      </c>
    </row>
    <row r="7" spans="1:27" ht="15" thickBot="1" x14ac:dyDescent="0.25">
      <c r="A7" s="251" t="s">
        <v>2</v>
      </c>
      <c r="B7" s="267" t="s">
        <v>272</v>
      </c>
      <c r="C7" s="270" t="s">
        <v>289</v>
      </c>
      <c r="D7" s="299">
        <f>IFERROR(VLOOKUP(C7,catalogo_servicios!$B$1:$C$106,2,0),"")</f>
        <v>60</v>
      </c>
      <c r="E7" s="299" t="str">
        <f>IFERROR(VLOOKUP(C7,catalogo_servicios!$B$1:$B$106,1,0),"")</f>
        <v>RM</v>
      </c>
      <c r="F7" s="299" t="str">
        <f t="shared" si="4"/>
        <v>Ya</v>
      </c>
      <c r="G7" s="4" t="s">
        <v>265</v>
      </c>
      <c r="H7" s="127">
        <v>2695.18</v>
      </c>
      <c r="I7" s="127">
        <f t="shared" si="0"/>
        <v>3126.4087999999997</v>
      </c>
      <c r="J7" s="5">
        <f t="shared" si="1"/>
        <v>3294.82</v>
      </c>
      <c r="K7" s="80">
        <v>5990</v>
      </c>
      <c r="L7" s="13">
        <f t="shared" si="2"/>
        <v>6948.4</v>
      </c>
      <c r="M7" s="5">
        <v>350</v>
      </c>
      <c r="N7" s="133">
        <f t="shared" si="5"/>
        <v>0.10622735081127345</v>
      </c>
      <c r="O7" s="5">
        <v>100</v>
      </c>
      <c r="P7" s="133">
        <f t="shared" si="6"/>
        <v>3.0350671660363843E-2</v>
      </c>
      <c r="Q7" s="5">
        <v>50</v>
      </c>
      <c r="R7" s="133">
        <f t="shared" si="7"/>
        <v>1.5175335830181921E-2</v>
      </c>
      <c r="S7" s="123">
        <f t="shared" si="3"/>
        <v>2844.82</v>
      </c>
      <c r="T7" s="126">
        <f t="shared" si="8"/>
        <v>0.86342197752836269</v>
      </c>
      <c r="U7" s="310"/>
      <c r="V7" s="314">
        <v>10.622735081127345</v>
      </c>
      <c r="W7" s="314">
        <v>3.0350671660363844</v>
      </c>
      <c r="X7" s="314">
        <v>1.5175335830181922</v>
      </c>
      <c r="Y7" s="314">
        <v>86.34219775283627</v>
      </c>
      <c r="AA7" s="40" t="str">
        <f t="shared" si="9"/>
        <v>update catalogo_servicios set costo_servicio = 3126.4088, costo = 5990, honorarios = 3294.82, utilidad = 2844.82, porcentaje_utilidad = 86.3421977528363, comision_venta_monto=350, porcentaje_venta=10.6227350811273, comision_operativa_monto=100, porcentaje_operativa=3.03506716603638, comision_gestion_monto=50, porcentaje_gestion=1.51753358301819 where id = 60;</v>
      </c>
    </row>
    <row r="8" spans="1:27" ht="15" thickBot="1" x14ac:dyDescent="0.25">
      <c r="A8" s="251" t="s">
        <v>2</v>
      </c>
      <c r="B8" s="267" t="s">
        <v>272</v>
      </c>
      <c r="C8" s="270" t="s">
        <v>273</v>
      </c>
      <c r="D8" s="299">
        <f>IFERROR(VLOOKUP(C8,catalogo_servicios!$B$1:$C$106,2,0),"")</f>
        <v>60</v>
      </c>
      <c r="E8" s="299" t="str">
        <f>IFERROR(VLOOKUP(C8,catalogo_servicios!$B$1:$B$106,1,0),"")</f>
        <v>RM</v>
      </c>
      <c r="F8" s="299" t="str">
        <f t="shared" si="4"/>
        <v>Ya</v>
      </c>
      <c r="G8" s="4" t="s">
        <v>266</v>
      </c>
      <c r="H8" s="127">
        <v>2425.66</v>
      </c>
      <c r="I8" s="127">
        <f>(H8*0.16)+H8</f>
        <v>2813.7655999999997</v>
      </c>
      <c r="J8" s="5">
        <f>K8-H8</f>
        <v>3264.34</v>
      </c>
      <c r="K8" s="80">
        <v>5690</v>
      </c>
      <c r="L8" s="13">
        <f>(K8*0.16)+K8</f>
        <v>6600.4</v>
      </c>
      <c r="M8" s="5">
        <v>350</v>
      </c>
      <c r="N8" s="133">
        <f>M8/J8</f>
        <v>0.10721922348774943</v>
      </c>
      <c r="O8" s="5">
        <v>100</v>
      </c>
      <c r="P8" s="133">
        <f>O8/J8</f>
        <v>3.0634063853642694E-2</v>
      </c>
      <c r="Q8" s="5">
        <v>50</v>
      </c>
      <c r="R8" s="133">
        <f>Q8/J8</f>
        <v>1.5317031926821347E-2</v>
      </c>
      <c r="S8" s="123">
        <f>(J8-M8-O8)</f>
        <v>2814.34</v>
      </c>
      <c r="T8" s="126">
        <f>S8/J8</f>
        <v>0.86214671265860787</v>
      </c>
      <c r="U8" s="310"/>
      <c r="V8" s="314">
        <v>10.721922348774942</v>
      </c>
      <c r="W8" s="314">
        <v>3.0634063853642695</v>
      </c>
      <c r="X8" s="314">
        <v>1.5317031926821347</v>
      </c>
      <c r="Y8" s="314">
        <v>86.214671265860787</v>
      </c>
      <c r="AA8" s="40" t="str">
        <f t="shared" si="9"/>
        <v>update catalogo_servicios set costo_servicio = 2813.7656, costo = 5690, honorarios = 3264.34, utilidad = 2814.34, porcentaje_utilidad = 86.2146712658608, comision_venta_monto=350, porcentaje_venta=10.7219223487749, comision_operativa_monto=100, porcentaje_operativa=3.06340638536427, comision_gestion_monto=50, porcentaje_gestion=1.53170319268213 where id = 60;</v>
      </c>
    </row>
    <row r="9" spans="1:27" ht="15" thickBot="1" x14ac:dyDescent="0.25">
      <c r="A9" s="124"/>
      <c r="B9" s="268" t="s">
        <v>274</v>
      </c>
      <c r="C9" s="269" t="s">
        <v>275</v>
      </c>
      <c r="D9" s="299">
        <f>IFERROR(VLOOKUP(C9,catalogo_servicios!$B$1:$C$106,2,0),"")</f>
        <v>52</v>
      </c>
      <c r="E9" s="299" t="str">
        <f>IFERROR(VLOOKUP(C9,catalogo_servicios!$B$1:$B$106,1,0),"")</f>
        <v>TITRM</v>
      </c>
      <c r="F9" s="299" t="str">
        <f t="shared" si="4"/>
        <v>Ya</v>
      </c>
      <c r="G9" s="4" t="s">
        <v>263</v>
      </c>
      <c r="H9" s="5">
        <v>0</v>
      </c>
      <c r="I9" s="5">
        <f t="shared" si="0"/>
        <v>0</v>
      </c>
      <c r="J9" s="5">
        <f t="shared" si="1"/>
        <v>1500</v>
      </c>
      <c r="K9" s="80">
        <v>1500</v>
      </c>
      <c r="L9" s="13">
        <f t="shared" si="2"/>
        <v>1740</v>
      </c>
      <c r="M9" s="5">
        <f>(J9*0.1)</f>
        <v>150</v>
      </c>
      <c r="N9" s="133">
        <f t="shared" si="5"/>
        <v>0.1</v>
      </c>
      <c r="O9" s="5">
        <v>0</v>
      </c>
      <c r="P9" s="133">
        <f t="shared" si="6"/>
        <v>0</v>
      </c>
      <c r="Q9" s="5">
        <v>25</v>
      </c>
      <c r="R9" s="133">
        <f t="shared" si="7"/>
        <v>1.6666666666666666E-2</v>
      </c>
      <c r="S9" s="123">
        <f t="shared" si="3"/>
        <v>1350</v>
      </c>
      <c r="T9" s="126">
        <f t="shared" si="8"/>
        <v>0.9</v>
      </c>
      <c r="U9" s="310"/>
      <c r="V9" s="314">
        <v>10</v>
      </c>
      <c r="W9" s="314">
        <v>0</v>
      </c>
      <c r="X9" s="314">
        <v>1.6666666666666667</v>
      </c>
      <c r="Y9" s="314">
        <v>90</v>
      </c>
      <c r="AA9" s="40" t="str">
        <f t="shared" si="9"/>
        <v>update catalogo_servicios set costo_servicio = 0, costo = 1500, honorarios = 1500, utilidad = 1350, porcentaje_utilidad = 90, comision_venta_monto=150, porcentaje_venta=10, comision_operativa_monto=0, porcentaje_operativa=0, comision_gestion_monto=25, porcentaje_gestion=1.66666666666667 where id = 52;</v>
      </c>
    </row>
    <row r="10" spans="1:27" ht="29" thickBot="1" x14ac:dyDescent="0.25">
      <c r="A10" s="251" t="s">
        <v>3</v>
      </c>
      <c r="B10" s="272" t="s">
        <v>171</v>
      </c>
      <c r="C10" s="269" t="s">
        <v>288</v>
      </c>
      <c r="D10" s="299">
        <f>IFERROR(VLOOKUP(C10,catalogo_servicios!$B$1:$C$106,2,0),"")</f>
        <v>65</v>
      </c>
      <c r="E10" s="299" t="str">
        <f>IFERROR(VLOOKUP(C10,catalogo_servicios!$B$1:$B$106,1,0),"")</f>
        <v>OP</v>
      </c>
      <c r="F10" s="299" t="str">
        <f t="shared" si="4"/>
        <v>Ya</v>
      </c>
      <c r="G10" s="145" t="s">
        <v>171</v>
      </c>
      <c r="H10" s="255">
        <v>3704.09</v>
      </c>
      <c r="I10" s="129">
        <f t="shared" si="0"/>
        <v>4296.7444000000005</v>
      </c>
      <c r="J10" s="129">
        <f t="shared" si="1"/>
        <v>8295.91</v>
      </c>
      <c r="K10" s="252">
        <v>12000</v>
      </c>
      <c r="L10" s="253">
        <f>(K10*0.16)+K10</f>
        <v>13920</v>
      </c>
      <c r="M10" s="129">
        <v>500</v>
      </c>
      <c r="N10" s="137">
        <f>M10/J10</f>
        <v>6.027066349562616E-2</v>
      </c>
      <c r="O10" s="129">
        <v>1600</v>
      </c>
      <c r="P10" s="137">
        <f>O10/J10</f>
        <v>0.19286612318600371</v>
      </c>
      <c r="Q10" s="129">
        <v>40</v>
      </c>
      <c r="R10" s="137">
        <f>Q10/J10</f>
        <v>4.8216530796500925E-3</v>
      </c>
      <c r="S10" s="254">
        <f>(J10-M10-O10)</f>
        <v>6195.91</v>
      </c>
      <c r="T10" s="182">
        <f>S10/J10</f>
        <v>0.74686321331837013</v>
      </c>
      <c r="U10" s="311"/>
      <c r="V10" s="314">
        <v>6.0270663495626158</v>
      </c>
      <c r="W10" s="314">
        <v>19.286612318600373</v>
      </c>
      <c r="X10" s="314">
        <v>0.48216530796500923</v>
      </c>
      <c r="Y10" s="314">
        <v>74.686321331837007</v>
      </c>
      <c r="AA10" s="40" t="str">
        <f t="shared" si="9"/>
        <v>update catalogo_servicios set costo_servicio = 4296.7444, costo = 12000, honorarios = 8295.91, utilidad = 6195.91, porcentaje_utilidad = 74.686321331837, comision_venta_monto=500, porcentaje_venta=6.02706634956262, comision_operativa_monto=1600, porcentaje_operativa=19.2866123186004, comision_gestion_monto=40, porcentaje_gestion=0.482165307965009 where id = 65;</v>
      </c>
    </row>
    <row r="11" spans="1:27" ht="15" thickBot="1" x14ac:dyDescent="0.25">
      <c r="A11" s="251" t="s">
        <v>4</v>
      </c>
      <c r="B11" s="267" t="s">
        <v>276</v>
      </c>
      <c r="C11" s="270" t="s">
        <v>277</v>
      </c>
      <c r="D11" s="299">
        <f>IFERROR(VLOOKUP(C11,catalogo_servicios!$B$1:$C$106,2,0),"")</f>
        <v>63</v>
      </c>
      <c r="E11" s="299" t="str">
        <f>IFERROR(VLOOKUP(C11,catalogo_servicios!$B$1:$B$106,1,0),"")</f>
        <v>REN</v>
      </c>
      <c r="F11" s="299" t="str">
        <f t="shared" si="4"/>
        <v>Ya</v>
      </c>
      <c r="G11" s="4" t="s">
        <v>262</v>
      </c>
      <c r="H11" s="127">
        <v>2597.77</v>
      </c>
      <c r="I11" s="127">
        <f t="shared" si="0"/>
        <v>3013.4132</v>
      </c>
      <c r="J11" s="5">
        <f t="shared" ref="J11:J37" si="10">K11-H11</f>
        <v>3392.23</v>
      </c>
      <c r="K11" s="80">
        <v>5990</v>
      </c>
      <c r="L11" s="13">
        <f t="shared" si="2"/>
        <v>6948.4</v>
      </c>
      <c r="M11" s="5">
        <v>350</v>
      </c>
      <c r="N11" s="133">
        <f t="shared" si="5"/>
        <v>0.10317696618448631</v>
      </c>
      <c r="O11" s="5">
        <v>100</v>
      </c>
      <c r="P11" s="133">
        <f t="shared" si="6"/>
        <v>2.9479133195567518E-2</v>
      </c>
      <c r="Q11" s="5">
        <v>40</v>
      </c>
      <c r="R11" s="133">
        <f t="shared" si="7"/>
        <v>1.1791653278227007E-2</v>
      </c>
      <c r="S11" s="123">
        <f t="shared" si="3"/>
        <v>2942.23</v>
      </c>
      <c r="T11" s="126">
        <f t="shared" si="8"/>
        <v>0.86734390061994615</v>
      </c>
      <c r="U11" s="310"/>
      <c r="V11" s="314">
        <v>10.317696618448631</v>
      </c>
      <c r="W11" s="314">
        <v>2.947913319556752</v>
      </c>
      <c r="X11" s="314">
        <v>1.1791653278227006</v>
      </c>
      <c r="Y11" s="314">
        <v>86.734390061994617</v>
      </c>
      <c r="AA11" s="40" t="str">
        <f t="shared" si="9"/>
        <v>update catalogo_servicios set costo_servicio = 3013.4132, costo = 5990, honorarios = 3392.23, utilidad = 2942.23, porcentaje_utilidad = 86.7343900619946, comision_venta_monto=350, porcentaje_venta=10.3176966184486, comision_operativa_monto=100, porcentaje_operativa=2.94791331955675, comision_gestion_monto=40, porcentaje_gestion=1.1791653278227 where id = 63;</v>
      </c>
    </row>
    <row r="12" spans="1:27" ht="16" thickBot="1" x14ac:dyDescent="0.25">
      <c r="A12" s="251" t="s">
        <v>5</v>
      </c>
      <c r="B12" s="271" t="s">
        <v>278</v>
      </c>
      <c r="C12" s="270" t="s">
        <v>279</v>
      </c>
      <c r="D12" s="299" t="str">
        <f>IFERROR(VLOOKUP(C12,catalogo_servicios!$B$1:$C$106,2,0),"")</f>
        <v/>
      </c>
      <c r="E12" s="299" t="str">
        <f>IFERROR(VLOOKUP(C12,catalogo_servicios!$B$1:$B$106,1,0),"")</f>
        <v/>
      </c>
      <c r="F12" s="299" t="str">
        <f t="shared" si="4"/>
        <v>Nuevo</v>
      </c>
      <c r="G12" s="4" t="s">
        <v>261</v>
      </c>
      <c r="H12" s="127">
        <v>985.67</v>
      </c>
      <c r="I12" s="127">
        <f t="shared" si="0"/>
        <v>1143.3771999999999</v>
      </c>
      <c r="J12" s="5">
        <f t="shared" si="10"/>
        <v>1004.33</v>
      </c>
      <c r="K12" s="80">
        <v>1990</v>
      </c>
      <c r="L12" s="13">
        <f t="shared" si="2"/>
        <v>2308.4</v>
      </c>
      <c r="M12" s="5">
        <v>100</v>
      </c>
      <c r="N12" s="133">
        <f t="shared" si="5"/>
        <v>9.9568866806726872E-2</v>
      </c>
      <c r="O12" s="5">
        <v>40</v>
      </c>
      <c r="P12" s="133">
        <f t="shared" si="6"/>
        <v>3.9827546722690746E-2</v>
      </c>
      <c r="Q12" s="5">
        <v>25</v>
      </c>
      <c r="R12" s="133">
        <f t="shared" si="7"/>
        <v>2.4892216701681718E-2</v>
      </c>
      <c r="S12" s="123">
        <f t="shared" si="3"/>
        <v>864.33</v>
      </c>
      <c r="T12" s="126">
        <f t="shared" si="8"/>
        <v>0.86060358647058244</v>
      </c>
      <c r="U12" s="310"/>
      <c r="V12" s="314">
        <v>9.956886680672687</v>
      </c>
      <c r="W12" s="314">
        <v>3.9827546722690745</v>
      </c>
      <c r="X12" s="314">
        <v>2.4892216701681718</v>
      </c>
      <c r="Y12" s="314">
        <v>86.060358647058237</v>
      </c>
      <c r="AA12" s="40" t="str">
        <f t="shared" si="9"/>
        <v/>
      </c>
    </row>
    <row r="13" spans="1:27" ht="16" thickBot="1" x14ac:dyDescent="0.25">
      <c r="A13" s="251" t="s">
        <v>6</v>
      </c>
      <c r="B13" s="272" t="s">
        <v>280</v>
      </c>
      <c r="C13" s="269" t="s">
        <v>281</v>
      </c>
      <c r="D13" s="299">
        <f>IFERROR(VLOOKUP(C13,catalogo_servicios!$B$1:$C$106,2,0),"")</f>
        <v>68</v>
      </c>
      <c r="E13" s="299" t="str">
        <f>IFERROR(VLOOKUP(C13,catalogo_servicios!$B$1:$B$106,1,0),"")</f>
        <v>MNC</v>
      </c>
      <c r="F13" s="299" t="str">
        <f t="shared" si="4"/>
        <v>Ya</v>
      </c>
      <c r="G13" s="4" t="s">
        <v>165</v>
      </c>
      <c r="H13" s="5">
        <v>2599.2199999999998</v>
      </c>
      <c r="I13" s="5">
        <f t="shared" si="0"/>
        <v>3015.0951999999997</v>
      </c>
      <c r="J13" s="5">
        <f t="shared" si="10"/>
        <v>10900.78</v>
      </c>
      <c r="K13" s="80">
        <v>13500</v>
      </c>
      <c r="L13" s="13">
        <f t="shared" si="2"/>
        <v>15660</v>
      </c>
      <c r="M13" s="5">
        <v>1100</v>
      </c>
      <c r="N13" s="133">
        <f t="shared" si="5"/>
        <v>0.10091021009505741</v>
      </c>
      <c r="O13" s="5">
        <v>450</v>
      </c>
      <c r="P13" s="133">
        <f t="shared" si="6"/>
        <v>4.128144958434167E-2</v>
      </c>
      <c r="Q13" s="5">
        <v>110</v>
      </c>
      <c r="R13" s="133">
        <f t="shared" si="7"/>
        <v>1.0091021009505742E-2</v>
      </c>
      <c r="S13" s="123">
        <f t="shared" si="3"/>
        <v>9350.7800000000007</v>
      </c>
      <c r="T13" s="126">
        <f t="shared" si="8"/>
        <v>0.85780834032060094</v>
      </c>
      <c r="U13" s="310"/>
      <c r="V13" s="314">
        <v>10.091021009505742</v>
      </c>
      <c r="W13" s="314">
        <v>4.1281449584341674</v>
      </c>
      <c r="X13" s="314">
        <v>1.0091021009505743</v>
      </c>
      <c r="Y13" s="314">
        <v>85.780834032060099</v>
      </c>
      <c r="AA13" s="40" t="str">
        <f t="shared" si="9"/>
        <v>update catalogo_servicios set costo_servicio = 3015.0952, costo = 13500, honorarios = 10900.78, utilidad = 9350.78, porcentaje_utilidad = 85.7808340320601, comision_venta_monto=1100, porcentaje_venta=10.0910210095057, comision_operativa_monto=450, porcentaje_operativa=4.12814495843417, comision_gestion_monto=110, porcentaje_gestion=1.00910210095057 where id = 68;</v>
      </c>
    </row>
    <row r="14" spans="1:27" ht="16" thickBot="1" x14ac:dyDescent="0.25">
      <c r="A14" s="251" t="s">
        <v>7</v>
      </c>
      <c r="B14" s="272" t="s">
        <v>282</v>
      </c>
      <c r="C14" s="269" t="s">
        <v>283</v>
      </c>
      <c r="D14" s="299">
        <f>IFERROR(VLOOKUP(C14,catalogo_servicios!$B$1:$C$106,2,0),"")</f>
        <v>69</v>
      </c>
      <c r="E14" s="299" t="str">
        <f>IFERROR(VLOOKUP(C14,catalogo_servicios!$B$1:$B$106,1,0),"")</f>
        <v>MF</v>
      </c>
      <c r="F14" s="299" t="str">
        <f t="shared" si="4"/>
        <v>Ya</v>
      </c>
      <c r="G14" s="4" t="s">
        <v>166</v>
      </c>
      <c r="H14" s="5">
        <v>2521.09</v>
      </c>
      <c r="I14" s="5">
        <f t="shared" si="0"/>
        <v>2924.4644000000003</v>
      </c>
      <c r="J14" s="5">
        <f>K14-H14</f>
        <v>22478.91</v>
      </c>
      <c r="K14" s="80">
        <v>25000</v>
      </c>
      <c r="L14" s="13">
        <f>(K14*0.16)+K14</f>
        <v>29000</v>
      </c>
      <c r="M14" s="5">
        <v>2200</v>
      </c>
      <c r="N14" s="133">
        <f>M14/J14</f>
        <v>9.7869514135694308E-2</v>
      </c>
      <c r="O14" s="5">
        <v>1000</v>
      </c>
      <c r="P14" s="133">
        <f>O14/J14</f>
        <v>4.4486142788951959E-2</v>
      </c>
      <c r="Q14" s="5">
        <v>225</v>
      </c>
      <c r="R14" s="133">
        <f>Q14/J14</f>
        <v>1.0009382127514191E-2</v>
      </c>
      <c r="S14" s="123">
        <f>(J14-M14-O14)</f>
        <v>19278.91</v>
      </c>
      <c r="T14" s="126">
        <f>S14/J14</f>
        <v>0.85764434307535375</v>
      </c>
      <c r="U14" s="310"/>
      <c r="V14" s="314">
        <v>9.7869514135694313</v>
      </c>
      <c r="W14" s="314">
        <v>4.4486142788951959</v>
      </c>
      <c r="X14" s="314">
        <v>1.000938212751419</v>
      </c>
      <c r="Y14" s="314">
        <v>85.764434307535382</v>
      </c>
      <c r="AA14" s="40" t="str">
        <f t="shared" si="9"/>
        <v>update catalogo_servicios set costo_servicio = 2924.4644, costo = 25000, honorarios = 22478.91, utilidad = 19278.91, porcentaje_utilidad = 85.7644343075354, comision_venta_monto=2200, porcentaje_venta=9.78695141356943, comision_operativa_monto=1000, porcentaje_operativa=4.4486142788952, comision_gestion_monto=225, porcentaje_gestion=1.00093821275142 where id = 69;</v>
      </c>
    </row>
    <row r="15" spans="1:27" ht="29" thickBot="1" x14ac:dyDescent="0.25">
      <c r="A15" s="251" t="s">
        <v>161</v>
      </c>
      <c r="B15" s="272" t="s">
        <v>284</v>
      </c>
      <c r="C15" s="269" t="s">
        <v>285</v>
      </c>
      <c r="D15" s="299">
        <f>IFERROR(VLOOKUP(C15,catalogo_servicios!$B$1:$C$106,2,0),"")</f>
        <v>57</v>
      </c>
      <c r="E15" s="299" t="str">
        <f>IFERROR(VLOOKUP(C15,catalogo_servicios!$B$1:$B$106,1,0),"")</f>
        <v>TITMNC</v>
      </c>
      <c r="F15" s="299" t="str">
        <f t="shared" si="4"/>
        <v>Ya</v>
      </c>
      <c r="G15" s="4" t="s">
        <v>167</v>
      </c>
      <c r="H15" s="5">
        <v>975.34</v>
      </c>
      <c r="I15" s="5">
        <f>(H15*0.16)+H15</f>
        <v>1131.3944000000001</v>
      </c>
      <c r="J15" s="5">
        <f>K15-H15</f>
        <v>1524.6599999999999</v>
      </c>
      <c r="K15" s="80">
        <v>2500</v>
      </c>
      <c r="L15" s="13">
        <f>(K15*0.16)+K15</f>
        <v>2900</v>
      </c>
      <c r="M15" s="5">
        <v>150</v>
      </c>
      <c r="N15" s="133">
        <f>M15/J15</f>
        <v>9.8382590216835236E-2</v>
      </c>
      <c r="O15" s="5">
        <v>0</v>
      </c>
      <c r="P15" s="133">
        <f>O15/J15</f>
        <v>0</v>
      </c>
      <c r="Q15" s="5">
        <v>25</v>
      </c>
      <c r="R15" s="133">
        <f>Q15/J15</f>
        <v>1.6397098369472538E-2</v>
      </c>
      <c r="S15" s="123">
        <f>(J15-M15-O15)</f>
        <v>1374.6599999999999</v>
      </c>
      <c r="T15" s="126">
        <f>S15/J15</f>
        <v>0.90161740978316474</v>
      </c>
      <c r="U15" s="310"/>
      <c r="V15" s="314">
        <v>9.8382590216835233</v>
      </c>
      <c r="W15" s="314">
        <v>0</v>
      </c>
      <c r="X15" s="314">
        <v>1.6397098369472538</v>
      </c>
      <c r="Y15" s="314">
        <v>90.161740978316473</v>
      </c>
      <c r="AA15" s="40" t="str">
        <f t="shared" si="9"/>
        <v>update catalogo_servicios set costo_servicio = 1131.3944, costo = 2500, honorarios = 1524.66, utilidad = 1374.66, porcentaje_utilidad = 90.1617409783165, comision_venta_monto=150, porcentaje_venta=9.83825902168352, comision_operativa_monto=0, porcentaje_operativa=0, comision_gestion_monto=25, porcentaje_gestion=1.63970983694725 where id = 57;</v>
      </c>
    </row>
    <row r="16" spans="1:27" ht="16" thickBot="1" x14ac:dyDescent="0.25">
      <c r="A16" s="251" t="s">
        <v>162</v>
      </c>
      <c r="B16" s="272" t="s">
        <v>286</v>
      </c>
      <c r="C16" s="269" t="s">
        <v>287</v>
      </c>
      <c r="D16" s="299">
        <f>IFERROR(VLOOKUP(C16,catalogo_servicios!$B$1:$C$106,2,0),"")</f>
        <v>58</v>
      </c>
      <c r="E16" s="299" t="str">
        <f>IFERROR(VLOOKUP(C16,catalogo_servicios!$B$1:$B$106,1,0),"")</f>
        <v>TITMF</v>
      </c>
      <c r="F16" s="299" t="str">
        <f t="shared" si="4"/>
        <v>Ya</v>
      </c>
      <c r="G16" s="4" t="s">
        <v>168</v>
      </c>
      <c r="H16" s="5">
        <v>45873.279999999999</v>
      </c>
      <c r="I16" s="5">
        <f>(H16*0.16)+H16</f>
        <v>53213.004799999995</v>
      </c>
      <c r="J16" s="5">
        <f>K16-H16</f>
        <v>9126.7200000000012</v>
      </c>
      <c r="K16" s="80">
        <v>55000</v>
      </c>
      <c r="L16" s="13">
        <f>(K16*0.16)+K16</f>
        <v>63800</v>
      </c>
      <c r="M16" s="5">
        <v>900</v>
      </c>
      <c r="N16" s="133">
        <f>M16/J16</f>
        <v>9.8611549384663919E-2</v>
      </c>
      <c r="O16" s="5">
        <v>0</v>
      </c>
      <c r="P16" s="133">
        <f>O16/J16</f>
        <v>0</v>
      </c>
      <c r="Q16" s="5">
        <v>100</v>
      </c>
      <c r="R16" s="133">
        <f>Q16/J16</f>
        <v>1.0956838820518212E-2</v>
      </c>
      <c r="S16" s="123">
        <f>(J16-M16-O16)</f>
        <v>8226.7200000000012</v>
      </c>
      <c r="T16" s="126">
        <f>S16/J16</f>
        <v>0.90138845061533612</v>
      </c>
      <c r="U16" s="310"/>
      <c r="V16" s="314">
        <v>9.8611549384663917</v>
      </c>
      <c r="W16" s="314">
        <v>0</v>
      </c>
      <c r="X16" s="314">
        <v>1.0956838820518213</v>
      </c>
      <c r="Y16" s="314">
        <v>90.138845061533615</v>
      </c>
      <c r="AA16" s="40" t="str">
        <f t="shared" si="9"/>
        <v>update catalogo_servicios set costo_servicio = 53213.0048, costo = 55000, honorarios = 9126.72, utilidad = 8226.72, porcentaje_utilidad = 90.1388450615336, comision_venta_monto=900, porcentaje_venta=9.86115493846639, comision_operativa_monto=0, porcentaje_operativa=0, comision_gestion_monto=100, porcentaje_gestion=1.09568388205182 where id = 58;</v>
      </c>
    </row>
    <row r="17" spans="1:27" ht="28" x14ac:dyDescent="0.2">
      <c r="A17" s="251" t="s">
        <v>163</v>
      </c>
      <c r="B17" s="144"/>
      <c r="C17" s="144"/>
      <c r="D17" s="299" t="str">
        <f>IFERROR(VLOOKUP(C17,catalogo_servicios!$B$1:$C$106,2,0),"")</f>
        <v/>
      </c>
      <c r="E17" s="299" t="str">
        <f>IFERROR(VLOOKUP(C17,catalogo_servicios!$B$1:$B$106,1,0),"")</f>
        <v/>
      </c>
      <c r="F17" s="299" t="str">
        <f t="shared" si="4"/>
        <v/>
      </c>
      <c r="G17" s="4" t="s">
        <v>169</v>
      </c>
      <c r="H17" s="5">
        <v>1234.31</v>
      </c>
      <c r="I17" s="5">
        <f>(H17*0.16)+H17</f>
        <v>1431.7995999999998</v>
      </c>
      <c r="J17" s="5">
        <f>K17-H17</f>
        <v>1565.69</v>
      </c>
      <c r="K17" s="80">
        <v>2800</v>
      </c>
      <c r="L17" s="13">
        <f>(K17*0.16)+K17</f>
        <v>3248</v>
      </c>
      <c r="M17" s="5">
        <v>150</v>
      </c>
      <c r="N17" s="133">
        <f>M17/J17</f>
        <v>9.5804405725271283E-2</v>
      </c>
      <c r="O17" s="5">
        <v>50</v>
      </c>
      <c r="P17" s="133">
        <f>O17/J17</f>
        <v>3.1934801908423759E-2</v>
      </c>
      <c r="Q17" s="5">
        <v>20</v>
      </c>
      <c r="R17" s="133">
        <f>Q17/J17</f>
        <v>1.2773920763369504E-2</v>
      </c>
      <c r="S17" s="123">
        <f>(J17-M17-O17)</f>
        <v>1365.69</v>
      </c>
      <c r="T17" s="126">
        <f>S17/J17</f>
        <v>0.87226079236630494</v>
      </c>
      <c r="U17" s="310"/>
      <c r="V17" s="314">
        <v>9.5804405725271291</v>
      </c>
      <c r="W17" s="314">
        <v>3.1934801908423758</v>
      </c>
      <c r="X17" s="314">
        <v>1.2773920763369504</v>
      </c>
      <c r="Y17" s="314">
        <v>87.226079236630497</v>
      </c>
      <c r="AA17" s="40" t="str">
        <f t="shared" si="9"/>
        <v/>
      </c>
    </row>
    <row r="18" spans="1:27" ht="15" thickBot="1" x14ac:dyDescent="0.25">
      <c r="A18" s="251" t="s">
        <v>164</v>
      </c>
      <c r="B18" s="144"/>
      <c r="C18" s="144"/>
      <c r="D18" s="299" t="str">
        <f>IFERROR(VLOOKUP(C18,catalogo_servicios!$B$1:$C$106,2,0),"")</f>
        <v/>
      </c>
      <c r="E18" s="299" t="str">
        <f>IFERROR(VLOOKUP(C18,catalogo_servicios!$B$1:$B$106,1,0),"")</f>
        <v/>
      </c>
      <c r="F18" s="299" t="str">
        <f t="shared" si="4"/>
        <v/>
      </c>
      <c r="G18" s="4" t="s">
        <v>170</v>
      </c>
      <c r="H18" s="5">
        <v>44567.37</v>
      </c>
      <c r="I18" s="5">
        <f>(H18*0.16)+H18</f>
        <v>51698.1492</v>
      </c>
      <c r="J18" s="5">
        <f>K18-H18</f>
        <v>10432.629999999997</v>
      </c>
      <c r="K18" s="80">
        <v>55000</v>
      </c>
      <c r="L18" s="13">
        <f>(K18*0.16)+K18</f>
        <v>63800</v>
      </c>
      <c r="M18" s="129">
        <v>1050</v>
      </c>
      <c r="N18" s="137">
        <f>M18/J18</f>
        <v>0.10064576238206475</v>
      </c>
      <c r="O18" s="129">
        <v>450</v>
      </c>
      <c r="P18" s="137">
        <f>O18/J18</f>
        <v>4.3133898163742038E-2</v>
      </c>
      <c r="Q18" s="129">
        <v>100</v>
      </c>
      <c r="R18" s="133">
        <f>Q18/J18</f>
        <v>9.5853107030537867E-3</v>
      </c>
      <c r="S18" s="123">
        <f>(J18-M18-O18)</f>
        <v>8932.6299999999974</v>
      </c>
      <c r="T18" s="126">
        <f>S18/J18</f>
        <v>0.85622033945419318</v>
      </c>
      <c r="U18" s="310"/>
      <c r="V18" s="314">
        <v>10.064576238206476</v>
      </c>
      <c r="W18" s="314">
        <v>4.3133898163742037</v>
      </c>
      <c r="X18" s="314">
        <v>0.95853107030537865</v>
      </c>
      <c r="Y18" s="314">
        <v>85.622033945419318</v>
      </c>
      <c r="AA18" s="40" t="str">
        <f t="shared" si="9"/>
        <v/>
      </c>
    </row>
    <row r="19" spans="1:27" ht="29" thickBot="1" x14ac:dyDescent="0.25">
      <c r="A19" s="35" t="s">
        <v>97</v>
      </c>
      <c r="B19" s="272" t="s">
        <v>290</v>
      </c>
      <c r="C19" s="269" t="s">
        <v>291</v>
      </c>
      <c r="D19" s="299">
        <f>IFERROR(VLOOKUP(C19,catalogo_servicios!$B$1:$C$106,2,0),"")</f>
        <v>81</v>
      </c>
      <c r="E19" s="299" t="str">
        <f>IFERROR(VLOOKUP(C19,catalogo_servicios!$B$1:$B$106,1,0),"")</f>
        <v>CCERT</v>
      </c>
      <c r="F19" s="299" t="str">
        <f t="shared" si="4"/>
        <v>Ya</v>
      </c>
      <c r="G19" s="4" t="s">
        <v>96</v>
      </c>
      <c r="H19" s="5">
        <v>14.6</v>
      </c>
      <c r="I19" s="5">
        <f t="shared" ref="I19:I33" si="11">(H19*0.16)+H19</f>
        <v>16.936</v>
      </c>
      <c r="J19" s="5">
        <f t="shared" si="10"/>
        <v>735.4</v>
      </c>
      <c r="K19" s="80">
        <v>750</v>
      </c>
      <c r="L19" s="13">
        <f t="shared" si="2"/>
        <v>870</v>
      </c>
      <c r="M19" s="5">
        <v>75</v>
      </c>
      <c r="N19" s="133">
        <f t="shared" si="5"/>
        <v>0.10198531411476748</v>
      </c>
      <c r="O19" s="5">
        <v>30</v>
      </c>
      <c r="P19" s="133">
        <f t="shared" si="6"/>
        <v>4.0794125645906988E-2</v>
      </c>
      <c r="Q19" s="5">
        <v>10</v>
      </c>
      <c r="R19" s="133">
        <f t="shared" si="7"/>
        <v>1.3598041881968996E-2</v>
      </c>
      <c r="S19" s="123">
        <f t="shared" si="3"/>
        <v>630.4</v>
      </c>
      <c r="T19" s="126">
        <f t="shared" si="8"/>
        <v>0.85722056023932558</v>
      </c>
      <c r="U19" s="310"/>
      <c r="V19" s="314">
        <v>10.198531411476749</v>
      </c>
      <c r="W19" s="314">
        <v>4.0794125645906991</v>
      </c>
      <c r="X19" s="314">
        <v>1.3598041881968996</v>
      </c>
      <c r="Y19" s="314">
        <v>85.722056023932552</v>
      </c>
      <c r="AA19" s="40" t="str">
        <f t="shared" si="9"/>
        <v>update catalogo_servicios set costo_servicio = 16.936, costo = 750, honorarios = 735.4, utilidad = 630.4, porcentaje_utilidad = 85.7220560239326, comision_venta_monto=75, porcentaje_venta=10.1985314114767, comision_operativa_monto=30, porcentaje_operativa=4.0794125645907, comision_gestion_monto=10, porcentaje_gestion=1.3598041881969 where id = 81;</v>
      </c>
    </row>
    <row r="20" spans="1:27" ht="31" thickBot="1" x14ac:dyDescent="0.25">
      <c r="A20" s="35">
        <v>29</v>
      </c>
      <c r="B20" s="272" t="s">
        <v>292</v>
      </c>
      <c r="C20" s="269" t="s">
        <v>293</v>
      </c>
      <c r="D20" s="299">
        <f>IFERROR(VLOOKUP(C20,catalogo_servicios!$B$1:$C$106,2,0),"")</f>
        <v>76</v>
      </c>
      <c r="E20" s="299" t="str">
        <f>IFERROR(VLOOKUP(C20,catalogo_servicios!$B$1:$B$106,1,0),"")</f>
        <v>CR</v>
      </c>
      <c r="F20" s="299" t="str">
        <f t="shared" si="4"/>
        <v>Ya</v>
      </c>
      <c r="G20" s="35" t="s">
        <v>114</v>
      </c>
      <c r="H20" s="5">
        <v>325.77</v>
      </c>
      <c r="I20" s="5">
        <f t="shared" si="11"/>
        <v>377.89319999999998</v>
      </c>
      <c r="J20" s="5">
        <f t="shared" si="10"/>
        <v>424.23</v>
      </c>
      <c r="K20" s="80">
        <v>750</v>
      </c>
      <c r="L20" s="13">
        <f t="shared" si="2"/>
        <v>870</v>
      </c>
      <c r="M20" s="5">
        <v>0</v>
      </c>
      <c r="N20" s="133">
        <f t="shared" si="5"/>
        <v>0</v>
      </c>
      <c r="O20" s="5">
        <v>50</v>
      </c>
      <c r="P20" s="133">
        <f t="shared" si="6"/>
        <v>0.11786059448883859</v>
      </c>
      <c r="Q20" s="5">
        <v>20</v>
      </c>
      <c r="R20" s="133">
        <f t="shared" si="7"/>
        <v>4.7144237795535442E-2</v>
      </c>
      <c r="S20" s="123">
        <f>(J20-O20-Q20)</f>
        <v>354.23</v>
      </c>
      <c r="T20" s="126">
        <f t="shared" si="8"/>
        <v>0.83499516771562599</v>
      </c>
      <c r="U20" s="310"/>
      <c r="V20" s="314">
        <v>0</v>
      </c>
      <c r="W20" s="314">
        <v>11.78605944888386</v>
      </c>
      <c r="X20" s="314">
        <v>4.7144237795535444</v>
      </c>
      <c r="Y20" s="314">
        <v>83.499516771562597</v>
      </c>
      <c r="Z20" s="122"/>
      <c r="AA20" s="40" t="str">
        <f t="shared" si="9"/>
        <v>update catalogo_servicios set costo_servicio = 377.8932, costo = 750, honorarios = 424.23, utilidad = 354.23, porcentaje_utilidad = 83.4995167715626, comision_venta_monto=0, porcentaje_venta=0, comision_operativa_monto=50, porcentaje_operativa=11.7860594488839, comision_gestion_monto=20, porcentaje_gestion=4.71442377955354 where id = 76;</v>
      </c>
    </row>
    <row r="21" spans="1:27" ht="31" thickBot="1" x14ac:dyDescent="0.25">
      <c r="A21" s="35">
        <v>29</v>
      </c>
      <c r="B21" s="272" t="s">
        <v>294</v>
      </c>
      <c r="C21" s="269" t="s">
        <v>295</v>
      </c>
      <c r="D21" s="299">
        <f>IFERROR(VLOOKUP(C21,catalogo_servicios!$B$1:$C$106,2,0),"")</f>
        <v>84</v>
      </c>
      <c r="E21" s="299" t="str">
        <f>IFERROR(VLOOKUP(C21,catalogo_servicios!$B$1:$B$106,1,0),"")</f>
        <v>CANT</v>
      </c>
      <c r="F21" s="299" t="str">
        <f t="shared" si="4"/>
        <v>Ya</v>
      </c>
      <c r="G21" s="35" t="s">
        <v>296</v>
      </c>
      <c r="H21" s="5">
        <v>325.77</v>
      </c>
      <c r="I21" s="5">
        <f>(H21*0.16)+H21</f>
        <v>377.89319999999998</v>
      </c>
      <c r="J21" s="5">
        <f>K21-H21</f>
        <v>624.23</v>
      </c>
      <c r="K21" s="80">
        <v>950</v>
      </c>
      <c r="L21" s="13">
        <f>(K21*0.16)+K21</f>
        <v>1102</v>
      </c>
      <c r="M21" s="5">
        <v>0</v>
      </c>
      <c r="N21" s="133">
        <f>M21/J21</f>
        <v>0</v>
      </c>
      <c r="O21" s="5">
        <v>300</v>
      </c>
      <c r="P21" s="133">
        <f>O21/J21</f>
        <v>0.48059208945420756</v>
      </c>
      <c r="Q21" s="5">
        <v>20</v>
      </c>
      <c r="R21" s="133">
        <f>Q21/J21</f>
        <v>3.2039472630280508E-2</v>
      </c>
      <c r="S21" s="123">
        <f>(J21-O21-Q21)</f>
        <v>304.23</v>
      </c>
      <c r="T21" s="126">
        <f>S21/J21</f>
        <v>0.48736843791551193</v>
      </c>
      <c r="U21" s="310"/>
      <c r="V21" s="314">
        <v>0</v>
      </c>
      <c r="W21" s="314">
        <v>48.059208945420757</v>
      </c>
      <c r="X21" s="314">
        <v>3.2039472630280508</v>
      </c>
      <c r="Y21" s="314">
        <v>48.736843791551195</v>
      </c>
      <c r="Z21" s="122"/>
      <c r="AA21" s="40" t="str">
        <f t="shared" si="9"/>
        <v>update catalogo_servicios set costo_servicio = 377.8932, costo = 950, honorarios = 624.23, utilidad = 304.23, porcentaje_utilidad = 48.7368437915512, comision_venta_monto=0, porcentaje_venta=0, comision_operativa_monto=300, porcentaje_operativa=48.0592089454208, comision_gestion_monto=20, porcentaje_gestion=3.20394726302805 where id = 84;</v>
      </c>
    </row>
    <row r="22" spans="1:27" ht="31" thickBot="1" x14ac:dyDescent="0.25">
      <c r="A22" s="35">
        <v>29</v>
      </c>
      <c r="B22" s="272" t="s">
        <v>298</v>
      </c>
      <c r="C22" s="273" t="s">
        <v>299</v>
      </c>
      <c r="D22" s="299">
        <f>IFERROR(VLOOKUP(C22,catalogo_servicios!$B$1:$C$106,2,0),"")</f>
        <v>78</v>
      </c>
      <c r="E22" s="299" t="str">
        <f>IFERROR(VLOOKUP(C22,catalogo_servicios!$B$1:$B$106,1,0),"")</f>
        <v>CIMP</v>
      </c>
      <c r="F22" s="299" t="str">
        <f t="shared" si="4"/>
        <v>Ya</v>
      </c>
      <c r="G22" s="35" t="s">
        <v>297</v>
      </c>
      <c r="H22" s="5">
        <v>325.77</v>
      </c>
      <c r="I22" s="5">
        <f t="shared" si="11"/>
        <v>377.89319999999998</v>
      </c>
      <c r="J22" s="5">
        <f t="shared" si="10"/>
        <v>624.23</v>
      </c>
      <c r="K22" s="80">
        <v>950</v>
      </c>
      <c r="L22" s="13">
        <f t="shared" si="2"/>
        <v>1102</v>
      </c>
      <c r="M22" s="5">
        <v>0</v>
      </c>
      <c r="N22" s="133">
        <f t="shared" si="5"/>
        <v>0</v>
      </c>
      <c r="O22" s="5">
        <v>300</v>
      </c>
      <c r="P22" s="133">
        <f t="shared" si="6"/>
        <v>0.48059208945420756</v>
      </c>
      <c r="Q22" s="5">
        <v>20</v>
      </c>
      <c r="R22" s="133">
        <f t="shared" si="7"/>
        <v>3.2039472630280508E-2</v>
      </c>
      <c r="S22" s="123">
        <f>(J22-O22-Q22)</f>
        <v>304.23</v>
      </c>
      <c r="T22" s="126">
        <f t="shared" si="8"/>
        <v>0.48736843791551193</v>
      </c>
      <c r="U22" s="310"/>
      <c r="V22" s="314">
        <v>0</v>
      </c>
      <c r="W22" s="314">
        <v>48.059208945420757</v>
      </c>
      <c r="X22" s="314">
        <v>3.2039472630280508</v>
      </c>
      <c r="Y22" s="314">
        <v>48.736843791551195</v>
      </c>
      <c r="Z22" s="122"/>
      <c r="AA22" s="40" t="str">
        <f t="shared" si="9"/>
        <v>update catalogo_servicios set costo_servicio = 377.8932, costo = 950, honorarios = 624.23, utilidad = 304.23, porcentaje_utilidad = 48.7368437915512, comision_venta_monto=0, porcentaje_venta=0, comision_operativa_monto=300, porcentaje_operativa=48.0592089454208, comision_gestion_monto=20, porcentaje_gestion=3.20394726302805 where id = 78;</v>
      </c>
    </row>
    <row r="23" spans="1:27" ht="31" thickBot="1" x14ac:dyDescent="0.25">
      <c r="A23" s="35">
        <v>29</v>
      </c>
      <c r="B23" s="272" t="s">
        <v>302</v>
      </c>
      <c r="C23" s="273" t="s">
        <v>303</v>
      </c>
      <c r="D23" s="299">
        <f>IFERROR(VLOOKUP(C23,catalogo_servicios!$B$1:$C$106,2,0),"")</f>
        <v>75</v>
      </c>
      <c r="E23" s="299" t="str">
        <f>IFERROR(VLOOKUP(C23,catalogo_servicios!$B$1:$B$106,1,0),"")</f>
        <v>CR*</v>
      </c>
      <c r="F23" s="299" t="str">
        <f t="shared" si="4"/>
        <v>Ya</v>
      </c>
      <c r="G23" s="35" t="s">
        <v>148</v>
      </c>
      <c r="H23" s="5">
        <v>325.77</v>
      </c>
      <c r="I23" s="5">
        <f t="shared" si="11"/>
        <v>377.89319999999998</v>
      </c>
      <c r="J23" s="5">
        <f t="shared" si="10"/>
        <v>1174.23</v>
      </c>
      <c r="K23" s="97">
        <v>1500</v>
      </c>
      <c r="L23" s="13">
        <f t="shared" si="2"/>
        <v>1740</v>
      </c>
      <c r="M23" s="5">
        <v>120</v>
      </c>
      <c r="N23" s="133">
        <f t="shared" si="5"/>
        <v>0.10219462967221073</v>
      </c>
      <c r="O23" s="5">
        <v>100</v>
      </c>
      <c r="P23" s="133">
        <f t="shared" si="6"/>
        <v>8.5162191393508932E-2</v>
      </c>
      <c r="Q23" s="5">
        <v>20</v>
      </c>
      <c r="R23" s="133">
        <f t="shared" si="7"/>
        <v>1.7032438278701788E-2</v>
      </c>
      <c r="S23" s="123">
        <f t="shared" si="3"/>
        <v>954.23</v>
      </c>
      <c r="T23" s="126">
        <f t="shared" si="8"/>
        <v>0.81264317893428029</v>
      </c>
      <c r="U23" s="310"/>
      <c r="V23" s="314">
        <v>10.219462967221073</v>
      </c>
      <c r="W23" s="314">
        <v>8.516219139350893</v>
      </c>
      <c r="X23" s="314">
        <v>1.7032438278701787</v>
      </c>
      <c r="Y23" s="314">
        <v>81.264317893428029</v>
      </c>
      <c r="Z23" s="122"/>
      <c r="AA23" s="40" t="str">
        <f t="shared" si="9"/>
        <v>update catalogo_servicios set costo_servicio = 377.8932, costo = 1500, honorarios = 1174.23, utilidad = 954.23, porcentaje_utilidad = 81.264317893428, comision_venta_monto=120, porcentaje_venta=10.2194629672211, comision_operativa_monto=100, porcentaje_operativa=8.51621913935089, comision_gestion_monto=20, porcentaje_gestion=1.70324382787018 where id = 75;</v>
      </c>
    </row>
    <row r="24" spans="1:27" ht="31" thickBot="1" x14ac:dyDescent="0.25">
      <c r="A24" s="35">
        <v>29</v>
      </c>
      <c r="B24" s="272" t="s">
        <v>304</v>
      </c>
      <c r="C24" s="273" t="s">
        <v>305</v>
      </c>
      <c r="D24" s="299">
        <f>IFERROR(VLOOKUP(C24,catalogo_servicios!$B$1:$C$106,2,0),"")</f>
        <v>83</v>
      </c>
      <c r="E24" s="299" t="str">
        <f>IFERROR(VLOOKUP(C24,catalogo_servicios!$B$1:$B$106,1,0),"")</f>
        <v>CANT*</v>
      </c>
      <c r="F24" s="299" t="str">
        <f t="shared" si="4"/>
        <v>Ya</v>
      </c>
      <c r="G24" s="35" t="s">
        <v>301</v>
      </c>
      <c r="H24" s="5">
        <v>325.77</v>
      </c>
      <c r="I24" s="5">
        <f t="shared" si="11"/>
        <v>377.89319999999998</v>
      </c>
      <c r="J24" s="5">
        <f t="shared" si="10"/>
        <v>3274.23</v>
      </c>
      <c r="K24" s="97">
        <v>3600</v>
      </c>
      <c r="L24" s="125">
        <f t="shared" si="2"/>
        <v>4176</v>
      </c>
      <c r="M24" s="5">
        <v>320</v>
      </c>
      <c r="N24" s="133">
        <f t="shared" si="5"/>
        <v>9.773290208690287E-2</v>
      </c>
      <c r="O24" s="5">
        <v>320</v>
      </c>
      <c r="P24" s="133">
        <f t="shared" si="6"/>
        <v>9.773290208690287E-2</v>
      </c>
      <c r="Q24" s="5">
        <v>35</v>
      </c>
      <c r="R24" s="133">
        <f t="shared" si="7"/>
        <v>1.0689536165755001E-2</v>
      </c>
      <c r="S24" s="123">
        <f t="shared" si="3"/>
        <v>2634.23</v>
      </c>
      <c r="T24" s="126">
        <f t="shared" si="8"/>
        <v>0.80453419582619423</v>
      </c>
      <c r="U24" s="310"/>
      <c r="V24" s="314">
        <v>9.7732902086902875</v>
      </c>
      <c r="W24" s="314">
        <v>9.7732902086902875</v>
      </c>
      <c r="X24" s="314">
        <v>1.0689536165755</v>
      </c>
      <c r="Y24" s="314">
        <v>80.453419582619418</v>
      </c>
      <c r="Z24" s="122"/>
      <c r="AA24" s="40" t="str">
        <f t="shared" si="9"/>
        <v>update catalogo_servicios set costo_servicio = 377.8932, costo = 3600, honorarios = 3274.23, utilidad = 2634.23, porcentaje_utilidad = 80.4534195826194, comision_venta_monto=320, porcentaje_venta=9.77329020869029, comision_operativa_monto=320, porcentaje_operativa=9.77329020869029, comision_gestion_monto=35, porcentaje_gestion=1.0689536165755 where id = 83;</v>
      </c>
    </row>
    <row r="25" spans="1:27" ht="31" thickBot="1" x14ac:dyDescent="0.25">
      <c r="A25" s="35">
        <v>29</v>
      </c>
      <c r="B25" s="272" t="s">
        <v>306</v>
      </c>
      <c r="C25" s="273" t="s">
        <v>307</v>
      </c>
      <c r="D25" s="299">
        <f>IFERROR(VLOOKUP(C25,catalogo_servicios!$B$1:$C$106,2,0),"")</f>
        <v>77</v>
      </c>
      <c r="E25" s="299" t="str">
        <f>IFERROR(VLOOKUP(C25,catalogo_servicios!$B$1:$B$106,1,0),"")</f>
        <v>CIMP*</v>
      </c>
      <c r="F25" s="299" t="str">
        <f t="shared" si="4"/>
        <v>Ya</v>
      </c>
      <c r="G25" s="35" t="s">
        <v>300</v>
      </c>
      <c r="H25" s="5">
        <v>325.77</v>
      </c>
      <c r="I25" s="5">
        <f>(H25*0.16)+H25</f>
        <v>377.89319999999998</v>
      </c>
      <c r="J25" s="5">
        <f>K25-H25</f>
        <v>3274.23</v>
      </c>
      <c r="K25" s="97">
        <v>3600</v>
      </c>
      <c r="L25" s="125">
        <f>(K25*0.16)+K25</f>
        <v>4176</v>
      </c>
      <c r="M25" s="5">
        <v>320</v>
      </c>
      <c r="N25" s="133">
        <f>M25/J25</f>
        <v>9.773290208690287E-2</v>
      </c>
      <c r="O25" s="5">
        <v>320</v>
      </c>
      <c r="P25" s="133">
        <f>O25/J25</f>
        <v>9.773290208690287E-2</v>
      </c>
      <c r="Q25" s="5">
        <v>35</v>
      </c>
      <c r="R25" s="133">
        <f>Q25/J25</f>
        <v>1.0689536165755001E-2</v>
      </c>
      <c r="S25" s="123">
        <f>(J25-M25-O25)</f>
        <v>2634.23</v>
      </c>
      <c r="T25" s="126">
        <f>S25/J25</f>
        <v>0.80453419582619423</v>
      </c>
      <c r="U25" s="310"/>
      <c r="V25" s="314">
        <v>9.7732902086902875</v>
      </c>
      <c r="W25" s="314">
        <v>9.7732902086902875</v>
      </c>
      <c r="X25" s="314">
        <v>1.0689536165755</v>
      </c>
      <c r="Y25" s="314">
        <v>80.453419582619418</v>
      </c>
      <c r="Z25" s="122"/>
      <c r="AA25" s="40" t="str">
        <f t="shared" si="9"/>
        <v>update catalogo_servicios set costo_servicio = 377.8932, costo = 3600, honorarios = 3274.23, utilidad = 2634.23, porcentaje_utilidad = 80.4534195826194, comision_venta_monto=320, porcentaje_venta=9.77329020869029, comision_operativa_monto=320, porcentaje_operativa=9.77329020869029, comision_gestion_monto=35, porcentaje_gestion=1.0689536165755 where id = 77;</v>
      </c>
    </row>
    <row r="26" spans="1:27" ht="16" thickBot="1" x14ac:dyDescent="0.25">
      <c r="A26" s="35">
        <v>31</v>
      </c>
      <c r="B26" s="272" t="s">
        <v>308</v>
      </c>
      <c r="C26" s="269" t="s">
        <v>309</v>
      </c>
      <c r="D26" s="299">
        <f>IFERROR(VLOOKUP(C26,catalogo_servicios!$B$1:$C$106,2,0),"")</f>
        <v>64</v>
      </c>
      <c r="E26" s="299" t="str">
        <f>IFERROR(VLOOKUP(C26,catalogo_servicios!$B$1:$B$106,1,0),"")</f>
        <v>PLAD</v>
      </c>
      <c r="F26" s="299" t="str">
        <f t="shared" si="4"/>
        <v>Ya</v>
      </c>
      <c r="G26" s="4" t="s">
        <v>104</v>
      </c>
      <c r="H26" s="5">
        <v>154</v>
      </c>
      <c r="I26" s="5">
        <f t="shared" si="11"/>
        <v>178.64</v>
      </c>
      <c r="J26" s="5">
        <f t="shared" si="10"/>
        <v>171</v>
      </c>
      <c r="K26" s="80">
        <v>325</v>
      </c>
      <c r="L26" s="13">
        <f t="shared" si="2"/>
        <v>377</v>
      </c>
      <c r="M26" s="5">
        <v>0</v>
      </c>
      <c r="N26" s="133">
        <f t="shared" si="5"/>
        <v>0</v>
      </c>
      <c r="O26" s="5">
        <v>0</v>
      </c>
      <c r="P26" s="133">
        <f t="shared" si="6"/>
        <v>0</v>
      </c>
      <c r="Q26" s="5">
        <v>0</v>
      </c>
      <c r="R26" s="133">
        <f t="shared" si="7"/>
        <v>0</v>
      </c>
      <c r="S26" s="123">
        <f t="shared" si="3"/>
        <v>171</v>
      </c>
      <c r="T26" s="126">
        <f t="shared" si="8"/>
        <v>1</v>
      </c>
      <c r="U26" s="310"/>
      <c r="V26" s="314">
        <v>0</v>
      </c>
      <c r="W26" s="314">
        <v>0</v>
      </c>
      <c r="X26" s="314">
        <v>0</v>
      </c>
      <c r="Y26" s="314">
        <v>100</v>
      </c>
      <c r="Z26" s="122"/>
      <c r="AA26" s="40" t="str">
        <f t="shared" si="9"/>
        <v>update catalogo_servicios set costo_servicio = 178.64, costo = 325, honorarios = 171, utilidad = 171, porcentaje_utilidad = 100, comision_venta_monto=0, porcentaje_venta=0, comision_operativa_monto=0, porcentaje_operativa=0, comision_gestion_monto=0, porcentaje_gestion=0 where id = 64;</v>
      </c>
    </row>
    <row r="27" spans="1:27" ht="29" thickBot="1" x14ac:dyDescent="0.25">
      <c r="A27" s="35">
        <v>32</v>
      </c>
      <c r="B27" s="272" t="s">
        <v>310</v>
      </c>
      <c r="C27" s="269" t="s">
        <v>311</v>
      </c>
      <c r="D27" s="299">
        <f>IFERROR(VLOOKUP(C27,catalogo_servicios!$B$1:$C$106,2,0),"")</f>
        <v>80</v>
      </c>
      <c r="E27" s="299" t="str">
        <f>IFERROR(VLOOKUP(C27,catalogo_servicios!$B$1:$B$106,1,0),"")</f>
        <v>CDER</v>
      </c>
      <c r="F27" s="299" t="str">
        <f t="shared" si="4"/>
        <v>Ya</v>
      </c>
      <c r="G27" s="4" t="s">
        <v>147</v>
      </c>
      <c r="H27" s="5">
        <v>331.7</v>
      </c>
      <c r="I27" s="5">
        <f t="shared" si="11"/>
        <v>384.77199999999999</v>
      </c>
      <c r="J27" s="5">
        <f t="shared" si="10"/>
        <v>2418.3000000000002</v>
      </c>
      <c r="K27" s="80">
        <v>2750</v>
      </c>
      <c r="L27" s="13">
        <f t="shared" si="2"/>
        <v>3190</v>
      </c>
      <c r="M27" s="5">
        <v>250</v>
      </c>
      <c r="N27" s="133">
        <f t="shared" si="5"/>
        <v>0.10337840631848819</v>
      </c>
      <c r="O27" s="5">
        <v>100</v>
      </c>
      <c r="P27" s="133">
        <f t="shared" si="6"/>
        <v>4.1351362527395276E-2</v>
      </c>
      <c r="Q27" s="5">
        <v>25</v>
      </c>
      <c r="R27" s="133">
        <f t="shared" si="7"/>
        <v>1.0337840631848819E-2</v>
      </c>
      <c r="S27" s="123">
        <f t="shared" si="3"/>
        <v>2068.3000000000002</v>
      </c>
      <c r="T27" s="126">
        <f t="shared" si="8"/>
        <v>0.85527023115411649</v>
      </c>
      <c r="U27" s="310"/>
      <c r="V27" s="314">
        <v>10.337840631848819</v>
      </c>
      <c r="W27" s="314">
        <v>4.1351362527395272</v>
      </c>
      <c r="X27" s="314">
        <v>1.0337840631848818</v>
      </c>
      <c r="Y27" s="314">
        <v>85.527023115411652</v>
      </c>
      <c r="Z27" s="122"/>
      <c r="AA27" s="40" t="str">
        <f t="shared" si="9"/>
        <v>update catalogo_servicios set costo_servicio = 384.772, costo = 2750, honorarios = 2418.3, utilidad = 2068.3, porcentaje_utilidad = 85.5270231154117, comision_venta_monto=250, porcentaje_venta=10.3378406318488, comision_operativa_monto=100, porcentaje_operativa=4.13513625273953, comision_gestion_monto=25, porcentaje_gestion=1.03378406318488 where id = 80;</v>
      </c>
    </row>
    <row r="28" spans="1:27" ht="31" thickBot="1" x14ac:dyDescent="0.25">
      <c r="A28" s="35">
        <v>32</v>
      </c>
      <c r="B28" s="274" t="s">
        <v>312</v>
      </c>
      <c r="C28" s="273" t="s">
        <v>313</v>
      </c>
      <c r="D28" s="299">
        <f>IFERROR(VLOOKUP(C28,catalogo_servicios!$B$1:$C$106,2,0),"")</f>
        <v>70</v>
      </c>
      <c r="E28" s="299" t="str">
        <f>IFERROR(VLOOKUP(C28,catalogo_servicios!$B$1:$B$106,1,0),"")</f>
        <v>INSCONT</v>
      </c>
      <c r="F28" s="299" t="str">
        <f t="shared" si="4"/>
        <v>Ya</v>
      </c>
      <c r="G28" s="4" t="s">
        <v>128</v>
      </c>
      <c r="H28" s="5">
        <v>331.7</v>
      </c>
      <c r="I28" s="5">
        <f t="shared" si="11"/>
        <v>384.77199999999999</v>
      </c>
      <c r="J28" s="5">
        <f t="shared" si="10"/>
        <v>2418.3000000000002</v>
      </c>
      <c r="K28" s="80">
        <v>2750</v>
      </c>
      <c r="L28" s="13">
        <f t="shared" si="2"/>
        <v>3190</v>
      </c>
      <c r="M28" s="5">
        <v>250</v>
      </c>
      <c r="N28" s="133">
        <f t="shared" si="5"/>
        <v>0.10337840631848819</v>
      </c>
      <c r="O28" s="5">
        <v>100</v>
      </c>
      <c r="P28" s="133">
        <f t="shared" si="6"/>
        <v>4.1351362527395276E-2</v>
      </c>
      <c r="Q28" s="5">
        <v>25</v>
      </c>
      <c r="R28" s="133">
        <f t="shared" si="7"/>
        <v>1.0337840631848819E-2</v>
      </c>
      <c r="S28" s="123">
        <f t="shared" si="3"/>
        <v>2068.3000000000002</v>
      </c>
      <c r="T28" s="126">
        <f t="shared" si="8"/>
        <v>0.85527023115411649</v>
      </c>
      <c r="U28" s="310"/>
      <c r="V28" s="314">
        <v>10.337840631848819</v>
      </c>
      <c r="W28" s="314">
        <v>4.1351362527395272</v>
      </c>
      <c r="X28" s="314">
        <v>1.0337840631848818</v>
      </c>
      <c r="Y28" s="314">
        <v>85.527023115411652</v>
      </c>
      <c r="Z28" s="122"/>
      <c r="AA28" s="40" t="str">
        <f t="shared" si="9"/>
        <v>update catalogo_servicios set costo_servicio = 384.772, costo = 2750, honorarios = 2418.3, utilidad = 2068.3, porcentaje_utilidad = 85.5270231154117, comision_venta_monto=250, porcentaje_venta=10.3378406318488, comision_operativa_monto=100, porcentaje_operativa=4.13513625273953, comision_gestion_monto=25, porcentaje_gestion=1.03378406318488 where id = 70;</v>
      </c>
    </row>
    <row r="29" spans="1:27" ht="31" thickBot="1" x14ac:dyDescent="0.25">
      <c r="A29" s="35">
        <v>34</v>
      </c>
      <c r="B29" s="272" t="s">
        <v>314</v>
      </c>
      <c r="C29" s="273" t="s">
        <v>315</v>
      </c>
      <c r="D29" s="299">
        <f>IFERROR(VLOOKUP(C29,catalogo_servicios!$B$1:$C$106,2,0),"")</f>
        <v>82</v>
      </c>
      <c r="E29" s="299" t="str">
        <f>IFERROR(VLOOKUP(C29,catalogo_servicios!$B$1:$B$106,1,0),"")</f>
        <v>CAPO</v>
      </c>
      <c r="F29" s="299" t="str">
        <f t="shared" si="4"/>
        <v>Ya</v>
      </c>
      <c r="G29" s="4" t="s">
        <v>173</v>
      </c>
      <c r="H29" s="5">
        <v>88.85</v>
      </c>
      <c r="I29" s="5">
        <f>(H29*0.16)+H29</f>
        <v>103.06599999999999</v>
      </c>
      <c r="J29" s="5">
        <f>K29-H29</f>
        <v>61.150000000000006</v>
      </c>
      <c r="K29" s="80">
        <v>150</v>
      </c>
      <c r="L29" s="13">
        <f>(K29*0.16)+K29</f>
        <v>174</v>
      </c>
      <c r="M29" s="5">
        <v>0</v>
      </c>
      <c r="N29" s="133">
        <f>M29/J29</f>
        <v>0</v>
      </c>
      <c r="O29" s="5">
        <v>0</v>
      </c>
      <c r="P29" s="133">
        <f>O29/J29</f>
        <v>0</v>
      </c>
      <c r="Q29" s="5">
        <v>0</v>
      </c>
      <c r="R29" s="133">
        <f>Q29/J29</f>
        <v>0</v>
      </c>
      <c r="S29" s="123">
        <f>(J29-M29-O29)</f>
        <v>61.150000000000006</v>
      </c>
      <c r="T29" s="126">
        <f>S29/J29</f>
        <v>1</v>
      </c>
      <c r="U29" s="310"/>
      <c r="V29" s="314">
        <v>0</v>
      </c>
      <c r="W29" s="314">
        <v>0</v>
      </c>
      <c r="X29" s="314">
        <v>0</v>
      </c>
      <c r="Y29" s="314">
        <v>100</v>
      </c>
      <c r="Z29" s="122"/>
      <c r="AA29" s="40" t="str">
        <f t="shared" si="9"/>
        <v>update catalogo_servicios set costo_servicio = 103.066, costo = 150, honorarios = 61.15, utilidad = 61.15, porcentaje_utilidad = 100, comision_venta_monto=0, porcentaje_venta=0, comision_operativa_monto=0, porcentaje_operativa=0, comision_gestion_monto=0, porcentaje_gestion=0 where id = 82;</v>
      </c>
    </row>
    <row r="30" spans="1:27" ht="31" thickBot="1" x14ac:dyDescent="0.25">
      <c r="A30" s="35">
        <v>34</v>
      </c>
      <c r="B30" s="272" t="s">
        <v>316</v>
      </c>
      <c r="C30" s="269" t="s">
        <v>317</v>
      </c>
      <c r="D30" s="299">
        <f>IFERROR(VLOOKUP(C30,catalogo_servicios!$B$1:$C$106,2,0),"")</f>
        <v>79</v>
      </c>
      <c r="E30" s="299" t="str">
        <f>IFERROR(VLOOKUP(C30,catalogo_servicios!$B$1:$B$106,1,0),"")</f>
        <v>CDOM</v>
      </c>
      <c r="F30" s="299" t="str">
        <f t="shared" si="4"/>
        <v>Ya</v>
      </c>
      <c r="G30" s="4" t="s">
        <v>174</v>
      </c>
      <c r="H30" s="5">
        <v>88.85</v>
      </c>
      <c r="I30" s="5">
        <f t="shared" si="11"/>
        <v>103.06599999999999</v>
      </c>
      <c r="J30" s="5">
        <f t="shared" si="10"/>
        <v>561.15</v>
      </c>
      <c r="K30" s="80">
        <v>650</v>
      </c>
      <c r="L30" s="13">
        <f t="shared" si="2"/>
        <v>754</v>
      </c>
      <c r="M30" s="5">
        <v>50</v>
      </c>
      <c r="N30" s="133">
        <f t="shared" si="5"/>
        <v>8.9102735453978441E-2</v>
      </c>
      <c r="O30" s="5">
        <v>30</v>
      </c>
      <c r="P30" s="133">
        <f t="shared" si="6"/>
        <v>5.3461641272387062E-2</v>
      </c>
      <c r="Q30" s="5">
        <v>10</v>
      </c>
      <c r="R30" s="133">
        <f t="shared" si="7"/>
        <v>1.7820547090795689E-2</v>
      </c>
      <c r="S30" s="123">
        <f t="shared" si="3"/>
        <v>481.15</v>
      </c>
      <c r="T30" s="126">
        <f t="shared" si="8"/>
        <v>0.85743562327363454</v>
      </c>
      <c r="U30" s="310"/>
      <c r="V30" s="314">
        <v>8.9102735453978443</v>
      </c>
      <c r="W30" s="314">
        <v>5.3461641272387066</v>
      </c>
      <c r="X30" s="314">
        <v>1.7820547090795689</v>
      </c>
      <c r="Y30" s="314">
        <v>85.743562327363449</v>
      </c>
      <c r="Z30" s="122"/>
      <c r="AA30" s="40" t="str">
        <f t="shared" si="9"/>
        <v>update catalogo_servicios set costo_servicio = 103.066, costo = 650, honorarios = 561.15, utilidad = 481.15, porcentaje_utilidad = 85.7435623273634, comision_venta_monto=50, porcentaje_venta=8.91027354539784, comision_operativa_monto=30, porcentaje_operativa=5.34616412723871, comision_gestion_monto=10, porcentaje_gestion=1.78205470907957 where id = 79;</v>
      </c>
    </row>
    <row r="31" spans="1:27" ht="28" x14ac:dyDescent="0.2">
      <c r="A31" s="35">
        <v>16</v>
      </c>
      <c r="B31" s="35"/>
      <c r="C31" s="35"/>
      <c r="D31" s="299" t="str">
        <f>IFERROR(VLOOKUP(C31,catalogo_servicios!$B$1:$C$106,2,0),"")</f>
        <v/>
      </c>
      <c r="E31" s="299" t="str">
        <f>IFERROR(VLOOKUP(C31,catalogo_servicios!$B$1:$B$106,1,0),"")</f>
        <v/>
      </c>
      <c r="F31" s="299" t="str">
        <f t="shared" si="4"/>
        <v/>
      </c>
      <c r="G31" s="130" t="s">
        <v>144</v>
      </c>
      <c r="H31" s="127">
        <v>1348.51</v>
      </c>
      <c r="I31" s="127">
        <f t="shared" si="11"/>
        <v>1564.2716</v>
      </c>
      <c r="J31" s="127">
        <f t="shared" si="10"/>
        <v>30000</v>
      </c>
      <c r="K31" s="97">
        <v>31348.51</v>
      </c>
      <c r="L31" s="131">
        <f t="shared" si="2"/>
        <v>36364.2716</v>
      </c>
      <c r="M31" s="138">
        <f t="shared" ref="M31:M37" si="12">(J31*0.06)</f>
        <v>1800</v>
      </c>
      <c r="N31" s="139">
        <f t="shared" si="5"/>
        <v>0.06</v>
      </c>
      <c r="O31" s="127">
        <f t="shared" ref="O31:O37" si="13">(J31*0.2)</f>
        <v>6000</v>
      </c>
      <c r="P31" s="134">
        <f t="shared" si="6"/>
        <v>0.2</v>
      </c>
      <c r="Q31" s="127">
        <f t="shared" ref="Q31:Q37" si="14">(J31*0.005)</f>
        <v>150</v>
      </c>
      <c r="R31" s="134">
        <f t="shared" si="7"/>
        <v>5.0000000000000001E-3</v>
      </c>
      <c r="S31" s="132">
        <f t="shared" si="3"/>
        <v>22200</v>
      </c>
      <c r="T31" s="128">
        <f t="shared" si="8"/>
        <v>0.74</v>
      </c>
      <c r="U31" s="312"/>
      <c r="V31" s="314">
        <v>6</v>
      </c>
      <c r="W31" s="314">
        <v>20</v>
      </c>
      <c r="X31" s="314">
        <v>0.5</v>
      </c>
      <c r="Y31" s="314">
        <v>74</v>
      </c>
      <c r="Z31" s="122"/>
      <c r="AA31" s="40" t="str">
        <f t="shared" si="9"/>
        <v/>
      </c>
    </row>
    <row r="32" spans="1:27" ht="28" x14ac:dyDescent="0.2">
      <c r="A32" s="35">
        <v>16</v>
      </c>
      <c r="B32" s="35"/>
      <c r="C32" s="35"/>
      <c r="D32" s="299" t="str">
        <f>IFERROR(VLOOKUP(C32,catalogo_servicios!$B$1:$C$106,2,0),"")</f>
        <v/>
      </c>
      <c r="E32" s="299" t="str">
        <f>IFERROR(VLOOKUP(C32,catalogo_servicios!$B$1:$B$106,1,0),"")</f>
        <v/>
      </c>
      <c r="F32" s="299" t="str">
        <f t="shared" si="4"/>
        <v/>
      </c>
      <c r="G32" s="130" t="s">
        <v>145</v>
      </c>
      <c r="H32" s="127">
        <v>1348.51</v>
      </c>
      <c r="I32" s="127">
        <f t="shared" si="11"/>
        <v>1564.2716</v>
      </c>
      <c r="J32" s="127">
        <f t="shared" si="10"/>
        <v>35000</v>
      </c>
      <c r="K32" s="97">
        <v>36348.51</v>
      </c>
      <c r="L32" s="131">
        <f t="shared" si="2"/>
        <v>42164.2716</v>
      </c>
      <c r="M32" s="138">
        <f t="shared" si="12"/>
        <v>2100</v>
      </c>
      <c r="N32" s="139">
        <f t="shared" si="5"/>
        <v>0.06</v>
      </c>
      <c r="O32" s="127">
        <f t="shared" si="13"/>
        <v>7000</v>
      </c>
      <c r="P32" s="134">
        <f t="shared" si="6"/>
        <v>0.2</v>
      </c>
      <c r="Q32" s="127">
        <f t="shared" si="14"/>
        <v>175</v>
      </c>
      <c r="R32" s="134">
        <f t="shared" si="7"/>
        <v>5.0000000000000001E-3</v>
      </c>
      <c r="S32" s="132">
        <f t="shared" si="3"/>
        <v>25900</v>
      </c>
      <c r="T32" s="128">
        <f t="shared" si="8"/>
        <v>0.74</v>
      </c>
      <c r="U32" s="312"/>
      <c r="V32" s="314">
        <v>6</v>
      </c>
      <c r="W32" s="314">
        <v>20</v>
      </c>
      <c r="X32" s="314">
        <v>0.5</v>
      </c>
      <c r="Y32" s="314">
        <v>74</v>
      </c>
      <c r="Z32" s="122"/>
      <c r="AA32" s="40" t="str">
        <f t="shared" si="9"/>
        <v/>
      </c>
    </row>
    <row r="33" spans="1:27" ht="28" x14ac:dyDescent="0.2">
      <c r="A33" s="35">
        <v>16</v>
      </c>
      <c r="B33" s="35"/>
      <c r="C33" s="35"/>
      <c r="D33" s="299" t="str">
        <f>IFERROR(VLOOKUP(C33,catalogo_servicios!$B$1:$C$106,2,0),"")</f>
        <v/>
      </c>
      <c r="E33" s="299" t="str">
        <f>IFERROR(VLOOKUP(C33,catalogo_servicios!$B$1:$B$106,1,0),"")</f>
        <v/>
      </c>
      <c r="F33" s="299" t="str">
        <f t="shared" si="4"/>
        <v/>
      </c>
      <c r="G33" s="130" t="s">
        <v>146</v>
      </c>
      <c r="H33" s="127">
        <v>1348.51</v>
      </c>
      <c r="I33" s="127">
        <f t="shared" si="11"/>
        <v>1564.2716</v>
      </c>
      <c r="J33" s="127">
        <f t="shared" si="10"/>
        <v>45000</v>
      </c>
      <c r="K33" s="97">
        <v>46348.51</v>
      </c>
      <c r="L33" s="131">
        <f t="shared" si="2"/>
        <v>53764.2716</v>
      </c>
      <c r="M33" s="138">
        <f t="shared" si="12"/>
        <v>2700</v>
      </c>
      <c r="N33" s="139">
        <f t="shared" si="5"/>
        <v>0.06</v>
      </c>
      <c r="O33" s="127">
        <f t="shared" si="13"/>
        <v>9000</v>
      </c>
      <c r="P33" s="134">
        <f t="shared" si="6"/>
        <v>0.2</v>
      </c>
      <c r="Q33" s="127">
        <f t="shared" si="14"/>
        <v>225</v>
      </c>
      <c r="R33" s="134">
        <f t="shared" si="7"/>
        <v>5.0000000000000001E-3</v>
      </c>
      <c r="S33" s="132">
        <f t="shared" si="3"/>
        <v>33300</v>
      </c>
      <c r="T33" s="128">
        <f t="shared" si="8"/>
        <v>0.74</v>
      </c>
      <c r="U33" s="312"/>
      <c r="V33" s="314">
        <v>6</v>
      </c>
      <c r="W33" s="314">
        <v>20</v>
      </c>
      <c r="X33" s="314">
        <v>0.5</v>
      </c>
      <c r="Y33" s="314">
        <v>74</v>
      </c>
      <c r="Z33" s="122"/>
      <c r="AA33" s="40" t="str">
        <f t="shared" si="9"/>
        <v/>
      </c>
    </row>
    <row r="34" spans="1:27" ht="14" x14ac:dyDescent="0.2">
      <c r="A34" s="35"/>
      <c r="B34" s="35"/>
      <c r="C34" s="35"/>
      <c r="D34" s="299" t="str">
        <f>IFERROR(VLOOKUP(C34,catalogo_servicios!$B$1:$C$106,2,0),"")</f>
        <v/>
      </c>
      <c r="E34" s="299" t="str">
        <f>IFERROR(VLOOKUP(C34,catalogo_servicios!$B$1:$B$106,1,0),"")</f>
        <v/>
      </c>
      <c r="F34" s="299" t="str">
        <f t="shared" si="4"/>
        <v/>
      </c>
      <c r="G34" s="130" t="s">
        <v>157</v>
      </c>
      <c r="H34" s="127">
        <v>0</v>
      </c>
      <c r="I34" s="127">
        <f>(H34*0.16)+H34</f>
        <v>0</v>
      </c>
      <c r="J34" s="127">
        <f t="shared" si="10"/>
        <v>8000</v>
      </c>
      <c r="K34" s="97">
        <v>8000</v>
      </c>
      <c r="L34" s="131">
        <f t="shared" si="2"/>
        <v>9280</v>
      </c>
      <c r="M34" s="138">
        <v>500</v>
      </c>
      <c r="N34" s="139">
        <f t="shared" si="5"/>
        <v>6.25E-2</v>
      </c>
      <c r="O34" s="127">
        <f t="shared" si="13"/>
        <v>1600</v>
      </c>
      <c r="P34" s="134">
        <f t="shared" si="6"/>
        <v>0.2</v>
      </c>
      <c r="Q34" s="127">
        <f t="shared" si="14"/>
        <v>40</v>
      </c>
      <c r="R34" s="134">
        <f t="shared" si="7"/>
        <v>5.0000000000000001E-3</v>
      </c>
      <c r="S34" s="132">
        <f>(J34-M34-O34)</f>
        <v>5900</v>
      </c>
      <c r="T34" s="128">
        <f t="shared" si="8"/>
        <v>0.73750000000000004</v>
      </c>
      <c r="U34" s="312"/>
      <c r="V34" s="314">
        <v>6.25</v>
      </c>
      <c r="W34" s="314">
        <v>20</v>
      </c>
      <c r="X34" s="314">
        <v>0.5</v>
      </c>
      <c r="Y34" s="314">
        <v>73.75</v>
      </c>
      <c r="Z34" s="122"/>
      <c r="AA34" s="40" t="str">
        <f t="shared" si="9"/>
        <v/>
      </c>
    </row>
    <row r="35" spans="1:27" ht="28" x14ac:dyDescent="0.2">
      <c r="A35" s="35"/>
      <c r="B35" s="35"/>
      <c r="C35" s="35"/>
      <c r="D35" s="299" t="str">
        <f>IFERROR(VLOOKUP(C35,catalogo_servicios!$B$1:$C$106,2,0),"")</f>
        <v/>
      </c>
      <c r="E35" s="299" t="str">
        <f>IFERROR(VLOOKUP(C35,catalogo_servicios!$B$1:$B$106,1,0),"")</f>
        <v/>
      </c>
      <c r="F35" s="299" t="str">
        <f t="shared" si="4"/>
        <v/>
      </c>
      <c r="G35" s="130" t="s">
        <v>159</v>
      </c>
      <c r="H35" s="127">
        <v>0</v>
      </c>
      <c r="I35" s="127">
        <f>(H35*0.16)+H35</f>
        <v>0</v>
      </c>
      <c r="J35" s="127">
        <f t="shared" si="10"/>
        <v>5000</v>
      </c>
      <c r="K35" s="97">
        <v>5000</v>
      </c>
      <c r="L35" s="131">
        <f t="shared" si="2"/>
        <v>5800</v>
      </c>
      <c r="M35" s="138">
        <f t="shared" si="12"/>
        <v>300</v>
      </c>
      <c r="N35" s="139">
        <f t="shared" si="5"/>
        <v>0.06</v>
      </c>
      <c r="O35" s="127">
        <f t="shared" si="13"/>
        <v>1000</v>
      </c>
      <c r="P35" s="134">
        <f t="shared" si="6"/>
        <v>0.2</v>
      </c>
      <c r="Q35" s="127">
        <f t="shared" si="14"/>
        <v>25</v>
      </c>
      <c r="R35" s="134">
        <f t="shared" si="7"/>
        <v>5.0000000000000001E-3</v>
      </c>
      <c r="S35" s="132">
        <f>(J35-M35-O35)</f>
        <v>3700</v>
      </c>
      <c r="T35" s="128">
        <f t="shared" si="8"/>
        <v>0.74</v>
      </c>
      <c r="U35" s="312"/>
      <c r="V35" s="314">
        <v>6</v>
      </c>
      <c r="W35" s="314">
        <v>20</v>
      </c>
      <c r="X35" s="314">
        <v>0.5</v>
      </c>
      <c r="Y35" s="314">
        <v>74</v>
      </c>
      <c r="Z35" s="122"/>
      <c r="AA35" s="40" t="str">
        <f t="shared" si="9"/>
        <v/>
      </c>
    </row>
    <row r="36" spans="1:27" ht="14" x14ac:dyDescent="0.2">
      <c r="A36" s="35"/>
      <c r="B36" s="35"/>
      <c r="C36" s="35"/>
      <c r="D36" s="299" t="str">
        <f>IFERROR(VLOOKUP(C36,catalogo_servicios!$B$1:$C$106,2,0),"")</f>
        <v/>
      </c>
      <c r="E36" s="299" t="str">
        <f>IFERROR(VLOOKUP(C36,catalogo_servicios!$B$1:$B$106,1,0),"")</f>
        <v/>
      </c>
      <c r="F36" s="299" t="str">
        <f t="shared" si="4"/>
        <v/>
      </c>
      <c r="G36" s="130" t="s">
        <v>158</v>
      </c>
      <c r="H36" s="127">
        <v>0</v>
      </c>
      <c r="I36" s="127">
        <f>(H36*0.16)+H36</f>
        <v>0</v>
      </c>
      <c r="J36" s="127">
        <f t="shared" si="10"/>
        <v>45000</v>
      </c>
      <c r="K36" s="97">
        <v>45000</v>
      </c>
      <c r="L36" s="131">
        <f t="shared" si="2"/>
        <v>52200</v>
      </c>
      <c r="M36" s="138">
        <f t="shared" si="12"/>
        <v>2700</v>
      </c>
      <c r="N36" s="139">
        <f t="shared" si="5"/>
        <v>0.06</v>
      </c>
      <c r="O36" s="127">
        <f t="shared" si="13"/>
        <v>9000</v>
      </c>
      <c r="P36" s="134">
        <f t="shared" si="6"/>
        <v>0.2</v>
      </c>
      <c r="Q36" s="127">
        <f t="shared" si="14"/>
        <v>225</v>
      </c>
      <c r="R36" s="134">
        <f t="shared" si="7"/>
        <v>5.0000000000000001E-3</v>
      </c>
      <c r="S36" s="132">
        <f>(J36-M36-O36)</f>
        <v>33300</v>
      </c>
      <c r="T36" s="128">
        <f t="shared" si="8"/>
        <v>0.74</v>
      </c>
      <c r="U36" s="312"/>
      <c r="V36" s="314">
        <v>6</v>
      </c>
      <c r="W36" s="314">
        <v>20</v>
      </c>
      <c r="X36" s="314">
        <v>0.5</v>
      </c>
      <c r="Y36" s="314">
        <v>74</v>
      </c>
      <c r="AA36" s="40" t="str">
        <f t="shared" si="9"/>
        <v/>
      </c>
    </row>
    <row r="37" spans="1:27" ht="15" thickBot="1" x14ac:dyDescent="0.25">
      <c r="A37" s="54"/>
      <c r="B37" s="54"/>
      <c r="C37" s="54"/>
      <c r="D37" s="299" t="str">
        <f>IFERROR(VLOOKUP(C37,catalogo_servicios!$B$1:$C$106,2,0),"")</f>
        <v/>
      </c>
      <c r="E37" s="299" t="str">
        <f>IFERROR(VLOOKUP(C37,catalogo_servicios!$B$1:$B$106,1,0),"")</f>
        <v/>
      </c>
      <c r="F37" s="299" t="str">
        <f t="shared" si="4"/>
        <v/>
      </c>
      <c r="G37" s="121" t="s">
        <v>179</v>
      </c>
      <c r="H37" s="153">
        <v>0</v>
      </c>
      <c r="I37" s="153">
        <f>(H37*0.16)+H37</f>
        <v>0</v>
      </c>
      <c r="J37" s="153">
        <f t="shared" si="10"/>
        <v>50000</v>
      </c>
      <c r="K37" s="154">
        <v>50000</v>
      </c>
      <c r="L37" s="155">
        <f t="shared" si="2"/>
        <v>58000</v>
      </c>
      <c r="M37" s="156">
        <f t="shared" si="12"/>
        <v>3000</v>
      </c>
      <c r="N37" s="157">
        <f t="shared" si="5"/>
        <v>0.06</v>
      </c>
      <c r="O37" s="153">
        <f t="shared" si="13"/>
        <v>10000</v>
      </c>
      <c r="P37" s="158">
        <f t="shared" si="6"/>
        <v>0.2</v>
      </c>
      <c r="Q37" s="153">
        <f t="shared" si="14"/>
        <v>250</v>
      </c>
      <c r="R37" s="158">
        <f t="shared" si="7"/>
        <v>5.0000000000000001E-3</v>
      </c>
      <c r="S37" s="159">
        <f>(J37-M37-O37)</f>
        <v>37000</v>
      </c>
      <c r="T37" s="160">
        <f t="shared" si="8"/>
        <v>0.74</v>
      </c>
      <c r="U37" s="312"/>
      <c r="V37" s="314">
        <v>6</v>
      </c>
      <c r="W37" s="314">
        <v>20</v>
      </c>
      <c r="X37" s="314">
        <v>0.5</v>
      </c>
      <c r="Y37" s="314">
        <v>74</v>
      </c>
      <c r="AA37" s="40" t="str">
        <f t="shared" si="9"/>
        <v/>
      </c>
    </row>
    <row r="38" spans="1:27" ht="13.5" customHeight="1" thickBot="1" x14ac:dyDescent="0.25">
      <c r="A38" s="304" t="s">
        <v>8</v>
      </c>
      <c r="B38" s="305"/>
      <c r="C38" s="305"/>
      <c r="D38" s="299" t="str">
        <f>IFERROR(VLOOKUP(C38,catalogo_servicios!$B$1:$C$106,2,0),"")</f>
        <v/>
      </c>
      <c r="E38" s="299" t="str">
        <f>IFERROR(VLOOKUP(C38,catalogo_servicios!$B$1:$B$106,1,0),"")</f>
        <v/>
      </c>
      <c r="F38" s="299" t="str">
        <f t="shared" si="4"/>
        <v/>
      </c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6"/>
      <c r="U38" s="307"/>
      <c r="V38" s="314">
        <v>0</v>
      </c>
      <c r="W38" s="314">
        <v>0</v>
      </c>
      <c r="X38" s="314">
        <v>0</v>
      </c>
      <c r="Y38" s="314">
        <v>0</v>
      </c>
      <c r="AA38" s="40" t="str">
        <f t="shared" si="9"/>
        <v/>
      </c>
    </row>
    <row r="39" spans="1:27" ht="14" x14ac:dyDescent="0.2">
      <c r="A39" s="25" t="s">
        <v>83</v>
      </c>
      <c r="B39" s="256"/>
      <c r="C39" s="256"/>
      <c r="D39" s="299" t="str">
        <f>IFERROR(VLOOKUP(C39,catalogo_servicios!$B$1:$C$106,2,0),"")</f>
        <v/>
      </c>
      <c r="E39" s="299" t="str">
        <f>IFERROR(VLOOKUP(C39,catalogo_servicios!$B$1:$B$106,1,0),"")</f>
        <v/>
      </c>
      <c r="F39" s="299" t="str">
        <f t="shared" si="4"/>
        <v/>
      </c>
      <c r="G39" s="19" t="s">
        <v>9</v>
      </c>
      <c r="H39" s="22">
        <v>1547.78</v>
      </c>
      <c r="I39" s="36">
        <f>(H39*0.16)+H39</f>
        <v>1795.4248</v>
      </c>
      <c r="J39" s="22">
        <f>K39-H39</f>
        <v>-1547.78</v>
      </c>
      <c r="K39" s="20"/>
      <c r="L39" s="21">
        <f>(K39*0.16)+K39</f>
        <v>0</v>
      </c>
      <c r="M39" s="161">
        <f>(J39*0.06)</f>
        <v>-92.866799999999998</v>
      </c>
      <c r="N39" s="162">
        <f>M39/J39</f>
        <v>0.06</v>
      </c>
      <c r="O39" s="163">
        <f>(J39*0.2)</f>
        <v>-309.55600000000004</v>
      </c>
      <c r="P39" s="164">
        <f>O39/J39</f>
        <v>0.20000000000000004</v>
      </c>
      <c r="Q39" s="163">
        <f>(J39*0.005)</f>
        <v>-7.7389000000000001</v>
      </c>
      <c r="R39" s="164">
        <f>Q39/J39</f>
        <v>5.0000000000000001E-3</v>
      </c>
      <c r="S39" s="165">
        <f>(J39-M39-O39)</f>
        <v>-1145.3571999999999</v>
      </c>
      <c r="T39" s="166">
        <f>S39/J39</f>
        <v>0.74</v>
      </c>
      <c r="U39" s="312"/>
      <c r="V39" s="314">
        <v>6</v>
      </c>
      <c r="W39" s="314">
        <v>20.000000000000004</v>
      </c>
      <c r="X39" s="314">
        <v>0.5</v>
      </c>
      <c r="Y39" s="314">
        <v>74</v>
      </c>
      <c r="AA39" s="40" t="str">
        <f t="shared" si="9"/>
        <v/>
      </c>
    </row>
    <row r="40" spans="1:27" ht="14" x14ac:dyDescent="0.2">
      <c r="A40" s="26" t="s">
        <v>84</v>
      </c>
      <c r="B40" s="257"/>
      <c r="C40" s="257"/>
      <c r="D40" s="299" t="str">
        <f>IFERROR(VLOOKUP(C40,catalogo_servicios!$B$1:$C$106,2,0),"")</f>
        <v/>
      </c>
      <c r="E40" s="299" t="str">
        <f>IFERROR(VLOOKUP(C40,catalogo_servicios!$B$1:$B$106,1,0),"")</f>
        <v/>
      </c>
      <c r="F40" s="299" t="str">
        <f t="shared" si="4"/>
        <v/>
      </c>
      <c r="G40" s="1" t="s">
        <v>10</v>
      </c>
      <c r="H40" s="2">
        <v>818.08</v>
      </c>
      <c r="I40" s="5">
        <f>(H40*0.16)+H40</f>
        <v>948.97280000000001</v>
      </c>
      <c r="J40" s="2">
        <f>K40-H40</f>
        <v>-818.08</v>
      </c>
      <c r="K40" s="12"/>
      <c r="L40" s="21">
        <f>(K40*0.16)+K40</f>
        <v>0</v>
      </c>
      <c r="M40" s="138">
        <f>(J40*0.06)</f>
        <v>-49.084800000000001</v>
      </c>
      <c r="N40" s="139">
        <f>M40/J40</f>
        <v>0.06</v>
      </c>
      <c r="O40" s="127">
        <f>(J40*0.2)</f>
        <v>-163.61600000000001</v>
      </c>
      <c r="P40" s="134">
        <f>O40/J40</f>
        <v>0.2</v>
      </c>
      <c r="Q40" s="127">
        <f>(J40*0.005)</f>
        <v>-4.0904000000000007</v>
      </c>
      <c r="R40" s="134">
        <f>Q40/J40</f>
        <v>5.000000000000001E-3</v>
      </c>
      <c r="S40" s="132">
        <f>(J40-M40-O40)</f>
        <v>-605.37920000000008</v>
      </c>
      <c r="T40" s="128">
        <f>S40/J40</f>
        <v>0.7400000000000001</v>
      </c>
      <c r="U40" s="312"/>
      <c r="V40" s="314">
        <v>6</v>
      </c>
      <c r="W40" s="314">
        <v>20</v>
      </c>
      <c r="X40" s="314">
        <v>0.50000000000000011</v>
      </c>
      <c r="Y40" s="314">
        <v>74.000000000000014</v>
      </c>
      <c r="AA40" s="40" t="str">
        <f t="shared" si="9"/>
        <v/>
      </c>
    </row>
    <row r="41" spans="1:27" ht="15" thickBot="1" x14ac:dyDescent="0.25">
      <c r="A41" s="27" t="s">
        <v>85</v>
      </c>
      <c r="B41" s="258"/>
      <c r="C41" s="258"/>
      <c r="D41" s="299" t="str">
        <f>IFERROR(VLOOKUP(C41,catalogo_servicios!$B$1:$C$106,2,0),"")</f>
        <v/>
      </c>
      <c r="E41" s="299" t="str">
        <f>IFERROR(VLOOKUP(C41,catalogo_servicios!$B$1:$B$106,1,0),"")</f>
        <v/>
      </c>
      <c r="F41" s="299" t="str">
        <f t="shared" si="4"/>
        <v/>
      </c>
      <c r="G41" s="8" t="s">
        <v>11</v>
      </c>
      <c r="H41" s="9">
        <v>607.57000000000005</v>
      </c>
      <c r="I41" s="10">
        <f>(H41*0.16)+H41</f>
        <v>704.78120000000001</v>
      </c>
      <c r="J41" s="9">
        <f>K41-H41</f>
        <v>-607.57000000000005</v>
      </c>
      <c r="K41" s="18"/>
      <c r="L41" s="55">
        <f>(K41*0.16)+K41</f>
        <v>0</v>
      </c>
      <c r="M41" s="156">
        <f>(J41*0.06)</f>
        <v>-36.4542</v>
      </c>
      <c r="N41" s="157">
        <f>M41/J41</f>
        <v>0.06</v>
      </c>
      <c r="O41" s="153">
        <f>(J41*0.2)</f>
        <v>-121.51400000000001</v>
      </c>
      <c r="P41" s="158">
        <f>O41/J41</f>
        <v>0.2</v>
      </c>
      <c r="Q41" s="153">
        <f>(J41*0.005)</f>
        <v>-3.0378500000000002</v>
      </c>
      <c r="R41" s="158">
        <f>Q41/J41</f>
        <v>5.0000000000000001E-3</v>
      </c>
      <c r="S41" s="159">
        <f>(J41-M41-O41)</f>
        <v>-449.60180000000003</v>
      </c>
      <c r="T41" s="160">
        <f>S41/J41</f>
        <v>0.74</v>
      </c>
      <c r="U41" s="312"/>
      <c r="V41" s="314">
        <v>6</v>
      </c>
      <c r="W41" s="314">
        <v>20</v>
      </c>
      <c r="X41" s="314">
        <v>0.5</v>
      </c>
      <c r="Y41" s="314">
        <v>74</v>
      </c>
      <c r="AA41" s="40" t="str">
        <f t="shared" si="9"/>
        <v/>
      </c>
    </row>
    <row r="42" spans="1:27" ht="25.5" customHeight="1" thickBot="1" x14ac:dyDescent="0.25">
      <c r="A42" s="304" t="s">
        <v>81</v>
      </c>
      <c r="B42" s="305"/>
      <c r="C42" s="305"/>
      <c r="D42" s="299" t="str">
        <f>IFERROR(VLOOKUP(C42,catalogo_servicios!$B$1:$C$106,2,0),"")</f>
        <v/>
      </c>
      <c r="E42" s="299" t="str">
        <f>IFERROR(VLOOKUP(C42,catalogo_servicios!$B$1:$B$106,1,0),"")</f>
        <v/>
      </c>
      <c r="F42" s="299" t="str">
        <f t="shared" si="4"/>
        <v/>
      </c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5"/>
      <c r="S42" s="305"/>
      <c r="T42" s="306"/>
      <c r="U42" s="307"/>
      <c r="V42" s="314">
        <v>0</v>
      </c>
      <c r="W42" s="314">
        <v>0</v>
      </c>
      <c r="X42" s="314">
        <v>0</v>
      </c>
      <c r="Y42" s="314">
        <v>0</v>
      </c>
      <c r="AA42" s="40" t="str">
        <f t="shared" si="9"/>
        <v/>
      </c>
    </row>
    <row r="43" spans="1:27" ht="15" thickBot="1" x14ac:dyDescent="0.25">
      <c r="A43" s="25">
        <v>21</v>
      </c>
      <c r="B43" s="267" t="s">
        <v>342</v>
      </c>
      <c r="C43" s="279" t="s">
        <v>343</v>
      </c>
      <c r="D43" s="299">
        <f>IFERROR(VLOOKUP(C43,catalogo_servicios!$B$1:$C$106,2,0),"")</f>
        <v>38</v>
      </c>
      <c r="E43" s="299" t="str">
        <f>IFERROR(VLOOKUP(C43,catalogo_servicios!$B$1:$B$106,1,0),"")</f>
        <v>BT</v>
      </c>
      <c r="F43" s="299" t="str">
        <f t="shared" si="4"/>
        <v>Ya</v>
      </c>
      <c r="G43" s="19" t="s">
        <v>12</v>
      </c>
      <c r="H43" s="22">
        <v>823.72</v>
      </c>
      <c r="I43" s="36">
        <f t="shared" ref="I43:I58" si="15">(H43*0.16)+H43</f>
        <v>955.51520000000005</v>
      </c>
      <c r="J43" s="22">
        <f>K43-H43</f>
        <v>1026.28</v>
      </c>
      <c r="K43" s="77">
        <v>1850</v>
      </c>
      <c r="L43" s="21">
        <f t="shared" ref="L43:L58" si="16">(K43*0.16)+K43</f>
        <v>2146</v>
      </c>
      <c r="M43" s="243">
        <v>100</v>
      </c>
      <c r="N43" s="244">
        <f t="shared" ref="N43:N58" si="17">M43/J43</f>
        <v>9.7439295319016253E-2</v>
      </c>
      <c r="O43" s="243">
        <v>50</v>
      </c>
      <c r="P43" s="244">
        <f t="shared" ref="P43:P58" si="18">O43/J43</f>
        <v>4.8719647659508127E-2</v>
      </c>
      <c r="Q43" s="243">
        <v>50</v>
      </c>
      <c r="R43" s="244">
        <f t="shared" ref="R43:R58" si="19">Q43/J43</f>
        <v>4.8719647659508127E-2</v>
      </c>
      <c r="S43" s="247">
        <f t="shared" ref="S43:S58" si="20">(J43-M43-O43)</f>
        <v>876.28</v>
      </c>
      <c r="T43" s="248">
        <f t="shared" ref="T43:T58" si="21">S43/J43</f>
        <v>0.85384105702147561</v>
      </c>
      <c r="U43" s="313"/>
      <c r="V43" s="314">
        <v>9.7439295319016246</v>
      </c>
      <c r="W43" s="314">
        <v>4.8719647659508123</v>
      </c>
      <c r="X43" s="314">
        <v>4.8719647659508123</v>
      </c>
      <c r="Y43" s="314">
        <v>85.384105702147565</v>
      </c>
      <c r="AA43" s="40" t="str">
        <f t="shared" si="9"/>
        <v>update catalogo_servicios set costo_servicio = 955.5152, costo = 1850, honorarios = 1026.28, utilidad = 876.28, porcentaje_utilidad = 85.3841057021476, comision_venta_monto=100, porcentaje_venta=9.74392953190162, comision_operativa_monto=50, porcentaje_operativa=4.87196476595081, comision_gestion_monto=50, porcentaje_gestion=4.87196476595081 where id = 38;</v>
      </c>
    </row>
    <row r="44" spans="1:27" ht="28" x14ac:dyDescent="0.2">
      <c r="A44" s="26" t="s">
        <v>13</v>
      </c>
      <c r="B44" s="257"/>
      <c r="C44" s="257"/>
      <c r="D44" s="299" t="str">
        <f>IFERROR(VLOOKUP(C44,catalogo_servicios!$B$1:$C$106,2,0),"")</f>
        <v/>
      </c>
      <c r="E44" s="299" t="str">
        <f>IFERROR(VLOOKUP(C44,catalogo_servicios!$B$1:$B$106,1,0),"")</f>
        <v/>
      </c>
      <c r="F44" s="299" t="str">
        <f t="shared" si="4"/>
        <v/>
      </c>
      <c r="G44" s="52" t="s">
        <v>149</v>
      </c>
      <c r="H44" s="22">
        <v>3776.99</v>
      </c>
      <c r="I44" s="5">
        <f t="shared" si="15"/>
        <v>4381.3083999999999</v>
      </c>
      <c r="J44" s="85">
        <v>45000</v>
      </c>
      <c r="K44" s="12">
        <f t="shared" ref="K44:K55" si="22">H44+J44</f>
        <v>48776.99</v>
      </c>
      <c r="L44" s="21">
        <f t="shared" si="16"/>
        <v>56581.308399999994</v>
      </c>
      <c r="M44" s="243">
        <f t="shared" ref="M44:M58" si="23">(J44*0.06)</f>
        <v>2700</v>
      </c>
      <c r="N44" s="244">
        <f t="shared" si="17"/>
        <v>0.06</v>
      </c>
      <c r="O44" s="243">
        <f t="shared" ref="O44:O58" si="24">(J44*0.2)</f>
        <v>9000</v>
      </c>
      <c r="P44" s="244">
        <f t="shared" si="18"/>
        <v>0.2</v>
      </c>
      <c r="Q44" s="243">
        <f t="shared" ref="Q44:Q58" si="25">(J44*0.005)</f>
        <v>225</v>
      </c>
      <c r="R44" s="244">
        <f t="shared" si="19"/>
        <v>5.0000000000000001E-3</v>
      </c>
      <c r="S44" s="247">
        <f t="shared" si="20"/>
        <v>33300</v>
      </c>
      <c r="T44" s="248">
        <f t="shared" si="21"/>
        <v>0.74</v>
      </c>
      <c r="U44" s="313"/>
      <c r="V44" s="314">
        <v>6</v>
      </c>
      <c r="W44" s="314">
        <v>20</v>
      </c>
      <c r="X44" s="314">
        <v>0.5</v>
      </c>
      <c r="Y44" s="314">
        <v>74</v>
      </c>
      <c r="AA44" s="40" t="str">
        <f t="shared" si="9"/>
        <v/>
      </c>
    </row>
    <row r="45" spans="1:27" ht="28" x14ac:dyDescent="0.2">
      <c r="A45" s="26" t="s">
        <v>13</v>
      </c>
      <c r="B45" s="257"/>
      <c r="C45" s="257"/>
      <c r="D45" s="299" t="str">
        <f>IFERROR(VLOOKUP(C45,catalogo_servicios!$B$1:$C$106,2,0),"")</f>
        <v/>
      </c>
      <c r="E45" s="299" t="str">
        <f>IFERROR(VLOOKUP(C45,catalogo_servicios!$B$1:$B$106,1,0),"")</f>
        <v/>
      </c>
      <c r="F45" s="299" t="str">
        <f t="shared" si="4"/>
        <v/>
      </c>
      <c r="G45" s="52" t="s">
        <v>150</v>
      </c>
      <c r="H45" s="22">
        <v>3776.99</v>
      </c>
      <c r="I45" s="5">
        <f t="shared" si="15"/>
        <v>4381.3083999999999</v>
      </c>
      <c r="J45" s="85">
        <v>55000</v>
      </c>
      <c r="K45" s="12">
        <f t="shared" si="22"/>
        <v>58776.99</v>
      </c>
      <c r="L45" s="21">
        <f t="shared" si="16"/>
        <v>68181.308399999994</v>
      </c>
      <c r="M45" s="243">
        <f t="shared" si="23"/>
        <v>3300</v>
      </c>
      <c r="N45" s="244">
        <f t="shared" si="17"/>
        <v>0.06</v>
      </c>
      <c r="O45" s="243">
        <f t="shared" si="24"/>
        <v>11000</v>
      </c>
      <c r="P45" s="244">
        <f t="shared" si="18"/>
        <v>0.2</v>
      </c>
      <c r="Q45" s="243">
        <f t="shared" si="25"/>
        <v>275</v>
      </c>
      <c r="R45" s="244">
        <f t="shared" si="19"/>
        <v>5.0000000000000001E-3</v>
      </c>
      <c r="S45" s="247">
        <f t="shared" si="20"/>
        <v>40700</v>
      </c>
      <c r="T45" s="248">
        <f t="shared" si="21"/>
        <v>0.74</v>
      </c>
      <c r="U45" s="313"/>
      <c r="V45" s="314">
        <v>6</v>
      </c>
      <c r="W45" s="314">
        <v>20</v>
      </c>
      <c r="X45" s="314">
        <v>0.5</v>
      </c>
      <c r="Y45" s="314">
        <v>74</v>
      </c>
      <c r="AA45" s="40" t="str">
        <f t="shared" si="9"/>
        <v/>
      </c>
    </row>
    <row r="46" spans="1:27" ht="29" thickBot="1" x14ac:dyDescent="0.25">
      <c r="A46" s="26" t="s">
        <v>13</v>
      </c>
      <c r="B46" s="257"/>
      <c r="C46" s="257"/>
      <c r="D46" s="299" t="str">
        <f>IFERROR(VLOOKUP(C46,catalogo_servicios!$B$1:$C$106,2,0),"")</f>
        <v/>
      </c>
      <c r="E46" s="299" t="str">
        <f>IFERROR(VLOOKUP(C46,catalogo_servicios!$B$1:$B$106,1,0),"")</f>
        <v/>
      </c>
      <c r="F46" s="299" t="str">
        <f t="shared" si="4"/>
        <v/>
      </c>
      <c r="G46" s="52" t="s">
        <v>151</v>
      </c>
      <c r="H46" s="22">
        <v>3776.99</v>
      </c>
      <c r="I46" s="5">
        <f t="shared" si="15"/>
        <v>4381.3083999999999</v>
      </c>
      <c r="J46" s="85">
        <v>65000</v>
      </c>
      <c r="K46" s="12">
        <f t="shared" si="22"/>
        <v>68776.990000000005</v>
      </c>
      <c r="L46" s="21">
        <f t="shared" si="16"/>
        <v>79781.308400000009</v>
      </c>
      <c r="M46" s="243">
        <f t="shared" si="23"/>
        <v>3900</v>
      </c>
      <c r="N46" s="244">
        <f t="shared" si="17"/>
        <v>0.06</v>
      </c>
      <c r="O46" s="243">
        <f t="shared" si="24"/>
        <v>13000</v>
      </c>
      <c r="P46" s="244">
        <f t="shared" si="18"/>
        <v>0.2</v>
      </c>
      <c r="Q46" s="243">
        <f t="shared" si="25"/>
        <v>325</v>
      </c>
      <c r="R46" s="244">
        <f t="shared" si="19"/>
        <v>5.0000000000000001E-3</v>
      </c>
      <c r="S46" s="247">
        <f t="shared" si="20"/>
        <v>48100</v>
      </c>
      <c r="T46" s="248">
        <f t="shared" si="21"/>
        <v>0.74</v>
      </c>
      <c r="U46" s="313"/>
      <c r="V46" s="314">
        <v>6</v>
      </c>
      <c r="W46" s="314">
        <v>20</v>
      </c>
      <c r="X46" s="314">
        <v>0.5</v>
      </c>
      <c r="Y46" s="314">
        <v>74</v>
      </c>
      <c r="AA46" s="40" t="str">
        <f t="shared" si="9"/>
        <v/>
      </c>
    </row>
    <row r="47" spans="1:27" ht="15" thickBot="1" x14ac:dyDescent="0.25">
      <c r="A47" s="26"/>
      <c r="B47" s="280" t="s">
        <v>349</v>
      </c>
      <c r="C47" s="279" t="s">
        <v>344</v>
      </c>
      <c r="D47" s="299">
        <f>IFERROR(VLOOKUP(C47,catalogo_servicios!$B$1:$C$106,2,0),"")</f>
        <v>28</v>
      </c>
      <c r="E47" s="299" t="str">
        <f>IFERROR(VLOOKUP(C47,catalogo_servicios!$B$1:$B$106,1,0),"")</f>
        <v>PAT</v>
      </c>
      <c r="F47" s="299" t="str">
        <f t="shared" si="4"/>
        <v>Ya</v>
      </c>
      <c r="G47" s="52"/>
      <c r="H47" s="22"/>
      <c r="I47" s="6"/>
      <c r="J47" s="281"/>
      <c r="K47" s="12"/>
      <c r="L47" s="21"/>
      <c r="M47" s="243">
        <v>0.06</v>
      </c>
      <c r="N47" s="244">
        <v>0.06</v>
      </c>
      <c r="O47" s="243" t="s">
        <v>350</v>
      </c>
      <c r="P47" s="244"/>
      <c r="Q47" s="243"/>
      <c r="R47" s="244">
        <v>5.0000000000000001E-3</v>
      </c>
      <c r="S47" s="247"/>
      <c r="T47" s="248"/>
      <c r="U47" s="313"/>
      <c r="V47" s="314">
        <v>6</v>
      </c>
      <c r="W47" s="314">
        <v>0</v>
      </c>
      <c r="X47" s="314">
        <v>0.5</v>
      </c>
      <c r="Y47" s="314">
        <v>0</v>
      </c>
    </row>
    <row r="48" spans="1:27" ht="14" x14ac:dyDescent="0.2">
      <c r="A48" s="26" t="s">
        <v>14</v>
      </c>
      <c r="B48" s="257"/>
      <c r="C48" s="257"/>
      <c r="D48" s="299" t="str">
        <f>IFERROR(VLOOKUP(C48,catalogo_servicios!$B$1:$C$106,2,0),"")</f>
        <v/>
      </c>
      <c r="E48" s="299" t="str">
        <f>IFERROR(VLOOKUP(C48,catalogo_servicios!$B$1:$B$106,1,0),"")</f>
        <v/>
      </c>
      <c r="F48" s="299" t="str">
        <f t="shared" si="4"/>
        <v/>
      </c>
      <c r="G48" s="1" t="s">
        <v>15</v>
      </c>
      <c r="H48" s="22">
        <v>3073.7</v>
      </c>
      <c r="I48" s="12">
        <f t="shared" si="15"/>
        <v>3565.4919999999997</v>
      </c>
      <c r="J48" s="22">
        <v>3600</v>
      </c>
      <c r="K48" s="12">
        <f t="shared" si="22"/>
        <v>6673.7</v>
      </c>
      <c r="L48" s="21">
        <f t="shared" si="16"/>
        <v>7741.4920000000002</v>
      </c>
      <c r="M48" s="138">
        <f t="shared" si="23"/>
        <v>216</v>
      </c>
      <c r="N48" s="139">
        <f t="shared" si="17"/>
        <v>0.06</v>
      </c>
      <c r="O48" s="127">
        <f>(J48*0.2)</f>
        <v>720</v>
      </c>
      <c r="P48" s="134">
        <f t="shared" si="18"/>
        <v>0.2</v>
      </c>
      <c r="Q48" s="127">
        <f t="shared" si="25"/>
        <v>18</v>
      </c>
      <c r="R48" s="134">
        <f t="shared" si="19"/>
        <v>5.0000000000000001E-3</v>
      </c>
      <c r="S48" s="132">
        <f t="shared" si="20"/>
        <v>2664</v>
      </c>
      <c r="T48" s="128">
        <f t="shared" si="21"/>
        <v>0.74</v>
      </c>
      <c r="U48" s="312"/>
      <c r="V48" s="314">
        <v>6</v>
      </c>
      <c r="W48" s="314">
        <v>20</v>
      </c>
      <c r="X48" s="314">
        <v>0.5</v>
      </c>
      <c r="Y48" s="314">
        <v>74</v>
      </c>
      <c r="AA48" s="40" t="str">
        <f t="shared" si="9"/>
        <v/>
      </c>
    </row>
    <row r="49" spans="1:27" ht="14" x14ac:dyDescent="0.2">
      <c r="A49" s="26" t="s">
        <v>16</v>
      </c>
      <c r="B49" s="257"/>
      <c r="C49" s="257"/>
      <c r="D49" s="299" t="str">
        <f>IFERROR(VLOOKUP(C49,catalogo_servicios!$B$1:$C$106,2,0),"")</f>
        <v/>
      </c>
      <c r="E49" s="299" t="str">
        <f>IFERROR(VLOOKUP(C49,catalogo_servicios!$B$1:$B$106,1,0),"")</f>
        <v/>
      </c>
      <c r="F49" s="299" t="str">
        <f t="shared" si="4"/>
        <v/>
      </c>
      <c r="G49" s="1" t="s">
        <v>17</v>
      </c>
      <c r="H49" s="22">
        <v>1901.56</v>
      </c>
      <c r="I49" s="12">
        <f t="shared" si="15"/>
        <v>2205.8096</v>
      </c>
      <c r="J49" s="22">
        <v>2500</v>
      </c>
      <c r="K49" s="12">
        <f t="shared" si="22"/>
        <v>4401.5599999999995</v>
      </c>
      <c r="L49" s="21">
        <f t="shared" si="16"/>
        <v>5105.8095999999996</v>
      </c>
      <c r="M49" s="138">
        <f t="shared" si="23"/>
        <v>150</v>
      </c>
      <c r="N49" s="139">
        <f t="shared" si="17"/>
        <v>0.06</v>
      </c>
      <c r="O49" s="127">
        <f t="shared" si="24"/>
        <v>500</v>
      </c>
      <c r="P49" s="134">
        <f t="shared" si="18"/>
        <v>0.2</v>
      </c>
      <c r="Q49" s="127">
        <f t="shared" si="25"/>
        <v>12.5</v>
      </c>
      <c r="R49" s="134">
        <f t="shared" si="19"/>
        <v>5.0000000000000001E-3</v>
      </c>
      <c r="S49" s="132">
        <f t="shared" si="20"/>
        <v>1850</v>
      </c>
      <c r="T49" s="128">
        <f t="shared" si="21"/>
        <v>0.74</v>
      </c>
      <c r="U49" s="312"/>
      <c r="V49" s="314">
        <v>6</v>
      </c>
      <c r="W49" s="314">
        <v>20</v>
      </c>
      <c r="X49" s="314">
        <v>0.5</v>
      </c>
      <c r="Y49" s="314">
        <v>74</v>
      </c>
      <c r="AA49" s="40" t="str">
        <f t="shared" si="9"/>
        <v/>
      </c>
    </row>
    <row r="50" spans="1:27" ht="15" thickBot="1" x14ac:dyDescent="0.25">
      <c r="A50" s="26" t="s">
        <v>18</v>
      </c>
      <c r="B50" s="257"/>
      <c r="C50" s="257"/>
      <c r="D50" s="299" t="str">
        <f>IFERROR(VLOOKUP(C50,catalogo_servicios!$B$1:$C$106,2,0),"")</f>
        <v/>
      </c>
      <c r="E50" s="299" t="str">
        <f>IFERROR(VLOOKUP(C50,catalogo_servicios!$B$1:$B$106,1,0),"")</f>
        <v/>
      </c>
      <c r="F50" s="299" t="str">
        <f t="shared" si="4"/>
        <v/>
      </c>
      <c r="G50" s="1" t="s">
        <v>19</v>
      </c>
      <c r="H50" s="22">
        <v>592.67999999999995</v>
      </c>
      <c r="I50" s="12">
        <f t="shared" si="15"/>
        <v>687.50879999999995</v>
      </c>
      <c r="J50" s="22">
        <v>700</v>
      </c>
      <c r="K50" s="12">
        <f t="shared" si="22"/>
        <v>1292.6799999999998</v>
      </c>
      <c r="L50" s="21">
        <f t="shared" si="16"/>
        <v>1499.5087999999998</v>
      </c>
      <c r="M50" s="138">
        <f t="shared" si="23"/>
        <v>42</v>
      </c>
      <c r="N50" s="139">
        <f t="shared" si="17"/>
        <v>0.06</v>
      </c>
      <c r="O50" s="127">
        <f t="shared" si="24"/>
        <v>140</v>
      </c>
      <c r="P50" s="134">
        <f t="shared" si="18"/>
        <v>0.2</v>
      </c>
      <c r="Q50" s="127">
        <f t="shared" si="25"/>
        <v>3.5</v>
      </c>
      <c r="R50" s="134">
        <f t="shared" si="19"/>
        <v>5.0000000000000001E-3</v>
      </c>
      <c r="S50" s="132">
        <f t="shared" si="20"/>
        <v>518</v>
      </c>
      <c r="T50" s="128">
        <f t="shared" si="21"/>
        <v>0.74</v>
      </c>
      <c r="U50" s="312"/>
      <c r="V50" s="314">
        <v>6</v>
      </c>
      <c r="W50" s="314">
        <v>20</v>
      </c>
      <c r="X50" s="314">
        <v>0.5</v>
      </c>
      <c r="Y50" s="314">
        <v>74</v>
      </c>
      <c r="AA50" s="40" t="str">
        <f t="shared" si="9"/>
        <v/>
      </c>
    </row>
    <row r="51" spans="1:27" ht="15" thickBot="1" x14ac:dyDescent="0.25">
      <c r="A51" s="26" t="s">
        <v>20</v>
      </c>
      <c r="B51" s="280" t="s">
        <v>345</v>
      </c>
      <c r="C51" s="279" t="s">
        <v>346</v>
      </c>
      <c r="D51" s="299">
        <f>IFERROR(VLOOKUP(C51,catalogo_servicios!$B$1:$C$106,2,0),"")</f>
        <v>24</v>
      </c>
      <c r="E51" s="299" t="str">
        <f>IFERROR(VLOOKUP(C51,catalogo_servicios!$B$1:$B$106,1,0),"")</f>
        <v>TITPAT</v>
      </c>
      <c r="F51" s="299" t="str">
        <f t="shared" si="4"/>
        <v>Ya</v>
      </c>
      <c r="G51" s="1" t="s">
        <v>21</v>
      </c>
      <c r="H51" s="22">
        <v>1549.92</v>
      </c>
      <c r="I51" s="12">
        <f t="shared" si="15"/>
        <v>1797.9072000000001</v>
      </c>
      <c r="J51" s="75">
        <v>3100</v>
      </c>
      <c r="K51" s="12">
        <f t="shared" si="22"/>
        <v>4649.92</v>
      </c>
      <c r="L51" s="21">
        <f t="shared" si="16"/>
        <v>5393.9071999999996</v>
      </c>
      <c r="M51" s="243">
        <v>300</v>
      </c>
      <c r="N51" s="244">
        <f t="shared" si="17"/>
        <v>9.6774193548387094E-2</v>
      </c>
      <c r="O51" s="243">
        <v>100</v>
      </c>
      <c r="P51" s="244">
        <f t="shared" si="18"/>
        <v>3.2258064516129031E-2</v>
      </c>
      <c r="Q51" s="243">
        <v>50</v>
      </c>
      <c r="R51" s="244">
        <f t="shared" si="19"/>
        <v>1.6129032258064516E-2</v>
      </c>
      <c r="S51" s="247">
        <f t="shared" si="20"/>
        <v>2700</v>
      </c>
      <c r="T51" s="248">
        <f t="shared" si="21"/>
        <v>0.87096774193548387</v>
      </c>
      <c r="U51" s="313"/>
      <c r="V51" s="314">
        <v>9.67741935483871</v>
      </c>
      <c r="W51" s="314">
        <v>3.225806451612903</v>
      </c>
      <c r="X51" s="314">
        <v>1.6129032258064515</v>
      </c>
      <c r="Y51" s="314">
        <v>87.096774193548384</v>
      </c>
      <c r="AA51" s="40" t="str">
        <f t="shared" si="9"/>
        <v>update catalogo_servicios set costo_servicio = 1797.9072, costo = 4649.92, honorarios = 3100, utilidad = 2700, porcentaje_utilidad = 87.0967741935484, comision_venta_monto=300, porcentaje_venta=9.67741935483871, comision_operativa_monto=100, porcentaje_operativa=3.2258064516129, comision_gestion_monto=50, porcentaje_gestion=1.61290322580645 where id = 24;</v>
      </c>
    </row>
    <row r="52" spans="1:27" ht="14" x14ac:dyDescent="0.2">
      <c r="A52" s="26" t="s">
        <v>22</v>
      </c>
      <c r="B52" s="257"/>
      <c r="C52" s="257"/>
      <c r="D52" s="299" t="str">
        <f>IFERROR(VLOOKUP(C52,catalogo_servicios!$B$1:$C$106,2,0),"")</f>
        <v/>
      </c>
      <c r="E52" s="299" t="str">
        <f>IFERROR(VLOOKUP(C52,catalogo_servicios!$B$1:$B$106,1,0),"")</f>
        <v/>
      </c>
      <c r="F52" s="299" t="str">
        <f t="shared" si="4"/>
        <v/>
      </c>
      <c r="G52" s="1" t="s">
        <v>23</v>
      </c>
      <c r="H52" s="22">
        <v>409.04</v>
      </c>
      <c r="I52" s="12">
        <f t="shared" si="15"/>
        <v>474.4864</v>
      </c>
      <c r="J52" s="75">
        <v>409.04</v>
      </c>
      <c r="K52" s="12">
        <f t="shared" si="22"/>
        <v>818.08</v>
      </c>
      <c r="L52" s="21">
        <f t="shared" si="16"/>
        <v>948.97280000000001</v>
      </c>
      <c r="M52" s="138">
        <f t="shared" si="23"/>
        <v>24.542400000000001</v>
      </c>
      <c r="N52" s="139">
        <f t="shared" si="17"/>
        <v>0.06</v>
      </c>
      <c r="O52" s="127">
        <f t="shared" si="24"/>
        <v>81.808000000000007</v>
      </c>
      <c r="P52" s="134">
        <f t="shared" si="18"/>
        <v>0.2</v>
      </c>
      <c r="Q52" s="127">
        <f>(J52*0.05)</f>
        <v>20.452000000000002</v>
      </c>
      <c r="R52" s="134">
        <f t="shared" si="19"/>
        <v>0.05</v>
      </c>
      <c r="S52" s="132">
        <f t="shared" si="20"/>
        <v>302.68960000000004</v>
      </c>
      <c r="T52" s="128">
        <f t="shared" si="21"/>
        <v>0.7400000000000001</v>
      </c>
      <c r="U52" s="312"/>
      <c r="V52" s="314">
        <v>6</v>
      </c>
      <c r="W52" s="314">
        <v>20</v>
      </c>
      <c r="X52" s="314">
        <v>5</v>
      </c>
      <c r="Y52" s="314">
        <v>74.000000000000014</v>
      </c>
      <c r="AA52" s="40" t="str">
        <f t="shared" si="9"/>
        <v/>
      </c>
    </row>
    <row r="53" spans="1:27" ht="14" x14ac:dyDescent="0.2">
      <c r="A53" s="26" t="s">
        <v>24</v>
      </c>
      <c r="B53" s="257"/>
      <c r="C53" s="257"/>
      <c r="D53" s="299" t="str">
        <f>IFERROR(VLOOKUP(C53,catalogo_servicios!$B$1:$C$106,2,0),"")</f>
        <v/>
      </c>
      <c r="E53" s="299" t="str">
        <f>IFERROR(VLOOKUP(C53,catalogo_servicios!$B$1:$B$106,1,0),"")</f>
        <v/>
      </c>
      <c r="F53" s="299" t="str">
        <f t="shared" si="4"/>
        <v/>
      </c>
      <c r="G53" s="1" t="s">
        <v>25</v>
      </c>
      <c r="H53" s="22">
        <v>580.95000000000005</v>
      </c>
      <c r="I53" s="12">
        <f t="shared" si="15"/>
        <v>673.90200000000004</v>
      </c>
      <c r="J53" s="75">
        <v>580.95000000000005</v>
      </c>
      <c r="K53" s="12">
        <f t="shared" si="22"/>
        <v>1161.9000000000001</v>
      </c>
      <c r="L53" s="21">
        <f t="shared" si="16"/>
        <v>1347.8040000000001</v>
      </c>
      <c r="M53" s="138">
        <f t="shared" si="23"/>
        <v>34.856999999999999</v>
      </c>
      <c r="N53" s="139">
        <f t="shared" si="17"/>
        <v>5.9999999999999991E-2</v>
      </c>
      <c r="O53" s="127">
        <f t="shared" si="24"/>
        <v>116.19000000000001</v>
      </c>
      <c r="P53" s="134">
        <f t="shared" si="18"/>
        <v>0.2</v>
      </c>
      <c r="Q53" s="127">
        <f t="shared" si="25"/>
        <v>2.9047500000000004</v>
      </c>
      <c r="R53" s="134">
        <f t="shared" si="19"/>
        <v>5.0000000000000001E-3</v>
      </c>
      <c r="S53" s="132">
        <f t="shared" si="20"/>
        <v>429.90300000000008</v>
      </c>
      <c r="T53" s="128">
        <f t="shared" si="21"/>
        <v>0.7400000000000001</v>
      </c>
      <c r="U53" s="312"/>
      <c r="V53" s="314">
        <v>5.9999999999999991</v>
      </c>
      <c r="W53" s="314">
        <v>20</v>
      </c>
      <c r="X53" s="314">
        <v>0.5</v>
      </c>
      <c r="Y53" s="314">
        <v>74.000000000000014</v>
      </c>
      <c r="AA53" s="40" t="str">
        <f t="shared" si="9"/>
        <v/>
      </c>
    </row>
    <row r="54" spans="1:27" ht="14" x14ac:dyDescent="0.2">
      <c r="A54" s="26" t="s">
        <v>26</v>
      </c>
      <c r="B54" s="257"/>
      <c r="C54" s="257"/>
      <c r="D54" s="299" t="str">
        <f>IFERROR(VLOOKUP(C54,catalogo_servicios!$B$1:$C$106,2,0),"")</f>
        <v/>
      </c>
      <c r="E54" s="299" t="str">
        <f>IFERROR(VLOOKUP(C54,catalogo_servicios!$B$1:$B$106,1,0),"")</f>
        <v/>
      </c>
      <c r="F54" s="299" t="str">
        <f t="shared" si="4"/>
        <v/>
      </c>
      <c r="G54" s="1" t="s">
        <v>27</v>
      </c>
      <c r="H54" s="22">
        <v>680.35</v>
      </c>
      <c r="I54" s="12">
        <f t="shared" si="15"/>
        <v>789.20600000000002</v>
      </c>
      <c r="J54" s="75">
        <v>680.35</v>
      </c>
      <c r="K54" s="12">
        <f t="shared" si="22"/>
        <v>1360.7</v>
      </c>
      <c r="L54" s="21">
        <f t="shared" si="16"/>
        <v>1578.412</v>
      </c>
      <c r="M54" s="138">
        <f t="shared" si="23"/>
        <v>40.820999999999998</v>
      </c>
      <c r="N54" s="139">
        <f t="shared" si="17"/>
        <v>0.06</v>
      </c>
      <c r="O54" s="127">
        <f t="shared" si="24"/>
        <v>136.07000000000002</v>
      </c>
      <c r="P54" s="134">
        <f t="shared" si="18"/>
        <v>0.20000000000000004</v>
      </c>
      <c r="Q54" s="127">
        <f t="shared" si="25"/>
        <v>3.4017500000000003</v>
      </c>
      <c r="R54" s="134">
        <f t="shared" si="19"/>
        <v>5.0000000000000001E-3</v>
      </c>
      <c r="S54" s="132">
        <f t="shared" si="20"/>
        <v>503.45899999999995</v>
      </c>
      <c r="T54" s="128">
        <f t="shared" si="21"/>
        <v>0.73999999999999988</v>
      </c>
      <c r="U54" s="312"/>
      <c r="V54" s="314">
        <v>6</v>
      </c>
      <c r="W54" s="314">
        <v>20.000000000000004</v>
      </c>
      <c r="X54" s="314">
        <v>0.5</v>
      </c>
      <c r="Y54" s="314">
        <v>73.999999999999986</v>
      </c>
      <c r="AA54" s="40" t="str">
        <f t="shared" si="9"/>
        <v/>
      </c>
    </row>
    <row r="55" spans="1:27" ht="15" thickBot="1" x14ac:dyDescent="0.25">
      <c r="A55" s="27" t="s">
        <v>28</v>
      </c>
      <c r="B55" s="258"/>
      <c r="C55" s="258"/>
      <c r="D55" s="299" t="str">
        <f>IFERROR(VLOOKUP(C55,catalogo_servicios!$B$1:$C$106,2,0),"")</f>
        <v/>
      </c>
      <c r="E55" s="299" t="str">
        <f>IFERROR(VLOOKUP(C55,catalogo_servicios!$B$1:$B$106,1,0),"")</f>
        <v/>
      </c>
      <c r="F55" s="299" t="str">
        <f t="shared" si="4"/>
        <v/>
      </c>
      <c r="G55" s="8" t="s">
        <v>29</v>
      </c>
      <c r="H55" s="22">
        <v>768.5</v>
      </c>
      <c r="I55" s="18">
        <f t="shared" si="15"/>
        <v>891.46</v>
      </c>
      <c r="J55" s="75">
        <v>768.5</v>
      </c>
      <c r="K55" s="12">
        <f t="shared" si="22"/>
        <v>1537</v>
      </c>
      <c r="L55" s="21">
        <f t="shared" si="16"/>
        <v>1782.92</v>
      </c>
      <c r="M55" s="138">
        <f t="shared" si="23"/>
        <v>46.11</v>
      </c>
      <c r="N55" s="139">
        <f t="shared" si="17"/>
        <v>0.06</v>
      </c>
      <c r="O55" s="127">
        <f t="shared" si="24"/>
        <v>153.70000000000002</v>
      </c>
      <c r="P55" s="134">
        <f t="shared" si="18"/>
        <v>0.2</v>
      </c>
      <c r="Q55" s="127">
        <f t="shared" si="25"/>
        <v>3.8425000000000002</v>
      </c>
      <c r="R55" s="134">
        <f t="shared" si="19"/>
        <v>5.0000000000000001E-3</v>
      </c>
      <c r="S55" s="132">
        <f t="shared" si="20"/>
        <v>568.68999999999994</v>
      </c>
      <c r="T55" s="128">
        <f t="shared" si="21"/>
        <v>0.73999999999999988</v>
      </c>
      <c r="U55" s="312"/>
      <c r="V55" s="314">
        <v>6</v>
      </c>
      <c r="W55" s="314">
        <v>20</v>
      </c>
      <c r="X55" s="314">
        <v>0.5</v>
      </c>
      <c r="Y55" s="314">
        <v>73.999999999999986</v>
      </c>
      <c r="AA55" s="40" t="str">
        <f t="shared" si="9"/>
        <v/>
      </c>
    </row>
    <row r="56" spans="1:27" ht="15" thickBot="1" x14ac:dyDescent="0.25">
      <c r="A56" s="33"/>
      <c r="B56" s="280" t="s">
        <v>347</v>
      </c>
      <c r="C56" s="279" t="s">
        <v>348</v>
      </c>
      <c r="D56" s="299">
        <f>IFERROR(VLOOKUP(C56,catalogo_servicios!$B$1:$C$106,2,0),"")</f>
        <v>105</v>
      </c>
      <c r="E56" s="299" t="str">
        <f>IFERROR(VLOOKUP(C56,catalogo_servicios!$B$1:$B$106,1,0),"")</f>
        <v>ANUPAT</v>
      </c>
      <c r="F56" s="299" t="str">
        <f t="shared" si="4"/>
        <v>Ya</v>
      </c>
      <c r="G56" s="282"/>
      <c r="H56" s="6"/>
      <c r="I56" s="283"/>
      <c r="J56" s="75"/>
      <c r="K56" s="20"/>
      <c r="L56" s="81"/>
      <c r="M56" s="138">
        <v>0</v>
      </c>
      <c r="N56" s="139"/>
      <c r="O56" s="127">
        <v>20</v>
      </c>
      <c r="P56" s="134"/>
      <c r="Q56" s="127">
        <v>15</v>
      </c>
      <c r="R56" s="134"/>
      <c r="S56" s="132"/>
      <c r="T56" s="128"/>
      <c r="U56" s="312"/>
      <c r="V56" s="314">
        <v>0</v>
      </c>
      <c r="W56" s="314">
        <v>0</v>
      </c>
      <c r="X56" s="314">
        <v>0</v>
      </c>
      <c r="Y56" s="314">
        <v>0</v>
      </c>
    </row>
    <row r="57" spans="1:27" ht="14" x14ac:dyDescent="0.2">
      <c r="A57" s="35">
        <v>13</v>
      </c>
      <c r="B57" s="35"/>
      <c r="C57" s="35"/>
      <c r="D57" s="299" t="str">
        <f>IFERROR(VLOOKUP(C57,catalogo_servicios!$B$1:$C$106,2,0),"")</f>
        <v/>
      </c>
      <c r="E57" s="299" t="str">
        <f>IFERROR(VLOOKUP(C57,catalogo_servicios!$B$1:$B$106,1,0),"")</f>
        <v/>
      </c>
      <c r="F57" s="299" t="str">
        <f t="shared" si="4"/>
        <v/>
      </c>
      <c r="G57" s="4" t="s">
        <v>133</v>
      </c>
      <c r="H57" s="5">
        <v>319.18</v>
      </c>
      <c r="I57" s="5">
        <f t="shared" si="15"/>
        <v>370.24880000000002</v>
      </c>
      <c r="J57" s="22">
        <f>K57-H57</f>
        <v>880.81999999999994</v>
      </c>
      <c r="K57" s="77">
        <v>1200</v>
      </c>
      <c r="L57" s="81">
        <f t="shared" si="16"/>
        <v>1392</v>
      </c>
      <c r="M57" s="138">
        <f t="shared" si="23"/>
        <v>52.849199999999996</v>
      </c>
      <c r="N57" s="139">
        <f t="shared" si="17"/>
        <v>0.06</v>
      </c>
      <c r="O57" s="127">
        <f t="shared" si="24"/>
        <v>176.16399999999999</v>
      </c>
      <c r="P57" s="134">
        <f t="shared" si="18"/>
        <v>0.2</v>
      </c>
      <c r="Q57" s="127">
        <f t="shared" si="25"/>
        <v>4.4040999999999997</v>
      </c>
      <c r="R57" s="134">
        <f t="shared" si="19"/>
        <v>5.0000000000000001E-3</v>
      </c>
      <c r="S57" s="132">
        <f t="shared" si="20"/>
        <v>651.80679999999995</v>
      </c>
      <c r="T57" s="128">
        <f t="shared" si="21"/>
        <v>0.74</v>
      </c>
      <c r="U57" s="312"/>
      <c r="V57" s="314">
        <v>6</v>
      </c>
      <c r="W57" s="314">
        <v>20</v>
      </c>
      <c r="X57" s="314">
        <v>0.5</v>
      </c>
      <c r="Y57" s="314">
        <v>74</v>
      </c>
      <c r="AA57" s="40" t="str">
        <f t="shared" si="9"/>
        <v/>
      </c>
    </row>
    <row r="58" spans="1:27" ht="29" thickBot="1" x14ac:dyDescent="0.25">
      <c r="A58" s="167">
        <v>13</v>
      </c>
      <c r="B58" s="33"/>
      <c r="C58" s="33"/>
      <c r="D58" s="299" t="str">
        <f>IFERROR(VLOOKUP(C58,catalogo_servicios!$B$1:$C$106,2,0),"")</f>
        <v/>
      </c>
      <c r="E58" s="299" t="str">
        <f>IFERROR(VLOOKUP(C58,catalogo_servicios!$B$1:$B$106,1,0),"")</f>
        <v/>
      </c>
      <c r="F58" s="299" t="str">
        <f t="shared" si="4"/>
        <v/>
      </c>
      <c r="G58" s="102" t="s">
        <v>152</v>
      </c>
      <c r="H58" s="168">
        <v>319.18</v>
      </c>
      <c r="I58" s="168">
        <f t="shared" si="15"/>
        <v>370.24880000000002</v>
      </c>
      <c r="J58" s="103">
        <f>K58-H58</f>
        <v>3880.82</v>
      </c>
      <c r="K58" s="169">
        <v>4200</v>
      </c>
      <c r="L58" s="55">
        <f t="shared" si="16"/>
        <v>4872</v>
      </c>
      <c r="M58" s="156">
        <f t="shared" si="23"/>
        <v>232.8492</v>
      </c>
      <c r="N58" s="157">
        <f t="shared" si="17"/>
        <v>0.06</v>
      </c>
      <c r="O58" s="153">
        <f t="shared" si="24"/>
        <v>776.1640000000001</v>
      </c>
      <c r="P58" s="158">
        <f t="shared" si="18"/>
        <v>0.2</v>
      </c>
      <c r="Q58" s="153">
        <f t="shared" si="25"/>
        <v>19.4041</v>
      </c>
      <c r="R58" s="158">
        <f t="shared" si="19"/>
        <v>5.0000000000000001E-3</v>
      </c>
      <c r="S58" s="159">
        <f t="shared" si="20"/>
        <v>2871.8067999999998</v>
      </c>
      <c r="T58" s="160">
        <f t="shared" si="21"/>
        <v>0.73999999999999988</v>
      </c>
      <c r="U58" s="312"/>
      <c r="V58" s="314">
        <v>6</v>
      </c>
      <c r="W58" s="314">
        <v>20</v>
      </c>
      <c r="X58" s="314">
        <v>0.5</v>
      </c>
      <c r="Y58" s="314">
        <v>73.999999999999986</v>
      </c>
      <c r="AA58" s="40" t="str">
        <f t="shared" si="9"/>
        <v/>
      </c>
    </row>
    <row r="59" spans="1:27" ht="38.25" customHeight="1" thickBot="1" x14ac:dyDescent="0.25">
      <c r="A59" s="304" t="s">
        <v>131</v>
      </c>
      <c r="B59" s="305"/>
      <c r="C59" s="305"/>
      <c r="D59" s="299" t="str">
        <f>IFERROR(VLOOKUP(C59,catalogo_servicios!$B$1:$C$106,2,0),"")</f>
        <v/>
      </c>
      <c r="E59" s="299" t="str">
        <f>IFERROR(VLOOKUP(C59,catalogo_servicios!$B$1:$B$106,1,0),"")</f>
        <v/>
      </c>
      <c r="F59" s="299" t="str">
        <f t="shared" si="4"/>
        <v/>
      </c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6"/>
      <c r="U59" s="307"/>
      <c r="V59" s="314">
        <v>0</v>
      </c>
      <c r="W59" s="314">
        <v>0</v>
      </c>
      <c r="X59" s="314">
        <v>0</v>
      </c>
      <c r="Y59" s="314">
        <v>0</v>
      </c>
      <c r="AA59" s="40" t="str">
        <f t="shared" si="9"/>
        <v/>
      </c>
    </row>
    <row r="60" spans="1:27" ht="28" x14ac:dyDescent="0.2">
      <c r="A60" s="30" t="s">
        <v>30</v>
      </c>
      <c r="B60" s="259"/>
      <c r="C60" s="259"/>
      <c r="D60" s="299" t="str">
        <f>IFERROR(VLOOKUP(C60,catalogo_servicios!$B$1:$C$106,2,0),"")</f>
        <v/>
      </c>
      <c r="E60" s="299" t="str">
        <f>IFERROR(VLOOKUP(C60,catalogo_servicios!$B$1:$B$106,1,0),"")</f>
        <v/>
      </c>
      <c r="F60" s="299" t="str">
        <f t="shared" si="4"/>
        <v/>
      </c>
      <c r="G60" s="49" t="s">
        <v>153</v>
      </c>
      <c r="H60" s="36">
        <v>1081.07</v>
      </c>
      <c r="I60" s="36">
        <f t="shared" ref="I60:I81" si="26">(H60*0.16)+H60</f>
        <v>1254.0411999999999</v>
      </c>
      <c r="J60" s="172">
        <v>35000</v>
      </c>
      <c r="K60" s="50">
        <f>H60+J60</f>
        <v>36081.07</v>
      </c>
      <c r="L60" s="173">
        <f t="shared" ref="L60:L81" si="27">(K60*0.16)+K60</f>
        <v>41854.0412</v>
      </c>
      <c r="M60" s="245">
        <f>(J60*0.06)</f>
        <v>2100</v>
      </c>
      <c r="N60" s="246">
        <f>M60/J60</f>
        <v>0.06</v>
      </c>
      <c r="O60" s="245">
        <f>(J60*0.2)</f>
        <v>7000</v>
      </c>
      <c r="P60" s="246">
        <f>O60/J60</f>
        <v>0.2</v>
      </c>
      <c r="Q60" s="245">
        <f>(J60*0.005)</f>
        <v>175</v>
      </c>
      <c r="R60" s="246">
        <f>Q60/J60</f>
        <v>5.0000000000000001E-3</v>
      </c>
      <c r="S60" s="249">
        <f>(J60-M60-O60)</f>
        <v>25900</v>
      </c>
      <c r="T60" s="250">
        <f>S60/J60</f>
        <v>0.74</v>
      </c>
      <c r="U60" s="313"/>
      <c r="V60" s="314">
        <v>6</v>
      </c>
      <c r="W60" s="314">
        <v>20</v>
      </c>
      <c r="X60" s="314">
        <v>0.5</v>
      </c>
      <c r="Y60" s="314">
        <v>74</v>
      </c>
      <c r="AA60" s="40" t="str">
        <f t="shared" si="9"/>
        <v/>
      </c>
    </row>
    <row r="61" spans="1:27" ht="28" x14ac:dyDescent="0.2">
      <c r="A61" s="28" t="s">
        <v>30</v>
      </c>
      <c r="B61" s="260"/>
      <c r="C61" s="260"/>
      <c r="D61" s="299" t="str">
        <f>IFERROR(VLOOKUP(C61,catalogo_servicios!$B$1:$C$106,2,0),"")</f>
        <v/>
      </c>
      <c r="E61" s="299" t="str">
        <f>IFERROR(VLOOKUP(C61,catalogo_servicios!$B$1:$B$106,1,0),"")</f>
        <v/>
      </c>
      <c r="F61" s="299" t="str">
        <f t="shared" si="4"/>
        <v/>
      </c>
      <c r="G61" s="96" t="s">
        <v>154</v>
      </c>
      <c r="H61" s="5">
        <v>1081.07</v>
      </c>
      <c r="I61" s="5">
        <f t="shared" si="26"/>
        <v>1254.0411999999999</v>
      </c>
      <c r="J61" s="97">
        <v>45000</v>
      </c>
      <c r="K61" s="13">
        <f>H61+J61</f>
        <v>46081.07</v>
      </c>
      <c r="L61" s="99">
        <f t="shared" si="27"/>
        <v>53454.0412</v>
      </c>
      <c r="M61" s="243">
        <f t="shared" ref="M61:M81" si="28">(J61*0.06)</f>
        <v>2700</v>
      </c>
      <c r="N61" s="244">
        <f t="shared" ref="N61:N81" si="29">M61/J61</f>
        <v>0.06</v>
      </c>
      <c r="O61" s="243">
        <f t="shared" ref="O61:O81" si="30">(J61*0.2)</f>
        <v>9000</v>
      </c>
      <c r="P61" s="244">
        <f t="shared" ref="P61:P81" si="31">O61/J61</f>
        <v>0.2</v>
      </c>
      <c r="Q61" s="243">
        <f t="shared" ref="Q61:Q81" si="32">(J61*0.005)</f>
        <v>225</v>
      </c>
      <c r="R61" s="244">
        <f t="shared" ref="R61:R81" si="33">Q61/J61</f>
        <v>5.0000000000000001E-3</v>
      </c>
      <c r="S61" s="247">
        <f>(J61-M61-O61)</f>
        <v>33300</v>
      </c>
      <c r="T61" s="248">
        <f t="shared" ref="T61:T81" si="34">S61/J61</f>
        <v>0.74</v>
      </c>
      <c r="U61" s="313"/>
      <c r="V61" s="314">
        <v>6</v>
      </c>
      <c r="W61" s="314">
        <v>20</v>
      </c>
      <c r="X61" s="314">
        <v>0.5</v>
      </c>
      <c r="Y61" s="314">
        <v>74</v>
      </c>
      <c r="AA61" s="40" t="str">
        <f t="shared" si="9"/>
        <v/>
      </c>
    </row>
    <row r="62" spans="1:27" ht="29" thickBot="1" x14ac:dyDescent="0.25">
      <c r="A62" s="28" t="s">
        <v>30</v>
      </c>
      <c r="B62" s="260"/>
      <c r="C62" s="260"/>
      <c r="D62" s="299" t="str">
        <f>IFERROR(VLOOKUP(C62,catalogo_servicios!$B$1:$C$106,2,0),"")</f>
        <v/>
      </c>
      <c r="E62" s="299" t="str">
        <f>IFERROR(VLOOKUP(C62,catalogo_servicios!$B$1:$B$106,1,0),"")</f>
        <v/>
      </c>
      <c r="F62" s="299" t="str">
        <f t="shared" si="4"/>
        <v/>
      </c>
      <c r="G62" s="96" t="s">
        <v>155</v>
      </c>
      <c r="H62" s="5">
        <v>1081.07</v>
      </c>
      <c r="I62" s="5">
        <f t="shared" si="26"/>
        <v>1254.0411999999999</v>
      </c>
      <c r="J62" s="97">
        <v>55000</v>
      </c>
      <c r="K62" s="13">
        <f>H62+J62</f>
        <v>56081.07</v>
      </c>
      <c r="L62" s="99">
        <f t="shared" si="27"/>
        <v>65054.0412</v>
      </c>
      <c r="M62" s="243">
        <f t="shared" si="28"/>
        <v>3300</v>
      </c>
      <c r="N62" s="244">
        <f t="shared" si="29"/>
        <v>0.06</v>
      </c>
      <c r="O62" s="243">
        <f t="shared" si="30"/>
        <v>11000</v>
      </c>
      <c r="P62" s="244">
        <f t="shared" si="31"/>
        <v>0.2</v>
      </c>
      <c r="Q62" s="243">
        <f t="shared" si="32"/>
        <v>275</v>
      </c>
      <c r="R62" s="244">
        <f t="shared" si="33"/>
        <v>5.0000000000000001E-3</v>
      </c>
      <c r="S62" s="247">
        <f t="shared" ref="S62:S81" si="35">(J62-M62-O62)</f>
        <v>40700</v>
      </c>
      <c r="T62" s="248">
        <f t="shared" si="34"/>
        <v>0.74</v>
      </c>
      <c r="U62" s="313"/>
      <c r="V62" s="314">
        <v>6</v>
      </c>
      <c r="W62" s="314">
        <v>20</v>
      </c>
      <c r="X62" s="314">
        <v>0.5</v>
      </c>
      <c r="Y62" s="314">
        <v>74</v>
      </c>
      <c r="AA62" s="40" t="str">
        <f t="shared" si="9"/>
        <v/>
      </c>
    </row>
    <row r="63" spans="1:27" ht="15" thickBot="1" x14ac:dyDescent="0.25">
      <c r="A63" s="28"/>
      <c r="B63" s="280" t="s">
        <v>351</v>
      </c>
      <c r="C63" s="279" t="s">
        <v>352</v>
      </c>
      <c r="D63" s="299">
        <f>IFERROR(VLOOKUP(C63,catalogo_servicios!$B$1:$C$106,2,0),"")</f>
        <v>29</v>
      </c>
      <c r="E63" s="299" t="str">
        <f>IFERROR(VLOOKUP(C63,catalogo_servicios!$B$1:$B$106,1,0),"")</f>
        <v>MU</v>
      </c>
      <c r="F63" s="299" t="str">
        <f t="shared" si="4"/>
        <v>Ya</v>
      </c>
      <c r="G63" s="96"/>
      <c r="H63" s="5"/>
      <c r="I63" s="5"/>
      <c r="J63" s="97"/>
      <c r="K63" s="13"/>
      <c r="L63" s="99"/>
      <c r="M63" s="243"/>
      <c r="N63" s="244">
        <v>0.06</v>
      </c>
      <c r="O63" s="243" t="s">
        <v>350</v>
      </c>
      <c r="P63" s="244"/>
      <c r="Q63" s="243"/>
      <c r="R63" s="244">
        <v>5.0000000000000001E-3</v>
      </c>
      <c r="S63" s="247"/>
      <c r="T63" s="248"/>
      <c r="U63" s="313"/>
      <c r="V63" s="314">
        <v>6</v>
      </c>
      <c r="W63" s="314">
        <v>0</v>
      </c>
      <c r="X63" s="314">
        <v>0.5</v>
      </c>
      <c r="Y63" s="314">
        <v>0</v>
      </c>
    </row>
    <row r="64" spans="1:27" ht="14" x14ac:dyDescent="0.2">
      <c r="A64" s="28" t="s">
        <v>31</v>
      </c>
      <c r="B64" s="260"/>
      <c r="C64" s="260"/>
      <c r="D64" s="299" t="str">
        <f>IFERROR(VLOOKUP(C64,catalogo_servicios!$B$1:$C$106,2,0),"")</f>
        <v/>
      </c>
      <c r="E64" s="299" t="str">
        <f>IFERROR(VLOOKUP(C64,catalogo_servicios!$B$1:$B$106,1,0),"")</f>
        <v/>
      </c>
      <c r="F64" s="299" t="str">
        <f t="shared" si="4"/>
        <v/>
      </c>
      <c r="G64" s="4" t="s">
        <v>15</v>
      </c>
      <c r="H64" s="5">
        <v>1081.07</v>
      </c>
      <c r="I64" s="5">
        <f t="shared" si="26"/>
        <v>1254.0411999999999</v>
      </c>
      <c r="J64" s="5"/>
      <c r="K64" s="13"/>
      <c r="L64" s="99">
        <f t="shared" si="27"/>
        <v>0</v>
      </c>
      <c r="M64" s="138">
        <f t="shared" si="28"/>
        <v>0</v>
      </c>
      <c r="N64" s="139" t="e">
        <f t="shared" si="29"/>
        <v>#DIV/0!</v>
      </c>
      <c r="O64" s="127">
        <f t="shared" si="30"/>
        <v>0</v>
      </c>
      <c r="P64" s="134" t="e">
        <f t="shared" si="31"/>
        <v>#DIV/0!</v>
      </c>
      <c r="Q64" s="127">
        <f t="shared" si="32"/>
        <v>0</v>
      </c>
      <c r="R64" s="134" t="e">
        <f t="shared" si="33"/>
        <v>#DIV/0!</v>
      </c>
      <c r="S64" s="132">
        <f t="shared" si="35"/>
        <v>0</v>
      </c>
      <c r="T64" s="128" t="e">
        <f t="shared" si="34"/>
        <v>#DIV/0!</v>
      </c>
      <c r="U64" s="312"/>
      <c r="V64" s="314" t="e">
        <v>#DIV/0!</v>
      </c>
      <c r="W64" s="314" t="e">
        <v>#DIV/0!</v>
      </c>
      <c r="X64" s="314" t="e">
        <v>#DIV/0!</v>
      </c>
      <c r="Y64" s="314" t="e">
        <v>#DIV/0!</v>
      </c>
      <c r="AA64" s="40" t="str">
        <f t="shared" si="9"/>
        <v/>
      </c>
    </row>
    <row r="65" spans="1:27" ht="14" x14ac:dyDescent="0.2">
      <c r="A65" s="28" t="s">
        <v>32</v>
      </c>
      <c r="B65" s="260"/>
      <c r="C65" s="260"/>
      <c r="D65" s="299" t="str">
        <f>IFERROR(VLOOKUP(C65,catalogo_servicios!$B$1:$C$106,2,0),"")</f>
        <v/>
      </c>
      <c r="E65" s="299" t="str">
        <f>IFERROR(VLOOKUP(C65,catalogo_servicios!$B$1:$B$106,1,0),"")</f>
        <v/>
      </c>
      <c r="F65" s="299" t="str">
        <f t="shared" si="4"/>
        <v/>
      </c>
      <c r="G65" s="4" t="s">
        <v>113</v>
      </c>
      <c r="H65" s="5">
        <v>690.35</v>
      </c>
      <c r="I65" s="5">
        <f t="shared" si="26"/>
        <v>800.80600000000004</v>
      </c>
      <c r="J65" s="5"/>
      <c r="K65" s="13"/>
      <c r="L65" s="99">
        <f t="shared" si="27"/>
        <v>0</v>
      </c>
      <c r="M65" s="138">
        <f t="shared" si="28"/>
        <v>0</v>
      </c>
      <c r="N65" s="139" t="e">
        <f t="shared" si="29"/>
        <v>#DIV/0!</v>
      </c>
      <c r="O65" s="127">
        <f t="shared" si="30"/>
        <v>0</v>
      </c>
      <c r="P65" s="134" t="e">
        <f t="shared" si="31"/>
        <v>#DIV/0!</v>
      </c>
      <c r="Q65" s="127">
        <f t="shared" si="32"/>
        <v>0</v>
      </c>
      <c r="R65" s="134" t="e">
        <f t="shared" si="33"/>
        <v>#DIV/0!</v>
      </c>
      <c r="S65" s="132">
        <f t="shared" si="35"/>
        <v>0</v>
      </c>
      <c r="T65" s="128" t="e">
        <f t="shared" si="34"/>
        <v>#DIV/0!</v>
      </c>
      <c r="U65" s="312"/>
      <c r="V65" s="314" t="e">
        <v>#DIV/0!</v>
      </c>
      <c r="W65" s="314" t="e">
        <v>#DIV/0!</v>
      </c>
      <c r="X65" s="314" t="e">
        <v>#DIV/0!</v>
      </c>
      <c r="Y65" s="314" t="e">
        <v>#DIV/0!</v>
      </c>
      <c r="AA65" s="40" t="str">
        <f t="shared" si="9"/>
        <v/>
      </c>
    </row>
    <row r="66" spans="1:27" ht="14" x14ac:dyDescent="0.2">
      <c r="A66" s="28" t="s">
        <v>33</v>
      </c>
      <c r="B66" s="260"/>
      <c r="C66" s="260"/>
      <c r="D66" s="299" t="str">
        <f>IFERROR(VLOOKUP(C66,catalogo_servicios!$B$1:$C$106,2,0),"")</f>
        <v/>
      </c>
      <c r="E66" s="299" t="str">
        <f>IFERROR(VLOOKUP(C66,catalogo_servicios!$B$1:$B$106,1,0),"")</f>
        <v/>
      </c>
      <c r="F66" s="299" t="str">
        <f t="shared" si="4"/>
        <v/>
      </c>
      <c r="G66" s="4" t="s">
        <v>21</v>
      </c>
      <c r="H66" s="5">
        <v>330.9</v>
      </c>
      <c r="I66" s="5">
        <f t="shared" si="26"/>
        <v>383.84399999999999</v>
      </c>
      <c r="J66" s="5">
        <f>K66-H66</f>
        <v>1919.1</v>
      </c>
      <c r="K66" s="80">
        <v>2250</v>
      </c>
      <c r="L66" s="99">
        <f t="shared" si="27"/>
        <v>2610</v>
      </c>
      <c r="M66" s="243">
        <v>200</v>
      </c>
      <c r="N66" s="244">
        <f t="shared" si="29"/>
        <v>0.10421551769058414</v>
      </c>
      <c r="O66" s="243">
        <v>60</v>
      </c>
      <c r="P66" s="244">
        <f t="shared" si="31"/>
        <v>3.1264655307175239E-2</v>
      </c>
      <c r="Q66" s="243">
        <v>30</v>
      </c>
      <c r="R66" s="244">
        <f t="shared" si="33"/>
        <v>1.5632327653587619E-2</v>
      </c>
      <c r="S66" s="247">
        <f t="shared" si="35"/>
        <v>1659.1</v>
      </c>
      <c r="T66" s="248">
        <f t="shared" si="34"/>
        <v>0.86451982700224062</v>
      </c>
      <c r="U66" s="313"/>
      <c r="V66" s="314">
        <v>10.421551769058414</v>
      </c>
      <c r="W66" s="314">
        <v>3.1264655307175238</v>
      </c>
      <c r="X66" s="314">
        <v>1.5632327653587619</v>
      </c>
      <c r="Y66" s="314">
        <v>86.451982700224065</v>
      </c>
      <c r="AA66" s="40" t="str">
        <f t="shared" si="9"/>
        <v/>
      </c>
    </row>
    <row r="67" spans="1:27" ht="14" x14ac:dyDescent="0.2">
      <c r="A67" s="28">
        <v>13</v>
      </c>
      <c r="B67" s="260"/>
      <c r="C67" s="260"/>
      <c r="D67" s="299" t="str">
        <f>IFERROR(VLOOKUP(C67,catalogo_servicios!$B$1:$C$106,2,0),"")</f>
        <v/>
      </c>
      <c r="E67" s="299" t="str">
        <f>IFERROR(VLOOKUP(C67,catalogo_servicios!$B$1:$B$106,1,0),"")</f>
        <v/>
      </c>
      <c r="F67" s="299" t="str">
        <f t="shared" si="4"/>
        <v/>
      </c>
      <c r="G67" s="4" t="s">
        <v>129</v>
      </c>
      <c r="H67" s="5">
        <v>319.18</v>
      </c>
      <c r="I67" s="5">
        <f t="shared" si="26"/>
        <v>370.24880000000002</v>
      </c>
      <c r="J67" s="5">
        <f>K67-H67</f>
        <v>880.81999999999994</v>
      </c>
      <c r="K67" s="80">
        <v>1200</v>
      </c>
      <c r="L67" s="99">
        <f t="shared" si="27"/>
        <v>1392</v>
      </c>
      <c r="M67" s="138">
        <f t="shared" si="28"/>
        <v>52.849199999999996</v>
      </c>
      <c r="N67" s="139">
        <f t="shared" si="29"/>
        <v>0.06</v>
      </c>
      <c r="O67" s="127">
        <f t="shared" si="30"/>
        <v>176.16399999999999</v>
      </c>
      <c r="P67" s="134">
        <f t="shared" si="31"/>
        <v>0.2</v>
      </c>
      <c r="Q67" s="127">
        <f t="shared" si="32"/>
        <v>4.4040999999999997</v>
      </c>
      <c r="R67" s="134">
        <f t="shared" si="33"/>
        <v>5.0000000000000001E-3</v>
      </c>
      <c r="S67" s="132">
        <f t="shared" si="35"/>
        <v>651.80679999999995</v>
      </c>
      <c r="T67" s="128">
        <f t="shared" si="34"/>
        <v>0.74</v>
      </c>
      <c r="U67" s="312"/>
      <c r="V67" s="314">
        <v>6</v>
      </c>
      <c r="W67" s="314">
        <v>20</v>
      </c>
      <c r="X67" s="314">
        <v>0.5</v>
      </c>
      <c r="Y67" s="314">
        <v>74</v>
      </c>
      <c r="AA67" s="40" t="str">
        <f t="shared" si="9"/>
        <v/>
      </c>
    </row>
    <row r="68" spans="1:27" ht="15" thickBot="1" x14ac:dyDescent="0.25">
      <c r="A68" s="29">
        <v>13</v>
      </c>
      <c r="B68" s="261"/>
      <c r="C68" s="261"/>
      <c r="D68" s="299" t="str">
        <f>IFERROR(VLOOKUP(C68,catalogo_servicios!$B$1:$C$106,2,0),"")</f>
        <v/>
      </c>
      <c r="E68" s="299" t="str">
        <f>IFERROR(VLOOKUP(C68,catalogo_servicios!$B$1:$B$106,1,0),"")</f>
        <v/>
      </c>
      <c r="F68" s="299" t="str">
        <f t="shared" si="4"/>
        <v/>
      </c>
      <c r="G68" s="51" t="s">
        <v>130</v>
      </c>
      <c r="H68" s="37">
        <v>319.18</v>
      </c>
      <c r="I68" s="37">
        <f t="shared" si="26"/>
        <v>370.24880000000002</v>
      </c>
      <c r="J68" s="37">
        <f>K68-H68</f>
        <v>3880.82</v>
      </c>
      <c r="K68" s="110">
        <v>4200</v>
      </c>
      <c r="L68" s="100">
        <f t="shared" si="27"/>
        <v>4872</v>
      </c>
      <c r="M68" s="138">
        <f t="shared" si="28"/>
        <v>232.8492</v>
      </c>
      <c r="N68" s="139">
        <f t="shared" si="29"/>
        <v>0.06</v>
      </c>
      <c r="O68" s="127">
        <f t="shared" si="30"/>
        <v>776.1640000000001</v>
      </c>
      <c r="P68" s="134">
        <f t="shared" si="31"/>
        <v>0.2</v>
      </c>
      <c r="Q68" s="127">
        <f t="shared" si="32"/>
        <v>19.4041</v>
      </c>
      <c r="R68" s="134">
        <f t="shared" si="33"/>
        <v>5.0000000000000001E-3</v>
      </c>
      <c r="S68" s="132">
        <f t="shared" si="35"/>
        <v>2871.8067999999998</v>
      </c>
      <c r="T68" s="128">
        <f t="shared" si="34"/>
        <v>0.73999999999999988</v>
      </c>
      <c r="U68" s="312"/>
      <c r="V68" s="314">
        <v>6</v>
      </c>
      <c r="W68" s="314">
        <v>20</v>
      </c>
      <c r="X68" s="314">
        <v>0.5</v>
      </c>
      <c r="Y68" s="314">
        <v>73.999999999999986</v>
      </c>
      <c r="AA68" s="40" t="str">
        <f t="shared" si="9"/>
        <v/>
      </c>
    </row>
    <row r="69" spans="1:27" ht="85" thickBot="1" x14ac:dyDescent="0.25">
      <c r="A69" s="92" t="s">
        <v>103</v>
      </c>
      <c r="B69" s="280" t="s">
        <v>353</v>
      </c>
      <c r="C69" s="279" t="s">
        <v>354</v>
      </c>
      <c r="D69" s="299">
        <f>IFERROR(VLOOKUP(C69,catalogo_servicios!$B$1:$C$106,2,0),"")</f>
        <v>31</v>
      </c>
      <c r="E69" s="299" t="str">
        <f>IFERROR(VLOOKUP(C69,catalogo_servicios!$B$1:$B$106,1,0),"")</f>
        <v>ETCIF</v>
      </c>
      <c r="F69" s="299" t="str">
        <f t="shared" ref="F69:F121" si="36">IF(AND(C69="",D69=""),"",IF(AND(C69&lt;&gt;"",D69=""),"Nuevo","Ya"))</f>
        <v>Ya</v>
      </c>
      <c r="G69" s="93" t="s">
        <v>102</v>
      </c>
      <c r="H69" s="94">
        <v>1022.46</v>
      </c>
      <c r="I69" s="84">
        <f t="shared" si="26"/>
        <v>1186.0536</v>
      </c>
      <c r="J69" s="94">
        <f>K69-H69</f>
        <v>4927.54</v>
      </c>
      <c r="K69" s="95">
        <v>5950</v>
      </c>
      <c r="L69" s="45">
        <f t="shared" si="27"/>
        <v>6902</v>
      </c>
      <c r="M69" s="243">
        <v>500</v>
      </c>
      <c r="N69" s="244">
        <f t="shared" si="29"/>
        <v>0.10147051064019774</v>
      </c>
      <c r="O69" s="243">
        <v>150</v>
      </c>
      <c r="P69" s="244">
        <f t="shared" si="31"/>
        <v>3.0441153192059325E-2</v>
      </c>
      <c r="Q69" s="243">
        <v>75</v>
      </c>
      <c r="R69" s="244">
        <f t="shared" si="33"/>
        <v>1.5220576596029663E-2</v>
      </c>
      <c r="S69" s="247">
        <f t="shared" si="35"/>
        <v>4277.54</v>
      </c>
      <c r="T69" s="248">
        <f t="shared" si="34"/>
        <v>0.86808833616774295</v>
      </c>
      <c r="U69" s="313"/>
      <c r="V69" s="314">
        <v>10.147051064019774</v>
      </c>
      <c r="W69" s="314">
        <v>3.0441153192059325</v>
      </c>
      <c r="X69" s="314">
        <v>1.5220576596029662</v>
      </c>
      <c r="Y69" s="314">
        <v>86.808833616774294</v>
      </c>
      <c r="AA69" s="40" t="str">
        <f t="shared" ref="AA69:AA121" si="37">IF(D69="","",CONCATENATE("update catalogo_servicios set costo_servicio = ",I69,", costo = ",K69,", honorarios = ",J69,", utilidad = ",S69,", porcentaje_utilidad = ",Y69,", comision_venta_monto=",M69,", porcentaje_venta=",V69,", comision_operativa_monto=",O69,", porcentaje_operativa=",W69,", comision_gestion_monto=",Q69,", porcentaje_gestion=",X69," where id = ",D69,";"))</f>
        <v>update catalogo_servicios set costo_servicio = 1186.0536, costo = 5950, honorarios = 4927.54, utilidad = 4277.54, porcentaje_utilidad = 86.8088336167743, comision_venta_monto=500, porcentaje_venta=10.1470510640198, comision_operativa_monto=150, porcentaje_operativa=3.04411531920593, comision_gestion_monto=75, porcentaje_gestion=1.52205765960297 where id = 31;</v>
      </c>
    </row>
    <row r="70" spans="1:27" ht="14" x14ac:dyDescent="0.2">
      <c r="A70" s="28" t="s">
        <v>34</v>
      </c>
      <c r="B70" s="260"/>
      <c r="C70" s="260"/>
      <c r="D70" s="299" t="str">
        <f>IFERROR(VLOOKUP(C70,catalogo_servicios!$B$1:$C$106,2,0),"")</f>
        <v/>
      </c>
      <c r="E70" s="299" t="str">
        <f>IFERROR(VLOOKUP(C70,catalogo_servicios!$B$1:$B$106,1,0),"")</f>
        <v/>
      </c>
      <c r="F70" s="299" t="str">
        <f t="shared" si="36"/>
        <v/>
      </c>
      <c r="G70" s="4" t="s">
        <v>35</v>
      </c>
      <c r="H70" s="5">
        <v>549.70000000000005</v>
      </c>
      <c r="I70" s="5">
        <f t="shared" si="26"/>
        <v>637.65200000000004</v>
      </c>
      <c r="J70" s="78">
        <v>508.45499999999998</v>
      </c>
      <c r="K70" s="13">
        <f>H70+J70</f>
        <v>1058.155</v>
      </c>
      <c r="L70" s="99">
        <f t="shared" si="27"/>
        <v>1227.4598000000001</v>
      </c>
      <c r="M70" s="138">
        <f t="shared" si="28"/>
        <v>30.507299999999997</v>
      </c>
      <c r="N70" s="139">
        <f t="shared" si="29"/>
        <v>0.06</v>
      </c>
      <c r="O70" s="127">
        <f t="shared" si="30"/>
        <v>101.691</v>
      </c>
      <c r="P70" s="134">
        <f t="shared" si="31"/>
        <v>0.2</v>
      </c>
      <c r="Q70" s="127">
        <f t="shared" si="32"/>
        <v>2.5422750000000001</v>
      </c>
      <c r="R70" s="134">
        <f t="shared" si="33"/>
        <v>5.0000000000000001E-3</v>
      </c>
      <c r="S70" s="132">
        <f t="shared" si="35"/>
        <v>376.25670000000002</v>
      </c>
      <c r="T70" s="128">
        <f t="shared" si="34"/>
        <v>0.7400000000000001</v>
      </c>
      <c r="U70" s="312"/>
      <c r="V70" s="314">
        <v>6</v>
      </c>
      <c r="W70" s="314">
        <v>20</v>
      </c>
      <c r="X70" s="314">
        <v>0.5</v>
      </c>
      <c r="Y70" s="314">
        <v>74.000000000000014</v>
      </c>
      <c r="AA70" s="40" t="str">
        <f t="shared" si="37"/>
        <v/>
      </c>
    </row>
    <row r="71" spans="1:27" ht="14" x14ac:dyDescent="0.2">
      <c r="A71" s="28" t="s">
        <v>36</v>
      </c>
      <c r="B71" s="260"/>
      <c r="C71" s="260"/>
      <c r="D71" s="299" t="str">
        <f>IFERROR(VLOOKUP(C71,catalogo_servicios!$B$1:$C$106,2,0),"")</f>
        <v/>
      </c>
      <c r="E71" s="299" t="str">
        <f>IFERROR(VLOOKUP(C71,catalogo_servicios!$B$1:$B$106,1,0),"")</f>
        <v/>
      </c>
      <c r="F71" s="299" t="str">
        <f t="shared" si="36"/>
        <v/>
      </c>
      <c r="G71" s="4" t="s">
        <v>37</v>
      </c>
      <c r="H71" s="5">
        <v>561.41999999999996</v>
      </c>
      <c r="I71" s="5">
        <f t="shared" si="26"/>
        <v>651.24719999999991</v>
      </c>
      <c r="J71" s="78">
        <v>532.89</v>
      </c>
      <c r="K71" s="13">
        <f>H71+J71</f>
        <v>1094.31</v>
      </c>
      <c r="L71" s="99">
        <f t="shared" si="27"/>
        <v>1269.3996</v>
      </c>
      <c r="M71" s="138">
        <f t="shared" si="28"/>
        <v>31.973399999999998</v>
      </c>
      <c r="N71" s="139">
        <f t="shared" si="29"/>
        <v>0.06</v>
      </c>
      <c r="O71" s="127">
        <f t="shared" si="30"/>
        <v>106.578</v>
      </c>
      <c r="P71" s="134">
        <f t="shared" si="31"/>
        <v>0.2</v>
      </c>
      <c r="Q71" s="127">
        <f t="shared" si="32"/>
        <v>2.66445</v>
      </c>
      <c r="R71" s="134">
        <f t="shared" si="33"/>
        <v>5.0000000000000001E-3</v>
      </c>
      <c r="S71" s="132">
        <f t="shared" si="35"/>
        <v>394.33860000000004</v>
      </c>
      <c r="T71" s="128">
        <f t="shared" si="34"/>
        <v>0.7400000000000001</v>
      </c>
      <c r="U71" s="312"/>
      <c r="V71" s="314">
        <v>6</v>
      </c>
      <c r="W71" s="314">
        <v>20</v>
      </c>
      <c r="X71" s="314">
        <v>0.5</v>
      </c>
      <c r="Y71" s="314">
        <v>74.000000000000014</v>
      </c>
      <c r="AA71" s="40" t="str">
        <f t="shared" si="37"/>
        <v/>
      </c>
    </row>
    <row r="72" spans="1:27" ht="15" thickBot="1" x14ac:dyDescent="0.25">
      <c r="A72" s="31" t="s">
        <v>38</v>
      </c>
      <c r="B72" s="262"/>
      <c r="C72" s="262"/>
      <c r="D72" s="299" t="str">
        <f>IFERROR(VLOOKUP(C72,catalogo_servicios!$B$1:$C$106,2,0),"")</f>
        <v/>
      </c>
      <c r="E72" s="299" t="str">
        <f>IFERROR(VLOOKUP(C72,catalogo_servicios!$B$1:$B$106,1,0),"")</f>
        <v/>
      </c>
      <c r="F72" s="299" t="str">
        <f t="shared" si="36"/>
        <v/>
      </c>
      <c r="G72" s="17" t="s">
        <v>39</v>
      </c>
      <c r="H72" s="10">
        <v>645.17999999999995</v>
      </c>
      <c r="I72" s="10">
        <f t="shared" si="26"/>
        <v>748.40879999999993</v>
      </c>
      <c r="J72" s="87">
        <v>612.08000000000004</v>
      </c>
      <c r="K72" s="105">
        <f>H72+J72</f>
        <v>1257.26</v>
      </c>
      <c r="L72" s="106">
        <f t="shared" si="27"/>
        <v>1458.4215999999999</v>
      </c>
      <c r="M72" s="138">
        <f t="shared" si="28"/>
        <v>36.724800000000002</v>
      </c>
      <c r="N72" s="139">
        <f t="shared" si="29"/>
        <v>0.06</v>
      </c>
      <c r="O72" s="127">
        <f t="shared" si="30"/>
        <v>122.41600000000001</v>
      </c>
      <c r="P72" s="134">
        <f t="shared" si="31"/>
        <v>0.2</v>
      </c>
      <c r="Q72" s="127">
        <f t="shared" si="32"/>
        <v>3.0604000000000005</v>
      </c>
      <c r="R72" s="134">
        <f t="shared" si="33"/>
        <v>5.0000000000000001E-3</v>
      </c>
      <c r="S72" s="132">
        <f t="shared" si="35"/>
        <v>452.93920000000008</v>
      </c>
      <c r="T72" s="128">
        <f t="shared" si="34"/>
        <v>0.7400000000000001</v>
      </c>
      <c r="U72" s="312"/>
      <c r="V72" s="314">
        <v>6</v>
      </c>
      <c r="W72" s="314">
        <v>20</v>
      </c>
      <c r="X72" s="314">
        <v>0.5</v>
      </c>
      <c r="Y72" s="314">
        <v>74.000000000000014</v>
      </c>
      <c r="AA72" s="40" t="str">
        <f t="shared" si="37"/>
        <v/>
      </c>
    </row>
    <row r="73" spans="1:27" ht="15" thickBot="1" x14ac:dyDescent="0.25">
      <c r="A73" s="60" t="s">
        <v>30</v>
      </c>
      <c r="B73" s="280" t="s">
        <v>357</v>
      </c>
      <c r="C73" s="279" t="s">
        <v>358</v>
      </c>
      <c r="D73" s="299">
        <f>IFERROR(VLOOKUP(C73,catalogo_servicios!$B$1:$C$106,2,0),"")</f>
        <v>35</v>
      </c>
      <c r="E73" s="299" t="str">
        <f>IFERROR(VLOOKUP(C73,catalogo_servicios!$B$1:$B$106,1,0),"")</f>
        <v>DIMICROF</v>
      </c>
      <c r="F73" s="299" t="str">
        <f t="shared" si="36"/>
        <v>Ya</v>
      </c>
      <c r="G73" s="64" t="s">
        <v>108</v>
      </c>
      <c r="H73" s="62">
        <v>1081.07</v>
      </c>
      <c r="I73" s="62">
        <f t="shared" si="26"/>
        <v>1254.0411999999999</v>
      </c>
      <c r="J73" s="62">
        <f>K73-H73</f>
        <v>4418.93</v>
      </c>
      <c r="K73" s="107">
        <v>5500</v>
      </c>
      <c r="L73" s="98">
        <f t="shared" si="27"/>
        <v>6380</v>
      </c>
      <c r="M73" s="243">
        <v>450</v>
      </c>
      <c r="N73" s="244">
        <f t="shared" si="29"/>
        <v>0.1018346070202515</v>
      </c>
      <c r="O73" s="243">
        <v>130</v>
      </c>
      <c r="P73" s="244">
        <f t="shared" si="31"/>
        <v>2.94188864725171E-2</v>
      </c>
      <c r="Q73" s="243">
        <v>65</v>
      </c>
      <c r="R73" s="244">
        <f t="shared" si="33"/>
        <v>1.470944323625855E-2</v>
      </c>
      <c r="S73" s="247">
        <f t="shared" si="35"/>
        <v>3838.9300000000003</v>
      </c>
      <c r="T73" s="248">
        <f t="shared" si="34"/>
        <v>0.8687465065072314</v>
      </c>
      <c r="U73" s="313"/>
      <c r="V73" s="314">
        <v>10.183460702025151</v>
      </c>
      <c r="W73" s="314">
        <v>2.9418886472517101</v>
      </c>
      <c r="X73" s="314">
        <v>1.470944323625855</v>
      </c>
      <c r="Y73" s="314">
        <v>86.87465065072314</v>
      </c>
      <c r="AA73" s="40" t="str">
        <f t="shared" si="37"/>
        <v>update catalogo_servicios set costo_servicio = 1254.0412, costo = 5500, honorarios = 4418.93, utilidad = 3838.93, porcentaje_utilidad = 86.8746506507231, comision_venta_monto=450, porcentaje_venta=10.1834607020252, comision_operativa_monto=130, porcentaje_operativa=2.94188864725171, comision_gestion_monto=65, porcentaje_gestion=1.47094432362586 where id = 35;</v>
      </c>
    </row>
    <row r="74" spans="1:27" ht="15" thickBot="1" x14ac:dyDescent="0.25">
      <c r="A74" s="28" t="s">
        <v>30</v>
      </c>
      <c r="B74" s="280" t="s">
        <v>359</v>
      </c>
      <c r="C74" s="279" t="s">
        <v>360</v>
      </c>
      <c r="D74" s="299">
        <f>IFERROR(VLOOKUP(C74,catalogo_servicios!$B$1:$C$106,2,0),"")</f>
        <v>34</v>
      </c>
      <c r="E74" s="299" t="str">
        <f>IFERROR(VLOOKUP(C74,catalogo_servicios!$B$1:$B$106,1,0),"")</f>
        <v>DIMICROM</v>
      </c>
      <c r="F74" s="299" t="str">
        <f t="shared" si="36"/>
        <v>Ya</v>
      </c>
      <c r="G74" s="96" t="s">
        <v>107</v>
      </c>
      <c r="H74" s="5">
        <v>1081.07</v>
      </c>
      <c r="I74" s="5">
        <f t="shared" si="26"/>
        <v>1254.0411999999999</v>
      </c>
      <c r="J74" s="5">
        <f>K74-H74</f>
        <v>5668.93</v>
      </c>
      <c r="K74" s="80">
        <v>6750</v>
      </c>
      <c r="L74" s="99">
        <f t="shared" si="27"/>
        <v>7830</v>
      </c>
      <c r="M74" s="243">
        <v>550</v>
      </c>
      <c r="N74" s="244">
        <f t="shared" si="29"/>
        <v>9.7020072571014276E-2</v>
      </c>
      <c r="O74" s="243">
        <v>170</v>
      </c>
      <c r="P74" s="244">
        <f t="shared" si="31"/>
        <v>2.9988022431040776E-2</v>
      </c>
      <c r="Q74" s="243">
        <v>85</v>
      </c>
      <c r="R74" s="244">
        <f t="shared" si="33"/>
        <v>1.4994011215520388E-2</v>
      </c>
      <c r="S74" s="247">
        <f t="shared" si="35"/>
        <v>4948.93</v>
      </c>
      <c r="T74" s="248">
        <f t="shared" si="34"/>
        <v>0.87299190499794499</v>
      </c>
      <c r="U74" s="313"/>
      <c r="V74" s="314">
        <v>9.7020072571014282</v>
      </c>
      <c r="W74" s="314">
        <v>2.9988022431040777</v>
      </c>
      <c r="X74" s="314">
        <v>1.4994011215520389</v>
      </c>
      <c r="Y74" s="314">
        <v>87.299190499794506</v>
      </c>
      <c r="AA74" s="40" t="str">
        <f t="shared" si="37"/>
        <v>update catalogo_servicios set costo_servicio = 1254.0412, costo = 6750, honorarios = 5668.93, utilidad = 4948.93, porcentaje_utilidad = 87.2991904997945, comision_venta_monto=550, porcentaje_venta=9.70200725710143, comision_operativa_monto=170, porcentaje_operativa=2.99880224310408, comision_gestion_monto=85, porcentaje_gestion=1.49940112155204 where id = 34;</v>
      </c>
    </row>
    <row r="75" spans="1:27" ht="15" thickBot="1" x14ac:dyDescent="0.25">
      <c r="A75" s="28" t="s">
        <v>30</v>
      </c>
      <c r="B75" s="280" t="s">
        <v>361</v>
      </c>
      <c r="C75" s="279" t="s">
        <v>362</v>
      </c>
      <c r="D75" s="299">
        <f>IFERROR(VLOOKUP(C75,catalogo_servicios!$B$1:$C$106,2,0),"")</f>
        <v>33</v>
      </c>
      <c r="E75" s="299" t="str">
        <f>IFERROR(VLOOKUP(C75,catalogo_servicios!$B$1:$B$106,1,0),"")</f>
        <v>DIPYMEF</v>
      </c>
      <c r="F75" s="299" t="str">
        <f t="shared" si="36"/>
        <v>Ya</v>
      </c>
      <c r="G75" s="96" t="s">
        <v>109</v>
      </c>
      <c r="H75" s="5">
        <v>1081.07</v>
      </c>
      <c r="I75" s="5">
        <f t="shared" si="26"/>
        <v>1254.0411999999999</v>
      </c>
      <c r="J75" s="5">
        <f>K75-H75</f>
        <v>7168.93</v>
      </c>
      <c r="K75" s="80">
        <v>8250</v>
      </c>
      <c r="L75" s="99">
        <f t="shared" si="27"/>
        <v>9570</v>
      </c>
      <c r="M75" s="243">
        <v>700</v>
      </c>
      <c r="N75" s="244">
        <f t="shared" si="29"/>
        <v>9.7643581399176727E-2</v>
      </c>
      <c r="O75" s="243">
        <v>215</v>
      </c>
      <c r="P75" s="244">
        <f t="shared" si="31"/>
        <v>2.9990528572604279E-2</v>
      </c>
      <c r="Q75" s="243">
        <v>105</v>
      </c>
      <c r="R75" s="244">
        <f t="shared" si="33"/>
        <v>1.4646537209876508E-2</v>
      </c>
      <c r="S75" s="247">
        <f t="shared" si="35"/>
        <v>6253.93</v>
      </c>
      <c r="T75" s="248">
        <f t="shared" si="34"/>
        <v>0.87236589002821896</v>
      </c>
      <c r="U75" s="313"/>
      <c r="V75" s="314">
        <v>9.7643581399176718</v>
      </c>
      <c r="W75" s="314">
        <v>2.9990528572604278</v>
      </c>
      <c r="X75" s="314">
        <v>1.4646537209876509</v>
      </c>
      <c r="Y75" s="314">
        <v>87.236589002821901</v>
      </c>
      <c r="AA75" s="40" t="str">
        <f t="shared" si="37"/>
        <v>update catalogo_servicios set costo_servicio = 1254.0412, costo = 8250, honorarios = 7168.93, utilidad = 6253.93, porcentaje_utilidad = 87.2365890028219, comision_venta_monto=700, porcentaje_venta=9.76435813991767, comision_operativa_monto=215, porcentaje_operativa=2.99905285726043, comision_gestion_monto=105, porcentaje_gestion=1.46465372098765 where id = 33;</v>
      </c>
    </row>
    <row r="76" spans="1:27" ht="15" thickBot="1" x14ac:dyDescent="0.25">
      <c r="A76" s="28" t="s">
        <v>33</v>
      </c>
      <c r="B76" s="280" t="s">
        <v>365</v>
      </c>
      <c r="C76" s="279" t="s">
        <v>366</v>
      </c>
      <c r="D76" s="299">
        <f>IFERROR(VLOOKUP(C76,catalogo_servicios!$B$1:$C$106,2,0),"")</f>
        <v>27</v>
      </c>
      <c r="E76" s="299" t="str">
        <f>IFERROR(VLOOKUP(C76,catalogo_servicios!$B$1:$B$106,1,0),"")</f>
        <v>TDIMICROF</v>
      </c>
      <c r="F76" s="299" t="str">
        <f t="shared" si="36"/>
        <v>Ya</v>
      </c>
      <c r="G76" s="4" t="s">
        <v>21</v>
      </c>
      <c r="H76" s="5">
        <v>330.9</v>
      </c>
      <c r="I76" s="5">
        <f t="shared" si="26"/>
        <v>383.84399999999999</v>
      </c>
      <c r="J76" s="5">
        <f>K76-H76</f>
        <v>1869.1</v>
      </c>
      <c r="K76" s="80">
        <v>2200</v>
      </c>
      <c r="L76" s="99">
        <f t="shared" si="27"/>
        <v>2552</v>
      </c>
      <c r="M76" s="243">
        <v>190</v>
      </c>
      <c r="N76" s="244">
        <f t="shared" si="29"/>
        <v>0.1016532020758654</v>
      </c>
      <c r="O76" s="243">
        <v>60</v>
      </c>
      <c r="P76" s="244">
        <f t="shared" si="31"/>
        <v>3.2101011181852226E-2</v>
      </c>
      <c r="Q76" s="243">
        <v>25</v>
      </c>
      <c r="R76" s="244">
        <f t="shared" si="33"/>
        <v>1.3375421325771762E-2</v>
      </c>
      <c r="S76" s="247">
        <f t="shared" si="35"/>
        <v>1619.1</v>
      </c>
      <c r="T76" s="248">
        <f t="shared" si="34"/>
        <v>0.86624578674228236</v>
      </c>
      <c r="U76" s="313"/>
      <c r="V76" s="314">
        <v>10.165320207586539</v>
      </c>
      <c r="W76" s="314">
        <v>3.2101011181852228</v>
      </c>
      <c r="X76" s="314">
        <v>1.3375421325771761</v>
      </c>
      <c r="Y76" s="314">
        <v>86.624578674228232</v>
      </c>
      <c r="AA76" s="40" t="str">
        <f t="shared" si="37"/>
        <v>update catalogo_servicios set costo_servicio = 383.844, costo = 2200, honorarios = 1869.1, utilidad = 1619.1, porcentaje_utilidad = 86.6245786742282, comision_venta_monto=190, porcentaje_venta=10.1653202075865, comision_operativa_monto=60, porcentaje_operativa=3.21010111818522, comision_gestion_monto=25, porcentaje_gestion=1.33754213257718 where id = 27;</v>
      </c>
    </row>
    <row r="77" spans="1:27" ht="14" x14ac:dyDescent="0.2">
      <c r="A77" s="28" t="s">
        <v>92</v>
      </c>
      <c r="B77" s="260"/>
      <c r="C77" s="260"/>
      <c r="D77" s="299" t="str">
        <f>IFERROR(VLOOKUP(C77,catalogo_servicios!$B$1:$C$106,2,0),"")</f>
        <v/>
      </c>
      <c r="E77" s="299" t="str">
        <f>IFERROR(VLOOKUP(C77,catalogo_servicios!$B$1:$B$106,1,0),"")</f>
        <v/>
      </c>
      <c r="F77" s="299" t="str">
        <f t="shared" si="36"/>
        <v/>
      </c>
      <c r="G77" s="4" t="s">
        <v>88</v>
      </c>
      <c r="H77" s="5">
        <v>553.6</v>
      </c>
      <c r="I77" s="5">
        <f t="shared" si="26"/>
        <v>642.17600000000004</v>
      </c>
      <c r="J77" s="80">
        <v>553.6</v>
      </c>
      <c r="K77" s="13">
        <f>H77+J77</f>
        <v>1107.2</v>
      </c>
      <c r="L77" s="99">
        <f t="shared" si="27"/>
        <v>1284.3520000000001</v>
      </c>
      <c r="M77" s="138">
        <f t="shared" si="28"/>
        <v>33.216000000000001</v>
      </c>
      <c r="N77" s="139">
        <f t="shared" si="29"/>
        <v>0.06</v>
      </c>
      <c r="O77" s="127">
        <f t="shared" si="30"/>
        <v>110.72000000000001</v>
      </c>
      <c r="P77" s="134">
        <f t="shared" si="31"/>
        <v>0.2</v>
      </c>
      <c r="Q77" s="127">
        <f t="shared" si="32"/>
        <v>2.7680000000000002</v>
      </c>
      <c r="R77" s="134">
        <f t="shared" si="33"/>
        <v>5.0000000000000001E-3</v>
      </c>
      <c r="S77" s="132">
        <f t="shared" si="35"/>
        <v>409.66399999999999</v>
      </c>
      <c r="T77" s="128">
        <f t="shared" si="34"/>
        <v>0.74</v>
      </c>
      <c r="U77" s="312"/>
      <c r="V77" s="314">
        <v>6</v>
      </c>
      <c r="W77" s="314">
        <v>20</v>
      </c>
      <c r="X77" s="314">
        <v>0.5</v>
      </c>
      <c r="Y77" s="314">
        <v>74</v>
      </c>
      <c r="AA77" s="40" t="str">
        <f t="shared" si="37"/>
        <v/>
      </c>
    </row>
    <row r="78" spans="1:27" ht="15" thickBot="1" x14ac:dyDescent="0.25">
      <c r="A78" s="28" t="s">
        <v>93</v>
      </c>
      <c r="B78" s="260"/>
      <c r="C78" s="260"/>
      <c r="D78" s="299" t="str">
        <f>IFERROR(VLOOKUP(C78,catalogo_servicios!$B$1:$C$106,2,0),"")</f>
        <v/>
      </c>
      <c r="E78" s="299" t="str">
        <f>IFERROR(VLOOKUP(C78,catalogo_servicios!$B$1:$B$106,1,0),"")</f>
        <v/>
      </c>
      <c r="F78" s="299" t="str">
        <f t="shared" si="36"/>
        <v/>
      </c>
      <c r="G78" s="4" t="s">
        <v>89</v>
      </c>
      <c r="H78" s="5">
        <v>592.67999999999995</v>
      </c>
      <c r="I78" s="5">
        <f t="shared" si="26"/>
        <v>687.50879999999995</v>
      </c>
      <c r="J78" s="80">
        <v>592.67999999999995</v>
      </c>
      <c r="K78" s="13">
        <f>H78+J78</f>
        <v>1185.3599999999999</v>
      </c>
      <c r="L78" s="99">
        <f t="shared" si="27"/>
        <v>1375.0175999999999</v>
      </c>
      <c r="M78" s="138">
        <f t="shared" si="28"/>
        <v>35.560799999999993</v>
      </c>
      <c r="N78" s="139">
        <f t="shared" si="29"/>
        <v>5.9999999999999991E-2</v>
      </c>
      <c r="O78" s="127">
        <f t="shared" si="30"/>
        <v>118.536</v>
      </c>
      <c r="P78" s="134">
        <f t="shared" si="31"/>
        <v>0.2</v>
      </c>
      <c r="Q78" s="127">
        <f t="shared" si="32"/>
        <v>2.9633999999999996</v>
      </c>
      <c r="R78" s="134">
        <f t="shared" si="33"/>
        <v>5.0000000000000001E-3</v>
      </c>
      <c r="S78" s="132">
        <f t="shared" si="35"/>
        <v>438.58319999999998</v>
      </c>
      <c r="T78" s="128">
        <f t="shared" si="34"/>
        <v>0.74</v>
      </c>
      <c r="U78" s="312"/>
      <c r="V78" s="314">
        <v>5.9999999999999991</v>
      </c>
      <c r="W78" s="314">
        <v>20</v>
      </c>
      <c r="X78" s="314">
        <v>0.5</v>
      </c>
      <c r="Y78" s="314">
        <v>74</v>
      </c>
      <c r="AA78" s="40" t="str">
        <f t="shared" si="37"/>
        <v/>
      </c>
    </row>
    <row r="79" spans="1:27" ht="15" thickBot="1" x14ac:dyDescent="0.25">
      <c r="A79" s="28"/>
      <c r="B79" s="280" t="s">
        <v>363</v>
      </c>
      <c r="C79" s="279" t="s">
        <v>364</v>
      </c>
      <c r="D79" s="299">
        <f>IFERROR(VLOOKUP(C79,catalogo_servicios!$B$1:$C$106,2,0),"")</f>
        <v>106</v>
      </c>
      <c r="E79" s="299" t="str">
        <f>IFERROR(VLOOKUP(C79,catalogo_servicios!$B$1:$B$106,1,0),"")</f>
        <v>ANUDI</v>
      </c>
      <c r="F79" s="299" t="str">
        <f t="shared" si="36"/>
        <v>Ya</v>
      </c>
      <c r="G79" s="4"/>
      <c r="H79" s="5"/>
      <c r="I79" s="5"/>
      <c r="J79" s="80"/>
      <c r="K79" s="13"/>
      <c r="L79" s="99"/>
      <c r="M79" s="138">
        <v>0</v>
      </c>
      <c r="N79" s="139"/>
      <c r="O79" s="127">
        <v>20</v>
      </c>
      <c r="P79" s="134"/>
      <c r="Q79" s="127">
        <v>15</v>
      </c>
      <c r="R79" s="134"/>
      <c r="S79" s="132"/>
      <c r="T79" s="128"/>
      <c r="U79" s="312"/>
      <c r="V79" s="314">
        <v>0</v>
      </c>
      <c r="W79" s="314">
        <v>0</v>
      </c>
      <c r="X79" s="314">
        <v>0</v>
      </c>
      <c r="Y79" s="314">
        <v>0</v>
      </c>
    </row>
    <row r="80" spans="1:27" ht="14" x14ac:dyDescent="0.2">
      <c r="A80" s="28">
        <v>13</v>
      </c>
      <c r="B80" s="260"/>
      <c r="C80" s="260"/>
      <c r="D80" s="299" t="str">
        <f>IFERROR(VLOOKUP(C80,catalogo_servicios!$B$1:$C$106,2,0),"")</f>
        <v/>
      </c>
      <c r="E80" s="299" t="str">
        <f>IFERROR(VLOOKUP(C80,catalogo_servicios!$B$1:$B$106,1,0),"")</f>
        <v/>
      </c>
      <c r="F80" s="299" t="str">
        <f t="shared" si="36"/>
        <v/>
      </c>
      <c r="G80" s="4" t="s">
        <v>133</v>
      </c>
      <c r="H80" s="5">
        <v>319.18</v>
      </c>
      <c r="I80" s="5">
        <f t="shared" si="26"/>
        <v>370.24880000000002</v>
      </c>
      <c r="J80" s="5">
        <f>K80-H80</f>
        <v>580.81999999999994</v>
      </c>
      <c r="K80" s="80">
        <v>900</v>
      </c>
      <c r="L80" s="99">
        <f t="shared" si="27"/>
        <v>1044</v>
      </c>
      <c r="M80" s="138">
        <f t="shared" si="28"/>
        <v>34.849199999999996</v>
      </c>
      <c r="N80" s="139">
        <f t="shared" si="29"/>
        <v>0.06</v>
      </c>
      <c r="O80" s="127">
        <f t="shared" si="30"/>
        <v>116.16399999999999</v>
      </c>
      <c r="P80" s="134">
        <f t="shared" si="31"/>
        <v>0.2</v>
      </c>
      <c r="Q80" s="127">
        <f t="shared" si="32"/>
        <v>2.9040999999999997</v>
      </c>
      <c r="R80" s="134">
        <f t="shared" si="33"/>
        <v>5.0000000000000001E-3</v>
      </c>
      <c r="S80" s="132">
        <f t="shared" si="35"/>
        <v>429.80679999999995</v>
      </c>
      <c r="T80" s="128">
        <f t="shared" si="34"/>
        <v>0.74</v>
      </c>
      <c r="U80" s="312"/>
      <c r="V80" s="314">
        <v>6</v>
      </c>
      <c r="W80" s="314">
        <v>20</v>
      </c>
      <c r="X80" s="314">
        <v>0.5</v>
      </c>
      <c r="Y80" s="314">
        <v>74</v>
      </c>
      <c r="AA80" s="40" t="str">
        <f t="shared" si="37"/>
        <v/>
      </c>
    </row>
    <row r="81" spans="1:27" ht="29" thickBot="1" x14ac:dyDescent="0.25">
      <c r="A81" s="31">
        <v>13</v>
      </c>
      <c r="B81" s="262"/>
      <c r="C81" s="262"/>
      <c r="D81" s="299" t="str">
        <f>IFERROR(VLOOKUP(C81,catalogo_servicios!$B$1:$C$106,2,0),"")</f>
        <v/>
      </c>
      <c r="E81" s="299" t="str">
        <f>IFERROR(VLOOKUP(C81,catalogo_servicios!$B$1:$B$106,1,0),"")</f>
        <v/>
      </c>
      <c r="F81" s="299" t="str">
        <f t="shared" si="36"/>
        <v/>
      </c>
      <c r="G81" s="17" t="s">
        <v>152</v>
      </c>
      <c r="H81" s="10">
        <v>319.18</v>
      </c>
      <c r="I81" s="10">
        <f t="shared" si="26"/>
        <v>370.24880000000002</v>
      </c>
      <c r="J81" s="10">
        <f>K81-H81</f>
        <v>930.81999999999994</v>
      </c>
      <c r="K81" s="154">
        <v>1250</v>
      </c>
      <c r="L81" s="106">
        <f t="shared" si="27"/>
        <v>1450</v>
      </c>
      <c r="M81" s="156">
        <f t="shared" si="28"/>
        <v>55.849199999999996</v>
      </c>
      <c r="N81" s="157">
        <f t="shared" si="29"/>
        <v>0.06</v>
      </c>
      <c r="O81" s="153">
        <f t="shared" si="30"/>
        <v>186.16399999999999</v>
      </c>
      <c r="P81" s="158">
        <f t="shared" si="31"/>
        <v>0.2</v>
      </c>
      <c r="Q81" s="153">
        <f t="shared" si="32"/>
        <v>4.6540999999999997</v>
      </c>
      <c r="R81" s="158">
        <f t="shared" si="33"/>
        <v>5.0000000000000001E-3</v>
      </c>
      <c r="S81" s="159">
        <f t="shared" si="35"/>
        <v>688.80679999999995</v>
      </c>
      <c r="T81" s="160">
        <f t="shared" si="34"/>
        <v>0.74</v>
      </c>
      <c r="U81" s="312"/>
      <c r="V81" s="314">
        <v>6</v>
      </c>
      <c r="W81" s="314">
        <v>20</v>
      </c>
      <c r="X81" s="314">
        <v>0.5</v>
      </c>
      <c r="Y81" s="314">
        <v>74</v>
      </c>
      <c r="AA81" s="40" t="str">
        <f t="shared" si="37"/>
        <v/>
      </c>
    </row>
    <row r="82" spans="1:27" ht="13.5" customHeight="1" thickBot="1" x14ac:dyDescent="0.25">
      <c r="A82" s="304" t="s">
        <v>82</v>
      </c>
      <c r="B82" s="305"/>
      <c r="C82" s="305"/>
      <c r="D82" s="299" t="str">
        <f>IFERROR(VLOOKUP(C82,catalogo_servicios!$B$1:$C$106,2,0),"")</f>
        <v/>
      </c>
      <c r="E82" s="299" t="str">
        <f>IFERROR(VLOOKUP(C82,catalogo_servicios!$B$1:$B$106,1,0),"")</f>
        <v/>
      </c>
      <c r="F82" s="299" t="str">
        <f t="shared" si="36"/>
        <v/>
      </c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6"/>
      <c r="U82" s="307"/>
      <c r="V82" s="314">
        <v>0</v>
      </c>
      <c r="W82" s="314">
        <v>0</v>
      </c>
      <c r="X82" s="314">
        <v>0</v>
      </c>
      <c r="Y82" s="314">
        <v>0</v>
      </c>
      <c r="AA82" s="40" t="str">
        <f t="shared" si="37"/>
        <v/>
      </c>
    </row>
    <row r="83" spans="1:27" ht="14" x14ac:dyDescent="0.2">
      <c r="A83" s="25">
        <v>21</v>
      </c>
      <c r="B83" s="264"/>
      <c r="C83" s="264"/>
      <c r="D83" s="299" t="str">
        <f>IFERROR(VLOOKUP(C83,catalogo_servicios!$B$1:$C$106,2,0),"")</f>
        <v/>
      </c>
      <c r="E83" s="299" t="str">
        <f>IFERROR(VLOOKUP(C83,catalogo_servicios!$B$1:$B$106,1,0),"")</f>
        <v/>
      </c>
      <c r="F83" s="299" t="str">
        <f t="shared" si="36"/>
        <v/>
      </c>
      <c r="G83" s="171" t="s">
        <v>12</v>
      </c>
      <c r="H83" s="22">
        <v>823.72</v>
      </c>
      <c r="I83" s="36">
        <f t="shared" ref="I83:I100" si="38">(H83*0.16)+H83</f>
        <v>955.51520000000005</v>
      </c>
      <c r="J83" s="22">
        <f>K83-H83</f>
        <v>1126.28</v>
      </c>
      <c r="K83" s="77">
        <v>1950</v>
      </c>
      <c r="L83" s="21">
        <f t="shared" ref="L83:L100" si="39">(K83*0.16)+K83</f>
        <v>2262</v>
      </c>
      <c r="M83" s="161">
        <f t="shared" ref="M83:M100" si="40">(J83*0.06)</f>
        <v>67.576799999999992</v>
      </c>
      <c r="N83" s="162">
        <f t="shared" ref="N83:N100" si="41">M83/J83</f>
        <v>5.9999999999999991E-2</v>
      </c>
      <c r="O83" s="163">
        <f t="shared" ref="O83:O100" si="42">(J83*0.2)</f>
        <v>225.256</v>
      </c>
      <c r="P83" s="164">
        <f t="shared" ref="P83:P100" si="43">O83/J83</f>
        <v>0.2</v>
      </c>
      <c r="Q83" s="163">
        <f t="shared" ref="Q83:Q100" si="44">(J83*0.005)</f>
        <v>5.6314000000000002</v>
      </c>
      <c r="R83" s="164">
        <f t="shared" ref="R83:R100" si="45">Q83/J83</f>
        <v>5.0000000000000001E-3</v>
      </c>
      <c r="S83" s="165">
        <f t="shared" ref="S83:S100" si="46">(J83-M83-O83)</f>
        <v>833.44719999999995</v>
      </c>
      <c r="T83" s="166">
        <f t="shared" ref="T83:T100" si="47">S83/J83</f>
        <v>0.74</v>
      </c>
      <c r="U83" s="312"/>
      <c r="V83" s="314">
        <v>5.9999999999999991</v>
      </c>
      <c r="W83" s="314">
        <v>20</v>
      </c>
      <c r="X83" s="314">
        <v>0.5</v>
      </c>
      <c r="Y83" s="314">
        <v>74</v>
      </c>
      <c r="AA83" s="40" t="str">
        <f t="shared" si="37"/>
        <v/>
      </c>
    </row>
    <row r="84" spans="1:27" ht="28" x14ac:dyDescent="0.2">
      <c r="A84" s="30" t="s">
        <v>13</v>
      </c>
      <c r="B84" s="35"/>
      <c r="C84" s="35"/>
      <c r="D84" s="299" t="str">
        <f>IFERROR(VLOOKUP(C84,catalogo_servicios!$B$1:$C$106,2,0),"")</f>
        <v/>
      </c>
      <c r="E84" s="299" t="str">
        <f>IFERROR(VLOOKUP(C84,catalogo_servicios!$B$1:$B$106,1,0),"")</f>
        <v/>
      </c>
      <c r="F84" s="299" t="str">
        <f t="shared" si="36"/>
        <v/>
      </c>
      <c r="G84" s="266" t="s">
        <v>149</v>
      </c>
      <c r="H84" s="36">
        <v>7553.97</v>
      </c>
      <c r="I84" s="5">
        <f t="shared" si="38"/>
        <v>8762.6052</v>
      </c>
      <c r="J84" s="85">
        <v>45000</v>
      </c>
      <c r="K84" s="12">
        <f>H84+J84</f>
        <v>52553.97</v>
      </c>
      <c r="L84" s="21">
        <f t="shared" si="39"/>
        <v>60962.605200000005</v>
      </c>
      <c r="M84" s="243">
        <f t="shared" si="40"/>
        <v>2700</v>
      </c>
      <c r="N84" s="244">
        <f t="shared" si="41"/>
        <v>0.06</v>
      </c>
      <c r="O84" s="243">
        <f t="shared" si="42"/>
        <v>9000</v>
      </c>
      <c r="P84" s="244">
        <f t="shared" si="43"/>
        <v>0.2</v>
      </c>
      <c r="Q84" s="243">
        <f t="shared" si="44"/>
        <v>225</v>
      </c>
      <c r="R84" s="244">
        <f t="shared" si="45"/>
        <v>5.0000000000000001E-3</v>
      </c>
      <c r="S84" s="247">
        <f t="shared" si="46"/>
        <v>33300</v>
      </c>
      <c r="T84" s="248">
        <f t="shared" si="47"/>
        <v>0.74</v>
      </c>
      <c r="U84" s="313"/>
      <c r="V84" s="314">
        <v>6</v>
      </c>
      <c r="W84" s="314">
        <v>20</v>
      </c>
      <c r="X84" s="314">
        <v>0.5</v>
      </c>
      <c r="Y84" s="314">
        <v>74</v>
      </c>
      <c r="AA84" s="40" t="str">
        <f t="shared" si="37"/>
        <v/>
      </c>
    </row>
    <row r="85" spans="1:27" ht="28" x14ac:dyDescent="0.2">
      <c r="A85" s="30" t="s">
        <v>13</v>
      </c>
      <c r="B85" s="35"/>
      <c r="C85" s="35"/>
      <c r="D85" s="299" t="str">
        <f>IFERROR(VLOOKUP(C85,catalogo_servicios!$B$1:$C$106,2,0),"")</f>
        <v/>
      </c>
      <c r="E85" s="299" t="str">
        <f>IFERROR(VLOOKUP(C85,catalogo_servicios!$B$1:$B$106,1,0),"")</f>
        <v/>
      </c>
      <c r="F85" s="299" t="str">
        <f t="shared" si="36"/>
        <v/>
      </c>
      <c r="G85" s="266" t="s">
        <v>150</v>
      </c>
      <c r="H85" s="36">
        <v>7553.97</v>
      </c>
      <c r="I85" s="5">
        <f t="shared" si="38"/>
        <v>8762.6052</v>
      </c>
      <c r="J85" s="85">
        <v>55000</v>
      </c>
      <c r="K85" s="12">
        <f>H85+J85</f>
        <v>62553.97</v>
      </c>
      <c r="L85" s="21">
        <f t="shared" si="39"/>
        <v>72562.605200000005</v>
      </c>
      <c r="M85" s="243">
        <f t="shared" si="40"/>
        <v>3300</v>
      </c>
      <c r="N85" s="244">
        <f t="shared" si="41"/>
        <v>0.06</v>
      </c>
      <c r="O85" s="243">
        <f t="shared" si="42"/>
        <v>11000</v>
      </c>
      <c r="P85" s="244">
        <f t="shared" si="43"/>
        <v>0.2</v>
      </c>
      <c r="Q85" s="243">
        <f t="shared" si="44"/>
        <v>275</v>
      </c>
      <c r="R85" s="244">
        <f t="shared" si="45"/>
        <v>5.0000000000000001E-3</v>
      </c>
      <c r="S85" s="247">
        <f t="shared" si="46"/>
        <v>40700</v>
      </c>
      <c r="T85" s="248">
        <f t="shared" si="47"/>
        <v>0.74</v>
      </c>
      <c r="U85" s="313"/>
      <c r="V85" s="314">
        <v>6</v>
      </c>
      <c r="W85" s="314">
        <v>20</v>
      </c>
      <c r="X85" s="314">
        <v>0.5</v>
      </c>
      <c r="Y85" s="314">
        <v>74</v>
      </c>
      <c r="AA85" s="40" t="str">
        <f t="shared" si="37"/>
        <v/>
      </c>
    </row>
    <row r="86" spans="1:27" ht="28" x14ac:dyDescent="0.2">
      <c r="A86" s="30" t="s">
        <v>13</v>
      </c>
      <c r="B86" s="35"/>
      <c r="C86" s="35"/>
      <c r="D86" s="299" t="str">
        <f>IFERROR(VLOOKUP(C86,catalogo_servicios!$B$1:$C$106,2,0),"")</f>
        <v/>
      </c>
      <c r="E86" s="299" t="str">
        <f>IFERROR(VLOOKUP(C86,catalogo_servicios!$B$1:$B$106,1,0),"")</f>
        <v/>
      </c>
      <c r="F86" s="299" t="str">
        <f t="shared" si="36"/>
        <v/>
      </c>
      <c r="G86" s="266" t="s">
        <v>151</v>
      </c>
      <c r="H86" s="36">
        <v>7553.97</v>
      </c>
      <c r="I86" s="5">
        <f t="shared" si="38"/>
        <v>8762.6052</v>
      </c>
      <c r="J86" s="85">
        <v>65000</v>
      </c>
      <c r="K86" s="12">
        <f>H86+J86</f>
        <v>72553.97</v>
      </c>
      <c r="L86" s="21">
        <f t="shared" si="39"/>
        <v>84162.605200000005</v>
      </c>
      <c r="M86" s="243">
        <f t="shared" si="40"/>
        <v>3900</v>
      </c>
      <c r="N86" s="244">
        <f t="shared" si="41"/>
        <v>0.06</v>
      </c>
      <c r="O86" s="243">
        <f t="shared" si="42"/>
        <v>13000</v>
      </c>
      <c r="P86" s="244">
        <f t="shared" si="43"/>
        <v>0.2</v>
      </c>
      <c r="Q86" s="243">
        <f t="shared" si="44"/>
        <v>325</v>
      </c>
      <c r="R86" s="244">
        <f t="shared" si="45"/>
        <v>5.0000000000000001E-3</v>
      </c>
      <c r="S86" s="247">
        <f t="shared" si="46"/>
        <v>48100</v>
      </c>
      <c r="T86" s="248">
        <f t="shared" si="47"/>
        <v>0.74</v>
      </c>
      <c r="U86" s="313"/>
      <c r="V86" s="314">
        <v>6</v>
      </c>
      <c r="W86" s="314">
        <v>20</v>
      </c>
      <c r="X86" s="314">
        <v>0.5</v>
      </c>
      <c r="Y86" s="314">
        <v>74</v>
      </c>
      <c r="AA86" s="40" t="str">
        <f t="shared" si="37"/>
        <v/>
      </c>
    </row>
    <row r="87" spans="1:27" ht="14" x14ac:dyDescent="0.2">
      <c r="A87" s="28" t="s">
        <v>14</v>
      </c>
      <c r="B87" s="260"/>
      <c r="C87" s="260"/>
      <c r="D87" s="299" t="str">
        <f>IFERROR(VLOOKUP(C87,catalogo_servicios!$B$1:$C$106,2,0),"")</f>
        <v/>
      </c>
      <c r="E87" s="299" t="str">
        <f>IFERROR(VLOOKUP(C87,catalogo_servicios!$B$1:$B$106,1,0),"")</f>
        <v/>
      </c>
      <c r="F87" s="299" t="str">
        <f t="shared" si="36"/>
        <v/>
      </c>
      <c r="G87" s="4" t="s">
        <v>15</v>
      </c>
      <c r="H87" s="5">
        <v>6147.4</v>
      </c>
      <c r="I87" s="5">
        <f t="shared" si="38"/>
        <v>7130.9839999999995</v>
      </c>
      <c r="J87" s="5"/>
      <c r="K87" s="12"/>
      <c r="L87" s="21">
        <f t="shared" si="39"/>
        <v>0</v>
      </c>
      <c r="M87" s="138">
        <f t="shared" si="40"/>
        <v>0</v>
      </c>
      <c r="N87" s="139" t="e">
        <f t="shared" si="41"/>
        <v>#DIV/0!</v>
      </c>
      <c r="O87" s="127">
        <f t="shared" si="42"/>
        <v>0</v>
      </c>
      <c r="P87" s="134" t="e">
        <f t="shared" si="43"/>
        <v>#DIV/0!</v>
      </c>
      <c r="Q87" s="127">
        <f t="shared" si="44"/>
        <v>0</v>
      </c>
      <c r="R87" s="134" t="e">
        <f t="shared" si="45"/>
        <v>#DIV/0!</v>
      </c>
      <c r="S87" s="132">
        <f t="shared" si="46"/>
        <v>0</v>
      </c>
      <c r="T87" s="128" t="e">
        <f t="shared" si="47"/>
        <v>#DIV/0!</v>
      </c>
      <c r="U87" s="312"/>
      <c r="V87" s="314" t="e">
        <v>#DIV/0!</v>
      </c>
      <c r="W87" s="314" t="e">
        <v>#DIV/0!</v>
      </c>
      <c r="X87" s="314" t="e">
        <v>#DIV/0!</v>
      </c>
      <c r="Y87" s="314" t="e">
        <v>#DIV/0!</v>
      </c>
      <c r="AA87" s="40" t="str">
        <f t="shared" si="37"/>
        <v/>
      </c>
    </row>
    <row r="88" spans="1:27" ht="14" x14ac:dyDescent="0.2">
      <c r="A88" s="28" t="s">
        <v>16</v>
      </c>
      <c r="B88" s="260"/>
      <c r="C88" s="260"/>
      <c r="D88" s="299" t="str">
        <f>IFERROR(VLOOKUP(C88,catalogo_servicios!$B$1:$C$106,2,0),"")</f>
        <v/>
      </c>
      <c r="E88" s="299" t="str">
        <f>IFERROR(VLOOKUP(C88,catalogo_servicios!$B$1:$B$106,1,0),"")</f>
        <v/>
      </c>
      <c r="F88" s="299" t="str">
        <f t="shared" si="36"/>
        <v/>
      </c>
      <c r="G88" s="4" t="s">
        <v>17</v>
      </c>
      <c r="H88" s="5">
        <v>3803.12</v>
      </c>
      <c r="I88" s="5">
        <f t="shared" si="38"/>
        <v>4411.6192000000001</v>
      </c>
      <c r="J88" s="5"/>
      <c r="K88" s="12"/>
      <c r="L88" s="21">
        <f t="shared" si="39"/>
        <v>0</v>
      </c>
      <c r="M88" s="138">
        <f t="shared" si="40"/>
        <v>0</v>
      </c>
      <c r="N88" s="139" t="e">
        <f t="shared" si="41"/>
        <v>#DIV/0!</v>
      </c>
      <c r="O88" s="127">
        <f t="shared" si="42"/>
        <v>0</v>
      </c>
      <c r="P88" s="134" t="e">
        <f t="shared" si="43"/>
        <v>#DIV/0!</v>
      </c>
      <c r="Q88" s="127">
        <f t="shared" si="44"/>
        <v>0</v>
      </c>
      <c r="R88" s="134" t="e">
        <f t="shared" si="45"/>
        <v>#DIV/0!</v>
      </c>
      <c r="S88" s="132">
        <f t="shared" si="46"/>
        <v>0</v>
      </c>
      <c r="T88" s="128" t="e">
        <f t="shared" si="47"/>
        <v>#DIV/0!</v>
      </c>
      <c r="U88" s="312"/>
      <c r="V88" s="314" t="e">
        <v>#DIV/0!</v>
      </c>
      <c r="W88" s="314" t="e">
        <v>#DIV/0!</v>
      </c>
      <c r="X88" s="314" t="e">
        <v>#DIV/0!</v>
      </c>
      <c r="Y88" s="314" t="e">
        <v>#DIV/0!</v>
      </c>
      <c r="AA88" s="40" t="str">
        <f t="shared" si="37"/>
        <v/>
      </c>
    </row>
    <row r="89" spans="1:27" ht="14" x14ac:dyDescent="0.2">
      <c r="A89" s="28" t="s">
        <v>18</v>
      </c>
      <c r="B89" s="260"/>
      <c r="C89" s="260"/>
      <c r="D89" s="299" t="str">
        <f>IFERROR(VLOOKUP(C89,catalogo_servicios!$B$1:$C$106,2,0),"")</f>
        <v/>
      </c>
      <c r="E89" s="299" t="str">
        <f>IFERROR(VLOOKUP(C89,catalogo_servicios!$B$1:$B$106,1,0),"")</f>
        <v/>
      </c>
      <c r="F89" s="299" t="str">
        <f t="shared" si="36"/>
        <v/>
      </c>
      <c r="G89" s="4" t="s">
        <v>19</v>
      </c>
      <c r="H89" s="5">
        <v>1185.3499999999999</v>
      </c>
      <c r="I89" s="5">
        <f t="shared" si="38"/>
        <v>1375.0059999999999</v>
      </c>
      <c r="J89" s="5"/>
      <c r="K89" s="12"/>
      <c r="L89" s="21">
        <f t="shared" si="39"/>
        <v>0</v>
      </c>
      <c r="M89" s="138">
        <f t="shared" si="40"/>
        <v>0</v>
      </c>
      <c r="N89" s="139" t="e">
        <f t="shared" si="41"/>
        <v>#DIV/0!</v>
      </c>
      <c r="O89" s="127">
        <f t="shared" si="42"/>
        <v>0</v>
      </c>
      <c r="P89" s="134" t="e">
        <f t="shared" si="43"/>
        <v>#DIV/0!</v>
      </c>
      <c r="Q89" s="127">
        <f t="shared" si="44"/>
        <v>0</v>
      </c>
      <c r="R89" s="134" t="e">
        <f t="shared" si="45"/>
        <v>#DIV/0!</v>
      </c>
      <c r="S89" s="132">
        <f t="shared" si="46"/>
        <v>0</v>
      </c>
      <c r="T89" s="128" t="e">
        <f t="shared" si="47"/>
        <v>#DIV/0!</v>
      </c>
      <c r="U89" s="312"/>
      <c r="V89" s="314" t="e">
        <v>#DIV/0!</v>
      </c>
      <c r="W89" s="314" t="e">
        <v>#DIV/0!</v>
      </c>
      <c r="X89" s="314" t="e">
        <v>#DIV/0!</v>
      </c>
      <c r="Y89" s="314" t="e">
        <v>#DIV/0!</v>
      </c>
      <c r="AA89" s="40" t="str">
        <f t="shared" si="37"/>
        <v/>
      </c>
    </row>
    <row r="90" spans="1:27" ht="14" x14ac:dyDescent="0.2">
      <c r="A90" s="28" t="s">
        <v>20</v>
      </c>
      <c r="B90" s="260"/>
      <c r="C90" s="260"/>
      <c r="D90" s="299" t="str">
        <f>IFERROR(VLOOKUP(C90,catalogo_servicios!$B$1:$C$106,2,0),"")</f>
        <v/>
      </c>
      <c r="E90" s="299" t="str">
        <f>IFERROR(VLOOKUP(C90,catalogo_servicios!$B$1:$B$106,1,0),"")</f>
        <v/>
      </c>
      <c r="F90" s="299" t="str">
        <f t="shared" si="36"/>
        <v/>
      </c>
      <c r="G90" s="4" t="s">
        <v>21</v>
      </c>
      <c r="H90" s="5">
        <v>3099.84</v>
      </c>
      <c r="I90" s="5">
        <f t="shared" si="38"/>
        <v>3595.8144000000002</v>
      </c>
      <c r="J90" s="5">
        <f>K90-H90</f>
        <v>3100.16</v>
      </c>
      <c r="K90" s="12">
        <v>6200</v>
      </c>
      <c r="L90" s="21">
        <f t="shared" si="39"/>
        <v>7192</v>
      </c>
      <c r="M90" s="243">
        <v>300</v>
      </c>
      <c r="N90" s="244">
        <f t="shared" si="41"/>
        <v>9.6769199009083401E-2</v>
      </c>
      <c r="O90" s="243">
        <v>100</v>
      </c>
      <c r="P90" s="244">
        <f t="shared" si="43"/>
        <v>3.2256399669694472E-2</v>
      </c>
      <c r="Q90" s="243">
        <v>50</v>
      </c>
      <c r="R90" s="244">
        <f t="shared" si="45"/>
        <v>1.6128199834847236E-2</v>
      </c>
      <c r="S90" s="247">
        <f t="shared" si="46"/>
        <v>2700.16</v>
      </c>
      <c r="T90" s="248">
        <f t="shared" si="47"/>
        <v>0.87097440132122217</v>
      </c>
      <c r="U90" s="313"/>
      <c r="V90" s="314">
        <v>9.6769199009083398</v>
      </c>
      <c r="W90" s="314">
        <v>3.2256399669694473</v>
      </c>
      <c r="X90" s="314">
        <v>1.6128199834847237</v>
      </c>
      <c r="Y90" s="314">
        <v>87.097440132122216</v>
      </c>
      <c r="AA90" s="40" t="str">
        <f t="shared" si="37"/>
        <v/>
      </c>
    </row>
    <row r="91" spans="1:27" ht="14" x14ac:dyDescent="0.2">
      <c r="A91" s="28" t="s">
        <v>22</v>
      </c>
      <c r="B91" s="260"/>
      <c r="C91" s="260"/>
      <c r="D91" s="299" t="str">
        <f>IFERROR(VLOOKUP(C91,catalogo_servicios!$B$1:$C$106,2,0),"")</f>
        <v/>
      </c>
      <c r="E91" s="299" t="str">
        <f>IFERROR(VLOOKUP(C91,catalogo_servicios!$B$1:$B$106,1,0),"")</f>
        <v/>
      </c>
      <c r="F91" s="299" t="str">
        <f t="shared" si="36"/>
        <v/>
      </c>
      <c r="G91" s="4" t="s">
        <v>23</v>
      </c>
      <c r="H91" s="5">
        <v>818.08</v>
      </c>
      <c r="I91" s="5">
        <f t="shared" si="38"/>
        <v>948.97280000000001</v>
      </c>
      <c r="J91" s="78">
        <v>818.08</v>
      </c>
      <c r="K91" s="12">
        <f>H91+J91</f>
        <v>1636.16</v>
      </c>
      <c r="L91" s="21">
        <f t="shared" si="39"/>
        <v>1897.9456</v>
      </c>
      <c r="M91" s="138">
        <f t="shared" si="40"/>
        <v>49.084800000000001</v>
      </c>
      <c r="N91" s="139">
        <f t="shared" si="41"/>
        <v>0.06</v>
      </c>
      <c r="O91" s="127">
        <f t="shared" si="42"/>
        <v>163.61600000000001</v>
      </c>
      <c r="P91" s="134">
        <f t="shared" si="43"/>
        <v>0.2</v>
      </c>
      <c r="Q91" s="127">
        <f t="shared" si="44"/>
        <v>4.0904000000000007</v>
      </c>
      <c r="R91" s="134">
        <f t="shared" si="45"/>
        <v>5.000000000000001E-3</v>
      </c>
      <c r="S91" s="132">
        <f t="shared" si="46"/>
        <v>605.37920000000008</v>
      </c>
      <c r="T91" s="128">
        <f t="shared" si="47"/>
        <v>0.7400000000000001</v>
      </c>
      <c r="U91" s="312"/>
      <c r="V91" s="314">
        <v>6</v>
      </c>
      <c r="W91" s="314">
        <v>20</v>
      </c>
      <c r="X91" s="314">
        <v>0.50000000000000011</v>
      </c>
      <c r="Y91" s="314">
        <v>74.000000000000014</v>
      </c>
      <c r="AA91" s="40" t="str">
        <f t="shared" si="37"/>
        <v/>
      </c>
    </row>
    <row r="92" spans="1:27" ht="14" x14ac:dyDescent="0.2">
      <c r="A92" s="28" t="s">
        <v>24</v>
      </c>
      <c r="B92" s="260"/>
      <c r="C92" s="260"/>
      <c r="D92" s="299" t="str">
        <f>IFERROR(VLOOKUP(C92,catalogo_servicios!$B$1:$C$106,2,0),"")</f>
        <v/>
      </c>
      <c r="E92" s="299" t="str">
        <f>IFERROR(VLOOKUP(C92,catalogo_servicios!$B$1:$B$106,1,0),"")</f>
        <v/>
      </c>
      <c r="F92" s="299" t="str">
        <f t="shared" si="36"/>
        <v/>
      </c>
      <c r="G92" s="4" t="s">
        <v>25</v>
      </c>
      <c r="H92" s="5">
        <v>1161.9000000000001</v>
      </c>
      <c r="I92" s="5">
        <f t="shared" si="38"/>
        <v>1347.8040000000001</v>
      </c>
      <c r="J92" s="78">
        <v>1161.9000000000001</v>
      </c>
      <c r="K92" s="12">
        <f>H92+J92</f>
        <v>2323.8000000000002</v>
      </c>
      <c r="L92" s="21">
        <f t="shared" si="39"/>
        <v>2695.6080000000002</v>
      </c>
      <c r="M92" s="138">
        <f t="shared" si="40"/>
        <v>69.713999999999999</v>
      </c>
      <c r="N92" s="139">
        <f t="shared" si="41"/>
        <v>5.9999999999999991E-2</v>
      </c>
      <c r="O92" s="127">
        <f t="shared" si="42"/>
        <v>232.38000000000002</v>
      </c>
      <c r="P92" s="134">
        <f t="shared" si="43"/>
        <v>0.2</v>
      </c>
      <c r="Q92" s="127">
        <f t="shared" si="44"/>
        <v>5.8095000000000008</v>
      </c>
      <c r="R92" s="134">
        <f t="shared" si="45"/>
        <v>5.0000000000000001E-3</v>
      </c>
      <c r="S92" s="132">
        <f t="shared" si="46"/>
        <v>859.80600000000015</v>
      </c>
      <c r="T92" s="128">
        <f t="shared" si="47"/>
        <v>0.7400000000000001</v>
      </c>
      <c r="U92" s="312"/>
      <c r="V92" s="314">
        <v>5.9999999999999991</v>
      </c>
      <c r="W92" s="314">
        <v>20</v>
      </c>
      <c r="X92" s="314">
        <v>0.5</v>
      </c>
      <c r="Y92" s="314">
        <v>74.000000000000014</v>
      </c>
      <c r="AA92" s="40" t="str">
        <f t="shared" si="37"/>
        <v/>
      </c>
    </row>
    <row r="93" spans="1:27" ht="14" x14ac:dyDescent="0.2">
      <c r="A93" s="28" t="s">
        <v>26</v>
      </c>
      <c r="B93" s="260"/>
      <c r="C93" s="260"/>
      <c r="D93" s="299" t="str">
        <f>IFERROR(VLOOKUP(C93,catalogo_servicios!$B$1:$C$106,2,0),"")</f>
        <v/>
      </c>
      <c r="E93" s="299" t="str">
        <f>IFERROR(VLOOKUP(C93,catalogo_servicios!$B$1:$B$106,1,0),"")</f>
        <v/>
      </c>
      <c r="F93" s="299" t="str">
        <f t="shared" si="36"/>
        <v/>
      </c>
      <c r="G93" s="4" t="s">
        <v>27</v>
      </c>
      <c r="H93" s="5">
        <v>1360.69</v>
      </c>
      <c r="I93" s="5">
        <f t="shared" si="38"/>
        <v>1578.4004</v>
      </c>
      <c r="J93" s="78">
        <v>1360.69</v>
      </c>
      <c r="K93" s="12">
        <f>H93+J93</f>
        <v>2721.38</v>
      </c>
      <c r="L93" s="21">
        <f t="shared" si="39"/>
        <v>3156.8008</v>
      </c>
      <c r="M93" s="138">
        <f t="shared" si="40"/>
        <v>81.641400000000004</v>
      </c>
      <c r="N93" s="139">
        <f t="shared" si="41"/>
        <v>0.06</v>
      </c>
      <c r="O93" s="127">
        <f t="shared" si="42"/>
        <v>272.13800000000003</v>
      </c>
      <c r="P93" s="134">
        <f t="shared" si="43"/>
        <v>0.2</v>
      </c>
      <c r="Q93" s="127">
        <f t="shared" si="44"/>
        <v>6.8034500000000007</v>
      </c>
      <c r="R93" s="134">
        <f t="shared" si="45"/>
        <v>5.0000000000000001E-3</v>
      </c>
      <c r="S93" s="132">
        <f t="shared" si="46"/>
        <v>1006.9106</v>
      </c>
      <c r="T93" s="128">
        <f t="shared" si="47"/>
        <v>0.74</v>
      </c>
      <c r="U93" s="312"/>
      <c r="V93" s="314">
        <v>6</v>
      </c>
      <c r="W93" s="314">
        <v>20</v>
      </c>
      <c r="X93" s="314">
        <v>0.5</v>
      </c>
      <c r="Y93" s="314">
        <v>74</v>
      </c>
      <c r="AA93" s="40" t="str">
        <f t="shared" si="37"/>
        <v/>
      </c>
    </row>
    <row r="94" spans="1:27" ht="14" x14ac:dyDescent="0.2">
      <c r="A94" s="31" t="s">
        <v>28</v>
      </c>
      <c r="B94" s="262"/>
      <c r="C94" s="262"/>
      <c r="D94" s="299" t="str">
        <f>IFERROR(VLOOKUP(C94,catalogo_servicios!$B$1:$C$106,2,0),"")</f>
        <v/>
      </c>
      <c r="E94" s="299" t="str">
        <f>IFERROR(VLOOKUP(C94,catalogo_servicios!$B$1:$B$106,1,0),"")</f>
        <v/>
      </c>
      <c r="F94" s="299" t="str">
        <f t="shared" si="36"/>
        <v/>
      </c>
      <c r="G94" s="17" t="s">
        <v>29</v>
      </c>
      <c r="H94" s="10">
        <v>1536.99</v>
      </c>
      <c r="I94" s="5">
        <f t="shared" si="38"/>
        <v>1782.9084</v>
      </c>
      <c r="J94" s="87">
        <v>1536.99</v>
      </c>
      <c r="K94" s="12">
        <f>H94+J94</f>
        <v>3073.98</v>
      </c>
      <c r="L94" s="21">
        <f t="shared" si="39"/>
        <v>3565.8168000000001</v>
      </c>
      <c r="M94" s="138">
        <f t="shared" si="40"/>
        <v>92.219399999999993</v>
      </c>
      <c r="N94" s="139">
        <f t="shared" si="41"/>
        <v>0.06</v>
      </c>
      <c r="O94" s="127">
        <f t="shared" si="42"/>
        <v>307.39800000000002</v>
      </c>
      <c r="P94" s="134">
        <f t="shared" si="43"/>
        <v>0.2</v>
      </c>
      <c r="Q94" s="127">
        <f t="shared" si="44"/>
        <v>7.6849500000000006</v>
      </c>
      <c r="R94" s="134">
        <f t="shared" si="45"/>
        <v>5.0000000000000001E-3</v>
      </c>
      <c r="S94" s="132">
        <f t="shared" si="46"/>
        <v>1137.3726000000001</v>
      </c>
      <c r="T94" s="128">
        <f t="shared" si="47"/>
        <v>0.7400000000000001</v>
      </c>
      <c r="U94" s="312"/>
      <c r="V94" s="314">
        <v>6</v>
      </c>
      <c r="W94" s="314">
        <v>20</v>
      </c>
      <c r="X94" s="314">
        <v>0.5</v>
      </c>
      <c r="Y94" s="314">
        <v>74.000000000000014</v>
      </c>
      <c r="AA94" s="40" t="str">
        <f t="shared" si="37"/>
        <v/>
      </c>
    </row>
    <row r="95" spans="1:27" ht="28" x14ac:dyDescent="0.2">
      <c r="A95" s="31">
        <v>3</v>
      </c>
      <c r="B95" s="262"/>
      <c r="C95" s="262"/>
      <c r="D95" s="299" t="str">
        <f>IFERROR(VLOOKUP(C95,catalogo_servicios!$B$1:$C$106,2,0),"")</f>
        <v/>
      </c>
      <c r="E95" s="299" t="str">
        <f>IFERROR(VLOOKUP(C95,catalogo_servicios!$B$1:$B$106,1,0),"")</f>
        <v/>
      </c>
      <c r="F95" s="299" t="str">
        <f t="shared" si="36"/>
        <v/>
      </c>
      <c r="G95" s="17" t="s">
        <v>98</v>
      </c>
      <c r="H95" s="10">
        <v>3021.7</v>
      </c>
      <c r="I95" s="5">
        <f t="shared" si="38"/>
        <v>3505.1719999999996</v>
      </c>
      <c r="J95" s="10"/>
      <c r="K95" s="12"/>
      <c r="L95" s="21">
        <f t="shared" si="39"/>
        <v>0</v>
      </c>
      <c r="M95" s="138">
        <f t="shared" si="40"/>
        <v>0</v>
      </c>
      <c r="N95" s="139" t="e">
        <f t="shared" si="41"/>
        <v>#DIV/0!</v>
      </c>
      <c r="O95" s="127">
        <f t="shared" si="42"/>
        <v>0</v>
      </c>
      <c r="P95" s="134" t="e">
        <f t="shared" si="43"/>
        <v>#DIV/0!</v>
      </c>
      <c r="Q95" s="127">
        <f t="shared" si="44"/>
        <v>0</v>
      </c>
      <c r="R95" s="134" t="e">
        <f t="shared" si="45"/>
        <v>#DIV/0!</v>
      </c>
      <c r="S95" s="132">
        <f t="shared" si="46"/>
        <v>0</v>
      </c>
      <c r="T95" s="128" t="e">
        <f t="shared" si="47"/>
        <v>#DIV/0!</v>
      </c>
      <c r="U95" s="312"/>
      <c r="V95" s="314" t="e">
        <v>#DIV/0!</v>
      </c>
      <c r="W95" s="314" t="e">
        <v>#DIV/0!</v>
      </c>
      <c r="X95" s="314" t="e">
        <v>#DIV/0!</v>
      </c>
      <c r="Y95" s="314" t="e">
        <v>#DIV/0!</v>
      </c>
      <c r="AA95" s="40" t="str">
        <f t="shared" si="37"/>
        <v/>
      </c>
    </row>
    <row r="96" spans="1:27" ht="28" x14ac:dyDescent="0.2">
      <c r="A96" s="31">
        <v>4</v>
      </c>
      <c r="B96" s="262"/>
      <c r="C96" s="262"/>
      <c r="D96" s="299" t="str">
        <f>IFERROR(VLOOKUP(C96,catalogo_servicios!$B$1:$C$106,2,0),"")</f>
        <v/>
      </c>
      <c r="E96" s="299" t="str">
        <f>IFERROR(VLOOKUP(C96,catalogo_servicios!$B$1:$B$106,1,0),"")</f>
        <v/>
      </c>
      <c r="F96" s="299" t="str">
        <f t="shared" si="36"/>
        <v/>
      </c>
      <c r="G96" s="17" t="s">
        <v>99</v>
      </c>
      <c r="H96" s="10">
        <v>2474.6999999999998</v>
      </c>
      <c r="I96" s="5">
        <f t="shared" si="38"/>
        <v>2870.652</v>
      </c>
      <c r="J96" s="10"/>
      <c r="K96" s="12"/>
      <c r="L96" s="21">
        <f t="shared" si="39"/>
        <v>0</v>
      </c>
      <c r="M96" s="138">
        <f t="shared" si="40"/>
        <v>0</v>
      </c>
      <c r="N96" s="139" t="e">
        <f t="shared" si="41"/>
        <v>#DIV/0!</v>
      </c>
      <c r="O96" s="127">
        <f t="shared" si="42"/>
        <v>0</v>
      </c>
      <c r="P96" s="134" t="e">
        <f t="shared" si="43"/>
        <v>#DIV/0!</v>
      </c>
      <c r="Q96" s="127">
        <f t="shared" si="44"/>
        <v>0</v>
      </c>
      <c r="R96" s="134" t="e">
        <f t="shared" si="45"/>
        <v>#DIV/0!</v>
      </c>
      <c r="S96" s="132">
        <f t="shared" si="46"/>
        <v>0</v>
      </c>
      <c r="T96" s="128" t="e">
        <f t="shared" si="47"/>
        <v>#DIV/0!</v>
      </c>
      <c r="U96" s="312"/>
      <c r="V96" s="314" t="e">
        <v>#DIV/0!</v>
      </c>
      <c r="W96" s="314" t="e">
        <v>#DIV/0!</v>
      </c>
      <c r="X96" s="314" t="e">
        <v>#DIV/0!</v>
      </c>
      <c r="Y96" s="314" t="e">
        <v>#DIV/0!</v>
      </c>
      <c r="AA96" s="40" t="str">
        <f t="shared" si="37"/>
        <v/>
      </c>
    </row>
    <row r="97" spans="1:27" ht="28" x14ac:dyDescent="0.2">
      <c r="A97" s="31">
        <v>5</v>
      </c>
      <c r="B97" s="262"/>
      <c r="C97" s="262"/>
      <c r="D97" s="299" t="str">
        <f>IFERROR(VLOOKUP(C97,catalogo_servicios!$B$1:$C$106,2,0),"")</f>
        <v/>
      </c>
      <c r="E97" s="299" t="str">
        <f>IFERROR(VLOOKUP(C97,catalogo_servicios!$B$1:$B$106,1,0),"")</f>
        <v/>
      </c>
      <c r="F97" s="299" t="str">
        <f t="shared" si="36"/>
        <v/>
      </c>
      <c r="G97" s="17" t="s">
        <v>100</v>
      </c>
      <c r="H97" s="10">
        <v>2826.34</v>
      </c>
      <c r="I97" s="5">
        <f t="shared" si="38"/>
        <v>3278.5544</v>
      </c>
      <c r="J97" s="10"/>
      <c r="K97" s="18"/>
      <c r="L97" s="21">
        <f t="shared" si="39"/>
        <v>0</v>
      </c>
      <c r="M97" s="138">
        <f t="shared" si="40"/>
        <v>0</v>
      </c>
      <c r="N97" s="139" t="e">
        <f t="shared" si="41"/>
        <v>#DIV/0!</v>
      </c>
      <c r="O97" s="127">
        <f t="shared" si="42"/>
        <v>0</v>
      </c>
      <c r="P97" s="134" t="e">
        <f t="shared" si="43"/>
        <v>#DIV/0!</v>
      </c>
      <c r="Q97" s="127">
        <f t="shared" si="44"/>
        <v>0</v>
      </c>
      <c r="R97" s="134" t="e">
        <f t="shared" si="45"/>
        <v>#DIV/0!</v>
      </c>
      <c r="S97" s="132">
        <f t="shared" si="46"/>
        <v>0</v>
      </c>
      <c r="T97" s="128" t="e">
        <f t="shared" si="47"/>
        <v>#DIV/0!</v>
      </c>
      <c r="U97" s="312"/>
      <c r="V97" s="314" t="e">
        <v>#DIV/0!</v>
      </c>
      <c r="W97" s="314" t="e">
        <v>#DIV/0!</v>
      </c>
      <c r="X97" s="314" t="e">
        <v>#DIV/0!</v>
      </c>
      <c r="Y97" s="314" t="e">
        <v>#DIV/0!</v>
      </c>
      <c r="AA97" s="40" t="str">
        <f t="shared" si="37"/>
        <v/>
      </c>
    </row>
    <row r="98" spans="1:27" ht="28" x14ac:dyDescent="0.2">
      <c r="A98" s="31">
        <v>6</v>
      </c>
      <c r="B98" s="262"/>
      <c r="C98" s="262"/>
      <c r="D98" s="299" t="str">
        <f>IFERROR(VLOOKUP(C98,catalogo_servicios!$B$1:$C$106,2,0),"")</f>
        <v/>
      </c>
      <c r="E98" s="299" t="str">
        <f>IFERROR(VLOOKUP(C98,catalogo_servicios!$B$1:$B$106,1,0),"")</f>
        <v/>
      </c>
      <c r="F98" s="299" t="str">
        <f t="shared" si="36"/>
        <v/>
      </c>
      <c r="G98" s="17" t="s">
        <v>101</v>
      </c>
      <c r="H98" s="10">
        <v>2787.27</v>
      </c>
      <c r="I98" s="10">
        <f t="shared" si="38"/>
        <v>3233.2332000000001</v>
      </c>
      <c r="J98" s="5"/>
      <c r="K98" s="13"/>
      <c r="L98" s="81">
        <f t="shared" si="39"/>
        <v>0</v>
      </c>
      <c r="M98" s="138">
        <f t="shared" si="40"/>
        <v>0</v>
      </c>
      <c r="N98" s="139" t="e">
        <f t="shared" si="41"/>
        <v>#DIV/0!</v>
      </c>
      <c r="O98" s="127">
        <f t="shared" si="42"/>
        <v>0</v>
      </c>
      <c r="P98" s="134" t="e">
        <f t="shared" si="43"/>
        <v>#DIV/0!</v>
      </c>
      <c r="Q98" s="127">
        <f t="shared" si="44"/>
        <v>0</v>
      </c>
      <c r="R98" s="134" t="e">
        <f t="shared" si="45"/>
        <v>#DIV/0!</v>
      </c>
      <c r="S98" s="132">
        <f t="shared" si="46"/>
        <v>0</v>
      </c>
      <c r="T98" s="128" t="e">
        <f t="shared" si="47"/>
        <v>#DIV/0!</v>
      </c>
      <c r="U98" s="312"/>
      <c r="V98" s="314" t="e">
        <v>#DIV/0!</v>
      </c>
      <c r="W98" s="314" t="e">
        <v>#DIV/0!</v>
      </c>
      <c r="X98" s="314" t="e">
        <v>#DIV/0!</v>
      </c>
      <c r="Y98" s="314" t="e">
        <v>#DIV/0!</v>
      </c>
      <c r="AA98" s="40" t="str">
        <f t="shared" si="37"/>
        <v/>
      </c>
    </row>
    <row r="99" spans="1:27" ht="14" x14ac:dyDescent="0.2">
      <c r="A99" s="35">
        <v>13</v>
      </c>
      <c r="B99" s="35"/>
      <c r="C99" s="35"/>
      <c r="D99" s="299" t="str">
        <f>IFERROR(VLOOKUP(C99,catalogo_servicios!$B$1:$C$106,2,0),"")</f>
        <v/>
      </c>
      <c r="E99" s="299" t="str">
        <f>IFERROR(VLOOKUP(C99,catalogo_servicios!$B$1:$B$106,1,0),"")</f>
        <v/>
      </c>
      <c r="F99" s="299" t="str">
        <f t="shared" si="36"/>
        <v/>
      </c>
      <c r="G99" s="4" t="s">
        <v>133</v>
      </c>
      <c r="H99" s="5">
        <v>638.35</v>
      </c>
      <c r="I99" s="5">
        <f t="shared" si="38"/>
        <v>740.48599999999999</v>
      </c>
      <c r="J99" s="22">
        <f>K99-H99</f>
        <v>911.65</v>
      </c>
      <c r="K99" s="77">
        <v>1550</v>
      </c>
      <c r="L99" s="81">
        <f t="shared" si="39"/>
        <v>1798</v>
      </c>
      <c r="M99" s="138">
        <f t="shared" si="40"/>
        <v>54.698999999999998</v>
      </c>
      <c r="N99" s="139">
        <f t="shared" si="41"/>
        <v>0.06</v>
      </c>
      <c r="O99" s="127">
        <f t="shared" si="42"/>
        <v>182.33</v>
      </c>
      <c r="P99" s="134">
        <f t="shared" si="43"/>
        <v>0.2</v>
      </c>
      <c r="Q99" s="127">
        <f t="shared" si="44"/>
        <v>4.5582500000000001</v>
      </c>
      <c r="R99" s="134">
        <f t="shared" si="45"/>
        <v>5.0000000000000001E-3</v>
      </c>
      <c r="S99" s="132">
        <f t="shared" si="46"/>
        <v>674.62099999999998</v>
      </c>
      <c r="T99" s="128">
        <f t="shared" si="47"/>
        <v>0.74</v>
      </c>
      <c r="U99" s="312"/>
      <c r="V99" s="314">
        <v>6</v>
      </c>
      <c r="W99" s="314">
        <v>20</v>
      </c>
      <c r="X99" s="314">
        <v>0.5</v>
      </c>
      <c r="Y99" s="314">
        <v>74</v>
      </c>
      <c r="AA99" s="40" t="str">
        <f t="shared" si="37"/>
        <v/>
      </c>
    </row>
    <row r="100" spans="1:27" ht="29" thickBot="1" x14ac:dyDescent="0.25">
      <c r="A100" s="167">
        <v>13</v>
      </c>
      <c r="B100" s="33"/>
      <c r="C100" s="33"/>
      <c r="D100" s="299" t="str">
        <f>IFERROR(VLOOKUP(C100,catalogo_servicios!$B$1:$C$106,2,0),"")</f>
        <v/>
      </c>
      <c r="E100" s="299" t="str">
        <f>IFERROR(VLOOKUP(C100,catalogo_servicios!$B$1:$B$106,1,0),"")</f>
        <v/>
      </c>
      <c r="F100" s="299" t="str">
        <f t="shared" si="36"/>
        <v/>
      </c>
      <c r="G100" s="102" t="s">
        <v>152</v>
      </c>
      <c r="H100" s="168">
        <v>638.35</v>
      </c>
      <c r="I100" s="168">
        <f t="shared" si="38"/>
        <v>740.48599999999999</v>
      </c>
      <c r="J100" s="103">
        <f>K100-H100</f>
        <v>3911.65</v>
      </c>
      <c r="K100" s="169">
        <v>4550</v>
      </c>
      <c r="L100" s="55">
        <f t="shared" si="39"/>
        <v>5278</v>
      </c>
      <c r="M100" s="156">
        <f t="shared" si="40"/>
        <v>234.69899999999998</v>
      </c>
      <c r="N100" s="157">
        <f t="shared" si="41"/>
        <v>0.06</v>
      </c>
      <c r="O100" s="153">
        <f t="shared" si="42"/>
        <v>782.33</v>
      </c>
      <c r="P100" s="158">
        <f t="shared" si="43"/>
        <v>0.2</v>
      </c>
      <c r="Q100" s="153">
        <f t="shared" si="44"/>
        <v>19.558250000000001</v>
      </c>
      <c r="R100" s="158">
        <f t="shared" si="45"/>
        <v>5.0000000000000001E-3</v>
      </c>
      <c r="S100" s="159">
        <f t="shared" si="46"/>
        <v>2894.6210000000001</v>
      </c>
      <c r="T100" s="160">
        <f t="shared" si="47"/>
        <v>0.74</v>
      </c>
      <c r="U100" s="312"/>
      <c r="V100" s="314">
        <v>6</v>
      </c>
      <c r="W100" s="314">
        <v>20</v>
      </c>
      <c r="X100" s="314">
        <v>0.5</v>
      </c>
      <c r="Y100" s="314">
        <v>74</v>
      </c>
      <c r="AA100" s="40" t="str">
        <f t="shared" si="37"/>
        <v/>
      </c>
    </row>
    <row r="101" spans="1:27" ht="12.75" customHeight="1" thickBot="1" x14ac:dyDescent="0.25">
      <c r="A101" s="304" t="s">
        <v>132</v>
      </c>
      <c r="B101" s="305"/>
      <c r="C101" s="305"/>
      <c r="D101" s="299" t="str">
        <f>IFERROR(VLOOKUP(C101,catalogo_servicios!$B$1:$C$106,2,0),"")</f>
        <v/>
      </c>
      <c r="E101" s="299" t="str">
        <f>IFERROR(VLOOKUP(C101,catalogo_servicios!$B$1:$B$106,1,0),"")</f>
        <v/>
      </c>
      <c r="F101" s="299" t="str">
        <f t="shared" si="36"/>
        <v/>
      </c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6"/>
      <c r="U101" s="307"/>
      <c r="V101" s="314">
        <v>0</v>
      </c>
      <c r="W101" s="314">
        <v>0</v>
      </c>
      <c r="X101" s="314">
        <v>0</v>
      </c>
      <c r="Y101" s="314">
        <v>0</v>
      </c>
      <c r="AA101" s="40" t="str">
        <f t="shared" si="37"/>
        <v/>
      </c>
    </row>
    <row r="102" spans="1:27" ht="28" x14ac:dyDescent="0.2">
      <c r="A102" s="25" t="s">
        <v>30</v>
      </c>
      <c r="B102" s="264"/>
      <c r="C102" s="264"/>
      <c r="D102" s="299" t="str">
        <f>IFERROR(VLOOKUP(C102,catalogo_servicios!$B$1:$C$106,2,0),"")</f>
        <v/>
      </c>
      <c r="E102" s="299" t="str">
        <f>IFERROR(VLOOKUP(C102,catalogo_servicios!$B$1:$B$106,1,0),"")</f>
        <v/>
      </c>
      <c r="F102" s="299" t="str">
        <f t="shared" si="36"/>
        <v/>
      </c>
      <c r="G102" s="170" t="s">
        <v>153</v>
      </c>
      <c r="H102" s="22">
        <v>2162.13</v>
      </c>
      <c r="I102" s="36">
        <f t="shared" ref="I102:I121" si="48">(H102*0.16)+H102</f>
        <v>2508.0708</v>
      </c>
      <c r="J102" s="86">
        <v>35000</v>
      </c>
      <c r="K102" s="20">
        <f>H102+J102</f>
        <v>37162.129999999997</v>
      </c>
      <c r="L102" s="21">
        <f t="shared" ref="L102:L121" si="49">(K102*0.16)+K102</f>
        <v>43108.070799999994</v>
      </c>
      <c r="M102" s="161">
        <f t="shared" ref="M102:M121" si="50">(J102*0.06)</f>
        <v>2100</v>
      </c>
      <c r="N102" s="162">
        <f t="shared" ref="N102:N121" si="51">M102/J102</f>
        <v>0.06</v>
      </c>
      <c r="O102" s="163">
        <f t="shared" ref="O102:O121" si="52">(J102*0.2)</f>
        <v>7000</v>
      </c>
      <c r="P102" s="164">
        <f t="shared" ref="P102:P121" si="53">O102/J102</f>
        <v>0.2</v>
      </c>
      <c r="Q102" s="163">
        <f t="shared" ref="Q102:Q121" si="54">(J102*0.005)</f>
        <v>175</v>
      </c>
      <c r="R102" s="164">
        <f t="shared" ref="R102:R121" si="55">Q102/J102</f>
        <v>5.0000000000000001E-3</v>
      </c>
      <c r="S102" s="165">
        <f t="shared" ref="S102:S121" si="56">(J102-M102-O102)</f>
        <v>25900</v>
      </c>
      <c r="T102" s="166">
        <f t="shared" ref="T102:T121" si="57">S102/J102</f>
        <v>0.74</v>
      </c>
      <c r="U102" s="312"/>
      <c r="V102" s="314">
        <v>6</v>
      </c>
      <c r="W102" s="314">
        <v>20</v>
      </c>
      <c r="X102" s="314">
        <v>0.5</v>
      </c>
      <c r="Y102" s="314">
        <v>74</v>
      </c>
      <c r="AA102" s="40" t="str">
        <f t="shared" si="37"/>
        <v/>
      </c>
    </row>
    <row r="103" spans="1:27" ht="28" x14ac:dyDescent="0.2">
      <c r="A103" s="25" t="s">
        <v>30</v>
      </c>
      <c r="B103" s="256"/>
      <c r="C103" s="256"/>
      <c r="D103" s="299" t="str">
        <f>IFERROR(VLOOKUP(C103,catalogo_servicios!$B$1:$C$106,2,0),"")</f>
        <v/>
      </c>
      <c r="E103" s="299" t="str">
        <f>IFERROR(VLOOKUP(C103,catalogo_servicios!$B$1:$B$106,1,0),"")</f>
        <v/>
      </c>
      <c r="F103" s="299" t="str">
        <f t="shared" si="36"/>
        <v/>
      </c>
      <c r="G103" s="48" t="s">
        <v>154</v>
      </c>
      <c r="H103" s="22">
        <v>2162.13</v>
      </c>
      <c r="I103" s="5">
        <f t="shared" si="48"/>
        <v>2508.0708</v>
      </c>
      <c r="J103" s="86">
        <v>45000</v>
      </c>
      <c r="K103" s="12">
        <f>H103+J103</f>
        <v>47162.13</v>
      </c>
      <c r="L103" s="21">
        <f t="shared" si="49"/>
        <v>54708.070799999994</v>
      </c>
      <c r="M103" s="138">
        <f t="shared" si="50"/>
        <v>2700</v>
      </c>
      <c r="N103" s="139">
        <f t="shared" si="51"/>
        <v>0.06</v>
      </c>
      <c r="O103" s="127">
        <f t="shared" si="52"/>
        <v>9000</v>
      </c>
      <c r="P103" s="134">
        <f t="shared" si="53"/>
        <v>0.2</v>
      </c>
      <c r="Q103" s="127">
        <f t="shared" si="54"/>
        <v>225</v>
      </c>
      <c r="R103" s="134">
        <f t="shared" si="55"/>
        <v>5.0000000000000001E-3</v>
      </c>
      <c r="S103" s="132">
        <f t="shared" si="56"/>
        <v>33300</v>
      </c>
      <c r="T103" s="128">
        <f t="shared" si="57"/>
        <v>0.74</v>
      </c>
      <c r="U103" s="312"/>
      <c r="V103" s="314">
        <v>6</v>
      </c>
      <c r="W103" s="314">
        <v>20</v>
      </c>
      <c r="X103" s="314">
        <v>0.5</v>
      </c>
      <c r="Y103" s="314">
        <v>74</v>
      </c>
      <c r="AA103" s="40" t="str">
        <f t="shared" si="37"/>
        <v/>
      </c>
    </row>
    <row r="104" spans="1:27" ht="28" x14ac:dyDescent="0.2">
      <c r="A104" s="25" t="s">
        <v>30</v>
      </c>
      <c r="B104" s="256"/>
      <c r="C104" s="256"/>
      <c r="D104" s="299" t="str">
        <f>IFERROR(VLOOKUP(C104,catalogo_servicios!$B$1:$C$106,2,0),"")</f>
        <v/>
      </c>
      <c r="E104" s="299" t="str">
        <f>IFERROR(VLOOKUP(C104,catalogo_servicios!$B$1:$B$106,1,0),"")</f>
        <v/>
      </c>
      <c r="F104" s="299" t="str">
        <f t="shared" si="36"/>
        <v/>
      </c>
      <c r="G104" s="48" t="s">
        <v>155</v>
      </c>
      <c r="H104" s="22">
        <v>2162.13</v>
      </c>
      <c r="I104" s="5">
        <f t="shared" si="48"/>
        <v>2508.0708</v>
      </c>
      <c r="J104" s="86">
        <v>55000</v>
      </c>
      <c r="K104" s="12">
        <f>H104+J104</f>
        <v>57162.13</v>
      </c>
      <c r="L104" s="21">
        <f t="shared" si="49"/>
        <v>66308.070800000001</v>
      </c>
      <c r="M104" s="138">
        <f t="shared" si="50"/>
        <v>3300</v>
      </c>
      <c r="N104" s="139">
        <f t="shared" si="51"/>
        <v>0.06</v>
      </c>
      <c r="O104" s="127">
        <f t="shared" si="52"/>
        <v>11000</v>
      </c>
      <c r="P104" s="134">
        <f t="shared" si="53"/>
        <v>0.2</v>
      </c>
      <c r="Q104" s="127">
        <f t="shared" si="54"/>
        <v>275</v>
      </c>
      <c r="R104" s="134">
        <f t="shared" si="55"/>
        <v>5.0000000000000001E-3</v>
      </c>
      <c r="S104" s="132">
        <f t="shared" si="56"/>
        <v>40700</v>
      </c>
      <c r="T104" s="128">
        <f t="shared" si="57"/>
        <v>0.74</v>
      </c>
      <c r="U104" s="312"/>
      <c r="V104" s="314">
        <v>6</v>
      </c>
      <c r="W104" s="314">
        <v>20</v>
      </c>
      <c r="X104" s="314">
        <v>0.5</v>
      </c>
      <c r="Y104" s="314">
        <v>74</v>
      </c>
      <c r="AA104" s="40" t="str">
        <f t="shared" si="37"/>
        <v/>
      </c>
    </row>
    <row r="105" spans="1:27" ht="14" x14ac:dyDescent="0.2">
      <c r="A105" s="26" t="s">
        <v>31</v>
      </c>
      <c r="B105" s="257"/>
      <c r="C105" s="257"/>
      <c r="D105" s="299" t="str">
        <f>IFERROR(VLOOKUP(C105,catalogo_servicios!$B$1:$C$106,2,0),"")</f>
        <v/>
      </c>
      <c r="E105" s="299" t="str">
        <f>IFERROR(VLOOKUP(C105,catalogo_servicios!$B$1:$B$106,1,0),"")</f>
        <v/>
      </c>
      <c r="F105" s="299" t="str">
        <f t="shared" si="36"/>
        <v/>
      </c>
      <c r="G105" s="1" t="s">
        <v>15</v>
      </c>
      <c r="H105" s="2">
        <v>2162.13</v>
      </c>
      <c r="I105" s="5">
        <f t="shared" si="48"/>
        <v>2508.0708</v>
      </c>
      <c r="J105" s="5"/>
      <c r="K105" s="12"/>
      <c r="L105" s="21">
        <f t="shared" si="49"/>
        <v>0</v>
      </c>
      <c r="M105" s="138">
        <f t="shared" si="50"/>
        <v>0</v>
      </c>
      <c r="N105" s="139" t="e">
        <f t="shared" si="51"/>
        <v>#DIV/0!</v>
      </c>
      <c r="O105" s="127">
        <f t="shared" si="52"/>
        <v>0</v>
      </c>
      <c r="P105" s="134" t="e">
        <f t="shared" si="53"/>
        <v>#DIV/0!</v>
      </c>
      <c r="Q105" s="127">
        <f t="shared" si="54"/>
        <v>0</v>
      </c>
      <c r="R105" s="134" t="e">
        <f t="shared" si="55"/>
        <v>#DIV/0!</v>
      </c>
      <c r="S105" s="132">
        <f t="shared" si="56"/>
        <v>0</v>
      </c>
      <c r="T105" s="128" t="e">
        <f t="shared" si="57"/>
        <v>#DIV/0!</v>
      </c>
      <c r="U105" s="312"/>
      <c r="V105" s="314" t="e">
        <v>#DIV/0!</v>
      </c>
      <c r="W105" s="314" t="e">
        <v>#DIV/0!</v>
      </c>
      <c r="X105" s="314" t="e">
        <v>#DIV/0!</v>
      </c>
      <c r="Y105" s="314" t="e">
        <v>#DIV/0!</v>
      </c>
      <c r="AA105" s="40" t="str">
        <f t="shared" si="37"/>
        <v/>
      </c>
    </row>
    <row r="106" spans="1:27" ht="14" x14ac:dyDescent="0.2">
      <c r="A106" s="26" t="s">
        <v>32</v>
      </c>
      <c r="B106" s="257"/>
      <c r="C106" s="257"/>
      <c r="D106" s="299" t="str">
        <f>IFERROR(VLOOKUP(C106,catalogo_servicios!$B$1:$C$106,2,0),"")</f>
        <v/>
      </c>
      <c r="E106" s="299" t="str">
        <f>IFERROR(VLOOKUP(C106,catalogo_servicios!$B$1:$B$106,1,0),"")</f>
        <v/>
      </c>
      <c r="F106" s="299" t="str">
        <f t="shared" si="36"/>
        <v/>
      </c>
      <c r="G106" s="1" t="s">
        <v>17</v>
      </c>
      <c r="H106" s="2">
        <v>1380.7</v>
      </c>
      <c r="I106" s="5">
        <f t="shared" si="48"/>
        <v>1601.6120000000001</v>
      </c>
      <c r="J106" s="10"/>
      <c r="K106" s="18"/>
      <c r="L106" s="55">
        <f t="shared" si="49"/>
        <v>0</v>
      </c>
      <c r="M106" s="138">
        <f t="shared" si="50"/>
        <v>0</v>
      </c>
      <c r="N106" s="139" t="e">
        <f t="shared" si="51"/>
        <v>#DIV/0!</v>
      </c>
      <c r="O106" s="127">
        <f t="shared" si="52"/>
        <v>0</v>
      </c>
      <c r="P106" s="134" t="e">
        <f t="shared" si="53"/>
        <v>#DIV/0!</v>
      </c>
      <c r="Q106" s="127">
        <f t="shared" si="54"/>
        <v>0</v>
      </c>
      <c r="R106" s="134" t="e">
        <f t="shared" si="55"/>
        <v>#DIV/0!</v>
      </c>
      <c r="S106" s="132">
        <f t="shared" si="56"/>
        <v>0</v>
      </c>
      <c r="T106" s="128" t="e">
        <f t="shared" si="57"/>
        <v>#DIV/0!</v>
      </c>
      <c r="U106" s="312"/>
      <c r="V106" s="314" t="e">
        <v>#DIV/0!</v>
      </c>
      <c r="W106" s="314" t="e">
        <v>#DIV/0!</v>
      </c>
      <c r="X106" s="314" t="e">
        <v>#DIV/0!</v>
      </c>
      <c r="Y106" s="314" t="e">
        <v>#DIV/0!</v>
      </c>
      <c r="AA106" s="40" t="str">
        <f t="shared" si="37"/>
        <v/>
      </c>
    </row>
    <row r="107" spans="1:27" ht="14" x14ac:dyDescent="0.2">
      <c r="A107" s="27" t="s">
        <v>33</v>
      </c>
      <c r="B107" s="258"/>
      <c r="C107" s="258"/>
      <c r="D107" s="299" t="str">
        <f>IFERROR(VLOOKUP(C107,catalogo_servicios!$B$1:$C$106,2,0),"")</f>
        <v/>
      </c>
      <c r="E107" s="299" t="str">
        <f>IFERROR(VLOOKUP(C107,catalogo_servicios!$B$1:$B$106,1,0),"")</f>
        <v/>
      </c>
      <c r="F107" s="299" t="str">
        <f t="shared" si="36"/>
        <v/>
      </c>
      <c r="G107" s="8" t="s">
        <v>21</v>
      </c>
      <c r="H107" s="9">
        <v>661.79</v>
      </c>
      <c r="I107" s="10">
        <f t="shared" si="48"/>
        <v>767.67639999999994</v>
      </c>
      <c r="J107" s="5">
        <f>K107-H107</f>
        <v>2088.21</v>
      </c>
      <c r="K107" s="80">
        <v>2750</v>
      </c>
      <c r="L107" s="99">
        <f t="shared" si="49"/>
        <v>3190</v>
      </c>
      <c r="M107" s="243">
        <v>200</v>
      </c>
      <c r="N107" s="244">
        <f t="shared" si="51"/>
        <v>9.5775807988660144E-2</v>
      </c>
      <c r="O107" s="243">
        <v>60</v>
      </c>
      <c r="P107" s="244">
        <f t="shared" si="53"/>
        <v>2.8732742396598041E-2</v>
      </c>
      <c r="Q107" s="243">
        <v>30</v>
      </c>
      <c r="R107" s="244">
        <f t="shared" si="55"/>
        <v>1.4366371198299021E-2</v>
      </c>
      <c r="S107" s="247">
        <f t="shared" si="56"/>
        <v>1828.21</v>
      </c>
      <c r="T107" s="248">
        <f t="shared" si="57"/>
        <v>0.87549144961474179</v>
      </c>
      <c r="U107" s="313"/>
      <c r="V107" s="314">
        <v>9.5775807988660144</v>
      </c>
      <c r="W107" s="314">
        <v>2.8732742396598043</v>
      </c>
      <c r="X107" s="314">
        <v>1.4366371198299022</v>
      </c>
      <c r="Y107" s="314">
        <v>87.549144961474184</v>
      </c>
      <c r="AA107" s="40" t="str">
        <f t="shared" si="37"/>
        <v/>
      </c>
    </row>
    <row r="108" spans="1:27" ht="14" x14ac:dyDescent="0.2">
      <c r="A108" s="28">
        <v>13</v>
      </c>
      <c r="B108" s="260"/>
      <c r="C108" s="260"/>
      <c r="D108" s="299" t="str">
        <f>IFERROR(VLOOKUP(C108,catalogo_servicios!$B$1:$C$106,2,0),"")</f>
        <v/>
      </c>
      <c r="E108" s="299" t="str">
        <f>IFERROR(VLOOKUP(C108,catalogo_servicios!$B$1:$B$106,1,0),"")</f>
        <v/>
      </c>
      <c r="F108" s="299" t="str">
        <f t="shared" si="36"/>
        <v/>
      </c>
      <c r="G108" s="4" t="s">
        <v>133</v>
      </c>
      <c r="H108" s="5">
        <v>638.35</v>
      </c>
      <c r="I108" s="5">
        <f t="shared" si="48"/>
        <v>740.48599999999999</v>
      </c>
      <c r="J108" s="5">
        <f>K108-H108</f>
        <v>911.65</v>
      </c>
      <c r="K108" s="80">
        <v>1550</v>
      </c>
      <c r="L108" s="99">
        <f t="shared" si="49"/>
        <v>1798</v>
      </c>
      <c r="M108" s="138">
        <f t="shared" si="50"/>
        <v>54.698999999999998</v>
      </c>
      <c r="N108" s="139">
        <f t="shared" si="51"/>
        <v>0.06</v>
      </c>
      <c r="O108" s="127">
        <f t="shared" si="52"/>
        <v>182.33</v>
      </c>
      <c r="P108" s="134">
        <f t="shared" si="53"/>
        <v>0.2</v>
      </c>
      <c r="Q108" s="127">
        <f t="shared" si="54"/>
        <v>4.5582500000000001</v>
      </c>
      <c r="R108" s="134">
        <f t="shared" si="55"/>
        <v>5.0000000000000001E-3</v>
      </c>
      <c r="S108" s="132">
        <f t="shared" si="56"/>
        <v>674.62099999999998</v>
      </c>
      <c r="T108" s="128">
        <f t="shared" si="57"/>
        <v>0.74</v>
      </c>
      <c r="U108" s="312"/>
      <c r="V108" s="314">
        <v>6</v>
      </c>
      <c r="W108" s="314">
        <v>20</v>
      </c>
      <c r="X108" s="314">
        <v>0.5</v>
      </c>
      <c r="Y108" s="314">
        <v>74</v>
      </c>
      <c r="AA108" s="40" t="str">
        <f t="shared" si="37"/>
        <v/>
      </c>
    </row>
    <row r="109" spans="1:27" ht="29" thickBot="1" x14ac:dyDescent="0.25">
      <c r="A109" s="82">
        <v>13</v>
      </c>
      <c r="B109" s="265"/>
      <c r="C109" s="265"/>
      <c r="D109" s="299" t="str">
        <f>IFERROR(VLOOKUP(C109,catalogo_servicios!$B$1:$C$106,2,0),"")</f>
        <v/>
      </c>
      <c r="E109" s="299" t="str">
        <f>IFERROR(VLOOKUP(C109,catalogo_servicios!$B$1:$B$106,1,0),"")</f>
        <v/>
      </c>
      <c r="F109" s="299" t="str">
        <f t="shared" si="36"/>
        <v/>
      </c>
      <c r="G109" s="83" t="s">
        <v>152</v>
      </c>
      <c r="H109" s="84">
        <v>638.35</v>
      </c>
      <c r="I109" s="84">
        <f t="shared" si="48"/>
        <v>740.48599999999999</v>
      </c>
      <c r="J109" s="94">
        <f>K109-H109</f>
        <v>3911.65</v>
      </c>
      <c r="K109" s="109">
        <v>4550</v>
      </c>
      <c r="L109" s="45">
        <f t="shared" si="49"/>
        <v>5278</v>
      </c>
      <c r="M109" s="138">
        <f t="shared" si="50"/>
        <v>234.69899999999998</v>
      </c>
      <c r="N109" s="139">
        <f t="shared" si="51"/>
        <v>0.06</v>
      </c>
      <c r="O109" s="127">
        <f t="shared" si="52"/>
        <v>782.33</v>
      </c>
      <c r="P109" s="134">
        <f t="shared" si="53"/>
        <v>0.2</v>
      </c>
      <c r="Q109" s="127">
        <f t="shared" si="54"/>
        <v>19.558250000000001</v>
      </c>
      <c r="R109" s="134">
        <f t="shared" si="55"/>
        <v>5.0000000000000001E-3</v>
      </c>
      <c r="S109" s="132">
        <f t="shared" si="56"/>
        <v>2894.6210000000001</v>
      </c>
      <c r="T109" s="128">
        <f t="shared" si="57"/>
        <v>0.74</v>
      </c>
      <c r="U109" s="312"/>
      <c r="V109" s="314">
        <v>6</v>
      </c>
      <c r="W109" s="314">
        <v>20</v>
      </c>
      <c r="X109" s="314">
        <v>0.5</v>
      </c>
      <c r="Y109" s="314">
        <v>74</v>
      </c>
      <c r="AA109" s="40" t="str">
        <f t="shared" si="37"/>
        <v/>
      </c>
    </row>
    <row r="110" spans="1:27" ht="85" thickBot="1" x14ac:dyDescent="0.25">
      <c r="A110" s="88" t="s">
        <v>103</v>
      </c>
      <c r="B110" s="280" t="s">
        <v>355</v>
      </c>
      <c r="C110" s="279" t="s">
        <v>356</v>
      </c>
      <c r="D110" s="299">
        <f>IFERROR(VLOOKUP(C110,catalogo_servicios!$B$1:$C$106,2,0),"")</f>
        <v>30</v>
      </c>
      <c r="E110" s="299" t="str">
        <f>IFERROR(VLOOKUP(C110,catalogo_servicios!$B$1:$B$106,1,0),"")</f>
        <v>ETCIM</v>
      </c>
      <c r="F110" s="299" t="str">
        <f t="shared" si="36"/>
        <v>Ya</v>
      </c>
      <c r="G110" s="89" t="s">
        <v>102</v>
      </c>
      <c r="H110" s="90">
        <v>2044.91</v>
      </c>
      <c r="I110" s="46">
        <f t="shared" si="48"/>
        <v>2372.0956000000001</v>
      </c>
      <c r="J110" s="90">
        <f>K110-H110</f>
        <v>4905.09</v>
      </c>
      <c r="K110" s="91">
        <v>6950</v>
      </c>
      <c r="L110" s="47">
        <f t="shared" si="49"/>
        <v>8062</v>
      </c>
      <c r="M110" s="243">
        <v>500</v>
      </c>
      <c r="N110" s="244">
        <f t="shared" si="51"/>
        <v>0.1019349288188392</v>
      </c>
      <c r="O110" s="243">
        <v>150</v>
      </c>
      <c r="P110" s="244">
        <f t="shared" si="53"/>
        <v>3.0580478645651762E-2</v>
      </c>
      <c r="Q110" s="243">
        <v>75</v>
      </c>
      <c r="R110" s="244">
        <f t="shared" si="55"/>
        <v>1.5290239322825881E-2</v>
      </c>
      <c r="S110" s="247">
        <f t="shared" si="56"/>
        <v>4255.09</v>
      </c>
      <c r="T110" s="248">
        <f t="shared" si="57"/>
        <v>0.86748459253550902</v>
      </c>
      <c r="U110" s="313"/>
      <c r="V110" s="314">
        <v>10.19349288188392</v>
      </c>
      <c r="W110" s="314">
        <v>3.0580478645651761</v>
      </c>
      <c r="X110" s="314">
        <v>1.529023932282588</v>
      </c>
      <c r="Y110" s="314">
        <v>86.748459253550905</v>
      </c>
      <c r="AA110" s="40" t="str">
        <f t="shared" si="37"/>
        <v>update catalogo_servicios set costo_servicio = 2372.0956, costo = 6950, honorarios = 4905.09, utilidad = 4255.09, porcentaje_utilidad = 86.7484592535509, comision_venta_monto=500, porcentaje_venta=10.1934928818839, comision_operativa_monto=150, porcentaje_operativa=3.05804786456518, comision_gestion_monto=75, porcentaje_gestion=1.52902393228259 where id = 30;</v>
      </c>
    </row>
    <row r="111" spans="1:27" ht="14" x14ac:dyDescent="0.2">
      <c r="A111" s="101" t="s">
        <v>34</v>
      </c>
      <c r="B111" s="264"/>
      <c r="C111" s="264"/>
      <c r="D111" s="299" t="str">
        <f>IFERROR(VLOOKUP(C111,catalogo_servicios!$B$1:$C$106,2,0),"")</f>
        <v/>
      </c>
      <c r="E111" s="299" t="str">
        <f>IFERROR(VLOOKUP(C111,catalogo_servicios!$B$1:$B$106,1,0),"")</f>
        <v/>
      </c>
      <c r="F111" s="299" t="str">
        <f t="shared" si="36"/>
        <v/>
      </c>
      <c r="G111" s="102" t="s">
        <v>35</v>
      </c>
      <c r="H111" s="103">
        <v>1099.3900000000001</v>
      </c>
      <c r="I111" s="36">
        <f t="shared" si="48"/>
        <v>1275.2924</v>
      </c>
      <c r="J111" s="104">
        <v>1099.3900000000001</v>
      </c>
      <c r="K111" s="20">
        <f>H111+J111</f>
        <v>2198.7800000000002</v>
      </c>
      <c r="L111" s="21">
        <f t="shared" si="49"/>
        <v>2550.5848000000001</v>
      </c>
      <c r="M111" s="138">
        <f t="shared" si="50"/>
        <v>65.963400000000007</v>
      </c>
      <c r="N111" s="139">
        <f t="shared" si="51"/>
        <v>0.06</v>
      </c>
      <c r="O111" s="127">
        <f t="shared" si="52"/>
        <v>219.87800000000004</v>
      </c>
      <c r="P111" s="134">
        <f t="shared" si="53"/>
        <v>0.2</v>
      </c>
      <c r="Q111" s="127">
        <f t="shared" si="54"/>
        <v>5.4969500000000009</v>
      </c>
      <c r="R111" s="134">
        <f t="shared" si="55"/>
        <v>5.0000000000000001E-3</v>
      </c>
      <c r="S111" s="132">
        <f t="shared" si="56"/>
        <v>813.54859999999996</v>
      </c>
      <c r="T111" s="128">
        <f t="shared" si="57"/>
        <v>0.73999999999999988</v>
      </c>
      <c r="U111" s="312"/>
      <c r="V111" s="314">
        <v>6</v>
      </c>
      <c r="W111" s="314">
        <v>20</v>
      </c>
      <c r="X111" s="314">
        <v>0.5</v>
      </c>
      <c r="Y111" s="314">
        <v>73.999999999999986</v>
      </c>
      <c r="AA111" s="40" t="str">
        <f t="shared" si="37"/>
        <v/>
      </c>
    </row>
    <row r="112" spans="1:27" ht="14" x14ac:dyDescent="0.2">
      <c r="A112" s="28" t="s">
        <v>36</v>
      </c>
      <c r="B112" s="260"/>
      <c r="C112" s="260"/>
      <c r="D112" s="299" t="str">
        <f>IFERROR(VLOOKUP(C112,catalogo_servicios!$B$1:$C$106,2,0),"")</f>
        <v/>
      </c>
      <c r="E112" s="299" t="str">
        <f>IFERROR(VLOOKUP(C112,catalogo_servicios!$B$1:$B$106,1,0),"")</f>
        <v/>
      </c>
      <c r="F112" s="299" t="str">
        <f t="shared" si="36"/>
        <v/>
      </c>
      <c r="G112" s="4" t="s">
        <v>37</v>
      </c>
      <c r="H112" s="5">
        <v>1122.83</v>
      </c>
      <c r="I112" s="5">
        <f t="shared" si="48"/>
        <v>1302.4828</v>
      </c>
      <c r="J112" s="78">
        <v>1122.83</v>
      </c>
      <c r="K112" s="12">
        <f>H112+J112</f>
        <v>2245.66</v>
      </c>
      <c r="L112" s="21">
        <f t="shared" si="49"/>
        <v>2604.9656</v>
      </c>
      <c r="M112" s="138">
        <f t="shared" si="50"/>
        <v>67.369799999999998</v>
      </c>
      <c r="N112" s="139">
        <f t="shared" si="51"/>
        <v>6.0000000000000005E-2</v>
      </c>
      <c r="O112" s="127">
        <f t="shared" si="52"/>
        <v>224.566</v>
      </c>
      <c r="P112" s="134">
        <f t="shared" si="53"/>
        <v>0.2</v>
      </c>
      <c r="Q112" s="127">
        <f t="shared" si="54"/>
        <v>5.6141499999999995</v>
      </c>
      <c r="R112" s="134">
        <f t="shared" si="55"/>
        <v>5.0000000000000001E-3</v>
      </c>
      <c r="S112" s="132">
        <f t="shared" si="56"/>
        <v>830.89419999999996</v>
      </c>
      <c r="T112" s="128">
        <f t="shared" si="57"/>
        <v>0.74</v>
      </c>
      <c r="U112" s="312"/>
      <c r="V112" s="314">
        <v>6.0000000000000009</v>
      </c>
      <c r="W112" s="314">
        <v>20</v>
      </c>
      <c r="X112" s="314">
        <v>0.5</v>
      </c>
      <c r="Y112" s="314">
        <v>74</v>
      </c>
      <c r="AA112" s="40" t="str">
        <f t="shared" si="37"/>
        <v/>
      </c>
    </row>
    <row r="113" spans="1:27" ht="15" thickBot="1" x14ac:dyDescent="0.25">
      <c r="A113" s="29" t="s">
        <v>38</v>
      </c>
      <c r="B113" s="261"/>
      <c r="C113" s="261"/>
      <c r="D113" s="299" t="str">
        <f>IFERROR(VLOOKUP(C113,catalogo_servicios!$B$1:$C$106,2,0),"")</f>
        <v/>
      </c>
      <c r="E113" s="299" t="str">
        <f>IFERROR(VLOOKUP(C113,catalogo_servicios!$B$1:$B$106,1,0),"")</f>
        <v/>
      </c>
      <c r="F113" s="299" t="str">
        <f t="shared" si="36"/>
        <v/>
      </c>
      <c r="G113" s="51" t="s">
        <v>39</v>
      </c>
      <c r="H113" s="37">
        <v>1290.3599999999999</v>
      </c>
      <c r="I113" s="37">
        <f t="shared" si="48"/>
        <v>1496.8175999999999</v>
      </c>
      <c r="J113" s="79">
        <v>1290.3599999999999</v>
      </c>
      <c r="K113" s="63">
        <f>H113+J113</f>
        <v>2580.7199999999998</v>
      </c>
      <c r="L113" s="45">
        <f t="shared" si="49"/>
        <v>2993.6351999999997</v>
      </c>
      <c r="M113" s="138">
        <f t="shared" si="50"/>
        <v>77.421599999999998</v>
      </c>
      <c r="N113" s="139">
        <f t="shared" si="51"/>
        <v>6.0000000000000005E-2</v>
      </c>
      <c r="O113" s="127">
        <f t="shared" si="52"/>
        <v>258.072</v>
      </c>
      <c r="P113" s="134">
        <f t="shared" si="53"/>
        <v>0.2</v>
      </c>
      <c r="Q113" s="127">
        <f t="shared" si="54"/>
        <v>6.4517999999999995</v>
      </c>
      <c r="R113" s="134">
        <f t="shared" si="55"/>
        <v>5.0000000000000001E-3</v>
      </c>
      <c r="S113" s="132">
        <f t="shared" si="56"/>
        <v>954.8664</v>
      </c>
      <c r="T113" s="128">
        <f t="shared" si="57"/>
        <v>0.7400000000000001</v>
      </c>
      <c r="U113" s="312"/>
      <c r="V113" s="314">
        <v>6.0000000000000009</v>
      </c>
      <c r="W113" s="314">
        <v>20</v>
      </c>
      <c r="X113" s="314">
        <v>0.5</v>
      </c>
      <c r="Y113" s="314">
        <v>74.000000000000014</v>
      </c>
      <c r="AA113" s="40" t="str">
        <f t="shared" si="37"/>
        <v/>
      </c>
    </row>
    <row r="114" spans="1:27" ht="15" thickBot="1" x14ac:dyDescent="0.25">
      <c r="A114" s="25" t="s">
        <v>30</v>
      </c>
      <c r="B114" s="280" t="s">
        <v>367</v>
      </c>
      <c r="C114" s="279" t="s">
        <v>368</v>
      </c>
      <c r="D114" s="299">
        <f>IFERROR(VLOOKUP(C114,catalogo_servicios!$B$1:$C$106,2,0),"")</f>
        <v>32</v>
      </c>
      <c r="E114" s="299" t="str">
        <f>IFERROR(VLOOKUP(C114,catalogo_servicios!$B$1:$B$106,1,0),"")</f>
        <v>DIPYMEM</v>
      </c>
      <c r="F114" s="299" t="str">
        <f t="shared" si="36"/>
        <v>Ya</v>
      </c>
      <c r="G114" s="49" t="s">
        <v>108</v>
      </c>
      <c r="H114" s="22">
        <v>2162.13</v>
      </c>
      <c r="I114" s="36">
        <f t="shared" si="48"/>
        <v>2508.0708</v>
      </c>
      <c r="J114" s="22">
        <f>K114-H114</f>
        <v>4587.87</v>
      </c>
      <c r="K114" s="77">
        <v>6750</v>
      </c>
      <c r="L114" s="21">
        <f t="shared" si="49"/>
        <v>7830</v>
      </c>
      <c r="M114" s="243">
        <v>450</v>
      </c>
      <c r="N114" s="244">
        <f t="shared" si="51"/>
        <v>9.8084732130596555E-2</v>
      </c>
      <c r="O114" s="243">
        <v>130</v>
      </c>
      <c r="P114" s="244">
        <f t="shared" si="53"/>
        <v>2.8335589282172339E-2</v>
      </c>
      <c r="Q114" s="243">
        <v>65</v>
      </c>
      <c r="R114" s="244">
        <f t="shared" si="55"/>
        <v>1.4167794641086169E-2</v>
      </c>
      <c r="S114" s="247">
        <f t="shared" si="56"/>
        <v>4007.87</v>
      </c>
      <c r="T114" s="248">
        <f t="shared" si="57"/>
        <v>0.87357967858723107</v>
      </c>
      <c r="U114" s="313"/>
      <c r="V114" s="314">
        <v>9.8084732130596564</v>
      </c>
      <c r="W114" s="314">
        <v>2.8335589282172338</v>
      </c>
      <c r="X114" s="314">
        <v>1.4167794641086169</v>
      </c>
      <c r="Y114" s="314">
        <v>87.3579678587231</v>
      </c>
      <c r="AA114" s="40" t="str">
        <f t="shared" si="37"/>
        <v>update catalogo_servicios set costo_servicio = 2508.0708, costo = 6750, honorarios = 4587.87, utilidad = 4007.87, porcentaje_utilidad = 87.3579678587231, comision_venta_monto=450, porcentaje_venta=9.80847321305966, comision_operativa_monto=130, porcentaje_operativa=2.83355892821723, comision_gestion_monto=65, porcentaje_gestion=1.41677946410862 where id = 32;</v>
      </c>
    </row>
    <row r="115" spans="1:27" ht="15" thickBot="1" x14ac:dyDescent="0.25">
      <c r="A115" s="25" t="s">
        <v>30</v>
      </c>
      <c r="B115" s="280" t="s">
        <v>369</v>
      </c>
      <c r="C115" s="279" t="s">
        <v>370</v>
      </c>
      <c r="D115" s="299">
        <f>IFERROR(VLOOKUP(C115,catalogo_servicios!$B$1:$C$106,2,0),"")</f>
        <v>37</v>
      </c>
      <c r="E115" s="299" t="str">
        <f>IFERROR(VLOOKUP(C115,catalogo_servicios!$B$1:$B$106,1,0),"")</f>
        <v>DIMACROF</v>
      </c>
      <c r="F115" s="299" t="str">
        <f t="shared" si="36"/>
        <v>Ya</v>
      </c>
      <c r="G115" s="49" t="s">
        <v>107</v>
      </c>
      <c r="H115" s="22">
        <v>2162.13</v>
      </c>
      <c r="I115" s="5">
        <f t="shared" si="48"/>
        <v>2508.0708</v>
      </c>
      <c r="J115" s="2">
        <f>K115-H115</f>
        <v>5687.87</v>
      </c>
      <c r="K115" s="65">
        <v>7850</v>
      </c>
      <c r="L115" s="21">
        <f t="shared" si="49"/>
        <v>9106</v>
      </c>
      <c r="M115" s="243">
        <v>550</v>
      </c>
      <c r="N115" s="244">
        <f t="shared" si="51"/>
        <v>9.669700608487887E-2</v>
      </c>
      <c r="O115" s="243">
        <v>170</v>
      </c>
      <c r="P115" s="244">
        <f t="shared" si="53"/>
        <v>2.9888165517144381E-2</v>
      </c>
      <c r="Q115" s="243">
        <v>85</v>
      </c>
      <c r="R115" s="244">
        <f t="shared" si="55"/>
        <v>1.494408275857219E-2</v>
      </c>
      <c r="S115" s="247">
        <f t="shared" si="56"/>
        <v>4967.87</v>
      </c>
      <c r="T115" s="248">
        <f t="shared" si="57"/>
        <v>0.87341482839797679</v>
      </c>
      <c r="U115" s="313"/>
      <c r="V115" s="314">
        <v>9.6697006084878865</v>
      </c>
      <c r="W115" s="314">
        <v>2.9888165517144381</v>
      </c>
      <c r="X115" s="314">
        <v>1.494408275857219</v>
      </c>
      <c r="Y115" s="314">
        <v>87.341482839797678</v>
      </c>
      <c r="AA115" s="40" t="str">
        <f t="shared" si="37"/>
        <v>update catalogo_servicios set costo_servicio = 2508.0708, costo = 7850, honorarios = 5687.87, utilidad = 4967.87, porcentaje_utilidad = 87.3414828397977, comision_venta_monto=550, porcentaje_venta=9.66970060848789, comision_operativa_monto=170, porcentaje_operativa=2.98881655171444, comision_gestion_monto=85, porcentaje_gestion=1.49440827585722 where id = 37;</v>
      </c>
    </row>
    <row r="116" spans="1:27" ht="15" thickBot="1" x14ac:dyDescent="0.25">
      <c r="A116" s="25" t="s">
        <v>30</v>
      </c>
      <c r="B116" s="280" t="s">
        <v>371</v>
      </c>
      <c r="C116" s="279" t="s">
        <v>372</v>
      </c>
      <c r="D116" s="299">
        <f>IFERROR(VLOOKUP(C116,catalogo_servicios!$B$1:$C$106,2,0),"")</f>
        <v>36</v>
      </c>
      <c r="E116" s="299" t="str">
        <f>IFERROR(VLOOKUP(C116,catalogo_servicios!$B$1:$B$106,1,0),"")</f>
        <v>DIMACROM</v>
      </c>
      <c r="F116" s="299" t="str">
        <f t="shared" si="36"/>
        <v>Ya</v>
      </c>
      <c r="G116" s="49" t="s">
        <v>109</v>
      </c>
      <c r="H116" s="22">
        <v>2162.13</v>
      </c>
      <c r="I116" s="5">
        <f t="shared" si="48"/>
        <v>2508.0708</v>
      </c>
      <c r="J116" s="2">
        <f>K116-H116</f>
        <v>7187.87</v>
      </c>
      <c r="K116" s="65">
        <v>9350</v>
      </c>
      <c r="L116" s="21">
        <f t="shared" si="49"/>
        <v>10846</v>
      </c>
      <c r="M116" s="243">
        <v>700</v>
      </c>
      <c r="N116" s="244">
        <f t="shared" si="51"/>
        <v>9.7386291070929221E-2</v>
      </c>
      <c r="O116" s="243">
        <v>215</v>
      </c>
      <c r="P116" s="244">
        <f t="shared" si="53"/>
        <v>2.9911503686071119E-2</v>
      </c>
      <c r="Q116" s="243">
        <v>105</v>
      </c>
      <c r="R116" s="244">
        <f t="shared" si="55"/>
        <v>1.4607943660639383E-2</v>
      </c>
      <c r="S116" s="247">
        <f t="shared" si="56"/>
        <v>6272.87</v>
      </c>
      <c r="T116" s="248">
        <f t="shared" si="57"/>
        <v>0.87270220524299968</v>
      </c>
      <c r="U116" s="313"/>
      <c r="V116" s="314">
        <v>9.7386291070929225</v>
      </c>
      <c r="W116" s="314">
        <v>2.9911503686071117</v>
      </c>
      <c r="X116" s="314">
        <v>1.4607943660639384</v>
      </c>
      <c r="Y116" s="314">
        <v>87.270220524299972</v>
      </c>
      <c r="AA116" s="40" t="str">
        <f t="shared" si="37"/>
        <v>update catalogo_servicios set costo_servicio = 2508.0708, costo = 9350, honorarios = 7187.87, utilidad = 6272.87, porcentaje_utilidad = 87.2702205243, comision_venta_monto=700, porcentaje_venta=9.73862910709292, comision_operativa_monto=215, porcentaje_operativa=2.99115036860711, comision_gestion_monto=105, porcentaje_gestion=1.46079436606394 where id = 36;</v>
      </c>
    </row>
    <row r="117" spans="1:27" ht="15" thickBot="1" x14ac:dyDescent="0.25">
      <c r="A117" s="28" t="s">
        <v>33</v>
      </c>
      <c r="B117" s="280" t="s">
        <v>373</v>
      </c>
      <c r="C117" s="279" t="s">
        <v>374</v>
      </c>
      <c r="D117" s="299">
        <f>IFERROR(VLOOKUP(C117,catalogo_servicios!$B$1:$C$106,2,0),"")</f>
        <v>26</v>
      </c>
      <c r="E117" s="299" t="str">
        <f>IFERROR(VLOOKUP(C117,catalogo_servicios!$B$1:$B$106,1,0),"")</f>
        <v>TDIMICROM</v>
      </c>
      <c r="F117" s="299" t="str">
        <f t="shared" si="36"/>
        <v>Ya</v>
      </c>
      <c r="G117" s="11" t="s">
        <v>21</v>
      </c>
      <c r="H117" s="2">
        <v>661.79</v>
      </c>
      <c r="I117" s="5">
        <f t="shared" si="48"/>
        <v>767.67639999999994</v>
      </c>
      <c r="J117" s="2">
        <f>K117-H117</f>
        <v>1938.21</v>
      </c>
      <c r="K117" s="65">
        <v>2600</v>
      </c>
      <c r="L117" s="21">
        <f t="shared" si="49"/>
        <v>3016</v>
      </c>
      <c r="M117" s="243">
        <v>190</v>
      </c>
      <c r="N117" s="244">
        <f t="shared" si="51"/>
        <v>9.8028593392872801E-2</v>
      </c>
      <c r="O117" s="243">
        <v>60</v>
      </c>
      <c r="P117" s="244">
        <f t="shared" si="53"/>
        <v>3.0956397913538779E-2</v>
      </c>
      <c r="Q117" s="243">
        <v>25</v>
      </c>
      <c r="R117" s="244">
        <f t="shared" si="55"/>
        <v>1.2898499130641158E-2</v>
      </c>
      <c r="S117" s="247">
        <f t="shared" si="56"/>
        <v>1688.21</v>
      </c>
      <c r="T117" s="248">
        <f t="shared" si="57"/>
        <v>0.87101500869358839</v>
      </c>
      <c r="U117" s="313"/>
      <c r="V117" s="314">
        <v>9.8028593392872807</v>
      </c>
      <c r="W117" s="314">
        <v>3.0956397913538778</v>
      </c>
      <c r="X117" s="314">
        <v>1.2898499130641159</v>
      </c>
      <c r="Y117" s="314">
        <v>87.101500869358844</v>
      </c>
      <c r="AA117" s="40" t="str">
        <f t="shared" si="37"/>
        <v>update catalogo_servicios set costo_servicio = 767.6764, costo = 2600, honorarios = 1938.21, utilidad = 1688.21, porcentaje_utilidad = 87.1015008693588, comision_venta_monto=190, porcentaje_venta=9.80285933928728, comision_operativa_monto=60, porcentaje_operativa=3.09563979135388, comision_gestion_monto=25, porcentaje_gestion=1.28984991306412 where id = 26;</v>
      </c>
    </row>
    <row r="118" spans="1:27" ht="14" x14ac:dyDescent="0.2">
      <c r="A118" s="28" t="s">
        <v>92</v>
      </c>
      <c r="B118" s="33"/>
      <c r="C118" s="33"/>
      <c r="D118" s="299" t="str">
        <f>IFERROR(VLOOKUP(C118,catalogo_servicios!$B$1:$C$106,2,0),"")</f>
        <v/>
      </c>
      <c r="E118" s="299" t="str">
        <f>IFERROR(VLOOKUP(C118,catalogo_servicios!$B$1:$B$106,1,0),"")</f>
        <v/>
      </c>
      <c r="F118" s="299" t="str">
        <f t="shared" si="36"/>
        <v/>
      </c>
      <c r="G118" s="1" t="s">
        <v>88</v>
      </c>
      <c r="H118" s="5">
        <v>1107.2</v>
      </c>
      <c r="I118" s="5">
        <f t="shared" si="48"/>
        <v>1284.3520000000001</v>
      </c>
      <c r="J118" s="78">
        <v>1107.2</v>
      </c>
      <c r="K118" s="12">
        <f>H118+J118</f>
        <v>2214.4</v>
      </c>
      <c r="L118" s="21">
        <f t="shared" si="49"/>
        <v>2568.7040000000002</v>
      </c>
      <c r="M118" s="138">
        <f t="shared" si="50"/>
        <v>66.432000000000002</v>
      </c>
      <c r="N118" s="139">
        <f t="shared" si="51"/>
        <v>0.06</v>
      </c>
      <c r="O118" s="127">
        <f t="shared" si="52"/>
        <v>221.44000000000003</v>
      </c>
      <c r="P118" s="134">
        <f t="shared" si="53"/>
        <v>0.2</v>
      </c>
      <c r="Q118" s="127">
        <f t="shared" si="54"/>
        <v>5.5360000000000005</v>
      </c>
      <c r="R118" s="134">
        <f t="shared" si="55"/>
        <v>5.0000000000000001E-3</v>
      </c>
      <c r="S118" s="132">
        <f t="shared" si="56"/>
        <v>819.32799999999997</v>
      </c>
      <c r="T118" s="128">
        <f t="shared" si="57"/>
        <v>0.74</v>
      </c>
      <c r="U118" s="312"/>
      <c r="V118" s="314">
        <v>6</v>
      </c>
      <c r="W118" s="314">
        <v>20</v>
      </c>
      <c r="X118" s="314">
        <v>0.5</v>
      </c>
      <c r="Y118" s="314">
        <v>74</v>
      </c>
      <c r="AA118" s="40" t="str">
        <f t="shared" si="37"/>
        <v/>
      </c>
    </row>
    <row r="119" spans="1:27" ht="15" thickBot="1" x14ac:dyDescent="0.25">
      <c r="A119" s="29" t="s">
        <v>93</v>
      </c>
      <c r="B119" s="265"/>
      <c r="C119" s="265"/>
      <c r="D119" s="299" t="str">
        <f>IFERROR(VLOOKUP(C119,catalogo_servicios!$B$1:$C$106,2,0),"")</f>
        <v/>
      </c>
      <c r="E119" s="299" t="str">
        <f>IFERROR(VLOOKUP(C119,catalogo_servicios!$B$1:$B$106,1,0),"")</f>
        <v/>
      </c>
      <c r="F119" s="299" t="str">
        <f t="shared" si="36"/>
        <v/>
      </c>
      <c r="G119" s="16" t="s">
        <v>89</v>
      </c>
      <c r="H119" s="37">
        <v>1185.3499999999999</v>
      </c>
      <c r="I119" s="37">
        <f t="shared" si="48"/>
        <v>1375.0059999999999</v>
      </c>
      <c r="J119" s="79">
        <v>1185.3499999999999</v>
      </c>
      <c r="K119" s="63">
        <f>H119+J119</f>
        <v>2370.6999999999998</v>
      </c>
      <c r="L119" s="45">
        <f t="shared" si="49"/>
        <v>2750.0119999999997</v>
      </c>
      <c r="M119" s="138">
        <f t="shared" si="50"/>
        <v>71.120999999999995</v>
      </c>
      <c r="N119" s="139">
        <f t="shared" si="51"/>
        <v>0.06</v>
      </c>
      <c r="O119" s="127">
        <f t="shared" si="52"/>
        <v>237.07</v>
      </c>
      <c r="P119" s="134">
        <f t="shared" si="53"/>
        <v>0.2</v>
      </c>
      <c r="Q119" s="127">
        <f t="shared" si="54"/>
        <v>5.9267499999999993</v>
      </c>
      <c r="R119" s="134">
        <f t="shared" si="55"/>
        <v>5.0000000000000001E-3</v>
      </c>
      <c r="S119" s="132">
        <f t="shared" si="56"/>
        <v>877.15899999999988</v>
      </c>
      <c r="T119" s="128">
        <f t="shared" si="57"/>
        <v>0.74</v>
      </c>
      <c r="U119" s="312"/>
      <c r="V119" s="314">
        <v>6</v>
      </c>
      <c r="W119" s="314">
        <v>20</v>
      </c>
      <c r="X119" s="314">
        <v>0.5</v>
      </c>
      <c r="Y119" s="314">
        <v>74</v>
      </c>
      <c r="AA119" s="40" t="str">
        <f t="shared" si="37"/>
        <v/>
      </c>
    </row>
    <row r="120" spans="1:27" ht="14" x14ac:dyDescent="0.2">
      <c r="A120" s="60">
        <v>13</v>
      </c>
      <c r="B120" s="263"/>
      <c r="C120" s="263"/>
      <c r="D120" s="299" t="str">
        <f>IFERROR(VLOOKUP(C120,catalogo_servicios!$B$1:$C$106,2,0),"")</f>
        <v/>
      </c>
      <c r="E120" s="299" t="str">
        <f>IFERROR(VLOOKUP(C120,catalogo_servicios!$B$1:$B$106,1,0),"")</f>
        <v/>
      </c>
      <c r="F120" s="299" t="str">
        <f t="shared" si="36"/>
        <v/>
      </c>
      <c r="G120" s="61" t="s">
        <v>133</v>
      </c>
      <c r="H120" s="62">
        <v>638.35</v>
      </c>
      <c r="I120" s="62">
        <f t="shared" si="48"/>
        <v>740.48599999999999</v>
      </c>
      <c r="J120" s="38">
        <f>K120-H120</f>
        <v>611.65</v>
      </c>
      <c r="K120" s="76">
        <v>1250</v>
      </c>
      <c r="L120" s="108">
        <f t="shared" si="49"/>
        <v>1450</v>
      </c>
      <c r="M120" s="138">
        <f t="shared" si="50"/>
        <v>36.698999999999998</v>
      </c>
      <c r="N120" s="139">
        <f t="shared" si="51"/>
        <v>0.06</v>
      </c>
      <c r="O120" s="127">
        <f t="shared" si="52"/>
        <v>122.33</v>
      </c>
      <c r="P120" s="134">
        <f t="shared" si="53"/>
        <v>0.2</v>
      </c>
      <c r="Q120" s="127">
        <f t="shared" si="54"/>
        <v>3.0582500000000001</v>
      </c>
      <c r="R120" s="134">
        <f t="shared" si="55"/>
        <v>5.0000000000000001E-3</v>
      </c>
      <c r="S120" s="132">
        <f t="shared" si="56"/>
        <v>452.62100000000004</v>
      </c>
      <c r="T120" s="128">
        <f t="shared" si="57"/>
        <v>0.7400000000000001</v>
      </c>
      <c r="U120" s="312"/>
      <c r="V120" s="314">
        <v>6</v>
      </c>
      <c r="W120" s="314">
        <v>20</v>
      </c>
      <c r="X120" s="314">
        <v>0.5</v>
      </c>
      <c r="Y120" s="314">
        <v>74.000000000000014</v>
      </c>
      <c r="AA120" s="40" t="str">
        <f t="shared" si="37"/>
        <v/>
      </c>
    </row>
    <row r="121" spans="1:27" ht="29" thickBot="1" x14ac:dyDescent="0.25">
      <c r="A121" s="82">
        <v>13</v>
      </c>
      <c r="B121" s="265"/>
      <c r="C121" s="265"/>
      <c r="D121" s="299" t="str">
        <f>IFERROR(VLOOKUP(C121,catalogo_servicios!$B$1:$C$106,2,0),"")</f>
        <v/>
      </c>
      <c r="E121" s="299" t="str">
        <f>IFERROR(VLOOKUP(C121,catalogo_servicios!$B$1:$B$106,1,0),"")</f>
        <v/>
      </c>
      <c r="F121" s="299" t="str">
        <f t="shared" si="36"/>
        <v/>
      </c>
      <c r="G121" s="83" t="s">
        <v>152</v>
      </c>
      <c r="H121" s="84">
        <v>638.35</v>
      </c>
      <c r="I121" s="84">
        <f t="shared" si="48"/>
        <v>740.48599999999999</v>
      </c>
      <c r="J121" s="94">
        <f>K121-H121</f>
        <v>961.65</v>
      </c>
      <c r="K121" s="109">
        <v>1600</v>
      </c>
      <c r="L121" s="45">
        <f t="shared" si="49"/>
        <v>1856</v>
      </c>
      <c r="M121" s="138">
        <f t="shared" si="50"/>
        <v>57.698999999999998</v>
      </c>
      <c r="N121" s="139">
        <f t="shared" si="51"/>
        <v>0.06</v>
      </c>
      <c r="O121" s="127">
        <f t="shared" si="52"/>
        <v>192.33</v>
      </c>
      <c r="P121" s="134">
        <f t="shared" si="53"/>
        <v>0.2</v>
      </c>
      <c r="Q121" s="127">
        <f t="shared" si="54"/>
        <v>4.8082500000000001</v>
      </c>
      <c r="R121" s="134">
        <f t="shared" si="55"/>
        <v>5.0000000000000001E-3</v>
      </c>
      <c r="S121" s="132">
        <f t="shared" si="56"/>
        <v>711.62099999999998</v>
      </c>
      <c r="T121" s="128">
        <f t="shared" si="57"/>
        <v>0.74</v>
      </c>
      <c r="U121" s="312"/>
      <c r="V121" s="314">
        <v>6</v>
      </c>
      <c r="W121" s="314">
        <v>20</v>
      </c>
      <c r="X121" s="314">
        <v>0.5</v>
      </c>
      <c r="Y121" s="314">
        <v>74</v>
      </c>
      <c r="AA121" s="40" t="str">
        <f t="shared" si="37"/>
        <v/>
      </c>
    </row>
    <row r="122" spans="1:27" x14ac:dyDescent="0.15">
      <c r="A122" s="33"/>
      <c r="B122" s="33"/>
      <c r="C122" s="33"/>
      <c r="D122" s="33"/>
      <c r="E122" s="33"/>
      <c r="F122" s="33"/>
      <c r="G122" s="7"/>
      <c r="H122" s="7"/>
      <c r="I122" s="6"/>
      <c r="J122" s="6"/>
      <c r="K122" s="6"/>
      <c r="L122" s="6"/>
    </row>
    <row r="123" spans="1:27" x14ac:dyDescent="0.15">
      <c r="G123" s="3" t="s">
        <v>80</v>
      </c>
      <c r="H123" s="3"/>
    </row>
    <row r="124" spans="1:27" x14ac:dyDescent="0.15">
      <c r="G124" s="42" t="s">
        <v>45</v>
      </c>
      <c r="H124" s="42"/>
    </row>
    <row r="125" spans="1:27" x14ac:dyDescent="0.15">
      <c r="G125" s="42" t="s">
        <v>43</v>
      </c>
      <c r="H125" s="42"/>
    </row>
    <row r="126" spans="1:27" x14ac:dyDescent="0.15">
      <c r="G126" s="42" t="s">
        <v>44</v>
      </c>
      <c r="H126" s="42"/>
    </row>
    <row r="127" spans="1:27" x14ac:dyDescent="0.15">
      <c r="G127" s="42" t="s">
        <v>42</v>
      </c>
      <c r="H127" s="42"/>
    </row>
    <row r="132" spans="7:25" x14ac:dyDescent="0.15">
      <c r="G132" s="42"/>
      <c r="H132" s="42"/>
    </row>
    <row r="133" spans="7:25" x14ac:dyDescent="0.15">
      <c r="M133" s="43"/>
      <c r="N133" s="136"/>
      <c r="O133" s="43"/>
      <c r="P133" s="136"/>
      <c r="Q133" s="43"/>
      <c r="R133" s="136"/>
      <c r="T133" s="43"/>
      <c r="U133" s="43"/>
      <c r="V133" s="43"/>
      <c r="W133" s="43"/>
      <c r="X133" s="43"/>
      <c r="Y133" s="43"/>
    </row>
    <row r="134" spans="7:25" x14ac:dyDescent="0.15">
      <c r="M134" s="43"/>
      <c r="N134" s="136"/>
      <c r="O134" s="43"/>
      <c r="P134" s="136"/>
      <c r="Q134" s="43"/>
      <c r="R134" s="136"/>
      <c r="T134" s="43"/>
      <c r="U134" s="43"/>
      <c r="V134" s="43"/>
      <c r="W134" s="43"/>
      <c r="X134" s="43"/>
      <c r="Y134" s="43"/>
    </row>
    <row r="135" spans="7:25" x14ac:dyDescent="0.15">
      <c r="M135" s="43"/>
      <c r="N135" s="136"/>
      <c r="O135" s="43"/>
      <c r="P135" s="136"/>
      <c r="Q135" s="43"/>
      <c r="R135" s="136"/>
      <c r="T135" s="43"/>
      <c r="U135" s="43"/>
      <c r="V135" s="43"/>
      <c r="W135" s="43"/>
      <c r="X135" s="43"/>
      <c r="Y135" s="43"/>
    </row>
    <row r="136" spans="7:25" x14ac:dyDescent="0.15">
      <c r="M136" s="43"/>
      <c r="N136" s="136"/>
      <c r="O136" s="43"/>
      <c r="P136" s="136"/>
      <c r="Q136" s="43"/>
      <c r="R136" s="136"/>
      <c r="T136" s="43"/>
      <c r="U136" s="43"/>
      <c r="V136" s="43"/>
      <c r="W136" s="43"/>
      <c r="X136" s="43"/>
      <c r="Y136" s="43"/>
    </row>
    <row r="137" spans="7:25" x14ac:dyDescent="0.15">
      <c r="M137" s="43"/>
      <c r="N137" s="136"/>
      <c r="O137" s="43"/>
      <c r="P137" s="136"/>
      <c r="Q137" s="43"/>
      <c r="R137" s="136"/>
      <c r="T137" s="43"/>
      <c r="U137" s="43"/>
      <c r="V137" s="43"/>
      <c r="W137" s="43"/>
      <c r="X137" s="43"/>
      <c r="Y137" s="43"/>
    </row>
  </sheetData>
  <mergeCells count="1">
    <mergeCell ref="A2:T2"/>
  </mergeCells>
  <phoneticPr fontId="0" type="noConversion"/>
  <pageMargins left="0.75" right="0.75" top="1" bottom="1" header="0" footer="0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workbookViewId="0">
      <selection activeCell="D1" sqref="D1:D113"/>
    </sheetView>
  </sheetViews>
  <sheetFormatPr baseColWidth="10" defaultRowHeight="13" x14ac:dyDescent="0.15"/>
  <sheetData>
    <row r="1" spans="1:4" x14ac:dyDescent="0.15">
      <c r="A1">
        <v>1</v>
      </c>
      <c r="B1" t="s">
        <v>406</v>
      </c>
      <c r="C1">
        <v>1</v>
      </c>
      <c r="D1" t="s">
        <v>244</v>
      </c>
    </row>
    <row r="2" spans="1:4" x14ac:dyDescent="0.15">
      <c r="A2">
        <v>2</v>
      </c>
      <c r="B2" t="s">
        <v>404</v>
      </c>
      <c r="C2">
        <v>2</v>
      </c>
      <c r="D2" t="s">
        <v>242</v>
      </c>
    </row>
    <row r="3" spans="1:4" x14ac:dyDescent="0.15">
      <c r="A3">
        <v>3</v>
      </c>
      <c r="B3" t="s">
        <v>405</v>
      </c>
      <c r="C3">
        <v>3</v>
      </c>
      <c r="D3" t="s">
        <v>243</v>
      </c>
    </row>
    <row r="4" spans="1:4" x14ac:dyDescent="0.15">
      <c r="A4">
        <v>4</v>
      </c>
      <c r="B4" t="s">
        <v>403</v>
      </c>
      <c r="C4">
        <v>4</v>
      </c>
      <c r="D4" t="s">
        <v>241</v>
      </c>
    </row>
    <row r="5" spans="1:4" x14ac:dyDescent="0.15">
      <c r="A5">
        <v>5</v>
      </c>
      <c r="B5" t="s">
        <v>384</v>
      </c>
      <c r="C5">
        <v>5</v>
      </c>
      <c r="D5" t="s">
        <v>383</v>
      </c>
    </row>
    <row r="6" spans="1:4" x14ac:dyDescent="0.15">
      <c r="A6">
        <v>6</v>
      </c>
      <c r="B6" t="s">
        <v>386</v>
      </c>
      <c r="C6">
        <v>6</v>
      </c>
      <c r="D6" t="s">
        <v>385</v>
      </c>
    </row>
    <row r="7" spans="1:4" x14ac:dyDescent="0.15">
      <c r="A7">
        <v>7</v>
      </c>
      <c r="B7" t="s">
        <v>382</v>
      </c>
      <c r="C7">
        <v>7</v>
      </c>
      <c r="D7" t="s">
        <v>176</v>
      </c>
    </row>
    <row r="8" spans="1:4" x14ac:dyDescent="0.15">
      <c r="A8">
        <v>8</v>
      </c>
      <c r="B8" t="s">
        <v>396</v>
      </c>
      <c r="C8">
        <v>8</v>
      </c>
      <c r="D8" t="s">
        <v>395</v>
      </c>
    </row>
    <row r="9" spans="1:4" x14ac:dyDescent="0.15">
      <c r="A9">
        <v>9</v>
      </c>
      <c r="B9" t="s">
        <v>402</v>
      </c>
      <c r="C9">
        <v>9</v>
      </c>
      <c r="D9" t="s">
        <v>511</v>
      </c>
    </row>
    <row r="10" spans="1:4" x14ac:dyDescent="0.15">
      <c r="A10">
        <v>10</v>
      </c>
      <c r="B10" t="s">
        <v>394</v>
      </c>
      <c r="C10">
        <v>10</v>
      </c>
      <c r="D10" t="s">
        <v>393</v>
      </c>
    </row>
    <row r="11" spans="1:4" x14ac:dyDescent="0.15">
      <c r="A11">
        <v>11</v>
      </c>
      <c r="B11" t="s">
        <v>398</v>
      </c>
      <c r="C11">
        <v>11</v>
      </c>
      <c r="D11" t="s">
        <v>512</v>
      </c>
    </row>
    <row r="12" spans="1:4" x14ac:dyDescent="0.15">
      <c r="A12">
        <v>12</v>
      </c>
      <c r="B12" t="s">
        <v>392</v>
      </c>
      <c r="C12">
        <v>12</v>
      </c>
      <c r="D12" t="s">
        <v>391</v>
      </c>
    </row>
    <row r="13" spans="1:4" x14ac:dyDescent="0.15">
      <c r="A13">
        <v>13</v>
      </c>
      <c r="B13" t="s">
        <v>390</v>
      </c>
      <c r="C13">
        <v>13</v>
      </c>
      <c r="D13" t="s">
        <v>389</v>
      </c>
    </row>
    <row r="14" spans="1:4" x14ac:dyDescent="0.15">
      <c r="A14">
        <v>14</v>
      </c>
      <c r="B14" t="s">
        <v>388</v>
      </c>
      <c r="C14">
        <v>14</v>
      </c>
      <c r="D14" t="s">
        <v>387</v>
      </c>
    </row>
    <row r="15" spans="1:4" x14ac:dyDescent="0.15">
      <c r="A15">
        <v>15</v>
      </c>
      <c r="B15" t="s">
        <v>400</v>
      </c>
      <c r="C15">
        <v>15</v>
      </c>
      <c r="D15" t="s">
        <v>513</v>
      </c>
    </row>
    <row r="16" spans="1:4" x14ac:dyDescent="0.15">
      <c r="A16">
        <v>16</v>
      </c>
      <c r="B16" t="s">
        <v>376</v>
      </c>
      <c r="C16">
        <v>16</v>
      </c>
      <c r="D16" t="s">
        <v>249</v>
      </c>
    </row>
    <row r="17" spans="1:5" x14ac:dyDescent="0.15">
      <c r="A17">
        <v>17</v>
      </c>
      <c r="B17" t="s">
        <v>380</v>
      </c>
      <c r="C17">
        <v>17</v>
      </c>
      <c r="D17" t="s">
        <v>449</v>
      </c>
      <c r="E17" t="s">
        <v>450</v>
      </c>
    </row>
    <row r="18" spans="1:5" x14ac:dyDescent="0.15">
      <c r="A18">
        <v>18</v>
      </c>
      <c r="B18" t="s">
        <v>375</v>
      </c>
      <c r="C18">
        <v>18</v>
      </c>
      <c r="D18" t="s">
        <v>248</v>
      </c>
    </row>
    <row r="19" spans="1:5" x14ac:dyDescent="0.15">
      <c r="A19">
        <v>19</v>
      </c>
      <c r="B19" t="s">
        <v>377</v>
      </c>
      <c r="C19">
        <v>19</v>
      </c>
      <c r="D19" t="s">
        <v>514</v>
      </c>
      <c r="E19" t="s">
        <v>451</v>
      </c>
    </row>
    <row r="20" spans="1:5" x14ac:dyDescent="0.15">
      <c r="A20">
        <v>20</v>
      </c>
      <c r="B20" t="s">
        <v>452</v>
      </c>
      <c r="C20">
        <v>20</v>
      </c>
      <c r="D20" t="s">
        <v>453</v>
      </c>
    </row>
    <row r="21" spans="1:5" x14ac:dyDescent="0.15">
      <c r="A21">
        <v>21</v>
      </c>
      <c r="B21" t="s">
        <v>454</v>
      </c>
      <c r="C21">
        <v>21</v>
      </c>
      <c r="D21" t="s">
        <v>455</v>
      </c>
    </row>
    <row r="22" spans="1:5" x14ac:dyDescent="0.15">
      <c r="A22">
        <v>22</v>
      </c>
      <c r="B22" t="s">
        <v>379</v>
      </c>
      <c r="C22">
        <v>22</v>
      </c>
      <c r="D22" t="s">
        <v>456</v>
      </c>
      <c r="E22" t="s">
        <v>457</v>
      </c>
    </row>
    <row r="23" spans="1:5" x14ac:dyDescent="0.15">
      <c r="A23">
        <v>23</v>
      </c>
      <c r="B23" t="s">
        <v>458</v>
      </c>
      <c r="C23">
        <v>23</v>
      </c>
      <c r="D23" t="s">
        <v>459</v>
      </c>
    </row>
    <row r="24" spans="1:5" x14ac:dyDescent="0.15">
      <c r="A24">
        <v>24</v>
      </c>
      <c r="B24" t="s">
        <v>346</v>
      </c>
      <c r="C24">
        <v>24</v>
      </c>
      <c r="D24" t="s">
        <v>345</v>
      </c>
    </row>
    <row r="25" spans="1:5" x14ac:dyDescent="0.15">
      <c r="A25">
        <v>25</v>
      </c>
      <c r="B25" t="s">
        <v>460</v>
      </c>
      <c r="C25">
        <v>25</v>
      </c>
      <c r="D25" t="s">
        <v>461</v>
      </c>
    </row>
    <row r="26" spans="1:5" x14ac:dyDescent="0.15">
      <c r="A26">
        <v>26</v>
      </c>
      <c r="B26" t="s">
        <v>374</v>
      </c>
      <c r="C26">
        <v>26</v>
      </c>
      <c r="D26" t="s">
        <v>515</v>
      </c>
    </row>
    <row r="27" spans="1:5" x14ac:dyDescent="0.15">
      <c r="A27">
        <v>27</v>
      </c>
      <c r="B27" t="s">
        <v>366</v>
      </c>
      <c r="C27">
        <v>27</v>
      </c>
      <c r="D27" t="s">
        <v>515</v>
      </c>
    </row>
    <row r="28" spans="1:5" x14ac:dyDescent="0.15">
      <c r="A28">
        <v>28</v>
      </c>
      <c r="B28" t="s">
        <v>344</v>
      </c>
      <c r="C28">
        <v>28</v>
      </c>
      <c r="D28" t="s">
        <v>462</v>
      </c>
    </row>
    <row r="29" spans="1:5" x14ac:dyDescent="0.15">
      <c r="A29">
        <v>29</v>
      </c>
      <c r="B29" t="s">
        <v>352</v>
      </c>
      <c r="C29">
        <v>29</v>
      </c>
      <c r="D29" t="s">
        <v>516</v>
      </c>
    </row>
    <row r="30" spans="1:5" x14ac:dyDescent="0.15">
      <c r="A30">
        <v>30</v>
      </c>
      <c r="B30" t="s">
        <v>356</v>
      </c>
      <c r="C30">
        <v>30</v>
      </c>
      <c r="D30" t="s">
        <v>355</v>
      </c>
    </row>
    <row r="31" spans="1:5" x14ac:dyDescent="0.15">
      <c r="A31">
        <v>31</v>
      </c>
      <c r="B31" t="s">
        <v>354</v>
      </c>
      <c r="C31">
        <v>31</v>
      </c>
      <c r="D31" t="s">
        <v>353</v>
      </c>
    </row>
    <row r="32" spans="1:5" x14ac:dyDescent="0.15">
      <c r="A32">
        <v>32</v>
      </c>
      <c r="B32" t="s">
        <v>368</v>
      </c>
      <c r="C32">
        <v>32</v>
      </c>
      <c r="D32" t="s">
        <v>517</v>
      </c>
    </row>
    <row r="33" spans="1:5" x14ac:dyDescent="0.15">
      <c r="A33">
        <v>33</v>
      </c>
      <c r="B33" t="s">
        <v>362</v>
      </c>
      <c r="C33">
        <v>33</v>
      </c>
      <c r="D33" t="s">
        <v>518</v>
      </c>
    </row>
    <row r="34" spans="1:5" x14ac:dyDescent="0.15">
      <c r="A34">
        <v>34</v>
      </c>
      <c r="B34" t="s">
        <v>360</v>
      </c>
      <c r="C34">
        <v>34</v>
      </c>
      <c r="D34" t="s">
        <v>519</v>
      </c>
    </row>
    <row r="35" spans="1:5" x14ac:dyDescent="0.15">
      <c r="A35">
        <v>35</v>
      </c>
      <c r="B35" t="s">
        <v>358</v>
      </c>
      <c r="C35">
        <v>35</v>
      </c>
      <c r="D35" t="s">
        <v>520</v>
      </c>
    </row>
    <row r="36" spans="1:5" x14ac:dyDescent="0.15">
      <c r="A36">
        <v>36</v>
      </c>
      <c r="B36" t="s">
        <v>372</v>
      </c>
      <c r="C36">
        <v>36</v>
      </c>
      <c r="D36" t="s">
        <v>521</v>
      </c>
    </row>
    <row r="37" spans="1:5" x14ac:dyDescent="0.15">
      <c r="A37">
        <v>37</v>
      </c>
      <c r="B37" t="s">
        <v>370</v>
      </c>
      <c r="C37">
        <v>37</v>
      </c>
      <c r="D37" t="s">
        <v>522</v>
      </c>
    </row>
    <row r="38" spans="1:5" x14ac:dyDescent="0.15">
      <c r="A38">
        <v>38</v>
      </c>
      <c r="B38" t="s">
        <v>343</v>
      </c>
      <c r="C38">
        <v>38</v>
      </c>
      <c r="D38" t="s">
        <v>523</v>
      </c>
    </row>
    <row r="39" spans="1:5" x14ac:dyDescent="0.15">
      <c r="A39">
        <v>39</v>
      </c>
      <c r="B39" t="s">
        <v>429</v>
      </c>
      <c r="C39">
        <v>39</v>
      </c>
      <c r="D39" t="s">
        <v>428</v>
      </c>
      <c r="E39" t="s">
        <v>448</v>
      </c>
    </row>
    <row r="40" spans="1:5" x14ac:dyDescent="0.15">
      <c r="A40">
        <v>40</v>
      </c>
      <c r="B40" t="s">
        <v>424</v>
      </c>
      <c r="C40">
        <v>40</v>
      </c>
      <c r="D40" t="s">
        <v>524</v>
      </c>
      <c r="E40" t="s">
        <v>463</v>
      </c>
    </row>
    <row r="41" spans="1:5" x14ac:dyDescent="0.15">
      <c r="A41">
        <v>41</v>
      </c>
      <c r="B41" t="s">
        <v>421</v>
      </c>
      <c r="C41">
        <v>41</v>
      </c>
      <c r="D41" t="s">
        <v>525</v>
      </c>
    </row>
    <row r="42" spans="1:5" x14ac:dyDescent="0.15">
      <c r="A42">
        <v>42</v>
      </c>
      <c r="B42" t="s">
        <v>427</v>
      </c>
      <c r="C42">
        <v>42</v>
      </c>
      <c r="D42" t="s">
        <v>464</v>
      </c>
    </row>
    <row r="43" spans="1:5" x14ac:dyDescent="0.15">
      <c r="A43">
        <v>43</v>
      </c>
      <c r="B43" t="s">
        <v>437</v>
      </c>
      <c r="C43">
        <v>43</v>
      </c>
      <c r="D43" t="s">
        <v>465</v>
      </c>
    </row>
    <row r="44" spans="1:5" x14ac:dyDescent="0.15">
      <c r="A44">
        <v>44</v>
      </c>
      <c r="B44" t="s">
        <v>438</v>
      </c>
      <c r="C44">
        <v>44</v>
      </c>
      <c r="D44" t="s">
        <v>179</v>
      </c>
    </row>
    <row r="45" spans="1:5" x14ac:dyDescent="0.15">
      <c r="A45">
        <v>45</v>
      </c>
      <c r="B45" t="s">
        <v>444</v>
      </c>
      <c r="C45">
        <v>45</v>
      </c>
      <c r="D45" t="s">
        <v>526</v>
      </c>
    </row>
    <row r="46" spans="1:5" x14ac:dyDescent="0.15">
      <c r="A46">
        <v>46</v>
      </c>
      <c r="B46" t="s">
        <v>442</v>
      </c>
      <c r="C46">
        <v>46</v>
      </c>
      <c r="D46" t="s">
        <v>527</v>
      </c>
    </row>
    <row r="47" spans="1:5" x14ac:dyDescent="0.15">
      <c r="A47">
        <v>47</v>
      </c>
      <c r="B47" t="s">
        <v>419</v>
      </c>
      <c r="C47">
        <v>47</v>
      </c>
      <c r="D47" t="s">
        <v>418</v>
      </c>
    </row>
    <row r="48" spans="1:5" x14ac:dyDescent="0.15">
      <c r="A48">
        <v>48</v>
      </c>
      <c r="B48" t="s">
        <v>417</v>
      </c>
      <c r="C48">
        <v>48</v>
      </c>
      <c r="D48" t="s">
        <v>528</v>
      </c>
    </row>
    <row r="49" spans="1:4" x14ac:dyDescent="0.15">
      <c r="A49">
        <v>49</v>
      </c>
      <c r="B49" t="s">
        <v>415</v>
      </c>
      <c r="C49">
        <v>49</v>
      </c>
      <c r="D49" t="s">
        <v>414</v>
      </c>
    </row>
    <row r="50" spans="1:4" x14ac:dyDescent="0.15">
      <c r="A50">
        <v>50</v>
      </c>
      <c r="B50" t="s">
        <v>409</v>
      </c>
      <c r="C50">
        <v>50</v>
      </c>
      <c r="D50" t="s">
        <v>408</v>
      </c>
    </row>
    <row r="51" spans="1:4" x14ac:dyDescent="0.15">
      <c r="A51">
        <v>51</v>
      </c>
      <c r="B51" t="s">
        <v>411</v>
      </c>
      <c r="C51">
        <v>51</v>
      </c>
      <c r="D51" t="s">
        <v>529</v>
      </c>
    </row>
    <row r="52" spans="1:4" x14ac:dyDescent="0.15">
      <c r="A52">
        <v>52</v>
      </c>
      <c r="B52" t="s">
        <v>275</v>
      </c>
      <c r="C52">
        <v>52</v>
      </c>
      <c r="D52" t="s">
        <v>466</v>
      </c>
    </row>
    <row r="53" spans="1:4" x14ac:dyDescent="0.15">
      <c r="A53">
        <v>53</v>
      </c>
      <c r="B53" t="s">
        <v>467</v>
      </c>
      <c r="C53">
        <v>53</v>
      </c>
      <c r="D53" t="s">
        <v>468</v>
      </c>
    </row>
    <row r="54" spans="1:4" x14ac:dyDescent="0.15">
      <c r="A54">
        <v>54</v>
      </c>
      <c r="B54" t="s">
        <v>469</v>
      </c>
      <c r="C54">
        <v>54</v>
      </c>
      <c r="D54" t="s">
        <v>470</v>
      </c>
    </row>
    <row r="55" spans="1:4" x14ac:dyDescent="0.15">
      <c r="A55">
        <v>55</v>
      </c>
      <c r="B55" t="s">
        <v>471</v>
      </c>
      <c r="C55">
        <v>55</v>
      </c>
      <c r="D55" t="s">
        <v>472</v>
      </c>
    </row>
    <row r="56" spans="1:4" x14ac:dyDescent="0.15">
      <c r="A56">
        <v>56</v>
      </c>
      <c r="B56" t="s">
        <v>473</v>
      </c>
      <c r="C56">
        <v>56</v>
      </c>
      <c r="D56" t="s">
        <v>474</v>
      </c>
    </row>
    <row r="57" spans="1:4" x14ac:dyDescent="0.15">
      <c r="A57">
        <v>57</v>
      </c>
      <c r="B57" t="s">
        <v>285</v>
      </c>
      <c r="C57">
        <v>57</v>
      </c>
      <c r="D57" t="s">
        <v>284</v>
      </c>
    </row>
    <row r="58" spans="1:4" x14ac:dyDescent="0.15">
      <c r="A58">
        <v>58</v>
      </c>
      <c r="B58" t="s">
        <v>287</v>
      </c>
      <c r="C58">
        <v>58</v>
      </c>
      <c r="D58" t="s">
        <v>286</v>
      </c>
    </row>
    <row r="59" spans="1:4" x14ac:dyDescent="0.15">
      <c r="A59">
        <v>59</v>
      </c>
      <c r="B59" t="s">
        <v>475</v>
      </c>
      <c r="C59">
        <v>59</v>
      </c>
      <c r="D59" t="s">
        <v>476</v>
      </c>
    </row>
    <row r="60" spans="1:4" x14ac:dyDescent="0.15">
      <c r="A60">
        <v>60</v>
      </c>
      <c r="B60" t="s">
        <v>273</v>
      </c>
      <c r="C60">
        <v>60</v>
      </c>
      <c r="D60" t="s">
        <v>477</v>
      </c>
    </row>
    <row r="61" spans="1:4" x14ac:dyDescent="0.15">
      <c r="A61">
        <v>61</v>
      </c>
      <c r="B61" t="s">
        <v>478</v>
      </c>
      <c r="C61">
        <v>61</v>
      </c>
      <c r="D61" t="s">
        <v>479</v>
      </c>
    </row>
    <row r="62" spans="1:4" x14ac:dyDescent="0.15">
      <c r="A62">
        <v>62</v>
      </c>
      <c r="B62" t="s">
        <v>480</v>
      </c>
      <c r="C62">
        <v>62</v>
      </c>
      <c r="D62" t="s">
        <v>481</v>
      </c>
    </row>
    <row r="63" spans="1:4" x14ac:dyDescent="0.15">
      <c r="A63">
        <v>63</v>
      </c>
      <c r="B63" t="s">
        <v>277</v>
      </c>
      <c r="C63">
        <v>63</v>
      </c>
      <c r="D63" t="s">
        <v>482</v>
      </c>
    </row>
    <row r="64" spans="1:4" x14ac:dyDescent="0.15">
      <c r="A64">
        <v>64</v>
      </c>
      <c r="B64" t="s">
        <v>309</v>
      </c>
      <c r="C64">
        <v>64</v>
      </c>
      <c r="D64" t="s">
        <v>308</v>
      </c>
    </row>
    <row r="65" spans="1:4" x14ac:dyDescent="0.15">
      <c r="A65">
        <v>65</v>
      </c>
      <c r="B65" t="s">
        <v>288</v>
      </c>
      <c r="C65">
        <v>65</v>
      </c>
      <c r="D65" t="s">
        <v>530</v>
      </c>
    </row>
    <row r="66" spans="1:4" x14ac:dyDescent="0.15">
      <c r="A66">
        <v>66</v>
      </c>
      <c r="B66" t="s">
        <v>483</v>
      </c>
      <c r="C66">
        <v>66</v>
      </c>
      <c r="D66" t="s">
        <v>484</v>
      </c>
    </row>
    <row r="67" spans="1:4" x14ac:dyDescent="0.15">
      <c r="A67">
        <v>67</v>
      </c>
      <c r="B67" t="s">
        <v>485</v>
      </c>
      <c r="C67">
        <v>67</v>
      </c>
      <c r="D67" t="s">
        <v>486</v>
      </c>
    </row>
    <row r="68" spans="1:4" x14ac:dyDescent="0.15">
      <c r="A68">
        <v>68</v>
      </c>
      <c r="B68" t="s">
        <v>281</v>
      </c>
      <c r="C68">
        <v>68</v>
      </c>
      <c r="D68" t="s">
        <v>280</v>
      </c>
    </row>
    <row r="69" spans="1:4" x14ac:dyDescent="0.15">
      <c r="A69">
        <v>69</v>
      </c>
      <c r="B69" t="s">
        <v>283</v>
      </c>
      <c r="C69">
        <v>69</v>
      </c>
      <c r="D69" t="s">
        <v>282</v>
      </c>
    </row>
    <row r="70" spans="1:4" x14ac:dyDescent="0.15">
      <c r="A70">
        <v>70</v>
      </c>
      <c r="B70" t="s">
        <v>313</v>
      </c>
      <c r="C70">
        <v>70</v>
      </c>
      <c r="D70" t="s">
        <v>531</v>
      </c>
    </row>
    <row r="71" spans="1:4" x14ac:dyDescent="0.15">
      <c r="A71">
        <v>71</v>
      </c>
      <c r="B71" t="s">
        <v>271</v>
      </c>
      <c r="C71">
        <v>71</v>
      </c>
      <c r="D71" t="s">
        <v>269</v>
      </c>
    </row>
    <row r="72" spans="1:4" x14ac:dyDescent="0.15">
      <c r="A72">
        <v>72</v>
      </c>
      <c r="B72" t="s">
        <v>487</v>
      </c>
      <c r="C72">
        <v>72</v>
      </c>
      <c r="D72" t="s">
        <v>268</v>
      </c>
    </row>
    <row r="73" spans="1:4" x14ac:dyDescent="0.15">
      <c r="A73">
        <v>73</v>
      </c>
      <c r="B73" t="s">
        <v>270</v>
      </c>
      <c r="C73">
        <v>73</v>
      </c>
      <c r="D73" t="s">
        <v>267</v>
      </c>
    </row>
    <row r="74" spans="1:4" x14ac:dyDescent="0.15">
      <c r="A74">
        <v>74</v>
      </c>
      <c r="B74" t="s">
        <v>488</v>
      </c>
      <c r="C74">
        <v>74</v>
      </c>
      <c r="D74" t="s">
        <v>489</v>
      </c>
    </row>
    <row r="75" spans="1:4" x14ac:dyDescent="0.15">
      <c r="A75">
        <v>75</v>
      </c>
      <c r="B75" t="s">
        <v>303</v>
      </c>
      <c r="C75">
        <v>75</v>
      </c>
      <c r="D75" t="s">
        <v>532</v>
      </c>
    </row>
    <row r="76" spans="1:4" x14ac:dyDescent="0.15">
      <c r="A76">
        <v>76</v>
      </c>
      <c r="B76" t="s">
        <v>293</v>
      </c>
      <c r="C76">
        <v>76</v>
      </c>
      <c r="D76" t="s">
        <v>292</v>
      </c>
    </row>
    <row r="77" spans="1:4" x14ac:dyDescent="0.15">
      <c r="A77">
        <v>77</v>
      </c>
      <c r="B77" t="s">
        <v>307</v>
      </c>
      <c r="C77">
        <v>77</v>
      </c>
      <c r="D77" t="s">
        <v>533</v>
      </c>
    </row>
    <row r="78" spans="1:4" x14ac:dyDescent="0.15">
      <c r="A78">
        <v>78</v>
      </c>
      <c r="B78" t="s">
        <v>299</v>
      </c>
      <c r="C78">
        <v>78</v>
      </c>
      <c r="D78" t="s">
        <v>298</v>
      </c>
    </row>
    <row r="79" spans="1:4" x14ac:dyDescent="0.15">
      <c r="A79">
        <v>79</v>
      </c>
      <c r="B79" t="s">
        <v>317</v>
      </c>
      <c r="C79">
        <v>79</v>
      </c>
      <c r="D79" t="s">
        <v>534</v>
      </c>
    </row>
    <row r="80" spans="1:4" x14ac:dyDescent="0.15">
      <c r="A80">
        <v>80</v>
      </c>
      <c r="B80" t="s">
        <v>311</v>
      </c>
      <c r="C80">
        <v>80</v>
      </c>
      <c r="D80" t="s">
        <v>310</v>
      </c>
    </row>
    <row r="81" spans="1:4" x14ac:dyDescent="0.15">
      <c r="A81">
        <v>81</v>
      </c>
      <c r="B81" t="s">
        <v>291</v>
      </c>
      <c r="C81">
        <v>81</v>
      </c>
      <c r="D81" t="s">
        <v>290</v>
      </c>
    </row>
    <row r="82" spans="1:4" x14ac:dyDescent="0.15">
      <c r="A82">
        <v>82</v>
      </c>
      <c r="B82" t="s">
        <v>315</v>
      </c>
      <c r="C82">
        <v>82</v>
      </c>
      <c r="D82" t="s">
        <v>314</v>
      </c>
    </row>
    <row r="83" spans="1:4" x14ac:dyDescent="0.15">
      <c r="A83">
        <v>83</v>
      </c>
      <c r="B83" t="s">
        <v>305</v>
      </c>
      <c r="C83">
        <v>83</v>
      </c>
      <c r="D83" t="s">
        <v>535</v>
      </c>
    </row>
    <row r="84" spans="1:4" x14ac:dyDescent="0.15">
      <c r="A84">
        <v>84</v>
      </c>
      <c r="B84" t="s">
        <v>295</v>
      </c>
      <c r="C84">
        <v>84</v>
      </c>
      <c r="D84" t="s">
        <v>294</v>
      </c>
    </row>
    <row r="85" spans="1:4" x14ac:dyDescent="0.15">
      <c r="A85">
        <v>85</v>
      </c>
      <c r="B85" t="s">
        <v>490</v>
      </c>
      <c r="C85">
        <v>85</v>
      </c>
      <c r="D85" t="s">
        <v>491</v>
      </c>
    </row>
    <row r="86" spans="1:4" x14ac:dyDescent="0.15">
      <c r="A86">
        <v>86</v>
      </c>
      <c r="B86" t="s">
        <v>327</v>
      </c>
      <c r="C86">
        <v>86</v>
      </c>
      <c r="D86" t="s">
        <v>326</v>
      </c>
    </row>
    <row r="87" spans="1:4" x14ac:dyDescent="0.15">
      <c r="A87">
        <v>87</v>
      </c>
      <c r="B87" t="s">
        <v>337</v>
      </c>
      <c r="C87">
        <v>87</v>
      </c>
      <c r="D87" t="s">
        <v>536</v>
      </c>
    </row>
    <row r="88" spans="1:4" x14ac:dyDescent="0.15">
      <c r="A88">
        <v>88</v>
      </c>
      <c r="B88" t="s">
        <v>333</v>
      </c>
      <c r="C88">
        <v>88</v>
      </c>
      <c r="D88" t="s">
        <v>332</v>
      </c>
    </row>
    <row r="89" spans="1:4" x14ac:dyDescent="0.15">
      <c r="A89">
        <v>89</v>
      </c>
      <c r="B89" t="s">
        <v>325</v>
      </c>
      <c r="C89">
        <v>89</v>
      </c>
      <c r="D89" t="s">
        <v>324</v>
      </c>
    </row>
    <row r="90" spans="1:4" x14ac:dyDescent="0.15">
      <c r="A90">
        <v>90</v>
      </c>
      <c r="B90" t="s">
        <v>341</v>
      </c>
      <c r="C90">
        <v>90</v>
      </c>
      <c r="D90" t="s">
        <v>340</v>
      </c>
    </row>
    <row r="91" spans="1:4" x14ac:dyDescent="0.15">
      <c r="A91">
        <v>91</v>
      </c>
      <c r="B91" t="s">
        <v>339</v>
      </c>
      <c r="C91">
        <v>91</v>
      </c>
      <c r="D91" t="s">
        <v>537</v>
      </c>
    </row>
    <row r="92" spans="1:4" x14ac:dyDescent="0.15">
      <c r="A92">
        <v>92</v>
      </c>
      <c r="B92" t="s">
        <v>335</v>
      </c>
      <c r="C92">
        <v>92</v>
      </c>
      <c r="D92" t="s">
        <v>334</v>
      </c>
    </row>
    <row r="93" spans="1:4" x14ac:dyDescent="0.15">
      <c r="A93">
        <v>93</v>
      </c>
      <c r="B93" t="s">
        <v>323</v>
      </c>
      <c r="C93">
        <v>93</v>
      </c>
      <c r="D93" t="s">
        <v>322</v>
      </c>
    </row>
    <row r="94" spans="1:4" x14ac:dyDescent="0.15">
      <c r="A94">
        <v>94</v>
      </c>
      <c r="B94" t="s">
        <v>321</v>
      </c>
      <c r="C94">
        <v>94</v>
      </c>
      <c r="D94" t="s">
        <v>320</v>
      </c>
    </row>
    <row r="95" spans="1:4" x14ac:dyDescent="0.15">
      <c r="A95">
        <v>95</v>
      </c>
      <c r="B95" t="s">
        <v>319</v>
      </c>
      <c r="C95">
        <v>95</v>
      </c>
      <c r="D95" t="s">
        <v>318</v>
      </c>
    </row>
    <row r="96" spans="1:4" x14ac:dyDescent="0.15">
      <c r="A96">
        <v>96</v>
      </c>
      <c r="B96" t="s">
        <v>329</v>
      </c>
      <c r="C96">
        <v>96</v>
      </c>
      <c r="D96" t="s">
        <v>328</v>
      </c>
    </row>
    <row r="97" spans="1:5" x14ac:dyDescent="0.15">
      <c r="A97">
        <v>97</v>
      </c>
      <c r="B97" t="s">
        <v>331</v>
      </c>
      <c r="C97">
        <v>97</v>
      </c>
      <c r="D97" t="s">
        <v>330</v>
      </c>
    </row>
    <row r="98" spans="1:5" x14ac:dyDescent="0.15">
      <c r="A98">
        <v>98</v>
      </c>
      <c r="B98" t="s">
        <v>378</v>
      </c>
      <c r="C98">
        <v>98</v>
      </c>
      <c r="D98" t="s">
        <v>492</v>
      </c>
      <c r="E98" t="s">
        <v>493</v>
      </c>
    </row>
    <row r="99" spans="1:5" x14ac:dyDescent="0.15">
      <c r="A99">
        <v>99</v>
      </c>
      <c r="B99" t="s">
        <v>381</v>
      </c>
      <c r="C99">
        <v>99</v>
      </c>
      <c r="D99" t="s">
        <v>494</v>
      </c>
      <c r="E99" t="s">
        <v>450</v>
      </c>
    </row>
    <row r="100" spans="1:5" x14ac:dyDescent="0.15">
      <c r="A100">
        <v>100</v>
      </c>
      <c r="B100" t="s">
        <v>440</v>
      </c>
      <c r="C100">
        <v>100</v>
      </c>
      <c r="D100" t="s">
        <v>538</v>
      </c>
    </row>
    <row r="101" spans="1:5" x14ac:dyDescent="0.15">
      <c r="A101">
        <v>101</v>
      </c>
      <c r="B101" t="s">
        <v>446</v>
      </c>
      <c r="C101">
        <v>101</v>
      </c>
      <c r="D101" t="s">
        <v>445</v>
      </c>
    </row>
    <row r="102" spans="1:5" x14ac:dyDescent="0.15">
      <c r="A102">
        <v>102</v>
      </c>
      <c r="B102" t="s">
        <v>495</v>
      </c>
      <c r="C102">
        <v>102</v>
      </c>
      <c r="D102" t="s">
        <v>539</v>
      </c>
      <c r="E102" t="s">
        <v>448</v>
      </c>
    </row>
    <row r="103" spans="1:5" x14ac:dyDescent="0.15">
      <c r="A103">
        <v>103</v>
      </c>
      <c r="B103" t="s">
        <v>431</v>
      </c>
      <c r="C103">
        <v>103</v>
      </c>
      <c r="D103" t="s">
        <v>430</v>
      </c>
      <c r="E103" t="s">
        <v>448</v>
      </c>
    </row>
    <row r="104" spans="1:5" x14ac:dyDescent="0.15">
      <c r="A104">
        <v>104</v>
      </c>
      <c r="B104" t="s">
        <v>433</v>
      </c>
      <c r="C104">
        <v>104</v>
      </c>
      <c r="D104" t="s">
        <v>432</v>
      </c>
      <c r="E104" t="s">
        <v>448</v>
      </c>
    </row>
    <row r="105" spans="1:5" x14ac:dyDescent="0.15">
      <c r="A105">
        <v>105</v>
      </c>
      <c r="B105" t="s">
        <v>348</v>
      </c>
      <c r="C105">
        <v>105</v>
      </c>
      <c r="D105" t="s">
        <v>347</v>
      </c>
      <c r="E105" t="s">
        <v>448</v>
      </c>
    </row>
    <row r="106" spans="1:5" x14ac:dyDescent="0.15">
      <c r="A106">
        <v>106</v>
      </c>
      <c r="B106" t="s">
        <v>364</v>
      </c>
      <c r="C106">
        <v>106</v>
      </c>
      <c r="D106" t="s">
        <v>540</v>
      </c>
      <c r="E106" t="s">
        <v>448</v>
      </c>
    </row>
    <row r="107" spans="1:5" x14ac:dyDescent="0.15">
      <c r="A107">
        <v>107</v>
      </c>
      <c r="B107" t="s">
        <v>279</v>
      </c>
      <c r="C107">
        <v>107</v>
      </c>
      <c r="D107" t="s">
        <v>541</v>
      </c>
    </row>
    <row r="108" spans="1:5" x14ac:dyDescent="0.15">
      <c r="A108">
        <v>108</v>
      </c>
      <c r="B108" t="s">
        <v>435</v>
      </c>
      <c r="C108">
        <v>108</v>
      </c>
      <c r="D108" t="s">
        <v>434</v>
      </c>
    </row>
    <row r="109" spans="1:5" x14ac:dyDescent="0.15">
      <c r="A109">
        <v>109</v>
      </c>
      <c r="B109" t="s">
        <v>506</v>
      </c>
      <c r="C109">
        <v>109</v>
      </c>
      <c r="D109" t="s">
        <v>542</v>
      </c>
    </row>
    <row r="110" spans="1:5" x14ac:dyDescent="0.15">
      <c r="A110">
        <v>110</v>
      </c>
      <c r="B110" t="s">
        <v>507</v>
      </c>
      <c r="C110">
        <v>110</v>
      </c>
      <c r="D110" t="s">
        <v>507</v>
      </c>
    </row>
    <row r="111" spans="1:5" x14ac:dyDescent="0.15">
      <c r="A111">
        <v>111</v>
      </c>
      <c r="B111" t="s">
        <v>508</v>
      </c>
      <c r="C111">
        <v>111</v>
      </c>
      <c r="D111" t="s">
        <v>543</v>
      </c>
    </row>
    <row r="112" spans="1:5" x14ac:dyDescent="0.15">
      <c r="A112">
        <v>112</v>
      </c>
      <c r="B112" t="s">
        <v>509</v>
      </c>
      <c r="C112">
        <v>112</v>
      </c>
      <c r="D112" t="s">
        <v>544</v>
      </c>
    </row>
    <row r="113" spans="1:4" x14ac:dyDescent="0.15">
      <c r="A113">
        <v>113</v>
      </c>
      <c r="B113" t="s">
        <v>510</v>
      </c>
      <c r="C113">
        <v>113</v>
      </c>
      <c r="D113" t="s"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8"/>
  <sheetViews>
    <sheetView topLeftCell="G1" workbookViewId="0">
      <pane ySplit="1" topLeftCell="A10" activePane="bottomLeft" state="frozen"/>
      <selection pane="bottomLeft" activeCell="W4" sqref="W4:W53"/>
    </sheetView>
  </sheetViews>
  <sheetFormatPr baseColWidth="10" defaultColWidth="11.5" defaultRowHeight="13" x14ac:dyDescent="0.15"/>
  <cols>
    <col min="1" max="1" width="39.33203125" style="39" customWidth="1"/>
    <col min="2" max="2" width="9" style="39" bestFit="1" customWidth="1"/>
    <col min="3" max="3" width="9" style="39" customWidth="1"/>
    <col min="4" max="4" width="67.5" style="40" customWidth="1"/>
    <col min="5" max="5" width="11.33203125" style="41" customWidth="1"/>
    <col min="6" max="6" width="13.5" style="41" customWidth="1"/>
    <col min="7" max="7" width="9.6640625" style="41" customWidth="1"/>
    <col min="8" max="8" width="9.6640625" style="41" bestFit="1" customWidth="1"/>
    <col min="9" max="9" width="10.5" style="40" bestFit="1" customWidth="1"/>
    <col min="10" max="10" width="7.5" style="40" bestFit="1" customWidth="1"/>
    <col min="11" max="11" width="11.6640625" style="40" bestFit="1" customWidth="1"/>
    <col min="12" max="12" width="7.5" style="40" bestFit="1" customWidth="1"/>
    <col min="13" max="13" width="11.5" style="40"/>
    <col min="14" max="14" width="7.5" style="40" bestFit="1" customWidth="1"/>
    <col min="15" max="15" width="9.5" style="40" bestFit="1" customWidth="1"/>
    <col min="16" max="16" width="7.5" style="40" bestFit="1" customWidth="1"/>
    <col min="17" max="17" width="2.6640625" style="40" customWidth="1"/>
    <col min="18" max="21" width="8.6640625" style="40" customWidth="1"/>
    <col min="22" max="22" width="3.83203125" style="40" customWidth="1"/>
    <col min="23" max="16384" width="11.5" style="40"/>
  </cols>
  <sheetData>
    <row r="1" spans="1:23" ht="29" thickBot="1" x14ac:dyDescent="0.2">
      <c r="A1" s="209"/>
      <c r="B1" s="285"/>
      <c r="C1" s="285"/>
      <c r="D1" s="210" t="s">
        <v>79</v>
      </c>
      <c r="E1" s="211" t="s">
        <v>110</v>
      </c>
      <c r="F1" s="211" t="s">
        <v>40</v>
      </c>
      <c r="G1" s="211" t="s">
        <v>86</v>
      </c>
      <c r="H1" s="211" t="s">
        <v>87</v>
      </c>
      <c r="I1" s="211" t="s">
        <v>139</v>
      </c>
      <c r="J1" s="211" t="s">
        <v>156</v>
      </c>
      <c r="K1" s="211" t="s">
        <v>140</v>
      </c>
      <c r="L1" s="211" t="s">
        <v>156</v>
      </c>
      <c r="M1" s="211" t="s">
        <v>160</v>
      </c>
      <c r="N1" s="211" t="s">
        <v>156</v>
      </c>
      <c r="O1" s="211" t="s">
        <v>141</v>
      </c>
      <c r="P1" s="212" t="s">
        <v>156</v>
      </c>
    </row>
    <row r="2" spans="1:23" ht="14" thickBot="1" x14ac:dyDescent="0.2">
      <c r="A2" s="321" t="s">
        <v>142</v>
      </c>
      <c r="B2" s="322"/>
      <c r="C2" s="322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4"/>
    </row>
    <row r="3" spans="1:23" ht="14" thickBot="1" x14ac:dyDescent="0.2">
      <c r="A3" s="321" t="s">
        <v>176</v>
      </c>
      <c r="B3" s="322"/>
      <c r="C3" s="322" t="s">
        <v>502</v>
      </c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4"/>
      <c r="R3" s="40" t="s">
        <v>503</v>
      </c>
      <c r="S3" s="40" t="s">
        <v>499</v>
      </c>
      <c r="T3" s="40" t="s">
        <v>504</v>
      </c>
      <c r="U3" s="329" t="s">
        <v>505</v>
      </c>
    </row>
    <row r="4" spans="1:23" ht="71" thickBot="1" x14ac:dyDescent="0.25">
      <c r="A4" s="271" t="s">
        <v>176</v>
      </c>
      <c r="B4" s="286" t="s">
        <v>382</v>
      </c>
      <c r="C4" s="328">
        <f>IF(B4="","",VLOOKUP(B4,catalogo_servicios!$B$1:$C$106,2,0))</f>
        <v>7</v>
      </c>
      <c r="D4" s="57" t="s">
        <v>237</v>
      </c>
      <c r="E4" s="59">
        <v>236</v>
      </c>
      <c r="F4" s="36">
        <f>G4-E4</f>
        <v>1614</v>
      </c>
      <c r="G4" s="175">
        <v>1850</v>
      </c>
      <c r="H4" s="50">
        <f>(G4*0.16)+G4</f>
        <v>2146</v>
      </c>
      <c r="I4" s="141">
        <v>150</v>
      </c>
      <c r="J4" s="188">
        <f>I4/F4</f>
        <v>9.2936802973977689E-2</v>
      </c>
      <c r="K4" s="141">
        <v>50</v>
      </c>
      <c r="L4" s="188">
        <f>K4/F4</f>
        <v>3.0978934324659233E-2</v>
      </c>
      <c r="M4" s="141">
        <v>25</v>
      </c>
      <c r="N4" s="188">
        <f>M4/F4</f>
        <v>1.5489467162329617E-2</v>
      </c>
      <c r="O4" s="189">
        <f>(F4-I4-K4)</f>
        <v>1414</v>
      </c>
      <c r="P4" s="190">
        <f>O4/F4</f>
        <v>0.87608426270136308</v>
      </c>
      <c r="R4" s="40">
        <f>J4*100</f>
        <v>9.2936802973977688</v>
      </c>
      <c r="S4" s="40">
        <f>L4*100</f>
        <v>3.0978934324659235</v>
      </c>
      <c r="T4" s="40">
        <f>N4*100</f>
        <v>1.5489467162329618</v>
      </c>
      <c r="U4" s="40">
        <f>P4*100</f>
        <v>87.608426270136306</v>
      </c>
      <c r="W4" s="40" t="str">
        <f>IF(C4="","",CONCATENATE("update catalogo_servicios set costo_servicio = ",E4,", costo = ",G4,", honorarios = ",F4,", utilidad = ",O4,", porcentaje_utilidad = ",U4,", comision_venta_monto=",I4,", porcentaje_venta=",R4,", comision_operativa_monto=",K4,", porcentaje_operativa=",S4,", comision_gestion_monto=",M4,", porcentaje_gestion=",T4," where id = ",C4,";"))</f>
        <v>update catalogo_servicios set costo_servicio = 236, costo = 1850, honorarios = 1614, utilidad = 1414, porcentaje_utilidad = 87.6084262701363, comision_venta_monto=150, porcentaje_venta=9.29368029739777, comision_operativa_monto=50, porcentaje_operativa=3.09789343246592, comision_gestion_monto=25, porcentaje_gestion=1.54894671623296 where id = 7;</v>
      </c>
    </row>
    <row r="5" spans="1:23" ht="31" thickBot="1" x14ac:dyDescent="0.25">
      <c r="A5" s="287" t="s">
        <v>383</v>
      </c>
      <c r="B5" s="286" t="s">
        <v>384</v>
      </c>
      <c r="C5" s="328">
        <f>IF(B5="","",VLOOKUP(B5,catalogo_servicios!$B$1:$C$106,2,0))</f>
        <v>5</v>
      </c>
      <c r="D5" s="4" t="s">
        <v>235</v>
      </c>
      <c r="E5" s="53">
        <v>236</v>
      </c>
      <c r="F5" s="5">
        <f>G5-E5</f>
        <v>3514</v>
      </c>
      <c r="G5" s="80">
        <v>3750</v>
      </c>
      <c r="H5" s="13">
        <f>(G5*0.16)+G5</f>
        <v>4350</v>
      </c>
      <c r="I5" s="141">
        <v>350</v>
      </c>
      <c r="J5" s="137">
        <f>I5/F5</f>
        <v>9.9601593625498003E-2</v>
      </c>
      <c r="K5" s="141">
        <v>100</v>
      </c>
      <c r="L5" s="137">
        <f>K5/F5</f>
        <v>2.8457598178713718E-2</v>
      </c>
      <c r="M5" s="129">
        <v>50</v>
      </c>
      <c r="N5" s="137">
        <f>M5/F5</f>
        <v>1.4228799089356859E-2</v>
      </c>
      <c r="O5" s="181">
        <f>(F5-I5-K5)</f>
        <v>3064</v>
      </c>
      <c r="P5" s="182">
        <f>O5/F5</f>
        <v>0.87194080819578823</v>
      </c>
      <c r="R5" s="40">
        <f t="shared" ref="R5:R53" si="0">J5*100</f>
        <v>9.9601593625498008</v>
      </c>
      <c r="S5" s="40">
        <f t="shared" ref="S5:S53" si="1">L5*100</f>
        <v>2.8457598178713717</v>
      </c>
      <c r="T5" s="40">
        <f t="shared" ref="T5:T53" si="2">N5*100</f>
        <v>1.4228799089356858</v>
      </c>
      <c r="U5" s="40">
        <f t="shared" ref="U5:U53" si="3">P5*100</f>
        <v>87.194080819578829</v>
      </c>
      <c r="W5" s="40" t="str">
        <f t="shared" ref="W5:W53" si="4">IF(C5="","",CONCATENATE("update catalogo_servicios set costo_servicio = ",E5,", costo = ",G5,", honorarios = ",F5,", utilidad = ",O5,", porcentaje_utilidad = ",U5,", comision_venta_monto=",I5,", porcentaje_venta=",R5,", comision_operativa_monto=",K5,", porcentaje_operativa=",S5,", comision_gestion_monto=",M5,", porcentaje_gestion=",T5," where id = ",C5,";"))</f>
        <v>update catalogo_servicios set costo_servicio = 236, costo = 3750, honorarios = 3514, utilidad = 3064, porcentaje_utilidad = 87.1940808195788, comision_venta_monto=350, porcentaje_venta=9.9601593625498, comision_operativa_monto=100, porcentaje_operativa=2.84575981787137, comision_gestion_monto=50, porcentaje_gestion=1.42287990893569 where id = 5;</v>
      </c>
    </row>
    <row r="6" spans="1:23" ht="16" thickBot="1" x14ac:dyDescent="0.25">
      <c r="A6" s="287" t="s">
        <v>385</v>
      </c>
      <c r="B6" s="286" t="s">
        <v>386</v>
      </c>
      <c r="C6" s="328">
        <f>IF(B6="","",VLOOKUP(B6,catalogo_servicios!$B$1:$C$106,2,0))</f>
        <v>6</v>
      </c>
      <c r="D6" s="4" t="s">
        <v>236</v>
      </c>
      <c r="E6" s="53">
        <v>236</v>
      </c>
      <c r="F6" s="5">
        <f>G6-E6</f>
        <v>4314</v>
      </c>
      <c r="G6" s="80">
        <v>4550</v>
      </c>
      <c r="H6" s="13">
        <f>(G6*0.16)+G6</f>
        <v>5278</v>
      </c>
      <c r="I6" s="141">
        <v>400</v>
      </c>
      <c r="J6" s="137">
        <f>I6/F6</f>
        <v>9.2721372276309694E-2</v>
      </c>
      <c r="K6" s="141">
        <v>130</v>
      </c>
      <c r="L6" s="137">
        <f>K6/F6</f>
        <v>3.013444598980065E-2</v>
      </c>
      <c r="M6" s="129">
        <v>65</v>
      </c>
      <c r="N6" s="137">
        <f>M6/F6</f>
        <v>1.5067222994900325E-2</v>
      </c>
      <c r="O6" s="181">
        <f>(F6-I6-K6)</f>
        <v>3784</v>
      </c>
      <c r="P6" s="182">
        <f>O6/F6</f>
        <v>0.87714418173388964</v>
      </c>
      <c r="R6" s="40">
        <f t="shared" si="0"/>
        <v>9.272137227630969</v>
      </c>
      <c r="S6" s="40">
        <f t="shared" si="1"/>
        <v>3.0134445989800649</v>
      </c>
      <c r="T6" s="40">
        <f t="shared" si="2"/>
        <v>1.5067222994900324</v>
      </c>
      <c r="U6" s="40">
        <f t="shared" si="3"/>
        <v>87.714418173388964</v>
      </c>
      <c r="W6" s="40" t="str">
        <f t="shared" si="4"/>
        <v>update catalogo_servicios set costo_servicio = 236, costo = 4550, honorarios = 4314, utilidad = 3784, porcentaje_utilidad = 87.714418173389, comision_venta_monto=400, porcentaje_venta=9.27213722763097, comision_operativa_monto=130, porcentaje_operativa=3.01344459898006, comision_gestion_monto=65, porcentaje_gestion=1.50672229949003 where id = 6;</v>
      </c>
    </row>
    <row r="7" spans="1:23" ht="16" thickBot="1" x14ac:dyDescent="0.25">
      <c r="A7" s="287" t="s">
        <v>387</v>
      </c>
      <c r="B7" s="286" t="s">
        <v>388</v>
      </c>
      <c r="C7" s="328">
        <f>IF(B7="","",VLOOKUP(B7,catalogo_servicios!$B$1:$C$106,2,0))</f>
        <v>14</v>
      </c>
      <c r="D7" s="17" t="s">
        <v>238</v>
      </c>
      <c r="E7" s="58">
        <v>0</v>
      </c>
      <c r="F7" s="10">
        <f>G7-E7</f>
        <v>750</v>
      </c>
      <c r="G7" s="183">
        <v>750</v>
      </c>
      <c r="H7" s="105">
        <f>(G7*0.16)+G7</f>
        <v>870</v>
      </c>
      <c r="I7" s="141">
        <f>(F7*0.1)</f>
        <v>75</v>
      </c>
      <c r="J7" s="185">
        <f>I7/F7</f>
        <v>0.1</v>
      </c>
      <c r="K7" s="141">
        <v>0</v>
      </c>
      <c r="L7" s="185">
        <f>K7/F7</f>
        <v>0</v>
      </c>
      <c r="M7" s="129">
        <v>15</v>
      </c>
      <c r="N7" s="185">
        <f>M7/F7</f>
        <v>0.02</v>
      </c>
      <c r="O7" s="186">
        <f>(F7-I7-K7)</f>
        <v>675</v>
      </c>
      <c r="P7" s="187">
        <f>O7/F7</f>
        <v>0.9</v>
      </c>
      <c r="R7" s="40">
        <f t="shared" si="0"/>
        <v>10</v>
      </c>
      <c r="S7" s="40">
        <f t="shared" si="1"/>
        <v>0</v>
      </c>
      <c r="T7" s="40">
        <f t="shared" si="2"/>
        <v>2</v>
      </c>
      <c r="U7" s="40">
        <f t="shared" si="3"/>
        <v>90</v>
      </c>
      <c r="W7" s="40" t="str">
        <f t="shared" si="4"/>
        <v>update catalogo_servicios set costo_servicio = 0, costo = 750, honorarios = 750, utilidad = 675, porcentaje_utilidad = 90, comision_venta_monto=75, porcentaje_venta=10, comision_operativa_monto=0, porcentaje_operativa=0, comision_gestion_monto=15, porcentaje_gestion=2 where id = 14;</v>
      </c>
    </row>
    <row r="8" spans="1:23" ht="15" thickBot="1" x14ac:dyDescent="0.25">
      <c r="A8" s="318" t="s">
        <v>177</v>
      </c>
      <c r="B8" s="319"/>
      <c r="C8" s="328" t="str">
        <f>IF(B8="","",VLOOKUP(B8,catalogo_servicios!$B$1:$C$106,2,0))</f>
        <v/>
      </c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20"/>
      <c r="R8" s="40">
        <f t="shared" si="0"/>
        <v>0</v>
      </c>
      <c r="S8" s="40">
        <f t="shared" si="1"/>
        <v>0</v>
      </c>
      <c r="T8" s="40">
        <f t="shared" si="2"/>
        <v>0</v>
      </c>
      <c r="U8" s="40">
        <f t="shared" si="3"/>
        <v>0</v>
      </c>
      <c r="W8" s="40" t="str">
        <f t="shared" si="4"/>
        <v/>
      </c>
    </row>
    <row r="9" spans="1:23" ht="14" x14ac:dyDescent="0.2">
      <c r="A9" s="60"/>
      <c r="B9" s="263"/>
      <c r="C9" s="328" t="str">
        <f>IF(B9="","",VLOOKUP(B9,catalogo_servicios!$B$1:$C$106,2,0))</f>
        <v/>
      </c>
      <c r="D9" s="61" t="s">
        <v>46</v>
      </c>
      <c r="E9" s="207">
        <v>1238</v>
      </c>
      <c r="F9" s="62"/>
      <c r="G9" s="208">
        <f t="shared" ref="G9:G20" si="5">E9+F9</f>
        <v>1238</v>
      </c>
      <c r="H9" s="197">
        <f t="shared" ref="H9:H20" si="6">(G9*0.16)+G9</f>
        <v>1436.08</v>
      </c>
      <c r="I9" s="142">
        <f t="shared" ref="I9:I20" si="7">(F9*0.06)</f>
        <v>0</v>
      </c>
      <c r="J9" s="198" t="e">
        <f t="shared" ref="J9:J20" si="8">I9/F9</f>
        <v>#DIV/0!</v>
      </c>
      <c r="K9" s="142">
        <f t="shared" ref="K9:K20" si="9">(F9*0.2)</f>
        <v>0</v>
      </c>
      <c r="L9" s="198" t="e">
        <f t="shared" ref="L9:L20" si="10">K9/F9</f>
        <v>#DIV/0!</v>
      </c>
      <c r="M9" s="142">
        <f t="shared" ref="M9:M20" si="11">(F9*0.005)</f>
        <v>0</v>
      </c>
      <c r="N9" s="198" t="e">
        <f t="shared" ref="N9:N20" si="12">M9/F9</f>
        <v>#DIV/0!</v>
      </c>
      <c r="O9" s="199">
        <f t="shared" ref="O9:O20" si="13">(F9-I9-K9)</f>
        <v>0</v>
      </c>
      <c r="P9" s="200" t="e">
        <f t="shared" ref="P9:P20" si="14">O9/F9</f>
        <v>#DIV/0!</v>
      </c>
      <c r="R9" s="40" t="e">
        <f t="shared" si="0"/>
        <v>#DIV/0!</v>
      </c>
      <c r="S9" s="40" t="e">
        <f t="shared" si="1"/>
        <v>#DIV/0!</v>
      </c>
      <c r="T9" s="40" t="e">
        <f t="shared" si="2"/>
        <v>#DIV/0!</v>
      </c>
      <c r="U9" s="40" t="e">
        <f t="shared" si="3"/>
        <v>#DIV/0!</v>
      </c>
      <c r="W9" s="40" t="str">
        <f t="shared" si="4"/>
        <v/>
      </c>
    </row>
    <row r="10" spans="1:23" ht="14" x14ac:dyDescent="0.2">
      <c r="A10" s="28"/>
      <c r="B10" s="260"/>
      <c r="C10" s="328" t="str">
        <f>IF(B10="","",VLOOKUP(B10,catalogo_servicios!$B$1:$C$106,2,0))</f>
        <v/>
      </c>
      <c r="D10" s="4" t="s">
        <v>47</v>
      </c>
      <c r="E10" s="53">
        <v>781</v>
      </c>
      <c r="F10" s="5"/>
      <c r="G10" s="196">
        <f t="shared" si="5"/>
        <v>781</v>
      </c>
      <c r="H10" s="13">
        <f t="shared" si="6"/>
        <v>905.96</v>
      </c>
      <c r="I10" s="129">
        <f t="shared" si="7"/>
        <v>0</v>
      </c>
      <c r="J10" s="137" t="e">
        <f t="shared" si="8"/>
        <v>#DIV/0!</v>
      </c>
      <c r="K10" s="129">
        <f t="shared" si="9"/>
        <v>0</v>
      </c>
      <c r="L10" s="137" t="e">
        <f t="shared" si="10"/>
        <v>#DIV/0!</v>
      </c>
      <c r="M10" s="129">
        <f t="shared" si="11"/>
        <v>0</v>
      </c>
      <c r="N10" s="137" t="e">
        <f t="shared" si="12"/>
        <v>#DIV/0!</v>
      </c>
      <c r="O10" s="181">
        <f t="shared" si="13"/>
        <v>0</v>
      </c>
      <c r="P10" s="201" t="e">
        <f t="shared" si="14"/>
        <v>#DIV/0!</v>
      </c>
      <c r="R10" s="40" t="e">
        <f t="shared" si="0"/>
        <v>#DIV/0!</v>
      </c>
      <c r="S10" s="40" t="e">
        <f t="shared" si="1"/>
        <v>#DIV/0!</v>
      </c>
      <c r="T10" s="40" t="e">
        <f t="shared" si="2"/>
        <v>#DIV/0!</v>
      </c>
      <c r="U10" s="40" t="e">
        <f t="shared" si="3"/>
        <v>#DIV/0!</v>
      </c>
      <c r="W10" s="40" t="str">
        <f t="shared" si="4"/>
        <v/>
      </c>
    </row>
    <row r="11" spans="1:23" ht="14" x14ac:dyDescent="0.2">
      <c r="A11" s="28"/>
      <c r="B11" s="260"/>
      <c r="C11" s="328" t="str">
        <f>IF(B11="","",VLOOKUP(B11,catalogo_servicios!$B$1:$C$106,2,0))</f>
        <v/>
      </c>
      <c r="D11" s="4" t="s">
        <v>48</v>
      </c>
      <c r="E11" s="53">
        <v>1238</v>
      </c>
      <c r="F11" s="5">
        <v>1000</v>
      </c>
      <c r="G11" s="196">
        <f t="shared" si="5"/>
        <v>2238</v>
      </c>
      <c r="H11" s="13">
        <f t="shared" si="6"/>
        <v>2596.08</v>
      </c>
      <c r="I11" s="129">
        <f t="shared" si="7"/>
        <v>60</v>
      </c>
      <c r="J11" s="137">
        <f t="shared" si="8"/>
        <v>0.06</v>
      </c>
      <c r="K11" s="129">
        <f t="shared" si="9"/>
        <v>200</v>
      </c>
      <c r="L11" s="137">
        <f t="shared" si="10"/>
        <v>0.2</v>
      </c>
      <c r="M11" s="129">
        <f t="shared" si="11"/>
        <v>5</v>
      </c>
      <c r="N11" s="137">
        <f t="shared" si="12"/>
        <v>5.0000000000000001E-3</v>
      </c>
      <c r="O11" s="181">
        <f t="shared" si="13"/>
        <v>740</v>
      </c>
      <c r="P11" s="201">
        <f t="shared" si="14"/>
        <v>0.74</v>
      </c>
      <c r="R11" s="40">
        <f t="shared" si="0"/>
        <v>6</v>
      </c>
      <c r="S11" s="40">
        <f t="shared" si="1"/>
        <v>20</v>
      </c>
      <c r="T11" s="40">
        <f t="shared" si="2"/>
        <v>0.5</v>
      </c>
      <c r="U11" s="40">
        <f t="shared" si="3"/>
        <v>74</v>
      </c>
      <c r="W11" s="40" t="str">
        <f t="shared" si="4"/>
        <v/>
      </c>
    </row>
    <row r="12" spans="1:23" ht="14" x14ac:dyDescent="0.2">
      <c r="A12" s="28"/>
      <c r="B12" s="260"/>
      <c r="C12" s="328" t="str">
        <f>IF(B12="","",VLOOKUP(B12,catalogo_servicios!$B$1:$C$106,2,0))</f>
        <v/>
      </c>
      <c r="D12" s="4" t="s">
        <v>49</v>
      </c>
      <c r="E12" s="53">
        <v>619</v>
      </c>
      <c r="F12" s="5">
        <v>1000</v>
      </c>
      <c r="G12" s="196">
        <f t="shared" si="5"/>
        <v>1619</v>
      </c>
      <c r="H12" s="13">
        <f t="shared" si="6"/>
        <v>1878.04</v>
      </c>
      <c r="I12" s="129">
        <f t="shared" si="7"/>
        <v>60</v>
      </c>
      <c r="J12" s="137">
        <f t="shared" si="8"/>
        <v>0.06</v>
      </c>
      <c r="K12" s="129">
        <f t="shared" si="9"/>
        <v>200</v>
      </c>
      <c r="L12" s="137">
        <f t="shared" si="10"/>
        <v>0.2</v>
      </c>
      <c r="M12" s="129">
        <f t="shared" si="11"/>
        <v>5</v>
      </c>
      <c r="N12" s="137">
        <f t="shared" si="12"/>
        <v>5.0000000000000001E-3</v>
      </c>
      <c r="O12" s="181">
        <f t="shared" si="13"/>
        <v>740</v>
      </c>
      <c r="P12" s="201">
        <f t="shared" si="14"/>
        <v>0.74</v>
      </c>
      <c r="R12" s="40">
        <f t="shared" si="0"/>
        <v>6</v>
      </c>
      <c r="S12" s="40">
        <f t="shared" si="1"/>
        <v>20</v>
      </c>
      <c r="T12" s="40">
        <f t="shared" si="2"/>
        <v>0.5</v>
      </c>
      <c r="U12" s="40">
        <f t="shared" si="3"/>
        <v>74</v>
      </c>
      <c r="W12" s="40" t="str">
        <f t="shared" si="4"/>
        <v/>
      </c>
    </row>
    <row r="13" spans="1:23" ht="14" x14ac:dyDescent="0.2">
      <c r="A13" s="28"/>
      <c r="B13" s="260"/>
      <c r="C13" s="328" t="str">
        <f>IF(B13="","",VLOOKUP(B13,catalogo_servicios!$B$1:$C$106,2,0))</f>
        <v/>
      </c>
      <c r="D13" s="4" t="s">
        <v>50</v>
      </c>
      <c r="E13" s="53">
        <v>1643</v>
      </c>
      <c r="F13" s="5"/>
      <c r="G13" s="196">
        <f t="shared" si="5"/>
        <v>1643</v>
      </c>
      <c r="H13" s="13">
        <f t="shared" si="6"/>
        <v>1905.88</v>
      </c>
      <c r="I13" s="129">
        <f t="shared" si="7"/>
        <v>0</v>
      </c>
      <c r="J13" s="137" t="e">
        <f t="shared" si="8"/>
        <v>#DIV/0!</v>
      </c>
      <c r="K13" s="129">
        <f t="shared" si="9"/>
        <v>0</v>
      </c>
      <c r="L13" s="137" t="e">
        <f t="shared" si="10"/>
        <v>#DIV/0!</v>
      </c>
      <c r="M13" s="129">
        <f t="shared" si="11"/>
        <v>0</v>
      </c>
      <c r="N13" s="137" t="e">
        <f t="shared" si="12"/>
        <v>#DIV/0!</v>
      </c>
      <c r="O13" s="181">
        <f t="shared" si="13"/>
        <v>0</v>
      </c>
      <c r="P13" s="201" t="e">
        <f t="shared" si="14"/>
        <v>#DIV/0!</v>
      </c>
      <c r="R13" s="40" t="e">
        <f t="shared" si="0"/>
        <v>#DIV/0!</v>
      </c>
      <c r="S13" s="40" t="e">
        <f t="shared" si="1"/>
        <v>#DIV/0!</v>
      </c>
      <c r="T13" s="40" t="e">
        <f t="shared" si="2"/>
        <v>#DIV/0!</v>
      </c>
      <c r="U13" s="40" t="e">
        <f t="shared" si="3"/>
        <v>#DIV/0!</v>
      </c>
      <c r="W13" s="40" t="str">
        <f t="shared" si="4"/>
        <v/>
      </c>
    </row>
    <row r="14" spans="1:23" ht="14" x14ac:dyDescent="0.2">
      <c r="A14" s="28"/>
      <c r="B14" s="260"/>
      <c r="C14" s="328" t="str">
        <f>IF(B14="","",VLOOKUP(B14,catalogo_servicios!$B$1:$C$106,2,0))</f>
        <v/>
      </c>
      <c r="D14" s="4" t="s">
        <v>51</v>
      </c>
      <c r="E14" s="53">
        <v>168</v>
      </c>
      <c r="F14" s="5">
        <v>500</v>
      </c>
      <c r="G14" s="196">
        <f t="shared" si="5"/>
        <v>668</v>
      </c>
      <c r="H14" s="13">
        <f t="shared" si="6"/>
        <v>774.88</v>
      </c>
      <c r="I14" s="129">
        <f t="shared" si="7"/>
        <v>30</v>
      </c>
      <c r="J14" s="137">
        <f t="shared" si="8"/>
        <v>0.06</v>
      </c>
      <c r="K14" s="129">
        <f t="shared" si="9"/>
        <v>100</v>
      </c>
      <c r="L14" s="137">
        <f t="shared" si="10"/>
        <v>0.2</v>
      </c>
      <c r="M14" s="129">
        <f t="shared" si="11"/>
        <v>2.5</v>
      </c>
      <c r="N14" s="137">
        <f t="shared" si="12"/>
        <v>5.0000000000000001E-3</v>
      </c>
      <c r="O14" s="181">
        <f t="shared" si="13"/>
        <v>370</v>
      </c>
      <c r="P14" s="201">
        <f t="shared" si="14"/>
        <v>0.74</v>
      </c>
      <c r="R14" s="40">
        <f t="shared" si="0"/>
        <v>6</v>
      </c>
      <c r="S14" s="40">
        <f t="shared" si="1"/>
        <v>20</v>
      </c>
      <c r="T14" s="40">
        <f t="shared" si="2"/>
        <v>0.5</v>
      </c>
      <c r="U14" s="40">
        <f t="shared" si="3"/>
        <v>74</v>
      </c>
      <c r="W14" s="40" t="str">
        <f t="shared" si="4"/>
        <v/>
      </c>
    </row>
    <row r="15" spans="1:23" ht="14" x14ac:dyDescent="0.2">
      <c r="A15" s="28"/>
      <c r="B15" s="260"/>
      <c r="C15" s="328" t="str">
        <f>IF(B15="","",VLOOKUP(B15,catalogo_servicios!$B$1:$C$106,2,0))</f>
        <v/>
      </c>
      <c r="D15" s="4" t="s">
        <v>52</v>
      </c>
      <c r="E15" s="53">
        <v>1857</v>
      </c>
      <c r="F15" s="5"/>
      <c r="G15" s="196">
        <f t="shared" si="5"/>
        <v>1857</v>
      </c>
      <c r="H15" s="13">
        <f t="shared" si="6"/>
        <v>2154.12</v>
      </c>
      <c r="I15" s="129">
        <f t="shared" si="7"/>
        <v>0</v>
      </c>
      <c r="J15" s="137" t="e">
        <f t="shared" si="8"/>
        <v>#DIV/0!</v>
      </c>
      <c r="K15" s="129">
        <f t="shared" si="9"/>
        <v>0</v>
      </c>
      <c r="L15" s="137" t="e">
        <f t="shared" si="10"/>
        <v>#DIV/0!</v>
      </c>
      <c r="M15" s="129">
        <f t="shared" si="11"/>
        <v>0</v>
      </c>
      <c r="N15" s="137" t="e">
        <f t="shared" si="12"/>
        <v>#DIV/0!</v>
      </c>
      <c r="O15" s="181">
        <f t="shared" si="13"/>
        <v>0</v>
      </c>
      <c r="P15" s="201" t="e">
        <f t="shared" si="14"/>
        <v>#DIV/0!</v>
      </c>
      <c r="R15" s="40" t="e">
        <f t="shared" si="0"/>
        <v>#DIV/0!</v>
      </c>
      <c r="S15" s="40" t="e">
        <f t="shared" si="1"/>
        <v>#DIV/0!</v>
      </c>
      <c r="T15" s="40" t="e">
        <f t="shared" si="2"/>
        <v>#DIV/0!</v>
      </c>
      <c r="U15" s="40" t="e">
        <f t="shared" si="3"/>
        <v>#DIV/0!</v>
      </c>
      <c r="W15" s="40" t="str">
        <f t="shared" si="4"/>
        <v/>
      </c>
    </row>
    <row r="16" spans="1:23" ht="14" x14ac:dyDescent="0.2">
      <c r="A16" s="28"/>
      <c r="B16" s="260"/>
      <c r="C16" s="328" t="str">
        <f>IF(B16="","",VLOOKUP(B16,catalogo_servicios!$B$1:$C$106,2,0))</f>
        <v/>
      </c>
      <c r="D16" s="4" t="s">
        <v>53</v>
      </c>
      <c r="E16" s="53">
        <v>1734</v>
      </c>
      <c r="F16" s="5"/>
      <c r="G16" s="196">
        <f t="shared" si="5"/>
        <v>1734</v>
      </c>
      <c r="H16" s="13">
        <f t="shared" si="6"/>
        <v>2011.44</v>
      </c>
      <c r="I16" s="129">
        <f t="shared" si="7"/>
        <v>0</v>
      </c>
      <c r="J16" s="137" t="e">
        <f t="shared" si="8"/>
        <v>#DIV/0!</v>
      </c>
      <c r="K16" s="129">
        <f t="shared" si="9"/>
        <v>0</v>
      </c>
      <c r="L16" s="137" t="e">
        <f t="shared" si="10"/>
        <v>#DIV/0!</v>
      </c>
      <c r="M16" s="129">
        <f t="shared" si="11"/>
        <v>0</v>
      </c>
      <c r="N16" s="137" t="e">
        <f t="shared" si="12"/>
        <v>#DIV/0!</v>
      </c>
      <c r="O16" s="181">
        <f t="shared" si="13"/>
        <v>0</v>
      </c>
      <c r="P16" s="201" t="e">
        <f t="shared" si="14"/>
        <v>#DIV/0!</v>
      </c>
      <c r="R16" s="40" t="e">
        <f t="shared" si="0"/>
        <v>#DIV/0!</v>
      </c>
      <c r="S16" s="40" t="e">
        <f t="shared" si="1"/>
        <v>#DIV/0!</v>
      </c>
      <c r="T16" s="40" t="e">
        <f t="shared" si="2"/>
        <v>#DIV/0!</v>
      </c>
      <c r="U16" s="40" t="e">
        <f t="shared" si="3"/>
        <v>#DIV/0!</v>
      </c>
      <c r="W16" s="40" t="str">
        <f t="shared" si="4"/>
        <v/>
      </c>
    </row>
    <row r="17" spans="1:23" ht="14" x14ac:dyDescent="0.2">
      <c r="A17" s="28"/>
      <c r="B17" s="260"/>
      <c r="C17" s="328" t="str">
        <f>IF(B17="","",VLOOKUP(B17,catalogo_servicios!$B$1:$C$106,2,0))</f>
        <v/>
      </c>
      <c r="D17" s="4" t="s">
        <v>54</v>
      </c>
      <c r="E17" s="53">
        <v>154</v>
      </c>
      <c r="F17" s="5"/>
      <c r="G17" s="196">
        <f t="shared" si="5"/>
        <v>154</v>
      </c>
      <c r="H17" s="13">
        <f t="shared" si="6"/>
        <v>178.64</v>
      </c>
      <c r="I17" s="129">
        <f t="shared" si="7"/>
        <v>0</v>
      </c>
      <c r="J17" s="137" t="e">
        <f t="shared" si="8"/>
        <v>#DIV/0!</v>
      </c>
      <c r="K17" s="129">
        <f t="shared" si="9"/>
        <v>0</v>
      </c>
      <c r="L17" s="137" t="e">
        <f t="shared" si="10"/>
        <v>#DIV/0!</v>
      </c>
      <c r="M17" s="129">
        <f t="shared" si="11"/>
        <v>0</v>
      </c>
      <c r="N17" s="137" t="e">
        <f t="shared" si="12"/>
        <v>#DIV/0!</v>
      </c>
      <c r="O17" s="181">
        <f t="shared" si="13"/>
        <v>0</v>
      </c>
      <c r="P17" s="201" t="e">
        <f t="shared" si="14"/>
        <v>#DIV/0!</v>
      </c>
      <c r="R17" s="40" t="e">
        <f t="shared" si="0"/>
        <v>#DIV/0!</v>
      </c>
      <c r="S17" s="40" t="e">
        <f t="shared" si="1"/>
        <v>#DIV/0!</v>
      </c>
      <c r="T17" s="40" t="e">
        <f t="shared" si="2"/>
        <v>#DIV/0!</v>
      </c>
      <c r="U17" s="40" t="e">
        <f t="shared" si="3"/>
        <v>#DIV/0!</v>
      </c>
      <c r="W17" s="40" t="str">
        <f t="shared" si="4"/>
        <v/>
      </c>
    </row>
    <row r="18" spans="1:23" ht="14" x14ac:dyDescent="0.2">
      <c r="A18" s="28"/>
      <c r="B18" s="260"/>
      <c r="C18" s="328" t="str">
        <f>IF(B18="","",VLOOKUP(B18,catalogo_servicios!$B$1:$C$106,2,0))</f>
        <v/>
      </c>
      <c r="D18" s="4" t="s">
        <v>55</v>
      </c>
      <c r="E18" s="53">
        <v>0</v>
      </c>
      <c r="F18" s="5"/>
      <c r="G18" s="196">
        <f t="shared" si="5"/>
        <v>0</v>
      </c>
      <c r="H18" s="13">
        <f t="shared" si="6"/>
        <v>0</v>
      </c>
      <c r="I18" s="129">
        <f t="shared" si="7"/>
        <v>0</v>
      </c>
      <c r="J18" s="137" t="e">
        <f t="shared" si="8"/>
        <v>#DIV/0!</v>
      </c>
      <c r="K18" s="129">
        <f t="shared" si="9"/>
        <v>0</v>
      </c>
      <c r="L18" s="137" t="e">
        <f t="shared" si="10"/>
        <v>#DIV/0!</v>
      </c>
      <c r="M18" s="129">
        <f t="shared" si="11"/>
        <v>0</v>
      </c>
      <c r="N18" s="137" t="e">
        <f t="shared" si="12"/>
        <v>#DIV/0!</v>
      </c>
      <c r="O18" s="181">
        <f t="shared" si="13"/>
        <v>0</v>
      </c>
      <c r="P18" s="201" t="e">
        <f t="shared" si="14"/>
        <v>#DIV/0!</v>
      </c>
      <c r="R18" s="40" t="e">
        <f t="shared" si="0"/>
        <v>#DIV/0!</v>
      </c>
      <c r="S18" s="40" t="e">
        <f t="shared" si="1"/>
        <v>#DIV/0!</v>
      </c>
      <c r="T18" s="40" t="e">
        <f t="shared" si="2"/>
        <v>#DIV/0!</v>
      </c>
      <c r="U18" s="40" t="e">
        <f t="shared" si="3"/>
        <v>#DIV/0!</v>
      </c>
      <c r="W18" s="40" t="str">
        <f t="shared" si="4"/>
        <v/>
      </c>
    </row>
    <row r="19" spans="1:23" ht="14" x14ac:dyDescent="0.2">
      <c r="A19" s="28"/>
      <c r="B19" s="260"/>
      <c r="C19" s="328" t="str">
        <f>IF(B19="","",VLOOKUP(B19,catalogo_servicios!$B$1:$C$106,2,0))</f>
        <v/>
      </c>
      <c r="D19" s="4" t="s">
        <v>56</v>
      </c>
      <c r="E19" s="53">
        <v>0</v>
      </c>
      <c r="F19" s="5"/>
      <c r="G19" s="196">
        <f t="shared" si="5"/>
        <v>0</v>
      </c>
      <c r="H19" s="13">
        <f t="shared" si="6"/>
        <v>0</v>
      </c>
      <c r="I19" s="129">
        <f t="shared" si="7"/>
        <v>0</v>
      </c>
      <c r="J19" s="137" t="e">
        <f t="shared" si="8"/>
        <v>#DIV/0!</v>
      </c>
      <c r="K19" s="129">
        <f t="shared" si="9"/>
        <v>0</v>
      </c>
      <c r="L19" s="137" t="e">
        <f t="shared" si="10"/>
        <v>#DIV/0!</v>
      </c>
      <c r="M19" s="129">
        <f t="shared" si="11"/>
        <v>0</v>
      </c>
      <c r="N19" s="137" t="e">
        <f t="shared" si="12"/>
        <v>#DIV/0!</v>
      </c>
      <c r="O19" s="181">
        <f t="shared" si="13"/>
        <v>0</v>
      </c>
      <c r="P19" s="201" t="e">
        <f t="shared" si="14"/>
        <v>#DIV/0!</v>
      </c>
      <c r="R19" s="40" t="e">
        <f t="shared" si="0"/>
        <v>#DIV/0!</v>
      </c>
      <c r="S19" s="40" t="e">
        <f t="shared" si="1"/>
        <v>#DIV/0!</v>
      </c>
      <c r="T19" s="40" t="e">
        <f t="shared" si="2"/>
        <v>#DIV/0!</v>
      </c>
      <c r="U19" s="40" t="e">
        <f t="shared" si="3"/>
        <v>#DIV/0!</v>
      </c>
      <c r="W19" s="40" t="str">
        <f t="shared" si="4"/>
        <v/>
      </c>
    </row>
    <row r="20" spans="1:23" ht="15" thickBot="1" x14ac:dyDescent="0.25">
      <c r="A20" s="29"/>
      <c r="B20" s="261"/>
      <c r="C20" s="328" t="str">
        <f>IF(B20="","",VLOOKUP(B20,catalogo_servicios!$B$1:$C$106,2,0))</f>
        <v/>
      </c>
      <c r="D20" s="51"/>
      <c r="E20" s="37"/>
      <c r="F20" s="37"/>
      <c r="G20" s="202">
        <f t="shared" si="5"/>
        <v>0</v>
      </c>
      <c r="H20" s="203">
        <f t="shared" si="6"/>
        <v>0</v>
      </c>
      <c r="I20" s="143">
        <f t="shared" si="7"/>
        <v>0</v>
      </c>
      <c r="J20" s="204" t="e">
        <f t="shared" si="8"/>
        <v>#DIV/0!</v>
      </c>
      <c r="K20" s="143">
        <f t="shared" si="9"/>
        <v>0</v>
      </c>
      <c r="L20" s="204" t="e">
        <f t="shared" si="10"/>
        <v>#DIV/0!</v>
      </c>
      <c r="M20" s="143">
        <f t="shared" si="11"/>
        <v>0</v>
      </c>
      <c r="N20" s="204" t="e">
        <f t="shared" si="12"/>
        <v>#DIV/0!</v>
      </c>
      <c r="O20" s="205">
        <f t="shared" si="13"/>
        <v>0</v>
      </c>
      <c r="P20" s="206" t="e">
        <f t="shared" si="14"/>
        <v>#DIV/0!</v>
      </c>
      <c r="R20" s="40" t="e">
        <f t="shared" si="0"/>
        <v>#DIV/0!</v>
      </c>
      <c r="S20" s="40" t="e">
        <f t="shared" si="1"/>
        <v>#DIV/0!</v>
      </c>
      <c r="T20" s="40" t="e">
        <f t="shared" si="2"/>
        <v>#DIV/0!</v>
      </c>
      <c r="U20" s="40" t="e">
        <f t="shared" si="3"/>
        <v>#DIV/0!</v>
      </c>
      <c r="W20" s="40" t="str">
        <f t="shared" si="4"/>
        <v/>
      </c>
    </row>
    <row r="21" spans="1:23" ht="13.5" customHeight="1" thickBot="1" x14ac:dyDescent="0.25">
      <c r="A21" s="315" t="s">
        <v>178</v>
      </c>
      <c r="B21" s="316"/>
      <c r="C21" s="328" t="str">
        <f>IF(B21="","",VLOOKUP(B21,catalogo_servicios!$B$1:$C$106,2,0))</f>
        <v/>
      </c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7"/>
      <c r="R21" s="40">
        <f t="shared" si="0"/>
        <v>0</v>
      </c>
      <c r="S21" s="40">
        <f t="shared" si="1"/>
        <v>0</v>
      </c>
      <c r="T21" s="40">
        <f t="shared" si="2"/>
        <v>0</v>
      </c>
      <c r="U21" s="40">
        <f t="shared" si="3"/>
        <v>0</v>
      </c>
      <c r="W21" s="40" t="str">
        <f t="shared" si="4"/>
        <v/>
      </c>
    </row>
    <row r="22" spans="1:23" ht="31" thickBot="1" x14ac:dyDescent="0.25">
      <c r="A22" s="287" t="s">
        <v>389</v>
      </c>
      <c r="B22" s="286" t="s">
        <v>390</v>
      </c>
      <c r="C22" s="328">
        <f>IF(B22="","",VLOOKUP(B22,catalogo_servicios!$B$1:$C$106,2,0))</f>
        <v>13</v>
      </c>
      <c r="D22" s="61" t="s">
        <v>136</v>
      </c>
      <c r="E22" s="142">
        <v>197</v>
      </c>
      <c r="F22" s="62">
        <f t="shared" ref="F22:F28" si="15">G22-E22</f>
        <v>583</v>
      </c>
      <c r="G22" s="197">
        <v>780</v>
      </c>
      <c r="H22" s="197">
        <f t="shared" ref="H22:H41" si="16">(G22*0.16)+G22</f>
        <v>904.8</v>
      </c>
      <c r="I22" s="142">
        <v>55</v>
      </c>
      <c r="J22" s="198">
        <f t="shared" ref="J22:J41" si="17">I22/F22</f>
        <v>9.4339622641509441E-2</v>
      </c>
      <c r="K22" s="142">
        <v>20</v>
      </c>
      <c r="L22" s="198">
        <f t="shared" ref="L22:L41" si="18">K22/F22</f>
        <v>3.430531732418525E-2</v>
      </c>
      <c r="M22" s="142">
        <v>20</v>
      </c>
      <c r="N22" s="198">
        <f t="shared" ref="N22:N41" si="19">M22/F22</f>
        <v>3.430531732418525E-2</v>
      </c>
      <c r="O22" s="199">
        <f t="shared" ref="O22:O41" si="20">(F22-I22-K22)</f>
        <v>508</v>
      </c>
      <c r="P22" s="200">
        <f t="shared" ref="P22:P41" si="21">O22/F22</f>
        <v>0.8713550600343053</v>
      </c>
      <c r="R22" s="40">
        <f t="shared" si="0"/>
        <v>9.433962264150944</v>
      </c>
      <c r="S22" s="40">
        <f t="shared" si="1"/>
        <v>3.4305317324185252</v>
      </c>
      <c r="T22" s="40">
        <f t="shared" si="2"/>
        <v>3.4305317324185252</v>
      </c>
      <c r="U22" s="40">
        <f t="shared" si="3"/>
        <v>87.135506003430535</v>
      </c>
      <c r="W22" s="40" t="str">
        <f t="shared" si="4"/>
        <v>update catalogo_servicios set costo_servicio = 197, costo = 780, honorarios = 583, utilidad = 508, porcentaje_utilidad = 87.1355060034305, comision_venta_monto=55, porcentaje_venta=9.43396226415094, comision_operativa_monto=20, porcentaje_operativa=3.43053173241853, comision_gestion_monto=20, porcentaje_gestion=3.43053173241853 where id = 13;</v>
      </c>
    </row>
    <row r="23" spans="1:23" ht="31" thickBot="1" x14ac:dyDescent="0.25">
      <c r="A23" s="287" t="s">
        <v>391</v>
      </c>
      <c r="B23" s="286" t="s">
        <v>392</v>
      </c>
      <c r="C23" s="328">
        <f>IF(B23="","",VLOOKUP(B23,catalogo_servicios!$B$1:$C$106,2,0))</f>
        <v>12</v>
      </c>
      <c r="D23" s="4" t="s">
        <v>240</v>
      </c>
      <c r="E23" s="129">
        <v>318</v>
      </c>
      <c r="F23" s="5">
        <f t="shared" si="15"/>
        <v>582</v>
      </c>
      <c r="G23" s="13">
        <v>900</v>
      </c>
      <c r="H23" s="13">
        <f t="shared" si="16"/>
        <v>1044</v>
      </c>
      <c r="I23" s="141">
        <v>55</v>
      </c>
      <c r="J23" s="137">
        <f t="shared" si="17"/>
        <v>9.4501718213058417E-2</v>
      </c>
      <c r="K23" s="141">
        <v>20</v>
      </c>
      <c r="L23" s="137">
        <f t="shared" si="18"/>
        <v>3.4364261168384883E-2</v>
      </c>
      <c r="M23" s="129">
        <v>20</v>
      </c>
      <c r="N23" s="137">
        <f t="shared" si="19"/>
        <v>3.4364261168384883E-2</v>
      </c>
      <c r="O23" s="181">
        <f t="shared" si="20"/>
        <v>507</v>
      </c>
      <c r="P23" s="201">
        <f t="shared" si="21"/>
        <v>0.87113402061855671</v>
      </c>
      <c r="R23" s="40">
        <f t="shared" si="0"/>
        <v>9.4501718213058421</v>
      </c>
      <c r="S23" s="40">
        <f t="shared" si="1"/>
        <v>3.4364261168384882</v>
      </c>
      <c r="T23" s="40">
        <f t="shared" si="2"/>
        <v>3.4364261168384882</v>
      </c>
      <c r="U23" s="40">
        <f t="shared" si="3"/>
        <v>87.113402061855666</v>
      </c>
      <c r="W23" s="40" t="str">
        <f t="shared" si="4"/>
        <v>update catalogo_servicios set costo_servicio = 318, costo = 900, honorarios = 582, utilidad = 507, porcentaje_utilidad = 87.1134020618557, comision_venta_monto=55, porcentaje_venta=9.45017182130584, comision_operativa_monto=20, porcentaje_operativa=3.43642611683849, comision_gestion_monto=20, porcentaje_gestion=3.43642611683849 where id = 12;</v>
      </c>
    </row>
    <row r="24" spans="1:23" ht="31" thickBot="1" x14ac:dyDescent="0.25">
      <c r="A24" s="287" t="s">
        <v>393</v>
      </c>
      <c r="B24" s="286" t="s">
        <v>394</v>
      </c>
      <c r="C24" s="328">
        <f>IF(B24="","",VLOOKUP(B24,catalogo_servicios!$B$1:$C$106,2,0))</f>
        <v>10</v>
      </c>
      <c r="D24" s="4" t="s">
        <v>57</v>
      </c>
      <c r="E24" s="129">
        <v>1867</v>
      </c>
      <c r="F24" s="5">
        <f t="shared" si="15"/>
        <v>1883</v>
      </c>
      <c r="G24" s="13">
        <v>3750</v>
      </c>
      <c r="H24" s="13">
        <f t="shared" si="16"/>
        <v>4350</v>
      </c>
      <c r="I24" s="141">
        <v>200</v>
      </c>
      <c r="J24" s="137">
        <f t="shared" si="17"/>
        <v>0.10621348911311737</v>
      </c>
      <c r="K24" s="141">
        <v>55</v>
      </c>
      <c r="L24" s="137">
        <f t="shared" si="18"/>
        <v>2.9208709506107277E-2</v>
      </c>
      <c r="M24" s="129">
        <v>20</v>
      </c>
      <c r="N24" s="137">
        <f t="shared" si="19"/>
        <v>1.0621348911311737E-2</v>
      </c>
      <c r="O24" s="181">
        <f t="shared" si="20"/>
        <v>1628</v>
      </c>
      <c r="P24" s="201">
        <f t="shared" si="21"/>
        <v>0.86457780138077533</v>
      </c>
      <c r="R24" s="40">
        <f t="shared" si="0"/>
        <v>10.621348911311737</v>
      </c>
      <c r="S24" s="40">
        <f t="shared" si="1"/>
        <v>2.9208709506107278</v>
      </c>
      <c r="T24" s="40">
        <f t="shared" si="2"/>
        <v>1.0621348911311737</v>
      </c>
      <c r="U24" s="40">
        <f t="shared" si="3"/>
        <v>86.457780138077538</v>
      </c>
      <c r="W24" s="40" t="str">
        <f t="shared" si="4"/>
        <v>update catalogo_servicios set costo_servicio = 1867, costo = 3750, honorarios = 1883, utilidad = 1628, porcentaje_utilidad = 86.4577801380775, comision_venta_monto=200, porcentaje_venta=10.6213489113117, comision_operativa_monto=55, porcentaje_operativa=2.92087095061073, comision_gestion_monto=20, porcentaje_gestion=1.06213489113117 where id = 10;</v>
      </c>
    </row>
    <row r="25" spans="1:23" ht="31" thickBot="1" x14ac:dyDescent="0.25">
      <c r="A25" s="287" t="s">
        <v>395</v>
      </c>
      <c r="B25" s="288" t="s">
        <v>396</v>
      </c>
      <c r="C25" s="328">
        <f>IF(B25="","",VLOOKUP(B25,catalogo_servicios!$B$1:$C$106,2,0))</f>
        <v>8</v>
      </c>
      <c r="D25" s="4" t="s">
        <v>58</v>
      </c>
      <c r="E25" s="129">
        <v>980</v>
      </c>
      <c r="F25" s="5">
        <f t="shared" si="15"/>
        <v>1010</v>
      </c>
      <c r="G25" s="13">
        <v>1990</v>
      </c>
      <c r="H25" s="13">
        <f>(G25*0.16)+G25</f>
        <v>2308.4</v>
      </c>
      <c r="I25" s="141">
        <v>100</v>
      </c>
      <c r="J25" s="137">
        <f t="shared" si="17"/>
        <v>9.9009900990099015E-2</v>
      </c>
      <c r="K25" s="141">
        <v>30</v>
      </c>
      <c r="L25" s="137">
        <f t="shared" si="18"/>
        <v>2.9702970297029702E-2</v>
      </c>
      <c r="M25" s="129">
        <v>15</v>
      </c>
      <c r="N25" s="137">
        <f t="shared" si="19"/>
        <v>1.4851485148514851E-2</v>
      </c>
      <c r="O25" s="181">
        <f t="shared" si="20"/>
        <v>880</v>
      </c>
      <c r="P25" s="201">
        <f t="shared" si="21"/>
        <v>0.87128712871287128</v>
      </c>
      <c r="R25" s="40">
        <f t="shared" si="0"/>
        <v>9.9009900990099009</v>
      </c>
      <c r="S25" s="40">
        <f t="shared" si="1"/>
        <v>2.9702970297029703</v>
      </c>
      <c r="T25" s="40">
        <f t="shared" si="2"/>
        <v>1.4851485148514851</v>
      </c>
      <c r="U25" s="40">
        <f t="shared" si="3"/>
        <v>87.128712871287135</v>
      </c>
      <c r="W25" s="40" t="str">
        <f t="shared" si="4"/>
        <v>update catalogo_servicios set costo_servicio = 980, costo = 1990, honorarios = 1010, utilidad = 880, porcentaje_utilidad = 87.1287128712871, comision_venta_monto=100, porcentaje_venta=9.9009900990099, comision_operativa_monto=30, porcentaje_operativa=2.97029702970297, comision_gestion_monto=15, porcentaje_gestion=1.48514851485149 where id = 8;</v>
      </c>
    </row>
    <row r="26" spans="1:23" ht="43" thickBot="1" x14ac:dyDescent="0.25">
      <c r="A26" s="289" t="s">
        <v>397</v>
      </c>
      <c r="B26" s="288" t="s">
        <v>398</v>
      </c>
      <c r="C26" s="328">
        <f>IF(B26="","",VLOOKUP(B26,catalogo_servicios!$B$1:$C$106,2,0))</f>
        <v>11</v>
      </c>
      <c r="D26" s="4" t="s">
        <v>137</v>
      </c>
      <c r="E26" s="129">
        <v>3688</v>
      </c>
      <c r="F26" s="5">
        <f t="shared" si="15"/>
        <v>2562</v>
      </c>
      <c r="G26" s="13">
        <v>6250</v>
      </c>
      <c r="H26" s="13">
        <f t="shared" si="16"/>
        <v>7250</v>
      </c>
      <c r="I26" s="141">
        <v>250</v>
      </c>
      <c r="J26" s="137">
        <f t="shared" si="17"/>
        <v>9.7580015612802495E-2</v>
      </c>
      <c r="K26" s="141">
        <v>80</v>
      </c>
      <c r="L26" s="137">
        <f t="shared" si="18"/>
        <v>3.1225604996096799E-2</v>
      </c>
      <c r="M26" s="129">
        <v>25</v>
      </c>
      <c r="N26" s="137">
        <f t="shared" si="19"/>
        <v>9.7580015612802502E-3</v>
      </c>
      <c r="O26" s="181">
        <f t="shared" si="20"/>
        <v>2232</v>
      </c>
      <c r="P26" s="201">
        <f t="shared" si="21"/>
        <v>0.87119437939110067</v>
      </c>
      <c r="R26" s="40">
        <f t="shared" si="0"/>
        <v>9.7580015612802491</v>
      </c>
      <c r="S26" s="40">
        <f t="shared" si="1"/>
        <v>3.1225604996096799</v>
      </c>
      <c r="T26" s="40">
        <f t="shared" si="2"/>
        <v>0.97580015612802506</v>
      </c>
      <c r="U26" s="40">
        <f t="shared" si="3"/>
        <v>87.119437939110071</v>
      </c>
      <c r="W26" s="40" t="str">
        <f t="shared" si="4"/>
        <v>update catalogo_servicios set costo_servicio = 3688, costo = 6250, honorarios = 2562, utilidad = 2232, porcentaje_utilidad = 87.1194379391101, comision_venta_monto=250, porcentaje_venta=9.75800156128025, comision_operativa_monto=80, porcentaje_operativa=3.12256049960968, comision_gestion_monto=25, porcentaje_gestion=0.975800156128025 where id = 11;</v>
      </c>
    </row>
    <row r="27" spans="1:23" ht="46" thickBot="1" x14ac:dyDescent="0.25">
      <c r="A27" s="287" t="s">
        <v>399</v>
      </c>
      <c r="B27" s="288" t="s">
        <v>400</v>
      </c>
      <c r="C27" s="328">
        <f>IF(B27="","",VLOOKUP(B27,catalogo_servicios!$B$1:$C$106,2,0))</f>
        <v>15</v>
      </c>
      <c r="D27" s="4" t="s">
        <v>239</v>
      </c>
      <c r="E27" s="129">
        <v>0</v>
      </c>
      <c r="F27" s="5">
        <f t="shared" si="15"/>
        <v>1500</v>
      </c>
      <c r="G27" s="13">
        <v>1500</v>
      </c>
      <c r="H27" s="13">
        <f t="shared" si="16"/>
        <v>1740</v>
      </c>
      <c r="I27" s="141">
        <f>(F27*0.1)</f>
        <v>150</v>
      </c>
      <c r="J27" s="137">
        <f t="shared" si="17"/>
        <v>0.1</v>
      </c>
      <c r="K27" s="141">
        <v>0</v>
      </c>
      <c r="L27" s="137">
        <f t="shared" si="18"/>
        <v>0</v>
      </c>
      <c r="M27" s="129">
        <v>25</v>
      </c>
      <c r="N27" s="137">
        <f t="shared" si="19"/>
        <v>1.6666666666666666E-2</v>
      </c>
      <c r="O27" s="181">
        <f t="shared" si="20"/>
        <v>1350</v>
      </c>
      <c r="P27" s="201">
        <f t="shared" si="21"/>
        <v>0.9</v>
      </c>
      <c r="R27" s="40">
        <f t="shared" si="0"/>
        <v>10</v>
      </c>
      <c r="S27" s="40">
        <f t="shared" si="1"/>
        <v>0</v>
      </c>
      <c r="T27" s="40">
        <f t="shared" si="2"/>
        <v>1.6666666666666667</v>
      </c>
      <c r="U27" s="40">
        <f t="shared" si="3"/>
        <v>90</v>
      </c>
      <c r="W27" s="40" t="str">
        <f t="shared" si="4"/>
        <v>update catalogo_servicios set costo_servicio = 0, costo = 1500, honorarios = 1500, utilidad = 1350, porcentaje_utilidad = 90, comision_venta_monto=150, porcentaje_venta=10, comision_operativa_monto=0, porcentaje_operativa=0, comision_gestion_monto=25, porcentaje_gestion=1.66666666666667 where id = 15;</v>
      </c>
    </row>
    <row r="28" spans="1:23" ht="43" thickBot="1" x14ac:dyDescent="0.25">
      <c r="A28" s="287" t="s">
        <v>401</v>
      </c>
      <c r="B28" s="288" t="s">
        <v>402</v>
      </c>
      <c r="C28" s="328">
        <f>IF(B28="","",VLOOKUP(B28,catalogo_servicios!$B$1:$C$106,2,0))</f>
        <v>9</v>
      </c>
      <c r="D28" s="51" t="s">
        <v>138</v>
      </c>
      <c r="E28" s="143">
        <v>1929</v>
      </c>
      <c r="F28" s="37">
        <f t="shared" si="15"/>
        <v>2571</v>
      </c>
      <c r="G28" s="203">
        <v>4500</v>
      </c>
      <c r="H28" s="203">
        <f t="shared" si="16"/>
        <v>5220</v>
      </c>
      <c r="I28" s="215">
        <v>250</v>
      </c>
      <c r="J28" s="204">
        <f t="shared" si="17"/>
        <v>9.723842862699339E-2</v>
      </c>
      <c r="K28" s="215">
        <v>80</v>
      </c>
      <c r="L28" s="204">
        <f t="shared" si="18"/>
        <v>3.1116297160637883E-2</v>
      </c>
      <c r="M28" s="143">
        <v>25</v>
      </c>
      <c r="N28" s="204">
        <f t="shared" si="19"/>
        <v>9.723842862699339E-3</v>
      </c>
      <c r="O28" s="205">
        <f t="shared" si="20"/>
        <v>2241</v>
      </c>
      <c r="P28" s="206">
        <f t="shared" si="21"/>
        <v>0.8716452742123687</v>
      </c>
      <c r="R28" s="40">
        <f t="shared" si="0"/>
        <v>9.723842862699339</v>
      </c>
      <c r="S28" s="40">
        <f t="shared" si="1"/>
        <v>3.1116297160637885</v>
      </c>
      <c r="T28" s="40">
        <f t="shared" si="2"/>
        <v>0.9723842862699339</v>
      </c>
      <c r="U28" s="40">
        <f t="shared" si="3"/>
        <v>87.164527421236869</v>
      </c>
      <c r="W28" s="40" t="str">
        <f t="shared" si="4"/>
        <v>update catalogo_servicios set costo_servicio = 1929, costo = 4500, honorarios = 2571, utilidad = 2241, porcentaje_utilidad = 87.1645274212369, comision_venta_monto=250, porcentaje_venta=9.72384286269934, comision_operativa_monto=80, porcentaje_operativa=3.11162971606379, comision_gestion_monto=25, porcentaje_gestion=0.972384286269934 where id = 9;</v>
      </c>
    </row>
    <row r="29" spans="1:23" ht="14" x14ac:dyDescent="0.15">
      <c r="A29" s="30"/>
      <c r="B29" s="259"/>
      <c r="C29" s="259"/>
      <c r="D29" s="57" t="s">
        <v>59</v>
      </c>
      <c r="E29" s="141">
        <v>980</v>
      </c>
      <c r="F29" s="36"/>
      <c r="G29" s="213">
        <f t="shared" ref="G29:G41" si="22">E29+F29</f>
        <v>980</v>
      </c>
      <c r="H29" s="50">
        <f t="shared" si="16"/>
        <v>1136.8</v>
      </c>
      <c r="I29" s="141">
        <f t="shared" ref="I29:I41" si="23">(F29*0.06)</f>
        <v>0</v>
      </c>
      <c r="J29" s="188" t="e">
        <f t="shared" si="17"/>
        <v>#DIV/0!</v>
      </c>
      <c r="K29" s="141">
        <f t="shared" ref="K29:K41" si="24">(F29*0.2)</f>
        <v>0</v>
      </c>
      <c r="L29" s="188" t="e">
        <f t="shared" si="18"/>
        <v>#DIV/0!</v>
      </c>
      <c r="M29" s="141">
        <f t="shared" ref="M29:M41" si="25">(F29*0.005)</f>
        <v>0</v>
      </c>
      <c r="N29" s="188" t="e">
        <f t="shared" si="19"/>
        <v>#DIV/0!</v>
      </c>
      <c r="O29" s="189">
        <f t="shared" si="20"/>
        <v>0</v>
      </c>
      <c r="P29" s="214" t="e">
        <f t="shared" si="21"/>
        <v>#DIV/0!</v>
      </c>
      <c r="R29" s="40" t="e">
        <f t="shared" si="0"/>
        <v>#DIV/0!</v>
      </c>
      <c r="S29" s="40" t="e">
        <f t="shared" si="1"/>
        <v>#DIV/0!</v>
      </c>
      <c r="T29" s="40" t="e">
        <f t="shared" si="2"/>
        <v>#DIV/0!</v>
      </c>
      <c r="U29" s="40" t="e">
        <f t="shared" si="3"/>
        <v>#DIV/0!</v>
      </c>
      <c r="W29" s="40" t="str">
        <f t="shared" si="4"/>
        <v/>
      </c>
    </row>
    <row r="30" spans="1:23" ht="14" x14ac:dyDescent="0.15">
      <c r="A30" s="28"/>
      <c r="B30" s="260"/>
      <c r="C30" s="260"/>
      <c r="D30" s="4" t="s">
        <v>60</v>
      </c>
      <c r="E30" s="5">
        <v>11</v>
      </c>
      <c r="F30" s="5"/>
      <c r="G30" s="196">
        <f t="shared" si="22"/>
        <v>11</v>
      </c>
      <c r="H30" s="13">
        <f t="shared" si="16"/>
        <v>12.76</v>
      </c>
      <c r="I30" s="129">
        <f t="shared" si="23"/>
        <v>0</v>
      </c>
      <c r="J30" s="137" t="e">
        <f t="shared" si="17"/>
        <v>#DIV/0!</v>
      </c>
      <c r="K30" s="129">
        <f t="shared" si="24"/>
        <v>0</v>
      </c>
      <c r="L30" s="137" t="e">
        <f t="shared" si="18"/>
        <v>#DIV/0!</v>
      </c>
      <c r="M30" s="129">
        <f t="shared" si="25"/>
        <v>0</v>
      </c>
      <c r="N30" s="137" t="e">
        <f t="shared" si="19"/>
        <v>#DIV/0!</v>
      </c>
      <c r="O30" s="181">
        <f t="shared" si="20"/>
        <v>0</v>
      </c>
      <c r="P30" s="201" t="e">
        <f t="shared" si="21"/>
        <v>#DIV/0!</v>
      </c>
      <c r="R30" s="40" t="e">
        <f t="shared" si="0"/>
        <v>#DIV/0!</v>
      </c>
      <c r="S30" s="40" t="e">
        <f t="shared" si="1"/>
        <v>#DIV/0!</v>
      </c>
      <c r="T30" s="40" t="e">
        <f t="shared" si="2"/>
        <v>#DIV/0!</v>
      </c>
      <c r="U30" s="40" t="e">
        <f t="shared" si="3"/>
        <v>#DIV/0!</v>
      </c>
      <c r="W30" s="40" t="str">
        <f t="shared" si="4"/>
        <v/>
      </c>
    </row>
    <row r="31" spans="1:23" ht="14" x14ac:dyDescent="0.15">
      <c r="A31" s="28"/>
      <c r="B31" s="260"/>
      <c r="C31" s="260"/>
      <c r="D31" s="4" t="s">
        <v>61</v>
      </c>
      <c r="E31" s="129">
        <v>18</v>
      </c>
      <c r="F31" s="5"/>
      <c r="G31" s="196">
        <f t="shared" si="22"/>
        <v>18</v>
      </c>
      <c r="H31" s="13">
        <f t="shared" si="16"/>
        <v>20.88</v>
      </c>
      <c r="I31" s="129">
        <f t="shared" si="23"/>
        <v>0</v>
      </c>
      <c r="J31" s="137" t="e">
        <f t="shared" si="17"/>
        <v>#DIV/0!</v>
      </c>
      <c r="K31" s="129">
        <f t="shared" si="24"/>
        <v>0</v>
      </c>
      <c r="L31" s="137" t="e">
        <f t="shared" si="18"/>
        <v>#DIV/0!</v>
      </c>
      <c r="M31" s="129">
        <f t="shared" si="25"/>
        <v>0</v>
      </c>
      <c r="N31" s="137" t="e">
        <f t="shared" si="19"/>
        <v>#DIV/0!</v>
      </c>
      <c r="O31" s="181">
        <f t="shared" si="20"/>
        <v>0</v>
      </c>
      <c r="P31" s="201" t="e">
        <f t="shared" si="21"/>
        <v>#DIV/0!</v>
      </c>
      <c r="R31" s="40" t="e">
        <f t="shared" si="0"/>
        <v>#DIV/0!</v>
      </c>
      <c r="S31" s="40" t="e">
        <f t="shared" si="1"/>
        <v>#DIV/0!</v>
      </c>
      <c r="T31" s="40" t="e">
        <f t="shared" si="2"/>
        <v>#DIV/0!</v>
      </c>
      <c r="U31" s="40" t="e">
        <f t="shared" si="3"/>
        <v>#DIV/0!</v>
      </c>
      <c r="W31" s="40" t="str">
        <f t="shared" si="4"/>
        <v/>
      </c>
    </row>
    <row r="32" spans="1:23" ht="14" x14ac:dyDescent="0.15">
      <c r="A32" s="28"/>
      <c r="B32" s="260"/>
      <c r="C32" s="260"/>
      <c r="D32" s="4" t="s">
        <v>62</v>
      </c>
      <c r="E32" s="129">
        <v>0</v>
      </c>
      <c r="F32" s="5"/>
      <c r="G32" s="196">
        <f t="shared" si="22"/>
        <v>0</v>
      </c>
      <c r="H32" s="13">
        <f t="shared" si="16"/>
        <v>0</v>
      </c>
      <c r="I32" s="129">
        <f t="shared" si="23"/>
        <v>0</v>
      </c>
      <c r="J32" s="137" t="e">
        <f t="shared" si="17"/>
        <v>#DIV/0!</v>
      </c>
      <c r="K32" s="129">
        <f t="shared" si="24"/>
        <v>0</v>
      </c>
      <c r="L32" s="137" t="e">
        <f t="shared" si="18"/>
        <v>#DIV/0!</v>
      </c>
      <c r="M32" s="129">
        <f t="shared" si="25"/>
        <v>0</v>
      </c>
      <c r="N32" s="137" t="e">
        <f t="shared" si="19"/>
        <v>#DIV/0!</v>
      </c>
      <c r="O32" s="181">
        <f t="shared" si="20"/>
        <v>0</v>
      </c>
      <c r="P32" s="201" t="e">
        <f t="shared" si="21"/>
        <v>#DIV/0!</v>
      </c>
      <c r="R32" s="40" t="e">
        <f t="shared" si="0"/>
        <v>#DIV/0!</v>
      </c>
      <c r="S32" s="40" t="e">
        <f t="shared" si="1"/>
        <v>#DIV/0!</v>
      </c>
      <c r="T32" s="40" t="e">
        <f t="shared" si="2"/>
        <v>#DIV/0!</v>
      </c>
      <c r="U32" s="40" t="e">
        <f t="shared" si="3"/>
        <v>#DIV/0!</v>
      </c>
      <c r="W32" s="40" t="str">
        <f t="shared" si="4"/>
        <v/>
      </c>
    </row>
    <row r="33" spans="1:23" ht="28" x14ac:dyDescent="0.15">
      <c r="A33" s="28"/>
      <c r="B33" s="260"/>
      <c r="C33" s="260"/>
      <c r="D33" s="4" t="s">
        <v>63</v>
      </c>
      <c r="E33" s="129">
        <v>0</v>
      </c>
      <c r="F33" s="5"/>
      <c r="G33" s="196">
        <f t="shared" si="22"/>
        <v>0</v>
      </c>
      <c r="H33" s="13">
        <f t="shared" si="16"/>
        <v>0</v>
      </c>
      <c r="I33" s="129">
        <f t="shared" si="23"/>
        <v>0</v>
      </c>
      <c r="J33" s="137" t="e">
        <f t="shared" si="17"/>
        <v>#DIV/0!</v>
      </c>
      <c r="K33" s="129">
        <f t="shared" si="24"/>
        <v>0</v>
      </c>
      <c r="L33" s="137" t="e">
        <f t="shared" si="18"/>
        <v>#DIV/0!</v>
      </c>
      <c r="M33" s="129">
        <f t="shared" si="25"/>
        <v>0</v>
      </c>
      <c r="N33" s="137" t="e">
        <f t="shared" si="19"/>
        <v>#DIV/0!</v>
      </c>
      <c r="O33" s="181">
        <f t="shared" si="20"/>
        <v>0</v>
      </c>
      <c r="P33" s="201" t="e">
        <f t="shared" si="21"/>
        <v>#DIV/0!</v>
      </c>
      <c r="R33" s="40" t="e">
        <f t="shared" si="0"/>
        <v>#DIV/0!</v>
      </c>
      <c r="S33" s="40" t="e">
        <f t="shared" si="1"/>
        <v>#DIV/0!</v>
      </c>
      <c r="T33" s="40" t="e">
        <f t="shared" si="2"/>
        <v>#DIV/0!</v>
      </c>
      <c r="U33" s="40" t="e">
        <f t="shared" si="3"/>
        <v>#DIV/0!</v>
      </c>
      <c r="W33" s="40" t="str">
        <f t="shared" si="4"/>
        <v/>
      </c>
    </row>
    <row r="34" spans="1:23" ht="14" x14ac:dyDescent="0.15">
      <c r="A34" s="28"/>
      <c r="B34" s="260"/>
      <c r="C34" s="260"/>
      <c r="D34" s="4" t="s">
        <v>64</v>
      </c>
      <c r="E34" s="129">
        <v>202</v>
      </c>
      <c r="F34" s="5">
        <v>500</v>
      </c>
      <c r="G34" s="196">
        <f t="shared" si="22"/>
        <v>702</v>
      </c>
      <c r="H34" s="13">
        <f t="shared" si="16"/>
        <v>814.32</v>
      </c>
      <c r="I34" s="129">
        <f t="shared" si="23"/>
        <v>30</v>
      </c>
      <c r="J34" s="137">
        <f t="shared" si="17"/>
        <v>0.06</v>
      </c>
      <c r="K34" s="129">
        <f t="shared" si="24"/>
        <v>100</v>
      </c>
      <c r="L34" s="137">
        <f t="shared" si="18"/>
        <v>0.2</v>
      </c>
      <c r="M34" s="129">
        <f t="shared" si="25"/>
        <v>2.5</v>
      </c>
      <c r="N34" s="137">
        <f t="shared" si="19"/>
        <v>5.0000000000000001E-3</v>
      </c>
      <c r="O34" s="181">
        <f t="shared" si="20"/>
        <v>370</v>
      </c>
      <c r="P34" s="201">
        <f t="shared" si="21"/>
        <v>0.74</v>
      </c>
      <c r="R34" s="40">
        <f t="shared" si="0"/>
        <v>6</v>
      </c>
      <c r="S34" s="40">
        <f t="shared" si="1"/>
        <v>20</v>
      </c>
      <c r="T34" s="40">
        <f t="shared" si="2"/>
        <v>0.5</v>
      </c>
      <c r="U34" s="40">
        <f t="shared" si="3"/>
        <v>74</v>
      </c>
      <c r="W34" s="40" t="str">
        <f t="shared" si="4"/>
        <v/>
      </c>
    </row>
    <row r="35" spans="1:23" ht="42" x14ac:dyDescent="0.15">
      <c r="A35" s="28"/>
      <c r="B35" s="260"/>
      <c r="C35" s="260"/>
      <c r="D35" s="4" t="s">
        <v>105</v>
      </c>
      <c r="E35" s="129"/>
      <c r="F35" s="5"/>
      <c r="G35" s="196">
        <f t="shared" si="22"/>
        <v>0</v>
      </c>
      <c r="H35" s="13">
        <f t="shared" si="16"/>
        <v>0</v>
      </c>
      <c r="I35" s="129">
        <f t="shared" si="23"/>
        <v>0</v>
      </c>
      <c r="J35" s="137" t="e">
        <f t="shared" si="17"/>
        <v>#DIV/0!</v>
      </c>
      <c r="K35" s="129">
        <f t="shared" si="24"/>
        <v>0</v>
      </c>
      <c r="L35" s="137" t="e">
        <f t="shared" si="18"/>
        <v>#DIV/0!</v>
      </c>
      <c r="M35" s="129">
        <f t="shared" si="25"/>
        <v>0</v>
      </c>
      <c r="N35" s="137" t="e">
        <f t="shared" si="19"/>
        <v>#DIV/0!</v>
      </c>
      <c r="O35" s="181">
        <f t="shared" si="20"/>
        <v>0</v>
      </c>
      <c r="P35" s="201" t="e">
        <f t="shared" si="21"/>
        <v>#DIV/0!</v>
      </c>
      <c r="R35" s="40" t="e">
        <f t="shared" si="0"/>
        <v>#DIV/0!</v>
      </c>
      <c r="S35" s="40" t="e">
        <f t="shared" si="1"/>
        <v>#DIV/0!</v>
      </c>
      <c r="T35" s="40" t="e">
        <f t="shared" si="2"/>
        <v>#DIV/0!</v>
      </c>
      <c r="U35" s="40" t="e">
        <f t="shared" si="3"/>
        <v>#DIV/0!</v>
      </c>
      <c r="W35" s="40" t="str">
        <f t="shared" si="4"/>
        <v/>
      </c>
    </row>
    <row r="36" spans="1:23" ht="14" x14ac:dyDescent="0.15">
      <c r="A36" s="28"/>
      <c r="B36" s="260"/>
      <c r="C36" s="260"/>
      <c r="D36" s="4" t="s">
        <v>65</v>
      </c>
      <c r="E36" s="129">
        <v>202</v>
      </c>
      <c r="F36" s="5"/>
      <c r="G36" s="196">
        <f t="shared" si="22"/>
        <v>202</v>
      </c>
      <c r="H36" s="13">
        <f t="shared" si="16"/>
        <v>234.32</v>
      </c>
      <c r="I36" s="129">
        <f t="shared" si="23"/>
        <v>0</v>
      </c>
      <c r="J36" s="137" t="e">
        <f t="shared" si="17"/>
        <v>#DIV/0!</v>
      </c>
      <c r="K36" s="129">
        <f t="shared" si="24"/>
        <v>0</v>
      </c>
      <c r="L36" s="137" t="e">
        <f t="shared" si="18"/>
        <v>#DIV/0!</v>
      </c>
      <c r="M36" s="129">
        <f t="shared" si="25"/>
        <v>0</v>
      </c>
      <c r="N36" s="137" t="e">
        <f t="shared" si="19"/>
        <v>#DIV/0!</v>
      </c>
      <c r="O36" s="181">
        <f t="shared" si="20"/>
        <v>0</v>
      </c>
      <c r="P36" s="201" t="e">
        <f t="shared" si="21"/>
        <v>#DIV/0!</v>
      </c>
      <c r="R36" s="40" t="e">
        <f t="shared" si="0"/>
        <v>#DIV/0!</v>
      </c>
      <c r="S36" s="40" t="e">
        <f t="shared" si="1"/>
        <v>#DIV/0!</v>
      </c>
      <c r="T36" s="40" t="e">
        <f t="shared" si="2"/>
        <v>#DIV/0!</v>
      </c>
      <c r="U36" s="40" t="e">
        <f t="shared" si="3"/>
        <v>#DIV/0!</v>
      </c>
      <c r="W36" s="40" t="str">
        <f t="shared" si="4"/>
        <v/>
      </c>
    </row>
    <row r="37" spans="1:23" ht="14" x14ac:dyDescent="0.15">
      <c r="A37" s="28"/>
      <c r="B37" s="260"/>
      <c r="C37" s="260"/>
      <c r="D37" s="4" t="s">
        <v>106</v>
      </c>
      <c r="E37" s="5"/>
      <c r="F37" s="5"/>
      <c r="G37" s="196">
        <f t="shared" si="22"/>
        <v>0</v>
      </c>
      <c r="H37" s="13">
        <f t="shared" si="16"/>
        <v>0</v>
      </c>
      <c r="I37" s="129">
        <f t="shared" si="23"/>
        <v>0</v>
      </c>
      <c r="J37" s="137" t="e">
        <f t="shared" si="17"/>
        <v>#DIV/0!</v>
      </c>
      <c r="K37" s="129">
        <f t="shared" si="24"/>
        <v>0</v>
      </c>
      <c r="L37" s="137" t="e">
        <f t="shared" si="18"/>
        <v>#DIV/0!</v>
      </c>
      <c r="M37" s="129">
        <f t="shared" si="25"/>
        <v>0</v>
      </c>
      <c r="N37" s="137" t="e">
        <f t="shared" si="19"/>
        <v>#DIV/0!</v>
      </c>
      <c r="O37" s="181">
        <f t="shared" si="20"/>
        <v>0</v>
      </c>
      <c r="P37" s="201" t="e">
        <f t="shared" si="21"/>
        <v>#DIV/0!</v>
      </c>
      <c r="R37" s="40" t="e">
        <f t="shared" si="0"/>
        <v>#DIV/0!</v>
      </c>
      <c r="S37" s="40" t="e">
        <f t="shared" si="1"/>
        <v>#DIV/0!</v>
      </c>
      <c r="T37" s="40" t="e">
        <f t="shared" si="2"/>
        <v>#DIV/0!</v>
      </c>
      <c r="U37" s="40" t="e">
        <f t="shared" si="3"/>
        <v>#DIV/0!</v>
      </c>
      <c r="W37" s="40" t="str">
        <f t="shared" si="4"/>
        <v/>
      </c>
    </row>
    <row r="38" spans="1:23" ht="14" x14ac:dyDescent="0.15">
      <c r="A38" s="28"/>
      <c r="B38" s="260"/>
      <c r="C38" s="260"/>
      <c r="D38" s="4" t="s">
        <v>66</v>
      </c>
      <c r="E38" s="5">
        <v>0</v>
      </c>
      <c r="F38" s="5"/>
      <c r="G38" s="196">
        <f t="shared" si="22"/>
        <v>0</v>
      </c>
      <c r="H38" s="13">
        <f t="shared" si="16"/>
        <v>0</v>
      </c>
      <c r="I38" s="129">
        <f t="shared" si="23"/>
        <v>0</v>
      </c>
      <c r="J38" s="137" t="e">
        <f t="shared" si="17"/>
        <v>#DIV/0!</v>
      </c>
      <c r="K38" s="129">
        <f t="shared" si="24"/>
        <v>0</v>
      </c>
      <c r="L38" s="137" t="e">
        <f t="shared" si="18"/>
        <v>#DIV/0!</v>
      </c>
      <c r="M38" s="129">
        <f t="shared" si="25"/>
        <v>0</v>
      </c>
      <c r="N38" s="137" t="e">
        <f t="shared" si="19"/>
        <v>#DIV/0!</v>
      </c>
      <c r="O38" s="181">
        <f t="shared" si="20"/>
        <v>0</v>
      </c>
      <c r="P38" s="201" t="e">
        <f t="shared" si="21"/>
        <v>#DIV/0!</v>
      </c>
      <c r="R38" s="40" t="e">
        <f t="shared" si="0"/>
        <v>#DIV/0!</v>
      </c>
      <c r="S38" s="40" t="e">
        <f t="shared" si="1"/>
        <v>#DIV/0!</v>
      </c>
      <c r="T38" s="40" t="e">
        <f t="shared" si="2"/>
        <v>#DIV/0!</v>
      </c>
      <c r="U38" s="40" t="e">
        <f t="shared" si="3"/>
        <v>#DIV/0!</v>
      </c>
      <c r="W38" s="40" t="str">
        <f t="shared" si="4"/>
        <v/>
      </c>
    </row>
    <row r="39" spans="1:23" ht="42" x14ac:dyDescent="0.15">
      <c r="A39" s="28"/>
      <c r="B39" s="260"/>
      <c r="C39" s="260"/>
      <c r="D39" s="4" t="s">
        <v>67</v>
      </c>
      <c r="E39" s="5"/>
      <c r="F39" s="5"/>
      <c r="G39" s="196">
        <f t="shared" si="22"/>
        <v>0</v>
      </c>
      <c r="H39" s="13">
        <f t="shared" si="16"/>
        <v>0</v>
      </c>
      <c r="I39" s="129">
        <f t="shared" si="23"/>
        <v>0</v>
      </c>
      <c r="J39" s="137" t="e">
        <f t="shared" si="17"/>
        <v>#DIV/0!</v>
      </c>
      <c r="K39" s="129">
        <f t="shared" si="24"/>
        <v>0</v>
      </c>
      <c r="L39" s="137" t="e">
        <f t="shared" si="18"/>
        <v>#DIV/0!</v>
      </c>
      <c r="M39" s="129">
        <f t="shared" si="25"/>
        <v>0</v>
      </c>
      <c r="N39" s="137" t="e">
        <f t="shared" si="19"/>
        <v>#DIV/0!</v>
      </c>
      <c r="O39" s="181">
        <f t="shared" si="20"/>
        <v>0</v>
      </c>
      <c r="P39" s="201" t="e">
        <f t="shared" si="21"/>
        <v>#DIV/0!</v>
      </c>
      <c r="R39" s="40" t="e">
        <f t="shared" si="0"/>
        <v>#DIV/0!</v>
      </c>
      <c r="S39" s="40" t="e">
        <f t="shared" si="1"/>
        <v>#DIV/0!</v>
      </c>
      <c r="T39" s="40" t="e">
        <f t="shared" si="2"/>
        <v>#DIV/0!</v>
      </c>
      <c r="U39" s="40" t="e">
        <f t="shared" si="3"/>
        <v>#DIV/0!</v>
      </c>
      <c r="W39" s="40" t="str">
        <f t="shared" si="4"/>
        <v/>
      </c>
    </row>
    <row r="40" spans="1:23" ht="14" x14ac:dyDescent="0.15">
      <c r="A40" s="28"/>
      <c r="B40" s="260"/>
      <c r="C40" s="260"/>
      <c r="D40" s="4" t="s">
        <v>68</v>
      </c>
      <c r="E40" s="5"/>
      <c r="F40" s="5"/>
      <c r="G40" s="196">
        <f t="shared" si="22"/>
        <v>0</v>
      </c>
      <c r="H40" s="13">
        <f t="shared" si="16"/>
        <v>0</v>
      </c>
      <c r="I40" s="129">
        <f t="shared" si="23"/>
        <v>0</v>
      </c>
      <c r="J40" s="137" t="e">
        <f t="shared" si="17"/>
        <v>#DIV/0!</v>
      </c>
      <c r="K40" s="129">
        <f t="shared" si="24"/>
        <v>0</v>
      </c>
      <c r="L40" s="137" t="e">
        <f t="shared" si="18"/>
        <v>#DIV/0!</v>
      </c>
      <c r="M40" s="129">
        <f t="shared" si="25"/>
        <v>0</v>
      </c>
      <c r="N40" s="137" t="e">
        <f t="shared" si="19"/>
        <v>#DIV/0!</v>
      </c>
      <c r="O40" s="181">
        <f t="shared" si="20"/>
        <v>0</v>
      </c>
      <c r="P40" s="201" t="e">
        <f t="shared" si="21"/>
        <v>#DIV/0!</v>
      </c>
      <c r="R40" s="40" t="e">
        <f t="shared" si="0"/>
        <v>#DIV/0!</v>
      </c>
      <c r="S40" s="40" t="e">
        <f t="shared" si="1"/>
        <v>#DIV/0!</v>
      </c>
      <c r="T40" s="40" t="e">
        <f t="shared" si="2"/>
        <v>#DIV/0!</v>
      </c>
      <c r="U40" s="40" t="e">
        <f t="shared" si="3"/>
        <v>#DIV/0!</v>
      </c>
      <c r="W40" s="40" t="str">
        <f t="shared" si="4"/>
        <v/>
      </c>
    </row>
    <row r="41" spans="1:23" ht="14" thickBot="1" x14ac:dyDescent="0.2">
      <c r="A41" s="29"/>
      <c r="B41" s="261"/>
      <c r="C41" s="261"/>
      <c r="D41" s="51"/>
      <c r="E41" s="37"/>
      <c r="F41" s="37"/>
      <c r="G41" s="202">
        <f t="shared" si="22"/>
        <v>0</v>
      </c>
      <c r="H41" s="203">
        <f t="shared" si="16"/>
        <v>0</v>
      </c>
      <c r="I41" s="143">
        <f t="shared" si="23"/>
        <v>0</v>
      </c>
      <c r="J41" s="204" t="e">
        <f t="shared" si="17"/>
        <v>#DIV/0!</v>
      </c>
      <c r="K41" s="143">
        <f t="shared" si="24"/>
        <v>0</v>
      </c>
      <c r="L41" s="204" t="e">
        <f t="shared" si="18"/>
        <v>#DIV/0!</v>
      </c>
      <c r="M41" s="143">
        <f t="shared" si="25"/>
        <v>0</v>
      </c>
      <c r="N41" s="204" t="e">
        <f t="shared" si="19"/>
        <v>#DIV/0!</v>
      </c>
      <c r="O41" s="205">
        <f t="shared" si="20"/>
        <v>0</v>
      </c>
      <c r="P41" s="206" t="e">
        <f t="shared" si="21"/>
        <v>#DIV/0!</v>
      </c>
      <c r="R41" s="40" t="e">
        <f t="shared" si="0"/>
        <v>#DIV/0!</v>
      </c>
      <c r="S41" s="40" t="e">
        <f t="shared" si="1"/>
        <v>#DIV/0!</v>
      </c>
      <c r="T41" s="40" t="e">
        <f t="shared" si="2"/>
        <v>#DIV/0!</v>
      </c>
      <c r="U41" s="40" t="e">
        <f t="shared" si="3"/>
        <v>#DIV/0!</v>
      </c>
      <c r="W41" s="40" t="str">
        <f t="shared" si="4"/>
        <v/>
      </c>
    </row>
    <row r="42" spans="1:23" ht="12.75" customHeight="1" thickBot="1" x14ac:dyDescent="0.2">
      <c r="A42" s="325" t="s">
        <v>69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7"/>
      <c r="R42" s="40">
        <f t="shared" si="0"/>
        <v>0</v>
      </c>
      <c r="S42" s="40">
        <f t="shared" si="1"/>
        <v>0</v>
      </c>
      <c r="T42" s="40">
        <f t="shared" si="2"/>
        <v>0</v>
      </c>
      <c r="U42" s="40">
        <f t="shared" si="3"/>
        <v>0</v>
      </c>
      <c r="W42" s="40" t="str">
        <f t="shared" si="4"/>
        <v/>
      </c>
    </row>
    <row r="43" spans="1:23" ht="14" x14ac:dyDescent="0.15">
      <c r="A43" s="56"/>
      <c r="B43" s="56"/>
      <c r="C43" s="56"/>
      <c r="D43" s="57" t="s">
        <v>70</v>
      </c>
      <c r="E43" s="36">
        <v>431</v>
      </c>
      <c r="F43" s="36"/>
      <c r="G43" s="193">
        <f t="shared" ref="G43:G52" si="26">E43+F43</f>
        <v>431</v>
      </c>
      <c r="H43" s="21">
        <f t="shared" ref="H43:H52" si="27">(G43*0.16)+G43</f>
        <v>499.96000000000004</v>
      </c>
      <c r="I43" s="141">
        <f>(F43*0.06)</f>
        <v>0</v>
      </c>
      <c r="J43" s="188" t="e">
        <f>I43/F43</f>
        <v>#DIV/0!</v>
      </c>
      <c r="K43" s="141">
        <f>(F43*0.2)</f>
        <v>0</v>
      </c>
      <c r="L43" s="188" t="e">
        <f>K43/F43</f>
        <v>#DIV/0!</v>
      </c>
      <c r="M43" s="141">
        <f>(F43*0.005)</f>
        <v>0</v>
      </c>
      <c r="N43" s="188" t="e">
        <f>M43/F43</f>
        <v>#DIV/0!</v>
      </c>
      <c r="O43" s="189">
        <f>(F43-I43-K43)</f>
        <v>0</v>
      </c>
      <c r="P43" s="190" t="e">
        <f>O43/F43</f>
        <v>#DIV/0!</v>
      </c>
      <c r="R43" s="40" t="e">
        <f t="shared" si="0"/>
        <v>#DIV/0!</v>
      </c>
      <c r="S43" s="40" t="e">
        <f t="shared" si="1"/>
        <v>#DIV/0!</v>
      </c>
      <c r="T43" s="40" t="e">
        <f t="shared" si="2"/>
        <v>#DIV/0!</v>
      </c>
      <c r="U43" s="40" t="e">
        <f t="shared" si="3"/>
        <v>#DIV/0!</v>
      </c>
      <c r="W43" s="40" t="str">
        <f t="shared" si="4"/>
        <v/>
      </c>
    </row>
    <row r="44" spans="1:23" ht="14" x14ac:dyDescent="0.15">
      <c r="A44" s="35"/>
      <c r="B44" s="35"/>
      <c r="C44" s="35"/>
      <c r="D44" s="4" t="s">
        <v>71</v>
      </c>
      <c r="E44" s="53">
        <v>0</v>
      </c>
      <c r="F44" s="5"/>
      <c r="G44" s="194">
        <f t="shared" si="26"/>
        <v>0</v>
      </c>
      <c r="H44" s="21">
        <f t="shared" si="27"/>
        <v>0</v>
      </c>
      <c r="I44" s="129">
        <f>(F44*0.06)</f>
        <v>0</v>
      </c>
      <c r="J44" s="137" t="e">
        <f>I44/F44</f>
        <v>#DIV/0!</v>
      </c>
      <c r="K44" s="129">
        <f>(F44*0.2)</f>
        <v>0</v>
      </c>
      <c r="L44" s="137" t="e">
        <f>K44/F44</f>
        <v>#DIV/0!</v>
      </c>
      <c r="M44" s="129">
        <f>(F44*0.005)</f>
        <v>0</v>
      </c>
      <c r="N44" s="137" t="e">
        <f>M44/F44</f>
        <v>#DIV/0!</v>
      </c>
      <c r="O44" s="181">
        <f>(F44-I44-K44)</f>
        <v>0</v>
      </c>
      <c r="P44" s="182" t="e">
        <f>O44/F44</f>
        <v>#DIV/0!</v>
      </c>
      <c r="R44" s="40" t="e">
        <f t="shared" si="0"/>
        <v>#DIV/0!</v>
      </c>
      <c r="S44" s="40" t="e">
        <f t="shared" si="1"/>
        <v>#DIV/0!</v>
      </c>
      <c r="T44" s="40" t="e">
        <f t="shared" si="2"/>
        <v>#DIV/0!</v>
      </c>
      <c r="U44" s="40" t="e">
        <f t="shared" si="3"/>
        <v>#DIV/0!</v>
      </c>
      <c r="W44" s="40" t="str">
        <f t="shared" si="4"/>
        <v/>
      </c>
    </row>
    <row r="45" spans="1:23" ht="14" x14ac:dyDescent="0.15">
      <c r="A45" s="35"/>
      <c r="B45" s="35"/>
      <c r="C45" s="35"/>
      <c r="D45" s="4" t="s">
        <v>72</v>
      </c>
      <c r="E45" s="53">
        <v>0</v>
      </c>
      <c r="F45" s="5"/>
      <c r="G45" s="194">
        <f t="shared" si="26"/>
        <v>0</v>
      </c>
      <c r="H45" s="21">
        <f t="shared" si="27"/>
        <v>0</v>
      </c>
      <c r="I45" s="129">
        <f>(F45*0.06)</f>
        <v>0</v>
      </c>
      <c r="J45" s="137" t="e">
        <f>I45/F45</f>
        <v>#DIV/0!</v>
      </c>
      <c r="K45" s="129">
        <f>(F45*0.2)</f>
        <v>0</v>
      </c>
      <c r="L45" s="137" t="e">
        <f>K45/F45</f>
        <v>#DIV/0!</v>
      </c>
      <c r="M45" s="129">
        <f>(F45*0.005)</f>
        <v>0</v>
      </c>
      <c r="N45" s="137" t="e">
        <f>M45/F45</f>
        <v>#DIV/0!</v>
      </c>
      <c r="O45" s="181">
        <f>(F45-I45-K45)</f>
        <v>0</v>
      </c>
      <c r="P45" s="182" t="e">
        <f>O45/F45</f>
        <v>#DIV/0!</v>
      </c>
      <c r="R45" s="40" t="e">
        <f t="shared" si="0"/>
        <v>#DIV/0!</v>
      </c>
      <c r="S45" s="40" t="e">
        <f t="shared" si="1"/>
        <v>#DIV/0!</v>
      </c>
      <c r="T45" s="40" t="e">
        <f t="shared" si="2"/>
        <v>#DIV/0!</v>
      </c>
      <c r="U45" s="40" t="e">
        <f t="shared" si="3"/>
        <v>#DIV/0!</v>
      </c>
      <c r="W45" s="40" t="str">
        <f t="shared" si="4"/>
        <v/>
      </c>
    </row>
    <row r="46" spans="1:23" ht="14" thickBot="1" x14ac:dyDescent="0.2">
      <c r="A46" s="54"/>
      <c r="B46" s="54"/>
      <c r="C46" s="54"/>
      <c r="D46" s="17"/>
      <c r="E46" s="191"/>
      <c r="F46" s="10"/>
      <c r="G46" s="195">
        <f t="shared" si="26"/>
        <v>0</v>
      </c>
      <c r="H46" s="55">
        <f t="shared" si="27"/>
        <v>0</v>
      </c>
      <c r="I46" s="184">
        <f>(F46*0.06)</f>
        <v>0</v>
      </c>
      <c r="J46" s="185" t="e">
        <f>I46/F46</f>
        <v>#DIV/0!</v>
      </c>
      <c r="K46" s="184">
        <f>(F46*0.2)</f>
        <v>0</v>
      </c>
      <c r="L46" s="185" t="e">
        <f>K46/F46</f>
        <v>#DIV/0!</v>
      </c>
      <c r="M46" s="184">
        <f>(F46*0.005)</f>
        <v>0</v>
      </c>
      <c r="N46" s="185" t="e">
        <f>M46/F46</f>
        <v>#DIV/0!</v>
      </c>
      <c r="O46" s="186">
        <f>(F46-I46-K46)</f>
        <v>0</v>
      </c>
      <c r="P46" s="187" t="e">
        <f>O46/F46</f>
        <v>#DIV/0!</v>
      </c>
      <c r="R46" s="40" t="e">
        <f t="shared" si="0"/>
        <v>#DIV/0!</v>
      </c>
      <c r="S46" s="40" t="e">
        <f t="shared" si="1"/>
        <v>#DIV/0!</v>
      </c>
      <c r="T46" s="40" t="e">
        <f t="shared" si="2"/>
        <v>#DIV/0!</v>
      </c>
      <c r="U46" s="40" t="e">
        <f t="shared" si="3"/>
        <v>#DIV/0!</v>
      </c>
      <c r="W46" s="40" t="str">
        <f t="shared" si="4"/>
        <v/>
      </c>
    </row>
    <row r="47" spans="1:23" ht="12.75" customHeight="1" thickBot="1" x14ac:dyDescent="0.2">
      <c r="A47" s="315" t="s">
        <v>73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7"/>
      <c r="R47" s="40">
        <f t="shared" si="0"/>
        <v>0</v>
      </c>
      <c r="S47" s="40">
        <f t="shared" si="1"/>
        <v>0</v>
      </c>
      <c r="T47" s="40">
        <f t="shared" si="2"/>
        <v>0</v>
      </c>
      <c r="U47" s="40">
        <f t="shared" si="3"/>
        <v>0</v>
      </c>
      <c r="W47" s="40" t="str">
        <f t="shared" si="4"/>
        <v/>
      </c>
    </row>
    <row r="48" spans="1:23" ht="14" x14ac:dyDescent="0.15">
      <c r="A48" s="56"/>
      <c r="B48" s="56"/>
      <c r="C48" s="56"/>
      <c r="D48" s="57" t="s">
        <v>74</v>
      </c>
      <c r="E48" s="192">
        <v>0</v>
      </c>
      <c r="F48" s="36"/>
      <c r="G48" s="193">
        <f t="shared" si="26"/>
        <v>0</v>
      </c>
      <c r="H48" s="21">
        <f t="shared" si="27"/>
        <v>0</v>
      </c>
      <c r="I48" s="141">
        <f t="shared" ref="I48:I53" si="28">(F48*0.06)</f>
        <v>0</v>
      </c>
      <c r="J48" s="188" t="e">
        <f t="shared" ref="J48:J53" si="29">I48/F48</f>
        <v>#DIV/0!</v>
      </c>
      <c r="K48" s="141">
        <f t="shared" ref="K48:K53" si="30">(F48*0.2)</f>
        <v>0</v>
      </c>
      <c r="L48" s="188" t="e">
        <f t="shared" ref="L48:L53" si="31">K48/F48</f>
        <v>#DIV/0!</v>
      </c>
      <c r="M48" s="141">
        <f t="shared" ref="M48:M53" si="32">(F48*0.005)</f>
        <v>0</v>
      </c>
      <c r="N48" s="188" t="e">
        <f t="shared" ref="N48:N53" si="33">M48/F48</f>
        <v>#DIV/0!</v>
      </c>
      <c r="O48" s="189">
        <f t="shared" ref="O48:O53" si="34">(F48-I48-K48)</f>
        <v>0</v>
      </c>
      <c r="P48" s="190" t="e">
        <f t="shared" ref="P48:P53" si="35">O48/F48</f>
        <v>#DIV/0!</v>
      </c>
      <c r="R48" s="40" t="e">
        <f t="shared" si="0"/>
        <v>#DIV/0!</v>
      </c>
      <c r="S48" s="40" t="e">
        <f t="shared" si="1"/>
        <v>#DIV/0!</v>
      </c>
      <c r="T48" s="40" t="e">
        <f t="shared" si="2"/>
        <v>#DIV/0!</v>
      </c>
      <c r="U48" s="40" t="e">
        <f t="shared" si="3"/>
        <v>#DIV/0!</v>
      </c>
      <c r="W48" s="40" t="str">
        <f t="shared" si="4"/>
        <v/>
      </c>
    </row>
    <row r="49" spans="1:23" ht="14" x14ac:dyDescent="0.15">
      <c r="A49" s="35"/>
      <c r="B49" s="35"/>
      <c r="C49" s="35"/>
      <c r="D49" s="4" t="s">
        <v>75</v>
      </c>
      <c r="E49" s="140">
        <v>0</v>
      </c>
      <c r="F49" s="5"/>
      <c r="G49" s="194">
        <f t="shared" si="26"/>
        <v>0</v>
      </c>
      <c r="H49" s="21">
        <f t="shared" si="27"/>
        <v>0</v>
      </c>
      <c r="I49" s="129">
        <f t="shared" si="28"/>
        <v>0</v>
      </c>
      <c r="J49" s="137" t="e">
        <f t="shared" si="29"/>
        <v>#DIV/0!</v>
      </c>
      <c r="K49" s="129">
        <f t="shared" si="30"/>
        <v>0</v>
      </c>
      <c r="L49" s="137" t="e">
        <f t="shared" si="31"/>
        <v>#DIV/0!</v>
      </c>
      <c r="M49" s="129">
        <f t="shared" si="32"/>
        <v>0</v>
      </c>
      <c r="N49" s="137" t="e">
        <f t="shared" si="33"/>
        <v>#DIV/0!</v>
      </c>
      <c r="O49" s="181">
        <f t="shared" si="34"/>
        <v>0</v>
      </c>
      <c r="P49" s="182" t="e">
        <f t="shared" si="35"/>
        <v>#DIV/0!</v>
      </c>
      <c r="R49" s="40" t="e">
        <f t="shared" si="0"/>
        <v>#DIV/0!</v>
      </c>
      <c r="S49" s="40" t="e">
        <f t="shared" si="1"/>
        <v>#DIV/0!</v>
      </c>
      <c r="T49" s="40" t="e">
        <f t="shared" si="2"/>
        <v>#DIV/0!</v>
      </c>
      <c r="U49" s="40" t="e">
        <f t="shared" si="3"/>
        <v>#DIV/0!</v>
      </c>
      <c r="W49" s="40" t="str">
        <f t="shared" si="4"/>
        <v/>
      </c>
    </row>
    <row r="50" spans="1:23" ht="28" x14ac:dyDescent="0.15">
      <c r="A50" s="35"/>
      <c r="B50" s="35"/>
      <c r="C50" s="35"/>
      <c r="D50" s="4" t="s">
        <v>76</v>
      </c>
      <c r="E50" s="129">
        <v>1827</v>
      </c>
      <c r="F50" s="5"/>
      <c r="G50" s="194">
        <f t="shared" si="26"/>
        <v>1827</v>
      </c>
      <c r="H50" s="21">
        <f t="shared" si="27"/>
        <v>2119.3200000000002</v>
      </c>
      <c r="I50" s="129">
        <f t="shared" si="28"/>
        <v>0</v>
      </c>
      <c r="J50" s="137" t="e">
        <f t="shared" si="29"/>
        <v>#DIV/0!</v>
      </c>
      <c r="K50" s="129">
        <f t="shared" si="30"/>
        <v>0</v>
      </c>
      <c r="L50" s="137" t="e">
        <f t="shared" si="31"/>
        <v>#DIV/0!</v>
      </c>
      <c r="M50" s="129">
        <f t="shared" si="32"/>
        <v>0</v>
      </c>
      <c r="N50" s="137" t="e">
        <f t="shared" si="33"/>
        <v>#DIV/0!</v>
      </c>
      <c r="O50" s="181">
        <f t="shared" si="34"/>
        <v>0</v>
      </c>
      <c r="P50" s="182" t="e">
        <f t="shared" si="35"/>
        <v>#DIV/0!</v>
      </c>
      <c r="R50" s="40" t="e">
        <f t="shared" si="0"/>
        <v>#DIV/0!</v>
      </c>
      <c r="S50" s="40" t="e">
        <f t="shared" si="1"/>
        <v>#DIV/0!</v>
      </c>
      <c r="T50" s="40" t="e">
        <f t="shared" si="2"/>
        <v>#DIV/0!</v>
      </c>
      <c r="U50" s="40" t="e">
        <f t="shared" si="3"/>
        <v>#DIV/0!</v>
      </c>
      <c r="W50" s="40" t="str">
        <f t="shared" si="4"/>
        <v/>
      </c>
    </row>
    <row r="51" spans="1:23" ht="28" x14ac:dyDescent="0.15">
      <c r="A51" s="35"/>
      <c r="B51" s="35"/>
      <c r="C51" s="35"/>
      <c r="D51" s="4" t="s">
        <v>77</v>
      </c>
      <c r="E51" s="129">
        <v>0</v>
      </c>
      <c r="F51" s="5"/>
      <c r="G51" s="194">
        <f t="shared" si="26"/>
        <v>0</v>
      </c>
      <c r="H51" s="21">
        <f t="shared" si="27"/>
        <v>0</v>
      </c>
      <c r="I51" s="129">
        <f t="shared" si="28"/>
        <v>0</v>
      </c>
      <c r="J51" s="137" t="e">
        <f t="shared" si="29"/>
        <v>#DIV/0!</v>
      </c>
      <c r="K51" s="129">
        <f t="shared" si="30"/>
        <v>0</v>
      </c>
      <c r="L51" s="137" t="e">
        <f t="shared" si="31"/>
        <v>#DIV/0!</v>
      </c>
      <c r="M51" s="129">
        <f t="shared" si="32"/>
        <v>0</v>
      </c>
      <c r="N51" s="137" t="e">
        <f t="shared" si="33"/>
        <v>#DIV/0!</v>
      </c>
      <c r="O51" s="181">
        <f t="shared" si="34"/>
        <v>0</v>
      </c>
      <c r="P51" s="182" t="e">
        <f t="shared" si="35"/>
        <v>#DIV/0!</v>
      </c>
      <c r="R51" s="40" t="e">
        <f t="shared" si="0"/>
        <v>#DIV/0!</v>
      </c>
      <c r="S51" s="40" t="e">
        <f t="shared" si="1"/>
        <v>#DIV/0!</v>
      </c>
      <c r="T51" s="40" t="e">
        <f t="shared" si="2"/>
        <v>#DIV/0!</v>
      </c>
      <c r="U51" s="40" t="e">
        <f t="shared" si="3"/>
        <v>#DIV/0!</v>
      </c>
      <c r="W51" s="40" t="str">
        <f t="shared" si="4"/>
        <v/>
      </c>
    </row>
    <row r="52" spans="1:23" ht="14" x14ac:dyDescent="0.15">
      <c r="A52" s="35"/>
      <c r="B52" s="35"/>
      <c r="C52" s="35"/>
      <c r="D52" s="4" t="s">
        <v>78</v>
      </c>
      <c r="E52" s="140">
        <v>0</v>
      </c>
      <c r="F52" s="5"/>
      <c r="G52" s="194">
        <f t="shared" si="26"/>
        <v>0</v>
      </c>
      <c r="H52" s="21">
        <f t="shared" si="27"/>
        <v>0</v>
      </c>
      <c r="I52" s="129">
        <f t="shared" si="28"/>
        <v>0</v>
      </c>
      <c r="J52" s="137" t="e">
        <f t="shared" si="29"/>
        <v>#DIV/0!</v>
      </c>
      <c r="K52" s="129">
        <f t="shared" si="30"/>
        <v>0</v>
      </c>
      <c r="L52" s="137" t="e">
        <f t="shared" si="31"/>
        <v>#DIV/0!</v>
      </c>
      <c r="M52" s="129">
        <f t="shared" si="32"/>
        <v>0</v>
      </c>
      <c r="N52" s="137" t="e">
        <f t="shared" si="33"/>
        <v>#DIV/0!</v>
      </c>
      <c r="O52" s="181">
        <f t="shared" si="34"/>
        <v>0</v>
      </c>
      <c r="P52" s="182" t="e">
        <f t="shared" si="35"/>
        <v>#DIV/0!</v>
      </c>
      <c r="R52" s="40" t="e">
        <f t="shared" si="0"/>
        <v>#DIV/0!</v>
      </c>
      <c r="S52" s="40" t="e">
        <f t="shared" si="1"/>
        <v>#DIV/0!</v>
      </c>
      <c r="T52" s="40" t="e">
        <f t="shared" si="2"/>
        <v>#DIV/0!</v>
      </c>
      <c r="U52" s="40" t="e">
        <f t="shared" si="3"/>
        <v>#DIV/0!</v>
      </c>
      <c r="W52" s="40" t="str">
        <f t="shared" si="4"/>
        <v/>
      </c>
    </row>
    <row r="53" spans="1:23" ht="28" x14ac:dyDescent="0.15">
      <c r="A53" s="35"/>
      <c r="B53" s="35"/>
      <c r="C53" s="35"/>
      <c r="D53" s="4" t="s">
        <v>175</v>
      </c>
      <c r="E53" s="140">
        <v>0</v>
      </c>
      <c r="F53" s="5"/>
      <c r="G53" s="194">
        <f>E53+F53</f>
        <v>0</v>
      </c>
      <c r="H53" s="21">
        <f>(G53*0.16)+G53</f>
        <v>0</v>
      </c>
      <c r="I53" s="129">
        <f t="shared" si="28"/>
        <v>0</v>
      </c>
      <c r="J53" s="137" t="e">
        <f t="shared" si="29"/>
        <v>#DIV/0!</v>
      </c>
      <c r="K53" s="129">
        <f t="shared" si="30"/>
        <v>0</v>
      </c>
      <c r="L53" s="137" t="e">
        <f t="shared" si="31"/>
        <v>#DIV/0!</v>
      </c>
      <c r="M53" s="129">
        <f t="shared" si="32"/>
        <v>0</v>
      </c>
      <c r="N53" s="137" t="e">
        <f t="shared" si="33"/>
        <v>#DIV/0!</v>
      </c>
      <c r="O53" s="181">
        <f t="shared" si="34"/>
        <v>0</v>
      </c>
      <c r="P53" s="182" t="e">
        <f t="shared" si="35"/>
        <v>#DIV/0!</v>
      </c>
      <c r="R53" s="40" t="e">
        <f t="shared" si="0"/>
        <v>#DIV/0!</v>
      </c>
      <c r="S53" s="40" t="e">
        <f t="shared" si="1"/>
        <v>#DIV/0!</v>
      </c>
      <c r="T53" s="40" t="e">
        <f t="shared" si="2"/>
        <v>#DIV/0!</v>
      </c>
      <c r="U53" s="40" t="e">
        <f t="shared" si="3"/>
        <v>#DIV/0!</v>
      </c>
      <c r="W53" s="40" t="str">
        <f t="shared" si="4"/>
        <v/>
      </c>
    </row>
    <row r="54" spans="1:23" x14ac:dyDescent="0.15">
      <c r="I54" s="43"/>
      <c r="J54" s="43"/>
    </row>
    <row r="55" spans="1:23" x14ac:dyDescent="0.15">
      <c r="I55" s="43"/>
      <c r="J55" s="43"/>
    </row>
    <row r="56" spans="1:23" x14ac:dyDescent="0.15">
      <c r="I56" s="43"/>
      <c r="J56" s="43"/>
    </row>
    <row r="57" spans="1:23" x14ac:dyDescent="0.15">
      <c r="I57" s="43"/>
      <c r="J57" s="43"/>
    </row>
    <row r="58" spans="1:23" x14ac:dyDescent="0.15">
      <c r="I58" s="43"/>
      <c r="J58" s="43"/>
    </row>
  </sheetData>
  <phoneticPr fontId="0" type="noConversion"/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0"/>
  <sheetViews>
    <sheetView topLeftCell="L1" workbookViewId="0">
      <selection activeCell="X4" sqref="X4:X16"/>
    </sheetView>
  </sheetViews>
  <sheetFormatPr baseColWidth="10" defaultColWidth="11.5" defaultRowHeight="13" x14ac:dyDescent="0.15"/>
  <cols>
    <col min="1" max="1" width="10.33203125" style="39" bestFit="1" customWidth="1"/>
    <col min="2" max="2" width="42.1640625" style="39" customWidth="1"/>
    <col min="3" max="4" width="10.33203125" style="39" customWidth="1"/>
    <col min="5" max="5" width="71.33203125" style="40" customWidth="1"/>
    <col min="6" max="6" width="11.33203125" style="41" customWidth="1"/>
    <col min="7" max="7" width="13.5" style="41" customWidth="1"/>
    <col min="8" max="8" width="9.6640625" style="41" customWidth="1"/>
    <col min="9" max="9" width="9.6640625" style="41" bestFit="1" customWidth="1"/>
    <col min="10" max="10" width="11.5" style="40"/>
    <col min="11" max="11" width="7.33203125" style="40" bestFit="1" customWidth="1"/>
    <col min="12" max="12" width="11.6640625" style="40" bestFit="1" customWidth="1"/>
    <col min="13" max="13" width="7.33203125" style="40" bestFit="1" customWidth="1"/>
    <col min="14" max="14" width="11.5" style="40"/>
    <col min="15" max="15" width="6.33203125" style="40" bestFit="1" customWidth="1"/>
    <col min="16" max="16" width="11.5" style="40"/>
    <col min="17" max="17" width="4.6640625" style="40" bestFit="1" customWidth="1"/>
    <col min="18" max="18" width="2.83203125" style="40" customWidth="1"/>
    <col min="19" max="16384" width="11.5" style="40"/>
  </cols>
  <sheetData>
    <row r="1" spans="1:24" ht="29" thickBot="1" x14ac:dyDescent="0.2">
      <c r="A1" s="146" t="s">
        <v>0</v>
      </c>
      <c r="B1" s="146"/>
      <c r="C1" s="146"/>
      <c r="D1" s="146"/>
      <c r="E1" s="147" t="s">
        <v>41</v>
      </c>
      <c r="F1" s="147" t="s">
        <v>123</v>
      </c>
      <c r="G1" s="147" t="s">
        <v>40</v>
      </c>
      <c r="H1" s="147" t="s">
        <v>86</v>
      </c>
      <c r="I1" s="147" t="s">
        <v>87</v>
      </c>
      <c r="J1" s="148" t="s">
        <v>139</v>
      </c>
      <c r="K1" s="149" t="s">
        <v>156</v>
      </c>
      <c r="L1" s="148" t="s">
        <v>140</v>
      </c>
      <c r="M1" s="149" t="s">
        <v>156</v>
      </c>
      <c r="N1" s="148" t="s">
        <v>160</v>
      </c>
      <c r="O1" s="149" t="s">
        <v>156</v>
      </c>
      <c r="P1" s="148" t="s">
        <v>141</v>
      </c>
      <c r="Q1" s="148" t="s">
        <v>156</v>
      </c>
    </row>
    <row r="2" spans="1:24" ht="14" thickBot="1" x14ac:dyDescent="0.2">
      <c r="A2" s="330" t="s">
        <v>125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2"/>
    </row>
    <row r="3" spans="1:24" ht="14" customHeight="1" thickBot="1" x14ac:dyDescent="0.2">
      <c r="A3" s="304" t="s">
        <v>1</v>
      </c>
      <c r="B3" s="305"/>
      <c r="C3" s="305"/>
      <c r="D3" s="305" t="s">
        <v>502</v>
      </c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S3" s="307" t="s">
        <v>498</v>
      </c>
      <c r="T3" s="307" t="s">
        <v>499</v>
      </c>
      <c r="U3" s="307" t="s">
        <v>500</v>
      </c>
      <c r="V3" s="307" t="s">
        <v>501</v>
      </c>
    </row>
    <row r="4" spans="1:24" ht="15" thickBot="1" x14ac:dyDescent="0.25">
      <c r="A4" s="25"/>
      <c r="B4" s="267" t="s">
        <v>318</v>
      </c>
      <c r="C4" s="275" t="s">
        <v>319</v>
      </c>
      <c r="D4" s="333">
        <f>IF(C4="","",VLOOKUP(C4,catalogo_servicios!$B$1:$C$106,2,0))</f>
        <v>95</v>
      </c>
      <c r="E4" s="4" t="s">
        <v>226</v>
      </c>
      <c r="F4" s="20">
        <v>0</v>
      </c>
      <c r="G4" s="20">
        <f>H4-F4</f>
        <v>50</v>
      </c>
      <c r="H4" s="152">
        <v>50</v>
      </c>
      <c r="I4" s="50">
        <f>(H4*0.16)+H4</f>
        <v>58</v>
      </c>
      <c r="J4" s="152">
        <f>(G4*0.1)</f>
        <v>5</v>
      </c>
      <c r="K4" s="133">
        <f>J4/G4</f>
        <v>0.1</v>
      </c>
      <c r="L4" s="152">
        <f>(G4*0.05)</f>
        <v>2.5</v>
      </c>
      <c r="M4" s="133">
        <f>L4/G4</f>
        <v>0.05</v>
      </c>
      <c r="N4" s="152">
        <f>(G4*0.05)</f>
        <v>2.5</v>
      </c>
      <c r="O4" s="133">
        <f>N4/G4</f>
        <v>0.05</v>
      </c>
      <c r="P4" s="123">
        <f>(G4-J4-L4)</f>
        <v>42.5</v>
      </c>
      <c r="Q4" s="126">
        <f>P4/G4</f>
        <v>0.85</v>
      </c>
      <c r="S4" s="40">
        <f>K4*100</f>
        <v>10</v>
      </c>
      <c r="T4" s="40">
        <f>M4*100</f>
        <v>5</v>
      </c>
      <c r="U4" s="40">
        <f>O4*100</f>
        <v>5</v>
      </c>
      <c r="V4" s="40">
        <f>Q4*100</f>
        <v>85</v>
      </c>
      <c r="X4" s="40" t="str">
        <f>IF(D4="","",CONCATENATE("update catalogo_servicios set costo_servicio = ",F4,", costo = ",H4,", honorarios = ",G4,", utilidad = ",P4,", porcentaje_utilidad = ",V4,", comision_venta_monto=",J4,", porcentaje_venta=",S4,", comision_operativa_monto=",L4,", porcentaje_operativa=",T4,", comision_gestion_monto=",N4,", porcentaje_gestion=",U4," where id = ",D4,";"))</f>
        <v>update catalogo_servicios set costo_servicio = 0, costo = 50, honorarios = 50, utilidad = 42.5, porcentaje_utilidad = 85, comision_venta_monto=5, porcentaje_venta=10, comision_operativa_monto=2.5, porcentaje_operativa=5, comision_gestion_monto=2.5, porcentaje_gestion=5 where id = 95;</v>
      </c>
    </row>
    <row r="5" spans="1:24" ht="15" thickBot="1" x14ac:dyDescent="0.25">
      <c r="A5" s="26"/>
      <c r="B5" s="267" t="s">
        <v>320</v>
      </c>
      <c r="C5" s="275" t="s">
        <v>321</v>
      </c>
      <c r="D5" s="333">
        <f>IF(C5="","",VLOOKUP(C5,catalogo_servicios!$B$1:$C$106,2,0))</f>
        <v>94</v>
      </c>
      <c r="E5" s="4" t="s">
        <v>124</v>
      </c>
      <c r="F5" s="12">
        <v>0</v>
      </c>
      <c r="G5" s="20">
        <f t="shared" ref="G5:G35" si="0">H5-F5</f>
        <v>90</v>
      </c>
      <c r="H5" s="151">
        <v>90</v>
      </c>
      <c r="I5" s="50">
        <f t="shared" ref="I5:I35" si="1">(H5*0.16)+H5</f>
        <v>104.4</v>
      </c>
      <c r="J5" s="152">
        <f t="shared" ref="J5:J15" si="2">(G5*0.1)</f>
        <v>9</v>
      </c>
      <c r="K5" s="133">
        <f t="shared" ref="K5:K35" si="3">J5/G5</f>
        <v>0.1</v>
      </c>
      <c r="L5" s="152">
        <f>(G5*0.05)</f>
        <v>4.5</v>
      </c>
      <c r="M5" s="133">
        <f>L5/G5</f>
        <v>0.05</v>
      </c>
      <c r="N5" s="152">
        <f>(G5*0.05)</f>
        <v>4.5</v>
      </c>
      <c r="O5" s="133">
        <f t="shared" ref="O5:O16" si="4">N5/G5</f>
        <v>0.05</v>
      </c>
      <c r="P5" s="123">
        <f t="shared" ref="P5:P16" si="5">(G5-J5-L5)</f>
        <v>76.5</v>
      </c>
      <c r="Q5" s="126">
        <f t="shared" ref="Q5:Q16" si="6">P5/G5</f>
        <v>0.85</v>
      </c>
      <c r="S5" s="40">
        <f t="shared" ref="S5:S16" si="7">K5*100</f>
        <v>10</v>
      </c>
      <c r="T5" s="40">
        <f t="shared" ref="T5:T16" si="8">M5*100</f>
        <v>5</v>
      </c>
      <c r="U5" s="40">
        <f t="shared" ref="U5:U16" si="9">O5*100</f>
        <v>5</v>
      </c>
      <c r="V5" s="40">
        <f t="shared" ref="V5:V16" si="10">Q5*100</f>
        <v>85</v>
      </c>
      <c r="X5" s="40" t="str">
        <f t="shared" ref="X5:X16" si="11">IF(D5="","",CONCATENATE("update catalogo_servicios set costo_servicio = ",F5,", costo = ",H5,", honorarios = ",G5,", utilidad = ",P5,", porcentaje_utilidad = ",V5,", comision_venta_monto=",J5,", porcentaje_venta=",S5,", comision_operativa_monto=",L5,", porcentaje_operativa=",T5,", comision_gestion_monto=",N5,", porcentaje_gestion=",U5," where id = ",D5,";"))</f>
        <v>update catalogo_servicios set costo_servicio = 0, costo = 90, honorarios = 90, utilidad = 76.5, porcentaje_utilidad = 85, comision_venta_monto=9, porcentaje_venta=10, comision_operativa_monto=4.5, porcentaje_operativa=5, comision_gestion_monto=4.5, porcentaje_gestion=5 where id = 94;</v>
      </c>
    </row>
    <row r="6" spans="1:24" ht="15" thickBot="1" x14ac:dyDescent="0.25">
      <c r="A6" s="26"/>
      <c r="B6" s="276" t="s">
        <v>322</v>
      </c>
      <c r="C6" s="275" t="s">
        <v>323</v>
      </c>
      <c r="D6" s="333">
        <f>IF(C6="","",VLOOKUP(C6,catalogo_servicios!$B$1:$C$106,2,0))</f>
        <v>93</v>
      </c>
      <c r="E6" s="4" t="s">
        <v>143</v>
      </c>
      <c r="F6" s="12">
        <v>0</v>
      </c>
      <c r="G6" s="20">
        <f t="shared" si="0"/>
        <v>25</v>
      </c>
      <c r="H6" s="151">
        <v>25</v>
      </c>
      <c r="I6" s="50">
        <f t="shared" si="1"/>
        <v>29</v>
      </c>
      <c r="J6" s="152">
        <f t="shared" si="2"/>
        <v>2.5</v>
      </c>
      <c r="K6" s="133">
        <f t="shared" si="3"/>
        <v>0.1</v>
      </c>
      <c r="L6" s="152">
        <f>(G6*0.05)</f>
        <v>1.25</v>
      </c>
      <c r="M6" s="133">
        <f>L6/G6</f>
        <v>0.05</v>
      </c>
      <c r="N6" s="152">
        <f>(G6*0.05)</f>
        <v>1.25</v>
      </c>
      <c r="O6" s="133">
        <f t="shared" si="4"/>
        <v>0.05</v>
      </c>
      <c r="P6" s="123">
        <f t="shared" si="5"/>
        <v>21.25</v>
      </c>
      <c r="Q6" s="126">
        <f t="shared" si="6"/>
        <v>0.85</v>
      </c>
      <c r="S6" s="40">
        <f t="shared" si="7"/>
        <v>10</v>
      </c>
      <c r="T6" s="40">
        <f t="shared" si="8"/>
        <v>5</v>
      </c>
      <c r="U6" s="40">
        <f t="shared" si="9"/>
        <v>5</v>
      </c>
      <c r="V6" s="40">
        <f t="shared" si="10"/>
        <v>85</v>
      </c>
      <c r="X6" s="40" t="str">
        <f t="shared" si="11"/>
        <v>update catalogo_servicios set costo_servicio = 0, costo = 25, honorarios = 25, utilidad = 21.25, porcentaje_utilidad = 85, comision_venta_monto=2.5, porcentaje_venta=10, comision_operativa_monto=1.25, porcentaje_operativa=5, comision_gestion_monto=1.25, porcentaje_gestion=5 where id = 93;</v>
      </c>
    </row>
    <row r="7" spans="1:24" ht="29" thickBot="1" x14ac:dyDescent="0.25">
      <c r="A7" s="26" t="s">
        <v>180</v>
      </c>
      <c r="B7" s="267" t="s">
        <v>324</v>
      </c>
      <c r="C7" s="275" t="s">
        <v>325</v>
      </c>
      <c r="D7" s="333">
        <f>IF(C7="","",VLOOKUP(C7,catalogo_servicios!$B$1:$C$106,2,0))</f>
        <v>89</v>
      </c>
      <c r="E7" s="1" t="s">
        <v>181</v>
      </c>
      <c r="F7" s="12">
        <v>225</v>
      </c>
      <c r="G7" s="20">
        <f>H7-F7</f>
        <v>550</v>
      </c>
      <c r="H7" s="151">
        <v>775</v>
      </c>
      <c r="I7" s="50">
        <f t="shared" si="1"/>
        <v>899</v>
      </c>
      <c r="J7" s="152">
        <v>50</v>
      </c>
      <c r="K7" s="133">
        <f t="shared" si="3"/>
        <v>9.0909090909090912E-2</v>
      </c>
      <c r="L7" s="152">
        <v>17</v>
      </c>
      <c r="M7" s="133">
        <f>L7/G7</f>
        <v>3.090909090909091E-2</v>
      </c>
      <c r="N7" s="152">
        <v>8</v>
      </c>
      <c r="O7" s="133">
        <f t="shared" si="4"/>
        <v>1.4545454545454545E-2</v>
      </c>
      <c r="P7" s="123">
        <f t="shared" si="5"/>
        <v>483</v>
      </c>
      <c r="Q7" s="126">
        <f t="shared" si="6"/>
        <v>0.87818181818181817</v>
      </c>
      <c r="S7" s="40">
        <f t="shared" si="7"/>
        <v>9.0909090909090917</v>
      </c>
      <c r="T7" s="40">
        <f t="shared" si="8"/>
        <v>3.0909090909090908</v>
      </c>
      <c r="U7" s="40">
        <f t="shared" si="9"/>
        <v>1.4545454545454546</v>
      </c>
      <c r="V7" s="40">
        <f t="shared" si="10"/>
        <v>87.818181818181813</v>
      </c>
      <c r="X7" s="40" t="str">
        <f t="shared" si="11"/>
        <v>update catalogo_servicios set costo_servicio = 225, costo = 775, honorarios = 550, utilidad = 483, porcentaje_utilidad = 87.8181818181818, comision_venta_monto=50, porcentaje_venta=9.09090909090909, comision_operativa_monto=17, porcentaje_operativa=3.09090909090909, comision_gestion_monto=8, porcentaje_gestion=1.45454545454545 where id = 89;</v>
      </c>
    </row>
    <row r="8" spans="1:24" ht="15" thickBot="1" x14ac:dyDescent="0.25">
      <c r="A8" s="26"/>
      <c r="B8" s="276" t="s">
        <v>326</v>
      </c>
      <c r="C8" s="275" t="s">
        <v>327</v>
      </c>
      <c r="D8" s="333">
        <f>IF(C8="","",VLOOKUP(C8,catalogo_servicios!$B$1:$C$106,2,0))</f>
        <v>86</v>
      </c>
      <c r="E8" s="1" t="s">
        <v>227</v>
      </c>
      <c r="F8" s="12">
        <v>0</v>
      </c>
      <c r="G8" s="20">
        <f>H8-F8</f>
        <v>150</v>
      </c>
      <c r="H8" s="151">
        <v>150</v>
      </c>
      <c r="I8" s="50">
        <f>(H8*0.16)+H8</f>
        <v>174</v>
      </c>
      <c r="J8" s="152">
        <f t="shared" si="2"/>
        <v>15</v>
      </c>
      <c r="K8" s="133">
        <f t="shared" si="3"/>
        <v>0.1</v>
      </c>
      <c r="L8" s="152">
        <v>0</v>
      </c>
      <c r="M8" s="133">
        <f t="shared" ref="M8:M16" si="12">L8/G8</f>
        <v>0</v>
      </c>
      <c r="N8" s="152">
        <v>2.5</v>
      </c>
      <c r="O8" s="133">
        <f t="shared" si="4"/>
        <v>1.6666666666666666E-2</v>
      </c>
      <c r="P8" s="123">
        <f t="shared" si="5"/>
        <v>135</v>
      </c>
      <c r="Q8" s="126">
        <f t="shared" si="6"/>
        <v>0.9</v>
      </c>
      <c r="S8" s="40">
        <f t="shared" si="7"/>
        <v>10</v>
      </c>
      <c r="T8" s="40">
        <f t="shared" si="8"/>
        <v>0</v>
      </c>
      <c r="U8" s="40">
        <f t="shared" si="9"/>
        <v>1.6666666666666667</v>
      </c>
      <c r="V8" s="40">
        <f t="shared" si="10"/>
        <v>90</v>
      </c>
      <c r="X8" s="40" t="str">
        <f t="shared" si="11"/>
        <v>update catalogo_servicios set costo_servicio = 0, costo = 150, honorarios = 150, utilidad = 135, porcentaje_utilidad = 90, comision_venta_monto=15, porcentaje_venta=10, comision_operativa_monto=0, porcentaje_operativa=0, comision_gestion_monto=2.5, porcentaje_gestion=1.66666666666667 where id = 86;</v>
      </c>
    </row>
    <row r="9" spans="1:24" ht="15" thickBot="1" x14ac:dyDescent="0.25">
      <c r="A9" s="26"/>
      <c r="B9" s="276" t="s">
        <v>328</v>
      </c>
      <c r="C9" s="275" t="s">
        <v>329</v>
      </c>
      <c r="D9" s="333">
        <f>IF(C9="","",VLOOKUP(C9,catalogo_servicios!$B$1:$C$106,2,0))</f>
        <v>96</v>
      </c>
      <c r="E9" s="1" t="s">
        <v>233</v>
      </c>
      <c r="F9" s="12">
        <v>0</v>
      </c>
      <c r="G9" s="20">
        <f>H9-F9</f>
        <v>75</v>
      </c>
      <c r="H9" s="151">
        <v>75</v>
      </c>
      <c r="I9" s="50">
        <f>(H9*0.16)+H9</f>
        <v>87</v>
      </c>
      <c r="J9" s="152">
        <v>0</v>
      </c>
      <c r="K9" s="133">
        <f t="shared" si="3"/>
        <v>0</v>
      </c>
      <c r="L9" s="152">
        <v>7.5</v>
      </c>
      <c r="M9" s="133">
        <f t="shared" si="12"/>
        <v>0.1</v>
      </c>
      <c r="N9" s="152">
        <v>2.5</v>
      </c>
      <c r="O9" s="133">
        <f t="shared" si="4"/>
        <v>3.3333333333333333E-2</v>
      </c>
      <c r="P9" s="123">
        <f t="shared" si="5"/>
        <v>67.5</v>
      </c>
      <c r="Q9" s="126">
        <f t="shared" si="6"/>
        <v>0.9</v>
      </c>
      <c r="S9" s="40">
        <f t="shared" si="7"/>
        <v>0</v>
      </c>
      <c r="T9" s="40">
        <f t="shared" si="8"/>
        <v>10</v>
      </c>
      <c r="U9" s="40">
        <f t="shared" si="9"/>
        <v>3.3333333333333335</v>
      </c>
      <c r="V9" s="40">
        <f t="shared" si="10"/>
        <v>90</v>
      </c>
      <c r="X9" s="40" t="str">
        <f t="shared" si="11"/>
        <v>update catalogo_servicios set costo_servicio = 0, costo = 75, honorarios = 75, utilidad = 67.5, porcentaje_utilidad = 90, comision_venta_monto=0, porcentaje_venta=0, comision_operativa_monto=7.5, porcentaje_operativa=10, comision_gestion_monto=2.5, porcentaje_gestion=3.33333333333333 where id = 96;</v>
      </c>
    </row>
    <row r="10" spans="1:24" ht="31" thickBot="1" x14ac:dyDescent="0.25">
      <c r="A10" s="26"/>
      <c r="B10" s="277" t="s">
        <v>330</v>
      </c>
      <c r="C10" s="278" t="s">
        <v>331</v>
      </c>
      <c r="D10" s="333">
        <f>IF(C10="","",VLOOKUP(C10,catalogo_servicios!$B$1:$C$106,2,0))</f>
        <v>97</v>
      </c>
      <c r="E10" s="1" t="s">
        <v>234</v>
      </c>
      <c r="F10" s="12">
        <v>0</v>
      </c>
      <c r="G10" s="20">
        <f>H10-F10</f>
        <v>100</v>
      </c>
      <c r="H10" s="151">
        <v>100</v>
      </c>
      <c r="I10" s="50">
        <f>(H10*0.16)+H10</f>
        <v>116</v>
      </c>
      <c r="J10" s="152">
        <v>0</v>
      </c>
      <c r="K10" s="133">
        <f t="shared" si="3"/>
        <v>0</v>
      </c>
      <c r="L10" s="152">
        <v>10</v>
      </c>
      <c r="M10" s="133">
        <f t="shared" si="12"/>
        <v>0.1</v>
      </c>
      <c r="N10" s="152">
        <v>3</v>
      </c>
      <c r="O10" s="133">
        <f t="shared" si="4"/>
        <v>0.03</v>
      </c>
      <c r="P10" s="123">
        <f t="shared" si="5"/>
        <v>90</v>
      </c>
      <c r="Q10" s="126">
        <f t="shared" si="6"/>
        <v>0.9</v>
      </c>
      <c r="S10" s="40">
        <f t="shared" si="7"/>
        <v>0</v>
      </c>
      <c r="T10" s="40">
        <f t="shared" si="8"/>
        <v>10</v>
      </c>
      <c r="U10" s="40">
        <f t="shared" si="9"/>
        <v>3</v>
      </c>
      <c r="V10" s="40">
        <f t="shared" si="10"/>
        <v>90</v>
      </c>
      <c r="X10" s="40" t="str">
        <f t="shared" si="11"/>
        <v>update catalogo_servicios set costo_servicio = 0, costo = 100, honorarios = 100, utilidad = 90, porcentaje_utilidad = 90, comision_venta_monto=0, porcentaje_venta=0, comision_operativa_monto=10, porcentaje_operativa=10, comision_gestion_monto=3, porcentaje_gestion=3 where id = 97;</v>
      </c>
    </row>
    <row r="11" spans="1:24" ht="15" thickBot="1" x14ac:dyDescent="0.25">
      <c r="A11" s="26" t="s">
        <v>182</v>
      </c>
      <c r="B11" s="257"/>
      <c r="C11" s="257"/>
      <c r="D11" s="333" t="str">
        <f>IF(C11="","",VLOOKUP(C11,catalogo_servicios!$B$1:$C$106,2,0))</f>
        <v/>
      </c>
      <c r="E11" s="1" t="s">
        <v>183</v>
      </c>
      <c r="F11" s="12">
        <v>100</v>
      </c>
      <c r="G11" s="20">
        <f t="shared" si="0"/>
        <v>100</v>
      </c>
      <c r="H11" s="151">
        <v>200</v>
      </c>
      <c r="I11" s="50">
        <f t="shared" si="1"/>
        <v>232</v>
      </c>
      <c r="J11" s="152">
        <v>0</v>
      </c>
      <c r="K11" s="133">
        <f t="shared" si="3"/>
        <v>0</v>
      </c>
      <c r="L11" s="152">
        <f>(G11*0.03)</f>
        <v>3</v>
      </c>
      <c r="M11" s="133">
        <f t="shared" si="12"/>
        <v>0.03</v>
      </c>
      <c r="N11" s="152">
        <f t="shared" ref="N11:N16" si="13">(G11*0.01)</f>
        <v>1</v>
      </c>
      <c r="O11" s="133">
        <f t="shared" si="4"/>
        <v>0.01</v>
      </c>
      <c r="P11" s="123">
        <f t="shared" si="5"/>
        <v>97</v>
      </c>
      <c r="Q11" s="126">
        <f t="shared" si="6"/>
        <v>0.97</v>
      </c>
      <c r="S11" s="40">
        <f t="shared" si="7"/>
        <v>0</v>
      </c>
      <c r="T11" s="40">
        <f t="shared" si="8"/>
        <v>3</v>
      </c>
      <c r="U11" s="40">
        <f t="shared" si="9"/>
        <v>1</v>
      </c>
      <c r="V11" s="40">
        <f t="shared" si="10"/>
        <v>97</v>
      </c>
      <c r="X11" s="40" t="str">
        <f t="shared" si="11"/>
        <v/>
      </c>
    </row>
    <row r="12" spans="1:24" ht="29" thickBot="1" x14ac:dyDescent="0.25">
      <c r="A12" s="26" t="s">
        <v>184</v>
      </c>
      <c r="B12" s="276" t="s">
        <v>332</v>
      </c>
      <c r="C12" s="275" t="s">
        <v>333</v>
      </c>
      <c r="D12" s="333">
        <f>IF(C12="","",VLOOKUP(C12,catalogo_servicios!$B$1:$C$106,2,0))</f>
        <v>88</v>
      </c>
      <c r="E12" s="1" t="s">
        <v>228</v>
      </c>
      <c r="F12" s="12">
        <v>100</v>
      </c>
      <c r="G12" s="20">
        <f t="shared" si="0"/>
        <v>100</v>
      </c>
      <c r="H12" s="151">
        <v>200</v>
      </c>
      <c r="I12" s="50">
        <f t="shared" si="1"/>
        <v>232</v>
      </c>
      <c r="J12" s="152">
        <v>0</v>
      </c>
      <c r="K12" s="133">
        <f t="shared" si="3"/>
        <v>0</v>
      </c>
      <c r="L12" s="152">
        <v>4</v>
      </c>
      <c r="M12" s="133">
        <f t="shared" si="12"/>
        <v>0.04</v>
      </c>
      <c r="N12" s="152">
        <f t="shared" si="13"/>
        <v>1</v>
      </c>
      <c r="O12" s="133">
        <f t="shared" si="4"/>
        <v>0.01</v>
      </c>
      <c r="P12" s="123">
        <f t="shared" si="5"/>
        <v>96</v>
      </c>
      <c r="Q12" s="126">
        <f t="shared" si="6"/>
        <v>0.96</v>
      </c>
      <c r="S12" s="40">
        <f t="shared" si="7"/>
        <v>0</v>
      </c>
      <c r="T12" s="40">
        <f t="shared" si="8"/>
        <v>4</v>
      </c>
      <c r="U12" s="40">
        <f t="shared" si="9"/>
        <v>1</v>
      </c>
      <c r="V12" s="40">
        <f t="shared" si="10"/>
        <v>96</v>
      </c>
      <c r="X12" s="40" t="str">
        <f t="shared" si="11"/>
        <v>update catalogo_servicios set costo_servicio = 100, costo = 200, honorarios = 100, utilidad = 96, porcentaje_utilidad = 96, comision_venta_monto=0, porcentaje_venta=0, comision_operativa_monto=4, porcentaje_operativa=4, comision_gestion_monto=1, porcentaje_gestion=1 where id = 88;</v>
      </c>
    </row>
    <row r="13" spans="1:24" ht="43" thickBot="1" x14ac:dyDescent="0.25">
      <c r="A13" s="26" t="s">
        <v>185</v>
      </c>
      <c r="B13" s="276" t="s">
        <v>334</v>
      </c>
      <c r="C13" s="275" t="s">
        <v>335</v>
      </c>
      <c r="D13" s="333">
        <f>IF(C13="","",VLOOKUP(C13,catalogo_servicios!$B$1:$C$106,2,0))</f>
        <v>92</v>
      </c>
      <c r="E13" s="1" t="s">
        <v>229</v>
      </c>
      <c r="F13" s="12">
        <v>125</v>
      </c>
      <c r="G13" s="20">
        <f t="shared" si="0"/>
        <v>100</v>
      </c>
      <c r="H13" s="151">
        <v>225</v>
      </c>
      <c r="I13" s="50">
        <f t="shared" si="1"/>
        <v>261</v>
      </c>
      <c r="J13" s="152">
        <v>0</v>
      </c>
      <c r="K13" s="133">
        <f t="shared" si="3"/>
        <v>0</v>
      </c>
      <c r="L13" s="152">
        <v>4</v>
      </c>
      <c r="M13" s="133">
        <f t="shared" si="12"/>
        <v>0.04</v>
      </c>
      <c r="N13" s="152">
        <v>1</v>
      </c>
      <c r="O13" s="133">
        <f t="shared" si="4"/>
        <v>0.01</v>
      </c>
      <c r="P13" s="123">
        <f t="shared" si="5"/>
        <v>96</v>
      </c>
      <c r="Q13" s="126">
        <f t="shared" si="6"/>
        <v>0.96</v>
      </c>
      <c r="S13" s="40">
        <f t="shared" si="7"/>
        <v>0</v>
      </c>
      <c r="T13" s="40">
        <f t="shared" si="8"/>
        <v>4</v>
      </c>
      <c r="U13" s="40">
        <f t="shared" si="9"/>
        <v>1</v>
      </c>
      <c r="V13" s="40">
        <f t="shared" si="10"/>
        <v>96</v>
      </c>
      <c r="X13" s="40" t="str">
        <f t="shared" si="11"/>
        <v>update catalogo_servicios set costo_servicio = 125, costo = 225, honorarios = 100, utilidad = 96, porcentaje_utilidad = 96, comision_venta_monto=0, porcentaje_venta=0, comision_operativa_monto=4, porcentaje_operativa=4, comision_gestion_monto=1, porcentaje_gestion=1 where id = 92;</v>
      </c>
    </row>
    <row r="14" spans="1:24" ht="29" thickBot="1" x14ac:dyDescent="0.25">
      <c r="A14" s="26" t="s">
        <v>184</v>
      </c>
      <c r="B14" s="276" t="s">
        <v>336</v>
      </c>
      <c r="C14" s="275" t="s">
        <v>337</v>
      </c>
      <c r="D14" s="333">
        <f>IF(C14="","",VLOOKUP(C14,catalogo_servicios!$B$1:$C$106,2,0))</f>
        <v>87</v>
      </c>
      <c r="E14" s="1" t="s">
        <v>230</v>
      </c>
      <c r="F14" s="12">
        <v>100</v>
      </c>
      <c r="G14" s="20">
        <f>H14-F14</f>
        <v>300</v>
      </c>
      <c r="H14" s="151">
        <v>400</v>
      </c>
      <c r="I14" s="50">
        <f>(H14*0.16)+H14</f>
        <v>464</v>
      </c>
      <c r="J14" s="152">
        <f t="shared" si="2"/>
        <v>30</v>
      </c>
      <c r="K14" s="133">
        <f t="shared" si="3"/>
        <v>0.1</v>
      </c>
      <c r="L14" s="152">
        <v>10</v>
      </c>
      <c r="M14" s="133">
        <f t="shared" si="12"/>
        <v>3.3333333333333333E-2</v>
      </c>
      <c r="N14" s="152">
        <f t="shared" si="13"/>
        <v>3</v>
      </c>
      <c r="O14" s="133">
        <f t="shared" si="4"/>
        <v>0.01</v>
      </c>
      <c r="P14" s="123">
        <f t="shared" si="5"/>
        <v>260</v>
      </c>
      <c r="Q14" s="126">
        <f t="shared" si="6"/>
        <v>0.8666666666666667</v>
      </c>
      <c r="S14" s="40">
        <f t="shared" si="7"/>
        <v>10</v>
      </c>
      <c r="T14" s="40">
        <f t="shared" si="8"/>
        <v>3.3333333333333335</v>
      </c>
      <c r="U14" s="40">
        <f t="shared" si="9"/>
        <v>1</v>
      </c>
      <c r="V14" s="40">
        <f t="shared" si="10"/>
        <v>86.666666666666671</v>
      </c>
      <c r="X14" s="40" t="str">
        <f t="shared" si="11"/>
        <v>update catalogo_servicios set costo_servicio = 100, costo = 400, honorarios = 300, utilidad = 260, porcentaje_utilidad = 86.6666666666667, comision_venta_monto=30, porcentaje_venta=10, comision_operativa_monto=10, porcentaje_operativa=3.33333333333333, comision_gestion_monto=3, porcentaje_gestion=1 where id = 87;</v>
      </c>
    </row>
    <row r="15" spans="1:24" ht="43" thickBot="1" x14ac:dyDescent="0.25">
      <c r="A15" s="26" t="s">
        <v>185</v>
      </c>
      <c r="B15" s="276" t="s">
        <v>338</v>
      </c>
      <c r="C15" s="275" t="s">
        <v>339</v>
      </c>
      <c r="D15" s="333">
        <f>IF(C15="","",VLOOKUP(C15,catalogo_servicios!$B$1:$C$106,2,0))</f>
        <v>91</v>
      </c>
      <c r="E15" s="1" t="s">
        <v>231</v>
      </c>
      <c r="F15" s="12">
        <v>125</v>
      </c>
      <c r="G15" s="20">
        <f>H15-F15</f>
        <v>100</v>
      </c>
      <c r="H15" s="151">
        <v>225</v>
      </c>
      <c r="I15" s="50">
        <f>(H15*0.16)+H15</f>
        <v>261</v>
      </c>
      <c r="J15" s="152">
        <f t="shared" si="2"/>
        <v>10</v>
      </c>
      <c r="K15" s="133">
        <f t="shared" si="3"/>
        <v>0.1</v>
      </c>
      <c r="L15" s="152">
        <v>4</v>
      </c>
      <c r="M15" s="133">
        <f t="shared" si="12"/>
        <v>0.04</v>
      </c>
      <c r="N15" s="152">
        <v>1</v>
      </c>
      <c r="O15" s="133">
        <f t="shared" si="4"/>
        <v>0.01</v>
      </c>
      <c r="P15" s="123">
        <f t="shared" si="5"/>
        <v>86</v>
      </c>
      <c r="Q15" s="126">
        <f t="shared" si="6"/>
        <v>0.86</v>
      </c>
      <c r="S15" s="40">
        <f t="shared" si="7"/>
        <v>10</v>
      </c>
      <c r="T15" s="40">
        <f t="shared" si="8"/>
        <v>4</v>
      </c>
      <c r="U15" s="40">
        <f t="shared" si="9"/>
        <v>1</v>
      </c>
      <c r="V15" s="40">
        <f t="shared" si="10"/>
        <v>86</v>
      </c>
      <c r="X15" s="40" t="str">
        <f t="shared" si="11"/>
        <v>update catalogo_servicios set costo_servicio = 125, costo = 225, honorarios = 100, utilidad = 86, porcentaje_utilidad = 86, comision_venta_monto=10, porcentaje_venta=10, comision_operativa_monto=4, porcentaje_operativa=4, comision_gestion_monto=1, porcentaje_gestion=1 where id = 91;</v>
      </c>
    </row>
    <row r="16" spans="1:24" ht="15" thickBot="1" x14ac:dyDescent="0.25">
      <c r="A16" s="26" t="s">
        <v>186</v>
      </c>
      <c r="B16" s="276" t="s">
        <v>340</v>
      </c>
      <c r="C16" s="275" t="s">
        <v>341</v>
      </c>
      <c r="D16" s="333">
        <f>IF(C16="","",VLOOKUP(C16,catalogo_servicios!$B$1:$C$106,2,0))</f>
        <v>90</v>
      </c>
      <c r="E16" s="1" t="s">
        <v>232</v>
      </c>
      <c r="F16" s="12">
        <v>100</v>
      </c>
      <c r="G16" s="20">
        <f t="shared" si="0"/>
        <v>100</v>
      </c>
      <c r="H16" s="151">
        <v>200</v>
      </c>
      <c r="I16" s="50">
        <f t="shared" si="1"/>
        <v>232</v>
      </c>
      <c r="J16" s="152">
        <v>0</v>
      </c>
      <c r="K16" s="133">
        <f t="shared" si="3"/>
        <v>0</v>
      </c>
      <c r="L16" s="152">
        <v>3</v>
      </c>
      <c r="M16" s="133">
        <f t="shared" si="12"/>
        <v>0.03</v>
      </c>
      <c r="N16" s="152">
        <f t="shared" si="13"/>
        <v>1</v>
      </c>
      <c r="O16" s="133">
        <f t="shared" si="4"/>
        <v>0.01</v>
      </c>
      <c r="P16" s="123">
        <f t="shared" si="5"/>
        <v>97</v>
      </c>
      <c r="Q16" s="126">
        <f t="shared" si="6"/>
        <v>0.97</v>
      </c>
      <c r="S16" s="40">
        <f t="shared" si="7"/>
        <v>0</v>
      </c>
      <c r="T16" s="40">
        <f t="shared" si="8"/>
        <v>3</v>
      </c>
      <c r="U16" s="40">
        <f t="shared" si="9"/>
        <v>1</v>
      </c>
      <c r="V16" s="40">
        <f t="shared" si="10"/>
        <v>97</v>
      </c>
      <c r="X16" s="40" t="str">
        <f t="shared" si="11"/>
        <v>update catalogo_servicios set costo_servicio = 100, costo = 200, honorarios = 100, utilidad = 97, porcentaje_utilidad = 97, comision_venta_monto=0, porcentaje_venta=0, comision_operativa_monto=3, porcentaje_operativa=3, comision_gestion_monto=1, porcentaje_gestion=1 where id = 90;</v>
      </c>
    </row>
    <row r="17" spans="1:17" ht="14" x14ac:dyDescent="0.15">
      <c r="A17" s="26" t="s">
        <v>187</v>
      </c>
      <c r="B17" s="257"/>
      <c r="C17" s="257"/>
      <c r="D17" s="257"/>
      <c r="E17" s="1" t="s">
        <v>188</v>
      </c>
      <c r="F17" s="12">
        <v>100</v>
      </c>
      <c r="G17" s="20">
        <f t="shared" si="0"/>
        <v>-100</v>
      </c>
      <c r="H17" s="151"/>
      <c r="I17" s="50">
        <f t="shared" si="1"/>
        <v>0</v>
      </c>
      <c r="J17" s="152"/>
      <c r="K17" s="133">
        <f t="shared" si="3"/>
        <v>0</v>
      </c>
      <c r="L17" s="150"/>
      <c r="M17" s="150"/>
      <c r="N17" s="150"/>
      <c r="O17" s="150"/>
      <c r="P17" s="150"/>
      <c r="Q17" s="150"/>
    </row>
    <row r="18" spans="1:17" ht="28" x14ac:dyDescent="0.15">
      <c r="A18" s="26" t="s">
        <v>189</v>
      </c>
      <c r="B18" s="257"/>
      <c r="C18" s="257"/>
      <c r="D18" s="257"/>
      <c r="E18" s="1" t="s">
        <v>190</v>
      </c>
      <c r="F18" s="12">
        <v>125</v>
      </c>
      <c r="G18" s="20">
        <f t="shared" si="0"/>
        <v>-125</v>
      </c>
      <c r="H18" s="151"/>
      <c r="I18" s="50">
        <f t="shared" si="1"/>
        <v>0</v>
      </c>
      <c r="J18" s="152"/>
      <c r="K18" s="133">
        <f t="shared" si="3"/>
        <v>0</v>
      </c>
      <c r="L18" s="150"/>
      <c r="M18" s="150"/>
      <c r="N18" s="150"/>
      <c r="O18" s="150"/>
      <c r="P18" s="150"/>
      <c r="Q18" s="150"/>
    </row>
    <row r="19" spans="1:17" ht="14" x14ac:dyDescent="0.15">
      <c r="A19" s="26" t="s">
        <v>191</v>
      </c>
      <c r="B19" s="257"/>
      <c r="C19" s="257"/>
      <c r="D19" s="257"/>
      <c r="E19" s="1" t="s">
        <v>192</v>
      </c>
      <c r="F19" s="12">
        <v>300</v>
      </c>
      <c r="G19" s="20">
        <f t="shared" si="0"/>
        <v>-300</v>
      </c>
      <c r="H19" s="151"/>
      <c r="I19" s="50">
        <f t="shared" si="1"/>
        <v>0</v>
      </c>
      <c r="J19" s="152"/>
      <c r="K19" s="133">
        <f t="shared" si="3"/>
        <v>0</v>
      </c>
      <c r="L19" s="150"/>
      <c r="M19" s="150"/>
      <c r="N19" s="150"/>
      <c r="O19" s="150"/>
      <c r="P19" s="150"/>
      <c r="Q19" s="150"/>
    </row>
    <row r="20" spans="1:17" ht="14" x14ac:dyDescent="0.15">
      <c r="A20" s="26" t="s">
        <v>193</v>
      </c>
      <c r="B20" s="257"/>
      <c r="C20" s="257"/>
      <c r="D20" s="257"/>
      <c r="E20" s="1" t="s">
        <v>194</v>
      </c>
      <c r="F20" s="12">
        <v>100</v>
      </c>
      <c r="G20" s="20">
        <f t="shared" si="0"/>
        <v>-100</v>
      </c>
      <c r="H20" s="151"/>
      <c r="I20" s="50">
        <f t="shared" si="1"/>
        <v>0</v>
      </c>
      <c r="J20" s="152"/>
      <c r="K20" s="133">
        <f t="shared" si="3"/>
        <v>0</v>
      </c>
      <c r="L20" s="150"/>
      <c r="M20" s="150"/>
      <c r="N20" s="150"/>
      <c r="O20" s="150"/>
      <c r="P20" s="150"/>
      <c r="Q20" s="150"/>
    </row>
    <row r="21" spans="1:17" ht="14" x14ac:dyDescent="0.15">
      <c r="A21" s="26" t="s">
        <v>195</v>
      </c>
      <c r="B21" s="257"/>
      <c r="C21" s="257"/>
      <c r="D21" s="257"/>
      <c r="E21" s="1" t="s">
        <v>196</v>
      </c>
      <c r="F21" s="12">
        <v>100</v>
      </c>
      <c r="G21" s="20">
        <f t="shared" si="0"/>
        <v>-100</v>
      </c>
      <c r="H21" s="151"/>
      <c r="I21" s="50">
        <f t="shared" si="1"/>
        <v>0</v>
      </c>
      <c r="J21" s="152"/>
      <c r="K21" s="133">
        <f t="shared" si="3"/>
        <v>0</v>
      </c>
      <c r="L21" s="150"/>
      <c r="M21" s="150"/>
      <c r="N21" s="150"/>
      <c r="O21" s="150"/>
      <c r="P21" s="150"/>
      <c r="Q21" s="150"/>
    </row>
    <row r="22" spans="1:17" ht="14" x14ac:dyDescent="0.15">
      <c r="A22" s="26" t="s">
        <v>197</v>
      </c>
      <c r="B22" s="257"/>
      <c r="C22" s="257"/>
      <c r="D22" s="257"/>
      <c r="E22" s="1" t="s">
        <v>198</v>
      </c>
      <c r="F22" s="12">
        <v>125</v>
      </c>
      <c r="G22" s="20">
        <f t="shared" si="0"/>
        <v>-125</v>
      </c>
      <c r="H22" s="151"/>
      <c r="I22" s="50">
        <f t="shared" si="1"/>
        <v>0</v>
      </c>
      <c r="J22" s="152"/>
      <c r="K22" s="133">
        <f t="shared" si="3"/>
        <v>0</v>
      </c>
      <c r="L22" s="150"/>
      <c r="M22" s="150"/>
      <c r="N22" s="150"/>
      <c r="O22" s="150"/>
      <c r="P22" s="150"/>
      <c r="Q22" s="150"/>
    </row>
    <row r="23" spans="1:17" ht="14" x14ac:dyDescent="0.15">
      <c r="A23" s="26" t="s">
        <v>199</v>
      </c>
      <c r="B23" s="257"/>
      <c r="C23" s="257"/>
      <c r="D23" s="257"/>
      <c r="E23" s="1" t="s">
        <v>200</v>
      </c>
      <c r="F23" s="12">
        <v>100</v>
      </c>
      <c r="G23" s="20">
        <f t="shared" si="0"/>
        <v>-100</v>
      </c>
      <c r="H23" s="151"/>
      <c r="I23" s="50">
        <f t="shared" si="1"/>
        <v>0</v>
      </c>
      <c r="J23" s="152"/>
      <c r="K23" s="133">
        <f t="shared" si="3"/>
        <v>0</v>
      </c>
      <c r="L23" s="150"/>
      <c r="M23" s="150"/>
      <c r="N23" s="150"/>
      <c r="O23" s="150"/>
      <c r="P23" s="150"/>
      <c r="Q23" s="150"/>
    </row>
    <row r="24" spans="1:17" ht="14" x14ac:dyDescent="0.15">
      <c r="A24" s="26" t="s">
        <v>201</v>
      </c>
      <c r="B24" s="257"/>
      <c r="C24" s="257"/>
      <c r="D24" s="257"/>
      <c r="E24" s="1" t="s">
        <v>202</v>
      </c>
      <c r="F24" s="12">
        <v>100</v>
      </c>
      <c r="G24" s="20">
        <f t="shared" si="0"/>
        <v>-100</v>
      </c>
      <c r="H24" s="151"/>
      <c r="I24" s="50">
        <f t="shared" si="1"/>
        <v>0</v>
      </c>
      <c r="J24" s="152"/>
      <c r="K24" s="133">
        <f t="shared" si="3"/>
        <v>0</v>
      </c>
      <c r="L24" s="150"/>
      <c r="M24" s="150"/>
      <c r="N24" s="150"/>
      <c r="O24" s="150"/>
      <c r="P24" s="150"/>
      <c r="Q24" s="150"/>
    </row>
    <row r="25" spans="1:17" ht="14" x14ac:dyDescent="0.15">
      <c r="A25" s="26" t="s">
        <v>203</v>
      </c>
      <c r="B25" s="257"/>
      <c r="C25" s="257"/>
      <c r="D25" s="257"/>
      <c r="E25" s="1" t="s">
        <v>204</v>
      </c>
      <c r="F25" s="12">
        <v>200</v>
      </c>
      <c r="G25" s="20">
        <f t="shared" si="0"/>
        <v>-200</v>
      </c>
      <c r="H25" s="151"/>
      <c r="I25" s="50">
        <f t="shared" si="1"/>
        <v>0</v>
      </c>
      <c r="J25" s="152"/>
      <c r="K25" s="133">
        <f t="shared" si="3"/>
        <v>0</v>
      </c>
      <c r="L25" s="150"/>
      <c r="M25" s="150"/>
      <c r="N25" s="150"/>
      <c r="O25" s="150"/>
      <c r="P25" s="150"/>
      <c r="Q25" s="150"/>
    </row>
    <row r="26" spans="1:17" ht="14" x14ac:dyDescent="0.15">
      <c r="A26" s="26" t="s">
        <v>205</v>
      </c>
      <c r="B26" s="257"/>
      <c r="C26" s="257"/>
      <c r="D26" s="257"/>
      <c r="E26" s="1" t="s">
        <v>206</v>
      </c>
      <c r="F26" s="12">
        <v>100</v>
      </c>
      <c r="G26" s="20">
        <f t="shared" si="0"/>
        <v>-100</v>
      </c>
      <c r="H26" s="151"/>
      <c r="I26" s="50">
        <f t="shared" si="1"/>
        <v>0</v>
      </c>
      <c r="J26" s="152"/>
      <c r="K26" s="133">
        <f t="shared" si="3"/>
        <v>0</v>
      </c>
      <c r="L26" s="150"/>
      <c r="M26" s="150"/>
      <c r="N26" s="150"/>
      <c r="O26" s="150"/>
      <c r="P26" s="150"/>
      <c r="Q26" s="150"/>
    </row>
    <row r="27" spans="1:17" ht="14" x14ac:dyDescent="0.15">
      <c r="A27" s="26" t="s">
        <v>207</v>
      </c>
      <c r="B27" s="257"/>
      <c r="C27" s="257"/>
      <c r="D27" s="257"/>
      <c r="E27" s="1" t="s">
        <v>208</v>
      </c>
      <c r="F27" s="12">
        <v>100</v>
      </c>
      <c r="G27" s="20">
        <f t="shared" si="0"/>
        <v>-100</v>
      </c>
      <c r="H27" s="151"/>
      <c r="I27" s="50">
        <f t="shared" si="1"/>
        <v>0</v>
      </c>
      <c r="J27" s="152"/>
      <c r="K27" s="133">
        <f t="shared" si="3"/>
        <v>0</v>
      </c>
      <c r="L27" s="150"/>
      <c r="M27" s="150"/>
      <c r="N27" s="150"/>
      <c r="O27" s="150"/>
      <c r="P27" s="150"/>
      <c r="Q27" s="150"/>
    </row>
    <row r="28" spans="1:17" ht="14" x14ac:dyDescent="0.15">
      <c r="A28" s="26" t="s">
        <v>209</v>
      </c>
      <c r="B28" s="257"/>
      <c r="C28" s="257"/>
      <c r="D28" s="257"/>
      <c r="E28" s="1" t="s">
        <v>210</v>
      </c>
      <c r="F28" s="12">
        <v>100</v>
      </c>
      <c r="G28" s="20">
        <f t="shared" si="0"/>
        <v>-100</v>
      </c>
      <c r="H28" s="151"/>
      <c r="I28" s="50">
        <f t="shared" si="1"/>
        <v>0</v>
      </c>
      <c r="J28" s="152"/>
      <c r="K28" s="133">
        <f t="shared" si="3"/>
        <v>0</v>
      </c>
      <c r="L28" s="150"/>
      <c r="M28" s="150"/>
      <c r="N28" s="150"/>
      <c r="O28" s="150"/>
      <c r="P28" s="150"/>
      <c r="Q28" s="150"/>
    </row>
    <row r="29" spans="1:17" ht="14" x14ac:dyDescent="0.15">
      <c r="A29" s="26" t="s">
        <v>211</v>
      </c>
      <c r="B29" s="257"/>
      <c r="C29" s="257"/>
      <c r="D29" s="257"/>
      <c r="E29" s="1" t="s">
        <v>212</v>
      </c>
      <c r="F29" s="12">
        <v>100</v>
      </c>
      <c r="G29" s="20">
        <f t="shared" si="0"/>
        <v>-100</v>
      </c>
      <c r="H29" s="151"/>
      <c r="I29" s="50">
        <f t="shared" si="1"/>
        <v>0</v>
      </c>
      <c r="J29" s="152"/>
      <c r="K29" s="133">
        <f t="shared" si="3"/>
        <v>0</v>
      </c>
      <c r="L29" s="150"/>
      <c r="M29" s="150"/>
      <c r="N29" s="150"/>
      <c r="O29" s="150"/>
      <c r="P29" s="150"/>
      <c r="Q29" s="150"/>
    </row>
    <row r="30" spans="1:17" ht="14" x14ac:dyDescent="0.15">
      <c r="A30" s="26" t="s">
        <v>213</v>
      </c>
      <c r="B30" s="257"/>
      <c r="C30" s="257"/>
      <c r="D30" s="257"/>
      <c r="E30" s="1" t="s">
        <v>214</v>
      </c>
      <c r="F30" s="12">
        <v>100</v>
      </c>
      <c r="G30" s="20">
        <f t="shared" si="0"/>
        <v>-100</v>
      </c>
      <c r="H30" s="151"/>
      <c r="I30" s="50">
        <f t="shared" si="1"/>
        <v>0</v>
      </c>
      <c r="J30" s="152"/>
      <c r="K30" s="133">
        <f t="shared" si="3"/>
        <v>0</v>
      </c>
      <c r="L30" s="150"/>
      <c r="M30" s="150"/>
      <c r="N30" s="150"/>
      <c r="O30" s="150"/>
      <c r="P30" s="150"/>
      <c r="Q30" s="150"/>
    </row>
    <row r="31" spans="1:17" ht="14" x14ac:dyDescent="0.15">
      <c r="A31" s="26" t="s">
        <v>215</v>
      </c>
      <c r="B31" s="257"/>
      <c r="C31" s="257"/>
      <c r="D31" s="257"/>
      <c r="E31" s="1" t="s">
        <v>216</v>
      </c>
      <c r="F31" s="12">
        <v>400</v>
      </c>
      <c r="G31" s="20">
        <f t="shared" si="0"/>
        <v>-400</v>
      </c>
      <c r="H31" s="151"/>
      <c r="I31" s="50">
        <f t="shared" si="1"/>
        <v>0</v>
      </c>
      <c r="J31" s="152"/>
      <c r="K31" s="133">
        <f t="shared" si="3"/>
        <v>0</v>
      </c>
      <c r="L31" s="150"/>
      <c r="M31" s="150"/>
      <c r="N31" s="150"/>
      <c r="O31" s="150"/>
      <c r="P31" s="150"/>
      <c r="Q31" s="150"/>
    </row>
    <row r="32" spans="1:17" ht="14" x14ac:dyDescent="0.15">
      <c r="A32" s="26" t="s">
        <v>217</v>
      </c>
      <c r="B32" s="257"/>
      <c r="C32" s="257"/>
      <c r="D32" s="257"/>
      <c r="E32" s="1" t="s">
        <v>218</v>
      </c>
      <c r="F32" s="12">
        <v>400</v>
      </c>
      <c r="G32" s="20">
        <f t="shared" si="0"/>
        <v>-400</v>
      </c>
      <c r="H32" s="151"/>
      <c r="I32" s="50">
        <f t="shared" si="1"/>
        <v>0</v>
      </c>
      <c r="J32" s="152"/>
      <c r="K32" s="133">
        <f t="shared" si="3"/>
        <v>0</v>
      </c>
      <c r="L32" s="150"/>
      <c r="M32" s="150"/>
      <c r="N32" s="150"/>
      <c r="O32" s="150"/>
      <c r="P32" s="150"/>
      <c r="Q32" s="150"/>
    </row>
    <row r="33" spans="1:17" ht="14" x14ac:dyDescent="0.15">
      <c r="A33" s="26" t="s">
        <v>219</v>
      </c>
      <c r="B33" s="257"/>
      <c r="C33" s="257"/>
      <c r="D33" s="257"/>
      <c r="E33" s="1" t="s">
        <v>220</v>
      </c>
      <c r="F33" s="12">
        <v>200</v>
      </c>
      <c r="G33" s="20">
        <f t="shared" si="0"/>
        <v>-200</v>
      </c>
      <c r="H33" s="151"/>
      <c r="I33" s="50">
        <f t="shared" si="1"/>
        <v>0</v>
      </c>
      <c r="J33" s="152"/>
      <c r="K33" s="133">
        <f t="shared" si="3"/>
        <v>0</v>
      </c>
      <c r="L33" s="150"/>
      <c r="M33" s="150"/>
      <c r="N33" s="150"/>
      <c r="O33" s="150"/>
      <c r="P33" s="150"/>
      <c r="Q33" s="150"/>
    </row>
    <row r="34" spans="1:17" ht="28" x14ac:dyDescent="0.15">
      <c r="A34" s="26" t="s">
        <v>221</v>
      </c>
      <c r="B34" s="257"/>
      <c r="C34" s="257"/>
      <c r="D34" s="257"/>
      <c r="E34" s="1" t="s">
        <v>222</v>
      </c>
      <c r="F34" s="12">
        <v>100</v>
      </c>
      <c r="G34" s="20">
        <f t="shared" si="0"/>
        <v>-100</v>
      </c>
      <c r="H34" s="151"/>
      <c r="I34" s="50">
        <f t="shared" si="1"/>
        <v>0</v>
      </c>
      <c r="J34" s="152"/>
      <c r="K34" s="133">
        <f t="shared" si="3"/>
        <v>0</v>
      </c>
      <c r="L34" s="150"/>
      <c r="M34" s="150"/>
      <c r="N34" s="150"/>
      <c r="O34" s="150"/>
      <c r="P34" s="150"/>
      <c r="Q34" s="150"/>
    </row>
    <row r="35" spans="1:17" ht="14" x14ac:dyDescent="0.15">
      <c r="A35" s="26" t="s">
        <v>223</v>
      </c>
      <c r="B35" s="257"/>
      <c r="C35" s="257"/>
      <c r="D35" s="257"/>
      <c r="E35" s="1" t="s">
        <v>224</v>
      </c>
      <c r="F35" s="12">
        <v>200</v>
      </c>
      <c r="G35" s="20">
        <f t="shared" si="0"/>
        <v>-200</v>
      </c>
      <c r="H35" s="151"/>
      <c r="I35" s="50">
        <f t="shared" si="1"/>
        <v>0</v>
      </c>
      <c r="J35" s="152"/>
      <c r="K35" s="133">
        <f t="shared" si="3"/>
        <v>0</v>
      </c>
      <c r="L35" s="150"/>
      <c r="M35" s="150"/>
      <c r="N35" s="150"/>
      <c r="O35" s="150"/>
      <c r="P35" s="150"/>
      <c r="Q35" s="150"/>
    </row>
    <row r="36" spans="1:17" x14ac:dyDescent="0.15">
      <c r="J36" s="43"/>
      <c r="K36" s="43"/>
    </row>
    <row r="37" spans="1:17" x14ac:dyDescent="0.15">
      <c r="J37" s="43"/>
      <c r="K37" s="43"/>
    </row>
    <row r="38" spans="1:17" x14ac:dyDescent="0.15">
      <c r="J38" s="43"/>
      <c r="K38" s="43"/>
    </row>
    <row r="39" spans="1:17" x14ac:dyDescent="0.15">
      <c r="J39" s="43"/>
      <c r="K39" s="43"/>
    </row>
    <row r="40" spans="1:17" x14ac:dyDescent="0.15">
      <c r="J40" s="43"/>
      <c r="K40" s="43"/>
    </row>
  </sheetData>
  <phoneticPr fontId="0" type="noConversion"/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7"/>
  <sheetViews>
    <sheetView topLeftCell="F1" workbookViewId="0">
      <selection activeCell="V3" sqref="V3:V9"/>
    </sheetView>
  </sheetViews>
  <sheetFormatPr baseColWidth="10" defaultRowHeight="13" x14ac:dyDescent="0.15"/>
  <cols>
    <col min="1" max="1" width="75.1640625" customWidth="1"/>
    <col min="2" max="3" width="10.1640625" customWidth="1"/>
    <col min="4" max="4" width="9.6640625" bestFit="1" customWidth="1"/>
    <col min="5" max="5" width="13.5" bestFit="1" customWidth="1"/>
    <col min="6" max="6" width="9.83203125" bestFit="1" customWidth="1"/>
    <col min="7" max="7" width="10" bestFit="1" customWidth="1"/>
    <col min="8" max="8" width="10.5" bestFit="1" customWidth="1"/>
    <col min="9" max="9" width="7.33203125" bestFit="1" customWidth="1"/>
    <col min="10" max="10" width="11.5" customWidth="1"/>
    <col min="11" max="11" width="7.33203125" bestFit="1" customWidth="1"/>
    <col min="12" max="12" width="10.5" bestFit="1" customWidth="1"/>
    <col min="13" max="13" width="6.33203125" bestFit="1" customWidth="1"/>
    <col min="14" max="14" width="9.5" bestFit="1" customWidth="1"/>
    <col min="15" max="15" width="7.5" customWidth="1"/>
    <col min="16" max="16" width="3.33203125" customWidth="1"/>
    <col min="21" max="21" width="2.1640625" customWidth="1"/>
  </cols>
  <sheetData>
    <row r="1" spans="1:22" s="230" customFormat="1" ht="29" thickBot="1" x14ac:dyDescent="0.2">
      <c r="A1" s="74" t="s">
        <v>126</v>
      </c>
      <c r="B1" s="74"/>
      <c r="C1" s="74"/>
      <c r="D1" s="74" t="s">
        <v>127</v>
      </c>
      <c r="E1" s="74" t="s">
        <v>40</v>
      </c>
      <c r="F1" s="74" t="s">
        <v>86</v>
      </c>
      <c r="G1" s="222" t="s">
        <v>87</v>
      </c>
      <c r="H1" s="222" t="s">
        <v>139</v>
      </c>
      <c r="I1" s="222" t="s">
        <v>156</v>
      </c>
      <c r="J1" s="222" t="s">
        <v>140</v>
      </c>
      <c r="K1" s="222" t="s">
        <v>156</v>
      </c>
      <c r="L1" s="222" t="s">
        <v>160</v>
      </c>
      <c r="M1" s="222" t="s">
        <v>156</v>
      </c>
      <c r="N1" s="222" t="s">
        <v>141</v>
      </c>
      <c r="O1" s="222" t="s">
        <v>156</v>
      </c>
    </row>
    <row r="2" spans="1:22" s="230" customFormat="1" ht="15" thickBot="1" x14ac:dyDescent="0.2">
      <c r="A2" s="334" t="s">
        <v>247</v>
      </c>
      <c r="B2" s="335"/>
      <c r="C2" s="335" t="s">
        <v>502</v>
      </c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6"/>
      <c r="P2"/>
      <c r="Q2" s="307" t="s">
        <v>498</v>
      </c>
      <c r="R2" s="307" t="s">
        <v>499</v>
      </c>
      <c r="S2" s="307" t="s">
        <v>500</v>
      </c>
      <c r="T2" s="307" t="s">
        <v>501</v>
      </c>
    </row>
    <row r="3" spans="1:22" ht="15" thickBot="1" x14ac:dyDescent="0.25">
      <c r="A3" s="233" t="s">
        <v>248</v>
      </c>
      <c r="B3" s="284" t="s">
        <v>375</v>
      </c>
      <c r="C3" s="337">
        <f>IF(B3="","",VLOOKUP(B3,catalogo_servicios!$B$1:$C$106,2,0))</f>
        <v>18</v>
      </c>
      <c r="D3" s="239">
        <v>0</v>
      </c>
      <c r="E3" s="239">
        <f>F3-D3</f>
        <v>7500</v>
      </c>
      <c r="F3" s="235">
        <v>7500</v>
      </c>
      <c r="G3" s="240">
        <f>(F3*0.16)+F3</f>
        <v>8700</v>
      </c>
      <c r="H3" s="235">
        <f>(E3*0.1)</f>
        <v>750</v>
      </c>
      <c r="I3" s="236">
        <f>H3/E3</f>
        <v>0.1</v>
      </c>
      <c r="J3" s="235">
        <f>(E3*0.2)</f>
        <v>1500</v>
      </c>
      <c r="K3" s="236">
        <f>J3/E3</f>
        <v>0.2</v>
      </c>
      <c r="L3" s="235">
        <v>40</v>
      </c>
      <c r="M3" s="236">
        <f>L3/E3</f>
        <v>5.3333333333333332E-3</v>
      </c>
      <c r="N3" s="241">
        <f>(E3-H3-J3)</f>
        <v>5250</v>
      </c>
      <c r="O3" s="242">
        <f>N3/E3</f>
        <v>0.7</v>
      </c>
      <c r="Q3" s="40">
        <f>I3*100</f>
        <v>10</v>
      </c>
      <c r="R3" s="40">
        <f>K3*100</f>
        <v>20</v>
      </c>
      <c r="S3" s="40">
        <f>M3*100</f>
        <v>0.53333333333333333</v>
      </c>
      <c r="T3" s="40">
        <f>O3*100</f>
        <v>70</v>
      </c>
      <c r="V3" s="40" t="str">
        <f>IF(C3="","",CONCATENATE("update catalogo_servicios set costo_servicio = ",D3,", costo = ",F3,", honorarios = ",E3,", utilidad = ",N3,", porcentaje_utilidad = ",T3,", comision_venta_monto=",H3,", porcentaje_venta=",Q3,", comision_operativa_monto=",J3,", porcentaje_operativa=",R3,", comision_gestion_monto=",L3,", porcentaje_gestion=",S3," where id = ",C3,";"))</f>
        <v>update catalogo_servicios set costo_servicio = 0, costo = 7500, honorarios = 7500, utilidad = 5250, porcentaje_utilidad = 70, comision_venta_monto=750, porcentaje_venta=10, comision_operativa_monto=1500, porcentaje_operativa=20, comision_gestion_monto=40, porcentaje_gestion=0.533333333333333 where id = 18;</v>
      </c>
    </row>
    <row r="4" spans="1:22" ht="15" thickBot="1" x14ac:dyDescent="0.25">
      <c r="A4" s="237" t="s">
        <v>249</v>
      </c>
      <c r="B4" s="284" t="s">
        <v>376</v>
      </c>
      <c r="C4" s="337">
        <f>IF(B4="","",VLOOKUP(B4,catalogo_servicios!$B$1:$C$106,2,0))</f>
        <v>16</v>
      </c>
      <c r="D4" s="13">
        <v>0</v>
      </c>
      <c r="E4" s="13">
        <f>F4-D4</f>
        <v>7500</v>
      </c>
      <c r="F4" s="13">
        <v>7500</v>
      </c>
      <c r="G4" s="13">
        <f>(F4*0.16)+F4</f>
        <v>8700</v>
      </c>
      <c r="H4" s="13">
        <f>(E4*0.1)</f>
        <v>750</v>
      </c>
      <c r="I4" s="133">
        <f>H4/E4</f>
        <v>0.1</v>
      </c>
      <c r="J4" s="13">
        <f>(E4*0.2)</f>
        <v>1500</v>
      </c>
      <c r="K4" s="133">
        <f>J4/E4</f>
        <v>0.2</v>
      </c>
      <c r="L4" s="13">
        <v>40</v>
      </c>
      <c r="M4" s="133">
        <f>L4/E4</f>
        <v>5.3333333333333332E-3</v>
      </c>
      <c r="N4" s="123">
        <f>(E4-H4-J4)</f>
        <v>5250</v>
      </c>
      <c r="O4" s="126">
        <f>N4/E4</f>
        <v>0.7</v>
      </c>
      <c r="Q4" s="40">
        <f t="shared" ref="Q4:Q9" si="0">I4*100</f>
        <v>10</v>
      </c>
      <c r="R4" s="40">
        <f t="shared" ref="R4:R5" si="1">K4*100</f>
        <v>20</v>
      </c>
      <c r="S4" s="40">
        <f t="shared" ref="S4:S5" si="2">M4*100</f>
        <v>0.53333333333333333</v>
      </c>
      <c r="T4" s="40">
        <f t="shared" ref="T4:T9" si="3">O4*100</f>
        <v>70</v>
      </c>
      <c r="V4" s="40" t="str">
        <f t="shared" ref="V4:V9" si="4">IF(C4="","",CONCATENATE("update catalogo_servicios set costo_servicio = ",D4,", costo = ",F4,", honorarios = ",E4,", utilidad = ",N4,", porcentaje_utilidad = ",T4,", comision_venta_monto=",H4,", porcentaje_venta=",Q4,", comision_operativa_monto=",J4,", porcentaje_operativa=",R4,", comision_gestion_monto=",L4,", porcentaje_gestion=",S4," where id = ",C4,";"))</f>
        <v>update catalogo_servicios set costo_servicio = 0, costo = 7500, honorarios = 7500, utilidad = 5250, porcentaje_utilidad = 70, comision_venta_monto=750, porcentaje_venta=10, comision_operativa_monto=1500, porcentaje_operativa=20, comision_gestion_monto=40, porcentaje_gestion=0.533333333333333 where id = 16;</v>
      </c>
    </row>
    <row r="5" spans="1:22" ht="30" thickBot="1" x14ac:dyDescent="0.25">
      <c r="A5" s="238" t="s">
        <v>252</v>
      </c>
      <c r="B5" s="284" t="s">
        <v>377</v>
      </c>
      <c r="C5" s="337">
        <f>IF(B5="","",VLOOKUP(B5,catalogo_servicios!$B$1:$C$106,2,0))</f>
        <v>19</v>
      </c>
      <c r="D5" s="13">
        <v>0</v>
      </c>
      <c r="E5" s="13">
        <f>F5-D5</f>
        <v>55000</v>
      </c>
      <c r="F5" s="13">
        <v>55000</v>
      </c>
      <c r="G5" s="13">
        <f>(F5*0.16)+F5</f>
        <v>63800</v>
      </c>
      <c r="H5" s="13">
        <f>(E5*0.06)</f>
        <v>3300</v>
      </c>
      <c r="I5" s="133">
        <f>H5/E5</f>
        <v>0.06</v>
      </c>
      <c r="J5" s="13">
        <f>(E5*0.2)</f>
        <v>11000</v>
      </c>
      <c r="K5" s="133">
        <f>J5/E5</f>
        <v>0.2</v>
      </c>
      <c r="L5" s="13">
        <f>(E5*0.005)</f>
        <v>275</v>
      </c>
      <c r="M5" s="133">
        <f>L5/E5</f>
        <v>5.0000000000000001E-3</v>
      </c>
      <c r="N5" s="123">
        <f>(E5-H5-J5)</f>
        <v>40700</v>
      </c>
      <c r="O5" s="126">
        <f>N5/E5</f>
        <v>0.74</v>
      </c>
      <c r="Q5" s="40">
        <f t="shared" si="0"/>
        <v>6</v>
      </c>
      <c r="R5" s="40">
        <f t="shared" si="1"/>
        <v>20</v>
      </c>
      <c r="S5" s="40">
        <f t="shared" si="2"/>
        <v>0.5</v>
      </c>
      <c r="T5" s="40">
        <f t="shared" si="3"/>
        <v>74</v>
      </c>
      <c r="V5" s="40" t="str">
        <f t="shared" si="4"/>
        <v>update catalogo_servicios set costo_servicio = 0, costo = 55000, honorarios = 55000, utilidad = 40700, porcentaje_utilidad = 74, comision_venta_monto=3300, porcentaje_venta=6, comision_operativa_monto=11000, porcentaje_operativa=20, comision_gestion_monto=275, porcentaje_gestion=0.5 where id = 19;</v>
      </c>
    </row>
    <row r="6" spans="1:22" ht="15" thickBot="1" x14ac:dyDescent="0.25">
      <c r="A6" s="237" t="s">
        <v>254</v>
      </c>
      <c r="B6" s="284" t="s">
        <v>378</v>
      </c>
      <c r="C6" s="337">
        <f>IF(B6="","",VLOOKUP(B6,catalogo_servicios!$B$1:$C$106,2,0))</f>
        <v>98</v>
      </c>
      <c r="D6" s="13">
        <v>0</v>
      </c>
      <c r="E6" s="338">
        <v>0</v>
      </c>
      <c r="F6" s="339">
        <v>0</v>
      </c>
      <c r="G6" s="339">
        <v>0</v>
      </c>
      <c r="H6" s="338">
        <v>10</v>
      </c>
      <c r="I6" s="338">
        <v>0.1</v>
      </c>
      <c r="J6" s="339">
        <v>0</v>
      </c>
      <c r="K6" s="339">
        <v>0</v>
      </c>
      <c r="L6" s="338">
        <v>5</v>
      </c>
      <c r="M6" s="133">
        <v>0.05</v>
      </c>
      <c r="N6" s="338">
        <v>90</v>
      </c>
      <c r="O6" s="126">
        <v>0.9</v>
      </c>
      <c r="Q6" s="40">
        <f t="shared" si="0"/>
        <v>10</v>
      </c>
      <c r="R6" s="40">
        <f t="shared" ref="R6:R9" si="5">K6*100</f>
        <v>0</v>
      </c>
      <c r="S6" s="40">
        <f t="shared" ref="S6:S9" si="6">M6*100</f>
        <v>5</v>
      </c>
      <c r="T6" s="40">
        <f t="shared" si="3"/>
        <v>90</v>
      </c>
      <c r="V6" s="40" t="str">
        <f t="shared" si="4"/>
        <v>update catalogo_servicios set costo_servicio = 0, costo = 0, honorarios = 0, utilidad = 90, porcentaje_utilidad = 90, comision_venta_monto=10, porcentaje_venta=10, comision_operativa_monto=0, porcentaje_operativa=0, comision_gestion_monto=5, porcentaje_gestion=5 where id = 98;</v>
      </c>
    </row>
    <row r="7" spans="1:22" ht="15" thickBot="1" x14ac:dyDescent="0.25">
      <c r="A7" s="237" t="s">
        <v>256</v>
      </c>
      <c r="B7" s="284" t="s">
        <v>379</v>
      </c>
      <c r="C7" s="337">
        <f>IF(B7="","",VLOOKUP(B7,catalogo_servicios!$B$1:$C$106,2,0))</f>
        <v>22</v>
      </c>
      <c r="D7" s="13">
        <v>0</v>
      </c>
      <c r="E7" s="338">
        <v>0.05</v>
      </c>
      <c r="F7" s="338">
        <v>0.05</v>
      </c>
      <c r="G7" s="338">
        <v>0.05</v>
      </c>
      <c r="H7" s="338">
        <v>10</v>
      </c>
      <c r="I7" s="338">
        <v>0.1</v>
      </c>
      <c r="J7" s="339">
        <v>0</v>
      </c>
      <c r="K7" s="339">
        <v>0</v>
      </c>
      <c r="L7" s="338">
        <v>5</v>
      </c>
      <c r="M7" s="133">
        <v>0.05</v>
      </c>
      <c r="N7" s="338">
        <v>90</v>
      </c>
      <c r="O7" s="126">
        <v>0.9</v>
      </c>
      <c r="Q7" s="40">
        <f t="shared" si="0"/>
        <v>10</v>
      </c>
      <c r="R7" s="40">
        <f t="shared" si="5"/>
        <v>0</v>
      </c>
      <c r="S7" s="40">
        <f t="shared" si="6"/>
        <v>5</v>
      </c>
      <c r="T7" s="40">
        <f t="shared" si="3"/>
        <v>90</v>
      </c>
      <c r="V7" s="40" t="str">
        <f t="shared" si="4"/>
        <v>update catalogo_servicios set costo_servicio = 0, costo = 0.05, honorarios = 0.05, utilidad = 90, porcentaje_utilidad = 90, comision_venta_monto=10, porcentaje_venta=10, comision_operativa_monto=0, porcentaje_operativa=0, comision_gestion_monto=5, porcentaje_gestion=5 where id = 22;</v>
      </c>
    </row>
    <row r="8" spans="1:22" ht="15" thickBot="1" x14ac:dyDescent="0.25">
      <c r="A8" s="237" t="s">
        <v>257</v>
      </c>
      <c r="B8" s="284" t="s">
        <v>380</v>
      </c>
      <c r="C8" s="337">
        <f>IF(B8="","",VLOOKUP(B8,catalogo_servicios!$B$1:$C$106,2,0))</f>
        <v>17</v>
      </c>
      <c r="D8" s="13">
        <v>0</v>
      </c>
      <c r="E8" s="340">
        <v>20</v>
      </c>
      <c r="F8" s="340">
        <v>20</v>
      </c>
      <c r="G8" s="340">
        <v>20</v>
      </c>
      <c r="H8" s="338">
        <v>5</v>
      </c>
      <c r="I8" s="338">
        <v>0.05</v>
      </c>
      <c r="J8" s="339">
        <v>0</v>
      </c>
      <c r="K8" s="339">
        <v>0</v>
      </c>
      <c r="L8" s="338">
        <v>1</v>
      </c>
      <c r="M8" s="133">
        <v>5.0000000000000001E-3</v>
      </c>
      <c r="N8" s="338">
        <v>90</v>
      </c>
      <c r="O8" s="126">
        <v>0.9</v>
      </c>
      <c r="Q8" s="40">
        <f t="shared" si="0"/>
        <v>5</v>
      </c>
      <c r="R8" s="40">
        <f t="shared" si="5"/>
        <v>0</v>
      </c>
      <c r="S8" s="40">
        <f t="shared" si="6"/>
        <v>0.5</v>
      </c>
      <c r="T8" s="40">
        <f t="shared" si="3"/>
        <v>90</v>
      </c>
      <c r="V8" s="40" t="str">
        <f t="shared" si="4"/>
        <v>update catalogo_servicios set costo_servicio = 0, costo = 20, honorarios = 20, utilidad = 90, porcentaje_utilidad = 90, comision_venta_monto=5, porcentaje_venta=5, comision_operativa_monto=0, porcentaje_operativa=0, comision_gestion_monto=1, porcentaje_gestion=0.5 where id = 17;</v>
      </c>
    </row>
    <row r="9" spans="1:22" ht="15" thickBot="1" x14ac:dyDescent="0.25">
      <c r="A9" s="237" t="s">
        <v>258</v>
      </c>
      <c r="B9" s="284" t="s">
        <v>381</v>
      </c>
      <c r="C9" s="337">
        <f>IF(B9="","",VLOOKUP(B9,catalogo_servicios!$B$1:$C$106,2,0))</f>
        <v>99</v>
      </c>
      <c r="D9" s="13">
        <v>0</v>
      </c>
      <c r="E9" s="340">
        <v>20</v>
      </c>
      <c r="F9" s="340">
        <v>20</v>
      </c>
      <c r="G9" s="340">
        <v>20</v>
      </c>
      <c r="H9" s="338">
        <v>10</v>
      </c>
      <c r="I9" s="338">
        <v>0.1</v>
      </c>
      <c r="J9" s="339">
        <v>0</v>
      </c>
      <c r="K9" s="339">
        <v>0</v>
      </c>
      <c r="L9" s="338">
        <v>5</v>
      </c>
      <c r="M9" s="133">
        <v>0.05</v>
      </c>
      <c r="N9" s="338">
        <v>90</v>
      </c>
      <c r="O9" s="126">
        <v>0.9</v>
      </c>
      <c r="Q9" s="40">
        <f t="shared" si="0"/>
        <v>10</v>
      </c>
      <c r="R9" s="40">
        <f t="shared" si="5"/>
        <v>0</v>
      </c>
      <c r="S9" s="40">
        <f t="shared" si="6"/>
        <v>5</v>
      </c>
      <c r="T9" s="40">
        <f t="shared" si="3"/>
        <v>90</v>
      </c>
      <c r="V9" s="40" t="str">
        <f t="shared" si="4"/>
        <v>update catalogo_servicios set costo_servicio = 0, costo = 20, honorarios = 20, utilidad = 90, porcentaje_utilidad = 90, comision_venta_monto=10, porcentaje_venta=10, comision_operativa_monto=0, porcentaje_operativa=0, comision_gestion_monto=5, porcentaje_gestion=5 where id = 99;</v>
      </c>
    </row>
    <row r="11" spans="1:22" ht="28" x14ac:dyDescent="0.15">
      <c r="A11" s="234" t="s">
        <v>253</v>
      </c>
      <c r="B11" s="234"/>
      <c r="C11" s="234"/>
    </row>
    <row r="13" spans="1:22" ht="42" x14ac:dyDescent="0.15">
      <c r="A13" s="234" t="s">
        <v>260</v>
      </c>
      <c r="B13" s="234"/>
      <c r="C13" s="234"/>
    </row>
    <row r="15" spans="1:22" ht="42" x14ac:dyDescent="0.15">
      <c r="A15" s="234" t="s">
        <v>255</v>
      </c>
      <c r="B15" s="234"/>
      <c r="C15" s="234"/>
    </row>
    <row r="17" spans="1:3" ht="42" x14ac:dyDescent="0.15">
      <c r="A17" s="234" t="s">
        <v>259</v>
      </c>
      <c r="B17" s="234"/>
      <c r="C17" s="234"/>
    </row>
  </sheetData>
  <pageMargins left="0.7" right="0.7" top="0.75" bottom="0.75" header="0.3" footer="0.3"/>
  <pageSetup orientation="portrait"/>
  <ignoredErrors>
    <ignoredError sqref="H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"/>
  <sheetViews>
    <sheetView topLeftCell="D1" workbookViewId="0">
      <selection activeCell="T3" sqref="T3:T6"/>
    </sheetView>
  </sheetViews>
  <sheetFormatPr baseColWidth="10" defaultRowHeight="13" x14ac:dyDescent="0.15"/>
  <cols>
    <col min="1" max="1" width="57.33203125" bestFit="1" customWidth="1"/>
    <col min="2" max="2" width="10.6640625" bestFit="1" customWidth="1"/>
    <col min="3" max="3" width="10.6640625" customWidth="1"/>
    <col min="4" max="4" width="13.5" bestFit="1" customWidth="1"/>
    <col min="5" max="5" width="19.6640625" customWidth="1"/>
    <col min="7" max="7" width="7.83203125" customWidth="1"/>
    <col min="9" max="9" width="7.5" customWidth="1"/>
    <col min="11" max="11" width="8" customWidth="1"/>
    <col min="13" max="13" width="7.33203125" bestFit="1" customWidth="1"/>
    <col min="14" max="14" width="2.1640625" customWidth="1"/>
    <col min="19" max="19" width="3.1640625" customWidth="1"/>
  </cols>
  <sheetData>
    <row r="1" spans="1:20" ht="16" thickBot="1" x14ac:dyDescent="0.25">
      <c r="A1" s="341" t="s">
        <v>245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3"/>
    </row>
    <row r="2" spans="1:20" ht="43" thickBot="1" x14ac:dyDescent="0.2">
      <c r="A2" s="221" t="s">
        <v>126</v>
      </c>
      <c r="B2" s="221"/>
      <c r="C2" s="221" t="s">
        <v>502</v>
      </c>
      <c r="D2" s="221" t="s">
        <v>40</v>
      </c>
      <c r="E2" s="222" t="s">
        <v>246</v>
      </c>
      <c r="F2" s="222" t="s">
        <v>139</v>
      </c>
      <c r="G2" s="222" t="s">
        <v>156</v>
      </c>
      <c r="H2" s="222" t="s">
        <v>140</v>
      </c>
      <c r="I2" s="222" t="s">
        <v>156</v>
      </c>
      <c r="J2" s="222" t="s">
        <v>160</v>
      </c>
      <c r="K2" s="222" t="s">
        <v>156</v>
      </c>
      <c r="L2" s="222" t="s">
        <v>141</v>
      </c>
      <c r="M2" s="222" t="s">
        <v>156</v>
      </c>
      <c r="O2" s="307" t="s">
        <v>498</v>
      </c>
      <c r="P2" s="307" t="s">
        <v>499</v>
      </c>
      <c r="Q2" s="307" t="s">
        <v>500</v>
      </c>
      <c r="R2" s="307" t="s">
        <v>501</v>
      </c>
    </row>
    <row r="3" spans="1:20" ht="15" thickBot="1" x14ac:dyDescent="0.25">
      <c r="A3" s="227" t="s">
        <v>241</v>
      </c>
      <c r="B3" s="290" t="s">
        <v>403</v>
      </c>
      <c r="C3" s="344">
        <f>IF(B3="","",VLOOKUP(B3,catalogo_servicios!$B$1:$C$106,2,0))</f>
        <v>4</v>
      </c>
      <c r="D3" s="228">
        <v>2200</v>
      </c>
      <c r="E3" s="229">
        <f>D3*1.16</f>
        <v>2552</v>
      </c>
      <c r="F3" s="219">
        <f>(D3*0.1)</f>
        <v>220</v>
      </c>
      <c r="G3" s="217">
        <f>F3/D3</f>
        <v>0.1</v>
      </c>
      <c r="H3" s="219">
        <v>70</v>
      </c>
      <c r="I3" s="217">
        <f>H3/D3</f>
        <v>3.1818181818181815E-2</v>
      </c>
      <c r="J3" s="219">
        <v>35</v>
      </c>
      <c r="K3" s="217">
        <f>J3/D3</f>
        <v>1.5909090909090907E-2</v>
      </c>
      <c r="L3" s="220">
        <f>(D3-F3-H3)</f>
        <v>1910</v>
      </c>
      <c r="M3" s="217">
        <f>L3/D3</f>
        <v>0.86818181818181817</v>
      </c>
      <c r="O3" s="40">
        <f>G3*100</f>
        <v>10</v>
      </c>
      <c r="P3" s="40">
        <f>I3*100</f>
        <v>3.1818181818181817</v>
      </c>
      <c r="Q3" s="40">
        <f>K3*100</f>
        <v>1.5909090909090908</v>
      </c>
      <c r="R3" s="40">
        <f>M3*100</f>
        <v>86.818181818181813</v>
      </c>
      <c r="T3" s="40" t="str">
        <f>IF(C3="","",CONCATENATE("update catalogo_servicios set honorarios = ",D3,", utilidad = ",L3,", porcentaje_utilidad = ",R3,", comision_venta_monto=",F3,", porcentaje_venta=",O3,", comision_operativa_monto=",H3,", porcentaje_operativa=",P3,", comision_gestion_monto=",J3,", porcentaje_gestion=",Q3," where id = ",C3,";"))</f>
        <v>update catalogo_servicios set honorarios = 2200, utilidad = 1910, porcentaje_utilidad = 86.8181818181818, comision_venta_monto=220, porcentaje_venta=10, comision_operativa_monto=70, porcentaje_operativa=3.18181818181818, comision_gestion_monto=35, porcentaje_gestion=1.59090909090909 where id = 4;</v>
      </c>
    </row>
    <row r="4" spans="1:20" ht="15" thickBot="1" x14ac:dyDescent="0.25">
      <c r="A4" s="223" t="s">
        <v>242</v>
      </c>
      <c r="B4" s="290" t="s">
        <v>404</v>
      </c>
      <c r="C4" s="344">
        <f>IF(B4="","",VLOOKUP(B4,catalogo_servicios!$B$1:$C$106,2,0))</f>
        <v>2</v>
      </c>
      <c r="D4" s="224">
        <v>700</v>
      </c>
      <c r="E4" s="225">
        <f>D4*1.16</f>
        <v>812</v>
      </c>
      <c r="F4" s="216">
        <f>(D4*0.1)</f>
        <v>70</v>
      </c>
      <c r="G4" s="226">
        <f>F4/D4</f>
        <v>0.1</v>
      </c>
      <c r="H4" s="216">
        <v>25</v>
      </c>
      <c r="I4" s="226">
        <f>H4/D4</f>
        <v>3.5714285714285712E-2</v>
      </c>
      <c r="J4" s="219">
        <v>15</v>
      </c>
      <c r="K4" s="226">
        <f>J4/D4</f>
        <v>2.1428571428571429E-2</v>
      </c>
      <c r="L4" s="218">
        <f>(D4-F4-H4)</f>
        <v>605</v>
      </c>
      <c r="M4" s="226">
        <f>L4/D4</f>
        <v>0.86428571428571432</v>
      </c>
      <c r="O4" s="40">
        <f t="shared" ref="O4:O6" si="0">G4*100</f>
        <v>10</v>
      </c>
      <c r="P4" s="40">
        <f t="shared" ref="P4:P6" si="1">I4*100</f>
        <v>3.5714285714285712</v>
      </c>
      <c r="Q4" s="40">
        <f t="shared" ref="Q4:Q6" si="2">K4*100</f>
        <v>2.1428571428571428</v>
      </c>
      <c r="R4" s="40">
        <f t="shared" ref="R4:R6" si="3">M4*100</f>
        <v>86.428571428571431</v>
      </c>
      <c r="T4" s="40" t="str">
        <f t="shared" ref="T4:T6" si="4">IF(C4="","",CONCATENATE("update catalogo_servicios set honorarios = ",D4,", utilidad = ",L4,", porcentaje_utilidad = ",R4,", comision_venta_monto=",F4,", porcentaje_venta=",O4,", comision_operativa_monto=",H4,", porcentaje_operativa=",P4,", comision_gestion_monto=",J4,", porcentaje_gestion=",Q4," where id = ",C4,";"))</f>
        <v>update catalogo_servicios set honorarios = 700, utilidad = 605, porcentaje_utilidad = 86.4285714285714, comision_venta_monto=70, porcentaje_venta=10, comision_operativa_monto=25, porcentaje_operativa=3.57142857142857, comision_gestion_monto=15, porcentaje_gestion=2.14285714285714 where id = 2;</v>
      </c>
    </row>
    <row r="5" spans="1:20" ht="15" thickBot="1" x14ac:dyDescent="0.25">
      <c r="A5" s="223" t="s">
        <v>243</v>
      </c>
      <c r="B5" s="290" t="s">
        <v>405</v>
      </c>
      <c r="C5" s="344">
        <f>IF(B5="","",VLOOKUP(B5,catalogo_servicios!$B$1:$C$106,2,0))</f>
        <v>3</v>
      </c>
      <c r="D5" s="224">
        <v>2800</v>
      </c>
      <c r="E5" s="225">
        <f>D5*1.16</f>
        <v>3248</v>
      </c>
      <c r="F5" s="216">
        <f>(D5*0.1)</f>
        <v>280</v>
      </c>
      <c r="G5" s="226">
        <f>F5/D5</f>
        <v>0.1</v>
      </c>
      <c r="H5" s="216">
        <v>100</v>
      </c>
      <c r="I5" s="226">
        <f>H5/D5</f>
        <v>3.5714285714285712E-2</v>
      </c>
      <c r="J5" s="219">
        <v>50</v>
      </c>
      <c r="K5" s="226">
        <f>J5/D5</f>
        <v>1.7857142857142856E-2</v>
      </c>
      <c r="L5" s="218">
        <f>(D5-F5-H5)</f>
        <v>2420</v>
      </c>
      <c r="M5" s="226">
        <f>L5/D5</f>
        <v>0.86428571428571432</v>
      </c>
      <c r="O5" s="40">
        <f t="shared" si="0"/>
        <v>10</v>
      </c>
      <c r="P5" s="40">
        <f t="shared" si="1"/>
        <v>3.5714285714285712</v>
      </c>
      <c r="Q5" s="40">
        <f t="shared" si="2"/>
        <v>1.7857142857142856</v>
      </c>
      <c r="R5" s="40">
        <f t="shared" si="3"/>
        <v>86.428571428571431</v>
      </c>
      <c r="T5" s="40" t="str">
        <f t="shared" si="4"/>
        <v>update catalogo_servicios set honorarios = 2800, utilidad = 2420, porcentaje_utilidad = 86.4285714285714, comision_venta_monto=280, porcentaje_venta=10, comision_operativa_monto=100, porcentaje_operativa=3.57142857142857, comision_gestion_monto=50, porcentaje_gestion=1.78571428571429 where id = 3;</v>
      </c>
    </row>
    <row r="6" spans="1:20" ht="15" thickBot="1" x14ac:dyDescent="0.25">
      <c r="A6" s="223" t="s">
        <v>244</v>
      </c>
      <c r="B6" s="290" t="s">
        <v>406</v>
      </c>
      <c r="C6" s="344">
        <f>IF(B6="","",VLOOKUP(B6,catalogo_servicios!$B$1:$C$106,2,0))</f>
        <v>1</v>
      </c>
      <c r="D6" s="224">
        <v>1700</v>
      </c>
      <c r="E6" s="225">
        <f>D6*1.16</f>
        <v>1971.9999999999998</v>
      </c>
      <c r="F6" s="216">
        <f>(D6*0.1)</f>
        <v>170</v>
      </c>
      <c r="G6" s="226">
        <f>F6/D6</f>
        <v>0.1</v>
      </c>
      <c r="H6" s="216">
        <v>50</v>
      </c>
      <c r="I6" s="226">
        <f>H6/D6</f>
        <v>2.9411764705882353E-2</v>
      </c>
      <c r="J6" s="219">
        <v>25</v>
      </c>
      <c r="K6" s="226">
        <f>J6/D6</f>
        <v>1.4705882352941176E-2</v>
      </c>
      <c r="L6" s="218">
        <f>(D6-F6-H6)</f>
        <v>1480</v>
      </c>
      <c r="M6" s="226">
        <f>L6/D6</f>
        <v>0.87058823529411766</v>
      </c>
      <c r="O6" s="40">
        <f t="shared" si="0"/>
        <v>10</v>
      </c>
      <c r="P6" s="40">
        <f t="shared" si="1"/>
        <v>2.9411764705882351</v>
      </c>
      <c r="Q6" s="40">
        <f t="shared" si="2"/>
        <v>1.4705882352941175</v>
      </c>
      <c r="R6" s="40">
        <f t="shared" si="3"/>
        <v>87.058823529411768</v>
      </c>
      <c r="T6" s="40" t="str">
        <f t="shared" si="4"/>
        <v>update catalogo_servicios set honorarios = 1700, utilidad = 1480, porcentaje_utilidad = 87.0588235294118, comision_venta_monto=170, porcentaje_venta=10, comision_operativa_monto=50, porcentaje_operativa=2.94117647058824, comision_gestion_monto=25, porcentaje_gestion=1.47058823529412 where id = 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E11" sqref="E11"/>
    </sheetView>
  </sheetViews>
  <sheetFormatPr baseColWidth="10" defaultRowHeight="13" x14ac:dyDescent="0.15"/>
  <cols>
    <col min="1" max="1" width="4.1640625" bestFit="1" customWidth="1"/>
    <col min="2" max="2" width="31.33203125" bestFit="1" customWidth="1"/>
    <col min="4" max="4" width="9.33203125" bestFit="1" customWidth="1"/>
    <col min="5" max="5" width="10.83203125" bestFit="1" customWidth="1"/>
    <col min="6" max="6" width="9.83203125" bestFit="1" customWidth="1"/>
    <col min="7" max="7" width="10" bestFit="1" customWidth="1"/>
    <col min="9" max="9" width="10.83203125" bestFit="1" customWidth="1"/>
    <col min="10" max="10" width="7.6640625" bestFit="1" customWidth="1"/>
  </cols>
  <sheetData>
    <row r="1" spans="1:10" ht="14" thickBot="1" x14ac:dyDescent="0.2"/>
    <row r="2" spans="1:10" s="40" customFormat="1" ht="29" thickBot="1" x14ac:dyDescent="0.2">
      <c r="A2" s="34" t="s">
        <v>0</v>
      </c>
      <c r="B2" s="23" t="s">
        <v>41</v>
      </c>
      <c r="C2" s="23"/>
      <c r="D2" s="23" t="s">
        <v>134</v>
      </c>
      <c r="E2" s="23" t="s">
        <v>40</v>
      </c>
      <c r="F2" s="23" t="s">
        <v>86</v>
      </c>
      <c r="G2" s="24" t="s">
        <v>87</v>
      </c>
      <c r="I2" s="111" t="s">
        <v>95</v>
      </c>
      <c r="J2" s="112" t="s">
        <v>94</v>
      </c>
    </row>
    <row r="3" spans="1:10" s="40" customFormat="1" ht="14" x14ac:dyDescent="0.15">
      <c r="A3" s="32"/>
      <c r="B3" s="14" t="s">
        <v>90</v>
      </c>
      <c r="C3" s="14"/>
      <c r="D3" s="15">
        <v>300</v>
      </c>
      <c r="E3" s="15">
        <v>500</v>
      </c>
      <c r="F3" s="15">
        <f>D3+E3</f>
        <v>800</v>
      </c>
      <c r="G3" s="44">
        <f>(F3*0.16)+F3</f>
        <v>928</v>
      </c>
      <c r="I3" s="113"/>
      <c r="J3" s="114"/>
    </row>
    <row r="4" spans="1:10" s="40" customFormat="1" ht="14" x14ac:dyDescent="0.15">
      <c r="A4" s="26"/>
      <c r="B4" s="1" t="s">
        <v>91</v>
      </c>
      <c r="C4" s="1"/>
      <c r="D4" s="2">
        <v>600</v>
      </c>
      <c r="E4" s="5">
        <v>900</v>
      </c>
      <c r="F4" s="12">
        <f>D4+E4</f>
        <v>1500</v>
      </c>
      <c r="G4" s="21">
        <f>(F4*0.16)+F4</f>
        <v>1740</v>
      </c>
      <c r="I4" s="115">
        <v>1500</v>
      </c>
      <c r="J4" s="116"/>
    </row>
    <row r="5" spans="1:10" s="40" customFormat="1" ht="169" thickBot="1" x14ac:dyDescent="0.2">
      <c r="A5" s="119"/>
      <c r="B5" s="16" t="s">
        <v>135</v>
      </c>
      <c r="C5" s="16"/>
      <c r="D5" s="120">
        <v>1500</v>
      </c>
      <c r="E5" s="37">
        <v>1500</v>
      </c>
      <c r="F5" s="63">
        <f>D5+E5</f>
        <v>3000</v>
      </c>
      <c r="G5" s="45">
        <f>(F5*0.16)+F5</f>
        <v>3480</v>
      </c>
      <c r="I5" s="117">
        <v>9000</v>
      </c>
      <c r="J5" s="1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tabSelected="1" topLeftCell="H1" workbookViewId="0">
      <selection activeCell="R15" sqref="R15"/>
    </sheetView>
  </sheetViews>
  <sheetFormatPr baseColWidth="10" defaultRowHeight="13" x14ac:dyDescent="0.15"/>
  <cols>
    <col min="1" max="1" width="65.1640625" customWidth="1"/>
    <col min="7" max="7" width="23.1640625" bestFit="1" customWidth="1"/>
    <col min="9" max="9" width="1.83203125" customWidth="1"/>
    <col min="14" max="14" width="1.6640625" customWidth="1"/>
  </cols>
  <sheetData>
    <row r="1" spans="1:15" ht="17" thickBot="1" x14ac:dyDescent="0.2">
      <c r="A1" s="345" t="s">
        <v>407</v>
      </c>
      <c r="B1" s="346"/>
      <c r="C1" s="346" t="s">
        <v>502</v>
      </c>
      <c r="D1" s="346"/>
      <c r="E1" s="346"/>
      <c r="F1" s="346"/>
      <c r="G1" s="346"/>
      <c r="H1" s="347"/>
    </row>
    <row r="2" spans="1:15" ht="16" thickBot="1" x14ac:dyDescent="0.25">
      <c r="A2" s="277" t="s">
        <v>408</v>
      </c>
      <c r="B2" s="275" t="s">
        <v>409</v>
      </c>
      <c r="C2" s="275">
        <f>IFERROR(IF(B2="","",VLOOKUP(B2,catalogo_servicios!$B$1:$C$106,2,0)),"")</f>
        <v>50</v>
      </c>
      <c r="D2" s="291">
        <v>1500</v>
      </c>
      <c r="E2" s="292">
        <f>D2*1.16</f>
        <v>1739.9999999999998</v>
      </c>
      <c r="F2" s="291">
        <v>150</v>
      </c>
      <c r="G2" s="293">
        <v>200</v>
      </c>
      <c r="H2" s="291">
        <v>20</v>
      </c>
      <c r="J2">
        <v>1500</v>
      </c>
      <c r="K2">
        <v>150</v>
      </c>
      <c r="L2">
        <v>200</v>
      </c>
      <c r="M2">
        <v>20</v>
      </c>
      <c r="O2" t="str">
        <f>IF(C2="","",CONCATENATE("update catalogo_servicios set costo = ",J2,", comision_venta_monto =",K2,", comision_operativa_monto =",L2,", comision_gestion_monto =",M2," where id =",C2,";"))</f>
        <v>update catalogo_servicios set costo = 1500, comision_venta_monto =150, comision_operativa_monto =200, comision_gestion_monto =20 where id =50;</v>
      </c>
    </row>
    <row r="3" spans="1:15" ht="31" thickBot="1" x14ac:dyDescent="0.25">
      <c r="A3" s="271" t="s">
        <v>410</v>
      </c>
      <c r="B3" s="275" t="s">
        <v>411</v>
      </c>
      <c r="C3" s="275">
        <f>IFERROR(IF(B3="","",VLOOKUP(B3,catalogo_servicios!$B$1:$C$106,2,0)),"")</f>
        <v>51</v>
      </c>
      <c r="D3" s="277" t="s">
        <v>412</v>
      </c>
      <c r="E3" s="292" t="s">
        <v>251</v>
      </c>
      <c r="F3" s="294">
        <v>0.1</v>
      </c>
      <c r="G3" s="295" t="s">
        <v>413</v>
      </c>
      <c r="H3" s="296">
        <v>5.0000000000000001E-3</v>
      </c>
      <c r="J3">
        <v>0</v>
      </c>
      <c r="K3">
        <v>10</v>
      </c>
      <c r="L3">
        <v>20</v>
      </c>
      <c r="M3">
        <v>0.5</v>
      </c>
      <c r="O3" t="str">
        <f t="shared" ref="O3:O19" si="0">IF(C3="","",CONCATENATE("update catalogo_servicios set costo = ",J3,", comision_venta_monto =",K3,", comision_operativa_monto =",L3,", comision_gestion_monto =",M3," where id =",C3,";"))</f>
        <v>update catalogo_servicios set costo = 0, comision_venta_monto =10, comision_operativa_monto =20, comision_gestion_monto =0.5 where id =51;</v>
      </c>
    </row>
    <row r="4" spans="1:15" ht="16" thickBot="1" x14ac:dyDescent="0.25">
      <c r="A4" s="277" t="s">
        <v>414</v>
      </c>
      <c r="B4" s="275" t="s">
        <v>415</v>
      </c>
      <c r="C4" s="275">
        <f>IFERROR(IF(B4="","",VLOOKUP(B4,catalogo_servicios!$B$1:$C$106,2,0)),"")</f>
        <v>49</v>
      </c>
      <c r="D4" s="291">
        <v>2500</v>
      </c>
      <c r="E4" s="291">
        <f>D4*1.16</f>
        <v>2900</v>
      </c>
      <c r="F4" s="294">
        <v>0.1</v>
      </c>
      <c r="G4" s="295" t="s">
        <v>413</v>
      </c>
      <c r="H4" s="291">
        <v>25</v>
      </c>
      <c r="J4">
        <v>2500</v>
      </c>
      <c r="K4">
        <v>10</v>
      </c>
      <c r="L4">
        <v>20</v>
      </c>
      <c r="M4">
        <v>25</v>
      </c>
      <c r="O4" t="str">
        <f t="shared" si="0"/>
        <v>update catalogo_servicios set costo = 2500, comision_venta_monto =10, comision_operativa_monto =20, comision_gestion_monto =25 where id =49;</v>
      </c>
    </row>
    <row r="5" spans="1:15" ht="31" thickBot="1" x14ac:dyDescent="0.25">
      <c r="A5" s="277" t="s">
        <v>416</v>
      </c>
      <c r="B5" s="275" t="s">
        <v>417</v>
      </c>
      <c r="C5" s="275">
        <f>IFERROR(IF(B5="","",VLOOKUP(B5,catalogo_servicios!$B$1:$C$106,2,0)),"")</f>
        <v>48</v>
      </c>
      <c r="D5" s="291" t="s">
        <v>251</v>
      </c>
      <c r="E5" s="291" t="s">
        <v>251</v>
      </c>
      <c r="F5" s="294">
        <v>0.1</v>
      </c>
      <c r="G5" s="295" t="s">
        <v>413</v>
      </c>
      <c r="H5" s="296">
        <v>5.0000000000000001E-3</v>
      </c>
      <c r="J5">
        <v>0</v>
      </c>
      <c r="K5">
        <v>10</v>
      </c>
      <c r="L5">
        <v>20</v>
      </c>
      <c r="M5">
        <v>0.5</v>
      </c>
      <c r="O5" t="str">
        <f t="shared" si="0"/>
        <v>update catalogo_servicios set costo = 0, comision_venta_monto =10, comision_operativa_monto =20, comision_gestion_monto =0.5 where id =48;</v>
      </c>
    </row>
    <row r="6" spans="1:15" ht="16" thickBot="1" x14ac:dyDescent="0.25">
      <c r="A6" s="277" t="s">
        <v>418</v>
      </c>
      <c r="B6" s="275" t="s">
        <v>419</v>
      </c>
      <c r="C6" s="275">
        <f>IFERROR(IF(B6="","",VLOOKUP(B6,catalogo_servicios!$B$1:$C$106,2,0)),"")</f>
        <v>47</v>
      </c>
      <c r="D6" s="291">
        <v>3700</v>
      </c>
      <c r="E6" s="291">
        <f>D6*1.16</f>
        <v>4292</v>
      </c>
      <c r="F6" s="294">
        <v>0.06</v>
      </c>
      <c r="G6" s="295" t="s">
        <v>413</v>
      </c>
      <c r="H6" s="296">
        <v>5.0000000000000001E-3</v>
      </c>
      <c r="J6">
        <v>3700</v>
      </c>
      <c r="K6">
        <v>6</v>
      </c>
      <c r="L6">
        <v>20</v>
      </c>
      <c r="M6">
        <v>0.5</v>
      </c>
      <c r="O6" t="str">
        <f t="shared" si="0"/>
        <v>update catalogo_servicios set costo = 3700, comision_venta_monto =6, comision_operativa_monto =20, comision_gestion_monto =0.5 where id =47;</v>
      </c>
    </row>
    <row r="7" spans="1:15" ht="16" thickBot="1" x14ac:dyDescent="0.25">
      <c r="A7" s="277" t="s">
        <v>420</v>
      </c>
      <c r="B7" s="275" t="s">
        <v>421</v>
      </c>
      <c r="C7" s="275">
        <f>IFERROR(IF(B7="","",VLOOKUP(B7,catalogo_servicios!$B$1:$C$106,2,0)),"")</f>
        <v>41</v>
      </c>
      <c r="D7" s="291">
        <v>2500</v>
      </c>
      <c r="E7" s="292">
        <f>D7*1.16</f>
        <v>2900</v>
      </c>
      <c r="F7" s="294">
        <v>0.1</v>
      </c>
      <c r="G7" s="293" t="s">
        <v>422</v>
      </c>
      <c r="H7" s="291">
        <v>25</v>
      </c>
      <c r="J7">
        <v>2500</v>
      </c>
      <c r="K7">
        <v>10</v>
      </c>
      <c r="L7">
        <v>100</v>
      </c>
      <c r="M7">
        <v>25</v>
      </c>
      <c r="O7" t="str">
        <f t="shared" si="0"/>
        <v>update catalogo_servicios set costo = 2500, comision_venta_monto =10, comision_operativa_monto =100, comision_gestion_monto =25 where id =41;</v>
      </c>
    </row>
    <row r="8" spans="1:15" ht="31" thickBot="1" x14ac:dyDescent="0.25">
      <c r="A8" s="277" t="s">
        <v>423</v>
      </c>
      <c r="B8" s="275" t="s">
        <v>424</v>
      </c>
      <c r="C8" s="275">
        <f>IFERROR(IF(B8="","",VLOOKUP(B8,catalogo_servicios!$B$1:$C$106,2,0)),"")</f>
        <v>40</v>
      </c>
      <c r="D8" s="277" t="s">
        <v>425</v>
      </c>
      <c r="E8" s="291" t="s">
        <v>251</v>
      </c>
      <c r="F8" s="294">
        <v>0.06</v>
      </c>
      <c r="G8" s="295" t="s">
        <v>413</v>
      </c>
      <c r="H8" s="296">
        <v>5.0000000000000001E-3</v>
      </c>
      <c r="J8">
        <v>0</v>
      </c>
      <c r="K8">
        <v>6</v>
      </c>
      <c r="L8">
        <v>20</v>
      </c>
      <c r="M8">
        <v>0.5</v>
      </c>
      <c r="O8" t="str">
        <f t="shared" si="0"/>
        <v>update catalogo_servicios set costo = 0, comision_venta_monto =6, comision_operativa_monto =20, comision_gestion_monto =0.5 where id =40;</v>
      </c>
    </row>
    <row r="9" spans="1:15" ht="16" thickBot="1" x14ac:dyDescent="0.25">
      <c r="A9" s="277" t="s">
        <v>426</v>
      </c>
      <c r="B9" s="275" t="s">
        <v>427</v>
      </c>
      <c r="C9" s="275">
        <f>IFERROR(IF(B9="","",VLOOKUP(B9,catalogo_servicios!$B$1:$C$106,2,0)),"")</f>
        <v>42</v>
      </c>
      <c r="D9" s="291">
        <v>8500</v>
      </c>
      <c r="E9" s="292">
        <f>D9*1.16</f>
        <v>9860</v>
      </c>
      <c r="F9" s="294">
        <v>0.06</v>
      </c>
      <c r="G9" s="297" t="s">
        <v>413</v>
      </c>
      <c r="H9" s="296">
        <v>5.0000000000000001E-3</v>
      </c>
      <c r="J9">
        <v>8500</v>
      </c>
      <c r="K9">
        <v>6</v>
      </c>
      <c r="L9">
        <v>20</v>
      </c>
      <c r="M9">
        <v>0.5</v>
      </c>
      <c r="O9" t="str">
        <f t="shared" si="0"/>
        <v>update catalogo_servicios set costo = 8500, comision_venta_monto =6, comision_operativa_monto =20, comision_gestion_monto =0.5 where id =42;</v>
      </c>
    </row>
    <row r="10" spans="1:15" ht="31" thickBot="1" x14ac:dyDescent="0.25">
      <c r="A10" s="277" t="s">
        <v>428</v>
      </c>
      <c r="B10" s="275" t="s">
        <v>429</v>
      </c>
      <c r="C10" s="275">
        <f>IFERROR(IF(B10="","",VLOOKUP(B10,catalogo_servicios!$B$1:$C$106,2,0)),"")</f>
        <v>39</v>
      </c>
      <c r="D10" s="291">
        <v>7000</v>
      </c>
      <c r="E10" s="291">
        <f>D10*1.16</f>
        <v>8119.9999999999991</v>
      </c>
      <c r="F10" s="294">
        <v>0.06</v>
      </c>
      <c r="G10" s="297" t="s">
        <v>413</v>
      </c>
      <c r="H10" s="296">
        <v>5.0000000000000001E-3</v>
      </c>
      <c r="J10">
        <v>7000</v>
      </c>
      <c r="K10">
        <v>6</v>
      </c>
      <c r="L10">
        <v>20</v>
      </c>
      <c r="M10">
        <v>0.5</v>
      </c>
      <c r="O10" t="str">
        <f t="shared" si="0"/>
        <v>update catalogo_servicios set costo = 7000, comision_venta_monto =6, comision_operativa_monto =20, comision_gestion_monto =0.5 where id =39;</v>
      </c>
    </row>
    <row r="11" spans="1:15" ht="16" thickBot="1" x14ac:dyDescent="0.25">
      <c r="A11" s="277" t="s">
        <v>430</v>
      </c>
      <c r="B11" s="275" t="s">
        <v>431</v>
      </c>
      <c r="C11" s="275">
        <f>IFERROR(IF(B11="","",VLOOKUP(B11,catalogo_servicios!$B$1:$C$106,2,0)),"")</f>
        <v>103</v>
      </c>
      <c r="D11" s="291">
        <v>10500</v>
      </c>
      <c r="E11" s="291">
        <f>D11*1.16</f>
        <v>12180</v>
      </c>
      <c r="F11" s="294">
        <v>0.06</v>
      </c>
      <c r="G11" s="297" t="s">
        <v>413</v>
      </c>
      <c r="H11" s="296">
        <v>5.0000000000000001E-3</v>
      </c>
      <c r="J11">
        <v>10500</v>
      </c>
      <c r="K11">
        <v>6</v>
      </c>
      <c r="L11">
        <v>20</v>
      </c>
      <c r="M11">
        <v>0.5</v>
      </c>
      <c r="O11" t="str">
        <f t="shared" si="0"/>
        <v>update catalogo_servicios set costo = 10500, comision_venta_monto =6, comision_operativa_monto =20, comision_gestion_monto =0.5 where id =103;</v>
      </c>
    </row>
    <row r="12" spans="1:15" ht="16" thickBot="1" x14ac:dyDescent="0.25">
      <c r="A12" s="277" t="s">
        <v>432</v>
      </c>
      <c r="B12" s="275" t="s">
        <v>433</v>
      </c>
      <c r="C12" s="275">
        <f>IFERROR(IF(B12="","",VLOOKUP(B12,catalogo_servicios!$B$1:$C$106,2,0)),"")</f>
        <v>104</v>
      </c>
      <c r="D12" s="291">
        <v>10000</v>
      </c>
      <c r="E12" s="291">
        <f>D12*1.16</f>
        <v>11600</v>
      </c>
      <c r="F12" s="294">
        <v>0.06</v>
      </c>
      <c r="G12" s="297" t="s">
        <v>413</v>
      </c>
      <c r="H12" s="296">
        <v>5.0000000000000001E-3</v>
      </c>
      <c r="J12">
        <v>10000</v>
      </c>
      <c r="K12">
        <v>6</v>
      </c>
      <c r="L12">
        <v>20</v>
      </c>
      <c r="M12">
        <v>0.5</v>
      </c>
      <c r="O12" t="str">
        <f t="shared" si="0"/>
        <v>update catalogo_servicios set costo = 10000, comision_venta_monto =6, comision_operativa_monto =20, comision_gestion_monto =0.5 where id =104;</v>
      </c>
    </row>
    <row r="13" spans="1:15" ht="16" thickBot="1" x14ac:dyDescent="0.25">
      <c r="A13" s="277" t="s">
        <v>434</v>
      </c>
      <c r="B13" s="275" t="s">
        <v>435</v>
      </c>
      <c r="C13" s="275" t="str">
        <f>IFERROR(IF(B13="","",VLOOKUP(B13,catalogo_servicios!$B$1:$C$106,2,0)),"")</f>
        <v/>
      </c>
      <c r="D13" s="291">
        <v>2000</v>
      </c>
      <c r="E13" s="291">
        <f>D13*1.16</f>
        <v>2320</v>
      </c>
      <c r="F13" s="294">
        <v>0.06</v>
      </c>
      <c r="G13" s="297" t="s">
        <v>413</v>
      </c>
      <c r="H13" s="296">
        <v>5.0000000000000001E-3</v>
      </c>
      <c r="K13">
        <v>6</v>
      </c>
      <c r="L13">
        <v>20</v>
      </c>
      <c r="M13">
        <v>0.5</v>
      </c>
      <c r="O13" t="str">
        <f t="shared" si="0"/>
        <v/>
      </c>
    </row>
    <row r="14" spans="1:15" ht="16" thickBot="1" x14ac:dyDescent="0.25">
      <c r="A14" s="277" t="s">
        <v>436</v>
      </c>
      <c r="B14" s="275" t="s">
        <v>437</v>
      </c>
      <c r="C14" s="275">
        <f>IFERROR(IF(B14="","",VLOOKUP(B14,catalogo_servicios!$B$1:$C$106,2,0)),"")</f>
        <v>43</v>
      </c>
      <c r="D14" s="291" t="s">
        <v>251</v>
      </c>
      <c r="E14" s="291" t="s">
        <v>251</v>
      </c>
      <c r="F14" s="294">
        <v>0.06</v>
      </c>
      <c r="G14" s="295" t="s">
        <v>413</v>
      </c>
      <c r="H14" s="296">
        <v>5.0000000000000001E-3</v>
      </c>
      <c r="J14">
        <v>0</v>
      </c>
      <c r="K14">
        <v>6</v>
      </c>
      <c r="L14">
        <v>20</v>
      </c>
      <c r="M14">
        <v>0.5</v>
      </c>
      <c r="O14" t="str">
        <f t="shared" si="0"/>
        <v>update catalogo_servicios set costo = 0, comision_venta_monto =6, comision_operativa_monto =20, comision_gestion_monto =0.5 where id =43;</v>
      </c>
    </row>
    <row r="15" spans="1:15" ht="16" thickBot="1" x14ac:dyDescent="0.25">
      <c r="A15" s="277" t="s">
        <v>179</v>
      </c>
      <c r="B15" s="275" t="s">
        <v>438</v>
      </c>
      <c r="C15" s="275">
        <f>IFERROR(IF(B15="","",VLOOKUP(B15,catalogo_servicios!$B$1:$C$106,2,0)),"")</f>
        <v>44</v>
      </c>
      <c r="D15" s="291" t="s">
        <v>251</v>
      </c>
      <c r="E15" s="291" t="s">
        <v>251</v>
      </c>
      <c r="F15" s="294">
        <v>0.06</v>
      </c>
      <c r="G15" s="295" t="s">
        <v>413</v>
      </c>
      <c r="H15" s="296">
        <v>5.0000000000000001E-3</v>
      </c>
      <c r="J15">
        <v>0</v>
      </c>
      <c r="K15">
        <v>6</v>
      </c>
      <c r="L15">
        <v>20</v>
      </c>
      <c r="M15">
        <v>0.5</v>
      </c>
      <c r="O15" t="str">
        <f t="shared" si="0"/>
        <v>update catalogo_servicios set costo = 0, comision_venta_monto =6, comision_operativa_monto =20, comision_gestion_monto =0.5 where id =44;</v>
      </c>
    </row>
    <row r="16" spans="1:15" ht="16" thickBot="1" x14ac:dyDescent="0.25">
      <c r="A16" s="277" t="s">
        <v>439</v>
      </c>
      <c r="B16" s="275" t="s">
        <v>440</v>
      </c>
      <c r="C16" s="275">
        <f>IFERROR(IF(B16="","",VLOOKUP(B16,catalogo_servicios!$B$1:$C$106,2,0)),"")</f>
        <v>100</v>
      </c>
      <c r="D16" s="291" t="s">
        <v>251</v>
      </c>
      <c r="E16" s="291" t="s">
        <v>251</v>
      </c>
      <c r="F16" s="294">
        <v>0.06</v>
      </c>
      <c r="G16" s="295" t="s">
        <v>413</v>
      </c>
      <c r="H16" s="296">
        <v>5.0000000000000001E-3</v>
      </c>
      <c r="J16">
        <v>0</v>
      </c>
      <c r="K16">
        <v>6</v>
      </c>
      <c r="L16">
        <v>20</v>
      </c>
      <c r="M16">
        <v>0.5</v>
      </c>
      <c r="O16" t="str">
        <f t="shared" si="0"/>
        <v>update catalogo_servicios set costo = 0, comision_venta_monto =6, comision_operativa_monto =20, comision_gestion_monto =0.5 where id =100;</v>
      </c>
    </row>
    <row r="17" spans="1:15" ht="31" thickBot="1" x14ac:dyDescent="0.25">
      <c r="A17" s="277" t="s">
        <v>441</v>
      </c>
      <c r="B17" s="275" t="s">
        <v>442</v>
      </c>
      <c r="C17" s="275">
        <f>IFERROR(IF(B17="","",VLOOKUP(B17,catalogo_servicios!$B$1:$C$106,2,0)),"")</f>
        <v>46</v>
      </c>
      <c r="D17" s="291">
        <v>2000</v>
      </c>
      <c r="E17" s="291">
        <f>D17*1.16</f>
        <v>2320</v>
      </c>
      <c r="F17" s="294">
        <v>0.1</v>
      </c>
      <c r="G17" s="295" t="s">
        <v>413</v>
      </c>
      <c r="H17" s="291">
        <v>20</v>
      </c>
      <c r="J17">
        <v>2000</v>
      </c>
      <c r="K17">
        <v>10</v>
      </c>
      <c r="L17">
        <v>20</v>
      </c>
      <c r="M17">
        <v>20</v>
      </c>
      <c r="O17" t="str">
        <f t="shared" si="0"/>
        <v>update catalogo_servicios set costo = 2000, comision_venta_monto =10, comision_operativa_monto =20, comision_gestion_monto =20 where id =46;</v>
      </c>
    </row>
    <row r="18" spans="1:15" ht="16" thickBot="1" x14ac:dyDescent="0.25">
      <c r="A18" s="277" t="s">
        <v>443</v>
      </c>
      <c r="B18" s="275" t="s">
        <v>444</v>
      </c>
      <c r="C18" s="275">
        <f>IFERROR(IF(B18="","",VLOOKUP(B18,catalogo_servicios!$B$1:$C$106,2,0)),"")</f>
        <v>45</v>
      </c>
      <c r="D18" s="291">
        <v>1000</v>
      </c>
      <c r="E18" s="291">
        <f>D18*1.16</f>
        <v>1160</v>
      </c>
      <c r="F18" s="294">
        <v>0.1</v>
      </c>
      <c r="G18" s="295" t="s">
        <v>413</v>
      </c>
      <c r="H18" s="291">
        <v>10</v>
      </c>
      <c r="J18">
        <v>1000</v>
      </c>
      <c r="K18">
        <v>10</v>
      </c>
      <c r="L18">
        <v>20</v>
      </c>
      <c r="M18">
        <v>10</v>
      </c>
      <c r="O18" t="str">
        <f t="shared" si="0"/>
        <v>update catalogo_servicios set costo = 1000, comision_venta_monto =10, comision_operativa_monto =20, comision_gestion_monto =10 where id =45;</v>
      </c>
    </row>
    <row r="19" spans="1:15" ht="16" thickBot="1" x14ac:dyDescent="0.25">
      <c r="A19" s="277" t="s">
        <v>445</v>
      </c>
      <c r="B19" s="275" t="s">
        <v>446</v>
      </c>
      <c r="C19" s="275">
        <f>IFERROR(IF(B19="","",VLOOKUP(B19,catalogo_servicios!$B$1:$C$106,2,0)),"")</f>
        <v>101</v>
      </c>
      <c r="D19" s="291" t="s">
        <v>447</v>
      </c>
      <c r="E19" s="291" t="s">
        <v>250</v>
      </c>
      <c r="F19" s="294" t="s">
        <v>250</v>
      </c>
      <c r="G19" s="295" t="s">
        <v>250</v>
      </c>
      <c r="H19" s="296">
        <v>0.06</v>
      </c>
      <c r="J19">
        <v>0</v>
      </c>
      <c r="K19">
        <v>0</v>
      </c>
      <c r="L19">
        <v>0</v>
      </c>
      <c r="M19">
        <v>6</v>
      </c>
      <c r="O19" t="str">
        <f t="shared" si="0"/>
        <v>update catalogo_servicios set costo = 0, comision_venta_monto =0, comision_operativa_monto =0, comision_gestion_monto =6 where id =101;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0"/>
  <sheetViews>
    <sheetView showGridLines="0" workbookViewId="0">
      <selection activeCell="B8" sqref="B8"/>
    </sheetView>
  </sheetViews>
  <sheetFormatPr baseColWidth="10" defaultRowHeight="13" x14ac:dyDescent="0.15"/>
  <cols>
    <col min="1" max="1" width="1.1640625" customWidth="1"/>
    <col min="2" max="2" width="64.5" customWidth="1"/>
    <col min="3" max="3" width="1.5" customWidth="1"/>
    <col min="4" max="4" width="5.5" customWidth="1"/>
    <col min="5" max="6" width="16" customWidth="1"/>
  </cols>
  <sheetData>
    <row r="1" spans="2:6" ht="14" x14ac:dyDescent="0.15">
      <c r="B1" s="66" t="s">
        <v>115</v>
      </c>
      <c r="C1" s="66"/>
      <c r="D1" s="70"/>
      <c r="E1" s="70"/>
      <c r="F1" s="70"/>
    </row>
    <row r="2" spans="2:6" ht="14" x14ac:dyDescent="0.15">
      <c r="B2" s="66" t="s">
        <v>116</v>
      </c>
      <c r="C2" s="66"/>
      <c r="D2" s="70"/>
      <c r="E2" s="70"/>
      <c r="F2" s="70"/>
    </row>
    <row r="3" spans="2:6" x14ac:dyDescent="0.15">
      <c r="B3" s="67"/>
      <c r="C3" s="67"/>
      <c r="D3" s="71"/>
      <c r="E3" s="71"/>
      <c r="F3" s="71"/>
    </row>
    <row r="4" spans="2:6" ht="56" x14ac:dyDescent="0.15">
      <c r="B4" s="67" t="s">
        <v>117</v>
      </c>
      <c r="C4" s="67"/>
      <c r="D4" s="71"/>
      <c r="E4" s="71"/>
      <c r="F4" s="71"/>
    </row>
    <row r="5" spans="2:6" x14ac:dyDescent="0.15">
      <c r="B5" s="67"/>
      <c r="C5" s="67"/>
      <c r="D5" s="71"/>
      <c r="E5" s="71"/>
      <c r="F5" s="71"/>
    </row>
    <row r="6" spans="2:6" ht="14" x14ac:dyDescent="0.15">
      <c r="B6" s="66" t="s">
        <v>118</v>
      </c>
      <c r="C6" s="66"/>
      <c r="D6" s="70"/>
      <c r="E6" s="70" t="s">
        <v>119</v>
      </c>
      <c r="F6" s="70" t="s">
        <v>120</v>
      </c>
    </row>
    <row r="7" spans="2:6" ht="14" thickBot="1" x14ac:dyDescent="0.2">
      <c r="B7" s="67"/>
      <c r="C7" s="67"/>
      <c r="D7" s="71"/>
      <c r="E7" s="71"/>
      <c r="F7" s="71"/>
    </row>
    <row r="8" spans="2:6" ht="43" thickBot="1" x14ac:dyDescent="0.2">
      <c r="B8" s="68" t="s">
        <v>121</v>
      </c>
      <c r="C8" s="69"/>
      <c r="D8" s="72"/>
      <c r="E8" s="72">
        <v>15</v>
      </c>
      <c r="F8" s="73" t="s">
        <v>122</v>
      </c>
    </row>
    <row r="9" spans="2:6" x14ac:dyDescent="0.15">
      <c r="B9" s="67"/>
      <c r="C9" s="67"/>
      <c r="D9" s="71"/>
      <c r="E9" s="71"/>
      <c r="F9" s="71"/>
    </row>
    <row r="10" spans="2:6" x14ac:dyDescent="0.15">
      <c r="B10" s="67"/>
      <c r="C10" s="67"/>
      <c r="D10" s="71"/>
      <c r="E10" s="71"/>
      <c r="F1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27</vt:i4>
      </vt:variant>
    </vt:vector>
  </HeadingPairs>
  <TitlesOfParts>
    <vt:vector size="36" baseType="lpstr">
      <vt:lpstr>IMPI</vt:lpstr>
      <vt:lpstr>catalogo_servicios</vt:lpstr>
      <vt:lpstr>INDAUTOR</vt:lpstr>
      <vt:lpstr>USA</vt:lpstr>
      <vt:lpstr>FRANQUICIAS</vt:lpstr>
      <vt:lpstr>CODIGO DE BARRAS</vt:lpstr>
      <vt:lpstr>DISEÑO</vt:lpstr>
      <vt:lpstr>SERV. JURIDICOS</vt:lpstr>
      <vt:lpstr>Informe de compatibilidad</vt:lpstr>
      <vt:lpstr>USA!appeal</vt:lpstr>
      <vt:lpstr>USA!comp</vt:lpstr>
      <vt:lpstr>USA!enroll</vt:lpstr>
      <vt:lpstr>USA!exam</vt:lpstr>
      <vt:lpstr>USA!extend</vt:lpstr>
      <vt:lpstr>USA!fast</vt:lpstr>
      <vt:lpstr>USA!fin</vt:lpstr>
      <vt:lpstr>USA!international</vt:lpstr>
      <vt:lpstr>USA!intfees</vt:lpstr>
      <vt:lpstr>USA!issuance</vt:lpstr>
      <vt:lpstr>USA!madrid</vt:lpstr>
      <vt:lpstr>USA!maintain</vt:lpstr>
      <vt:lpstr>USA!misc</vt:lpstr>
      <vt:lpstr>USA!national</vt:lpstr>
      <vt:lpstr>USA!note1a</vt:lpstr>
      <vt:lpstr>USA!note1b</vt:lpstr>
      <vt:lpstr>USA!note1c</vt:lpstr>
      <vt:lpstr>USA!note3</vt:lpstr>
      <vt:lpstr>USA!note4</vt:lpstr>
      <vt:lpstr>USA!patapp</vt:lpstr>
      <vt:lpstr>USA!patservice</vt:lpstr>
      <vt:lpstr>USA!petition</vt:lpstr>
      <vt:lpstr>USA!post</vt:lpstr>
      <vt:lpstr>USA!search</vt:lpstr>
      <vt:lpstr>USA!tm</vt:lpstr>
      <vt:lpstr>USA!tmsvc</vt:lpstr>
      <vt:lpstr>USA!wipo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Delgado Montes</dc:creator>
  <cp:lastModifiedBy>Martin Valenz</cp:lastModifiedBy>
  <cp:lastPrinted>2004-11-04T21:18:30Z</cp:lastPrinted>
  <dcterms:created xsi:type="dcterms:W3CDTF">2004-07-08T19:51:35Z</dcterms:created>
  <dcterms:modified xsi:type="dcterms:W3CDTF">2019-06-21T02:09:51Z</dcterms:modified>
</cp:coreProperties>
</file>