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IFERROR(__xludf.DUMMYFUNCTION("IMPORTRANGE(""https://docs.google.com/spreadsheets/d/1-jGtNh5eWmYPQTkx7iXYVfHH_S6ZXx4XwbQqzb6Yg4g/edit"",""УМИТЫ!A:Z"")"),"Общество")</f>
        <v>Общество</v>
      </c>
      <c r="B1" s="1"/>
      <c r="C1" s="1" t="str">
        <f>IFERROR(__xludf.DUMMYFUNCTION("""COMPUTED_VALUE"""),"Человек")</f>
        <v>Человек</v>
      </c>
      <c r="D1" s="1"/>
      <c r="E1" s="1" t="str">
        <f>IFERROR(__xludf.DUMMYFUNCTION("""COMPUTED_VALUE"""),"Социальная сфера")</f>
        <v>Социальная сфера</v>
      </c>
      <c r="F1" s="1"/>
      <c r="G1" s="1" t="str">
        <f>IFERROR(__xludf.DUMMYFUNCTION("""COMPUTED_VALUE"""),"Политическая сфера")</f>
        <v>Политическая сфера</v>
      </c>
      <c r="H1" s="1"/>
      <c r="I1" s="1" t="str">
        <f>IFERROR(__xludf.DUMMYFUNCTION("""COMPUTED_VALUE"""),"Основы конституционного строя РФ")</f>
        <v>Основы конституционного строя РФ</v>
      </c>
      <c r="J1" s="1"/>
      <c r="K1" s="1" t="str">
        <f>IFERROR(__xludf.DUMMYFUNCTION("""COMPUTED_VALUE"""),"Право")</f>
        <v>Право</v>
      </c>
      <c r="L1" s="1"/>
      <c r="M1" s="1" t="str">
        <f>IFERROR(__xludf.DUMMYFUNCTION("""COMPUTED_VALUE"""),"Экономика")</f>
        <v>Экономика</v>
      </c>
      <c r="N1" s="1"/>
      <c r="O1" s="1" t="str">
        <f>IFERROR(__xludf.DUMMYFUNCTION("""COMPUTED_VALUE"""),"Макроэкономика")</f>
        <v>Макроэкономика</v>
      </c>
      <c r="P1" s="1"/>
      <c r="Q1" s="1" t="str">
        <f>IFERROR(__xludf.DUMMYFUNCTION("""COMPUTED_VALUE"""),"Микроэкономика")</f>
        <v>Микроэкономика</v>
      </c>
      <c r="R1" s="1"/>
      <c r="S1" s="1" t="str">
        <f>IFERROR(__xludf.DUMMYFUNCTION("""COMPUTED_VALUE"""),"Духовная сфера")</f>
        <v>Духовная сфера</v>
      </c>
      <c r="T1" s="1"/>
      <c r="U1" s="1" t="str">
        <f>IFERROR(__xludf.DUMMYFUNCTION("""COMPUTED_VALUE"""),"Познание")</f>
        <v>Познание</v>
      </c>
      <c r="V1" s="1"/>
      <c r="W1" s="1" t="str">
        <f>IFERROR(__xludf.DUMMYFUNCTION("""COMPUTED_VALUE"""),"Навыки и умения")</f>
        <v>Навыки и умения</v>
      </c>
      <c r="X1" s="1"/>
      <c r="Y1" s="1"/>
      <c r="Z1" s="1"/>
    </row>
    <row r="2">
      <c r="A2" s="1" t="str">
        <f>IFERROR(__xludf.DUMMYFUNCTION("""COMPUTED_VALUE"""),"Подходы к понятию общества")</f>
        <v>Подходы к понятию общества</v>
      </c>
      <c r="B2" s="1">
        <f>IFERROR(__xludf.DUMMYFUNCTION("""COMPUTED_VALUE"""),1.0)</f>
        <v>1</v>
      </c>
      <c r="C2" s="1" t="str">
        <f>IFERROR(__xludf.DUMMYFUNCTION("""COMPUTED_VALUE"""),"Человек - биосоциальное существо")</f>
        <v>Человек - биосоциальное существо</v>
      </c>
      <c r="D2" s="1">
        <f>IFERROR(__xludf.DUMMYFUNCTION("""COMPUTED_VALUE"""),101.0)</f>
        <v>101</v>
      </c>
      <c r="E2" s="1" t="str">
        <f>IFERROR(__xludf.DUMMYFUNCTION("""COMPUTED_VALUE"""),"Структура общества")</f>
        <v>Структура общества</v>
      </c>
      <c r="F2" s="1">
        <f>IFERROR(__xludf.DUMMYFUNCTION("""COMPUTED_VALUE"""),201.0)</f>
        <v>201</v>
      </c>
      <c r="G2" s="1" t="str">
        <f>IFERROR(__xludf.DUMMYFUNCTION("""COMPUTED_VALUE"""),"Понятие власти")</f>
        <v>Понятие власти</v>
      </c>
      <c r="H2" s="1">
        <f>IFERROR(__xludf.DUMMYFUNCTION("""COMPUTED_VALUE"""),301.0)</f>
        <v>301</v>
      </c>
      <c r="I2" s="1" t="str">
        <f>IFERROR(__xludf.DUMMYFUNCTION("""COMPUTED_VALUE"""),"Понятие основ конституционного строя")</f>
        <v>Понятие основ конституционного строя</v>
      </c>
      <c r="J2" s="1">
        <f>IFERROR(__xludf.DUMMYFUNCTION("""COMPUTED_VALUE"""),401.0)</f>
        <v>401</v>
      </c>
      <c r="K2" s="1" t="str">
        <f>IFERROR(__xludf.DUMMYFUNCTION("""COMPUTED_VALUE"""),"Право в системе социальных норм")</f>
        <v>Право в системе социальных норм</v>
      </c>
      <c r="L2" s="1">
        <f>IFERROR(__xludf.DUMMYFUNCTION("""COMPUTED_VALUE"""),501.0)</f>
        <v>501</v>
      </c>
      <c r="M2" s="1" t="str">
        <f>IFERROR(__xludf.DUMMYFUNCTION("""COMPUTED_VALUE"""),"Экономика как наука")</f>
        <v>Экономика как наука</v>
      </c>
      <c r="N2" s="1">
        <f>IFERROR(__xludf.DUMMYFUNCTION("""COMPUTED_VALUE"""),601.0)</f>
        <v>601</v>
      </c>
      <c r="O2" s="1" t="str">
        <f>IFERROR(__xludf.DUMMYFUNCTION("""COMPUTED_VALUE"""),"Понятие экономической системы")</f>
        <v>Понятие экономической системы</v>
      </c>
      <c r="P2" s="1">
        <f>IFERROR(__xludf.DUMMYFUNCTION("""COMPUTED_VALUE"""),701.0)</f>
        <v>701</v>
      </c>
      <c r="Q2" s="1" t="str">
        <f>IFERROR(__xludf.DUMMYFUNCTION("""COMPUTED_VALUE"""),"Понятие фирмы")</f>
        <v>Понятие фирмы</v>
      </c>
      <c r="R2" s="1">
        <f>IFERROR(__xludf.DUMMYFUNCTION("""COMPUTED_VALUE"""),801.0)</f>
        <v>801</v>
      </c>
      <c r="S2" s="1" t="str">
        <f>IFERROR(__xludf.DUMMYFUNCTION("""COMPUTED_VALUE"""),"Сфера духовной жизни")</f>
        <v>Сфера духовной жизни</v>
      </c>
      <c r="T2" s="1">
        <f>IFERROR(__xludf.DUMMYFUNCTION("""COMPUTED_VALUE"""),901.0)</f>
        <v>901</v>
      </c>
      <c r="U2" s="1" t="str">
        <f>IFERROR(__xludf.DUMMYFUNCTION("""COMPUTED_VALUE"""),"Понятие истины ")</f>
        <v>Понятие истины </v>
      </c>
      <c r="V2" s="1">
        <f>IFERROR(__xludf.DUMMYFUNCTION("""COMPUTED_VALUE"""),1001.0)</f>
        <v>1001</v>
      </c>
      <c r="W2" s="1" t="str">
        <f>IFERROR(__xludf.DUMMYFUNCTION("""COMPUTED_VALUE"""),"Умение составлять сложный план")</f>
        <v>Умение составлять сложный план</v>
      </c>
      <c r="X2" s="1">
        <f>IFERROR(__xludf.DUMMYFUNCTION("""COMPUTED_VALUE"""),1101.0)</f>
        <v>1101</v>
      </c>
      <c r="Y2" s="1"/>
      <c r="Z2" s="1"/>
    </row>
    <row r="3">
      <c r="A3" s="1" t="str">
        <f>IFERROR(__xludf.DUMMYFUNCTION("""COMPUTED_VALUE"""),"Понятия общества в узком смысле")</f>
        <v>Понятия общества в узком смысле</v>
      </c>
      <c r="B3" s="1">
        <f>IFERROR(__xludf.DUMMYFUNCTION("""COMPUTED_VALUE"""),2.0)</f>
        <v>2</v>
      </c>
      <c r="C3" s="1" t="str">
        <f>IFERROR(__xludf.DUMMYFUNCTION("""COMPUTED_VALUE"""),"Соотношение понятий индивид, индивидуальность, личность")</f>
        <v>Соотношение понятий индивид, индивидуальность, личность</v>
      </c>
      <c r="D3" s="1">
        <f>IFERROR(__xludf.DUMMYFUNCTION("""COMPUTED_VALUE"""),102.0)</f>
        <v>102</v>
      </c>
      <c r="E3" s="1" t="str">
        <f>IFERROR(__xludf.DUMMYFUNCTION("""COMPUTED_VALUE"""),"Дифференциация общества и ее типы")</f>
        <v>Дифференциация общества и ее типы</v>
      </c>
      <c r="F3" s="1">
        <f>IFERROR(__xludf.DUMMYFUNCTION("""COMPUTED_VALUE"""),202.0)</f>
        <v>202</v>
      </c>
      <c r="G3" s="1" t="str">
        <f>IFERROR(__xludf.DUMMYFUNCTION("""COMPUTED_VALUE"""),"Политическая власть и ее структура")</f>
        <v>Политическая власть и ее структура</v>
      </c>
      <c r="H3" s="1">
        <f>IFERROR(__xludf.DUMMYFUNCTION("""COMPUTED_VALUE"""),302.0)</f>
        <v>302</v>
      </c>
      <c r="I3" s="1" t="str">
        <f>IFERROR(__xludf.DUMMYFUNCTION("""COMPUTED_VALUE"""),"Суверенитет народа")</f>
        <v>Суверенитет народа</v>
      </c>
      <c r="J3" s="1">
        <f>IFERROR(__xludf.DUMMYFUNCTION("""COMPUTED_VALUE"""),402.0)</f>
        <v>402</v>
      </c>
      <c r="K3" s="1" t="str">
        <f>IFERROR(__xludf.DUMMYFUNCTION("""COMPUTED_VALUE"""),"Право в объективном смысле")</f>
        <v>Право в объективном смысле</v>
      </c>
      <c r="L3" s="1">
        <f>IFERROR(__xludf.DUMMYFUNCTION("""COMPUTED_VALUE"""),502.0)</f>
        <v>502</v>
      </c>
      <c r="M3" s="1" t="str">
        <f>IFERROR(__xludf.DUMMYFUNCTION("""COMPUTED_VALUE"""),"Экономика как хозяйство")</f>
        <v>Экономика как хозяйство</v>
      </c>
      <c r="N3" s="1">
        <f>IFERROR(__xludf.DUMMYFUNCTION("""COMPUTED_VALUE"""),602.0)</f>
        <v>602</v>
      </c>
      <c r="O3" s="1" t="str">
        <f>IFERROR(__xludf.DUMMYFUNCTION("""COMPUTED_VALUE"""),"Плановая (командная) экономическая система")</f>
        <v>Плановая (командная) экономическая система</v>
      </c>
      <c r="P3" s="1">
        <f>IFERROR(__xludf.DUMMYFUNCTION("""COMPUTED_VALUE"""),702.0)</f>
        <v>702</v>
      </c>
      <c r="Q3" s="1" t="str">
        <f>IFERROR(__xludf.DUMMYFUNCTION("""COMPUTED_VALUE"""),"Роль фирм в экономике")</f>
        <v>Роль фирм в экономике</v>
      </c>
      <c r="R3" s="1">
        <f>IFERROR(__xludf.DUMMYFUNCTION("""COMPUTED_VALUE"""),802.0)</f>
        <v>802</v>
      </c>
      <c r="S3" s="1" t="str">
        <f>IFERROR(__xludf.DUMMYFUNCTION("""COMPUTED_VALUE"""),"Материальная и духовная культура")</f>
        <v>Материальная и духовная культура</v>
      </c>
      <c r="T3" s="1">
        <f>IFERROR(__xludf.DUMMYFUNCTION("""COMPUTED_VALUE"""),902.0)</f>
        <v>902</v>
      </c>
      <c r="U3" s="1" t="str">
        <f>IFERROR(__xludf.DUMMYFUNCTION("""COMPUTED_VALUE"""),"Критерии истины. Практика как критерий истины")</f>
        <v>Критерии истины. Практика как критерий истины</v>
      </c>
      <c r="V3" s="1">
        <f>IFERROR(__xludf.DUMMYFUNCTION("""COMPUTED_VALUE"""),1002.0)</f>
        <v>1002</v>
      </c>
      <c r="W3" s="1" t="str">
        <f>IFERROR(__xludf.DUMMYFUNCTION("""COMPUTED_VALUE"""),"Раскрывать на примерах теоретические положения")</f>
        <v>Раскрывать на примерах теоретические положения</v>
      </c>
      <c r="X3" s="1">
        <f>IFERROR(__xludf.DUMMYFUNCTION("""COMPUTED_VALUE"""),1102.0)</f>
        <v>1102</v>
      </c>
      <c r="Y3" s="1"/>
      <c r="Z3" s="1"/>
    </row>
    <row r="4">
      <c r="A4" s="1" t="str">
        <f>IFERROR(__xludf.DUMMYFUNCTION("""COMPUTED_VALUE"""),"Понятие общества в широком смысле")</f>
        <v>Понятие общества в широком смысле</v>
      </c>
      <c r="B4" s="1">
        <f>IFERROR(__xludf.DUMMYFUNCTION("""COMPUTED_VALUE"""),3.0)</f>
        <v>3</v>
      </c>
      <c r="C4" s="1" t="str">
        <f>IFERROR(__xludf.DUMMYFUNCTION("""COMPUTED_VALUE"""),"Биологическая природа человека")</f>
        <v>Биологическая природа человека</v>
      </c>
      <c r="D4" s="1">
        <f>IFERROR(__xludf.DUMMYFUNCTION("""COMPUTED_VALUE"""),103.0)</f>
        <v>103</v>
      </c>
      <c r="E4" s="1" t="str">
        <f>IFERROR(__xludf.DUMMYFUNCTION("""COMPUTED_VALUE"""),"Понятие социальной стратификации")</f>
        <v>Понятие социальной стратификации</v>
      </c>
      <c r="F4" s="1">
        <f>IFERROR(__xludf.DUMMYFUNCTION("""COMPUTED_VALUE"""),203.0)</f>
        <v>203</v>
      </c>
      <c r="G4" s="1" t="str">
        <f>IFERROR(__xludf.DUMMYFUNCTION("""COMPUTED_VALUE"""),"Политическая деятельность")</f>
        <v>Политическая деятельность</v>
      </c>
      <c r="H4" s="1">
        <f>IFERROR(__xludf.DUMMYFUNCTION("""COMPUTED_VALUE"""),303.0)</f>
        <v>303</v>
      </c>
      <c r="I4" s="1" t="str">
        <f>IFERROR(__xludf.DUMMYFUNCTION("""COMPUTED_VALUE"""),"Институты прямой демократии: референдум и свободные выборы")</f>
        <v>Институты прямой демократии: референдум и свободные выборы</v>
      </c>
      <c r="J4" s="1">
        <f>IFERROR(__xludf.DUMMYFUNCTION("""COMPUTED_VALUE"""),403.0)</f>
        <v>403</v>
      </c>
      <c r="K4" s="1" t="str">
        <f>IFERROR(__xludf.DUMMYFUNCTION("""COMPUTED_VALUE"""),"Право в субъективном смысле ")</f>
        <v>Право в субъективном смысле </v>
      </c>
      <c r="L4" s="1">
        <f>IFERROR(__xludf.DUMMYFUNCTION("""COMPUTED_VALUE"""),503.0)</f>
        <v>503</v>
      </c>
      <c r="M4" s="1" t="str">
        <f>IFERROR(__xludf.DUMMYFUNCTION("""COMPUTED_VALUE"""),"Уровни экономики: микроэкономика")</f>
        <v>Уровни экономики: микроэкономика</v>
      </c>
      <c r="N4" s="1">
        <f>IFERROR(__xludf.DUMMYFUNCTION("""COMPUTED_VALUE"""),603.0)</f>
        <v>603</v>
      </c>
      <c r="O4" s="1" t="str">
        <f>IFERROR(__xludf.DUMMYFUNCTION("""COMPUTED_VALUE"""),"Рыночная экономическая система")</f>
        <v>Рыночная экономическая система</v>
      </c>
      <c r="P4" s="1">
        <f>IFERROR(__xludf.DUMMYFUNCTION("""COMPUTED_VALUE"""),703.0)</f>
        <v>703</v>
      </c>
      <c r="Q4" s="1" t="str">
        <f>IFERROR(__xludf.DUMMYFUNCTION("""COMPUTED_VALUE"""),"Доход фирмы")</f>
        <v>Доход фирмы</v>
      </c>
      <c r="R4" s="1">
        <f>IFERROR(__xludf.DUMMYFUNCTION("""COMPUTED_VALUE"""),803.0)</f>
        <v>803</v>
      </c>
      <c r="S4" s="1" t="str">
        <f>IFERROR(__xludf.DUMMYFUNCTION("""COMPUTED_VALUE"""),"Понятие культуры в широком и узком смысле")</f>
        <v>Понятие культуры в широком и узком смысле</v>
      </c>
      <c r="T4" s="1">
        <f>IFERROR(__xludf.DUMMYFUNCTION("""COMPUTED_VALUE"""),903.0)</f>
        <v>903</v>
      </c>
      <c r="U4" s="1" t="str">
        <f>IFERROR(__xludf.DUMMYFUNCTION("""COMPUTED_VALUE"""),"Абсолютная истина ")</f>
        <v>Абсолютная истина </v>
      </c>
      <c r="V4" s="1">
        <f>IFERROR(__xludf.DUMMYFUNCTION("""COMPUTED_VALUE"""),1003.0)</f>
        <v>1003</v>
      </c>
      <c r="W4" s="1" t="str">
        <f>IFERROR(__xludf.DUMMYFUNCTION("""COMPUTED_VALUE"""),"Поиск социальной информации на схемах, диаграммах и таблицах и ее анализ")</f>
        <v>Поиск социальной информации на схемах, диаграммах и таблицах и ее анализ</v>
      </c>
      <c r="X4" s="1">
        <f>IFERROR(__xludf.DUMMYFUNCTION("""COMPUTED_VALUE"""),1103.0)</f>
        <v>1103</v>
      </c>
      <c r="Y4" s="1"/>
      <c r="Z4" s="1"/>
    </row>
    <row r="5">
      <c r="A5" s="1" t="str">
        <f>IFERROR(__xludf.DUMMYFUNCTION("""COMPUTED_VALUE"""),"Признаки общества как системы")</f>
        <v>Признаки общества как системы</v>
      </c>
      <c r="B5" s="1">
        <f>IFERROR(__xludf.DUMMYFUNCTION("""COMPUTED_VALUE"""),4.0)</f>
        <v>4</v>
      </c>
      <c r="C5" s="1" t="str">
        <f>IFERROR(__xludf.DUMMYFUNCTION("""COMPUTED_VALUE"""),"Социальная природа человека")</f>
        <v>Социальная природа человека</v>
      </c>
      <c r="D5" s="1">
        <f>IFERROR(__xludf.DUMMYFUNCTION("""COMPUTED_VALUE"""),104.0)</f>
        <v>104</v>
      </c>
      <c r="E5" s="1" t="str">
        <f>IFERROR(__xludf.DUMMYFUNCTION("""COMPUTED_VALUE"""),"Исторические типы социальной стратификации: рабство, классы, сословия, касты")</f>
        <v>Исторические типы социальной стратификации: рабство, классы, сословия, касты</v>
      </c>
      <c r="F5" s="1">
        <f>IFERROR(__xludf.DUMMYFUNCTION("""COMPUTED_VALUE"""),204.0)</f>
        <v>204</v>
      </c>
      <c r="G5" s="1" t="str">
        <f>IFERROR(__xludf.DUMMYFUNCTION("""COMPUTED_VALUE"""),"Политическая система и ее подсистемы")</f>
        <v>Политическая система и ее подсистемы</v>
      </c>
      <c r="H5" s="1">
        <f>IFERROR(__xludf.DUMMYFUNCTION("""COMPUTED_VALUE"""),304.0)</f>
        <v>304</v>
      </c>
      <c r="I5" s="1" t="str">
        <f>IFERROR(__xludf.DUMMYFUNCTION("""COMPUTED_VALUE"""),"Принципы демократических выборов")</f>
        <v>Принципы демократических выборов</v>
      </c>
      <c r="J5" s="1">
        <f>IFERROR(__xludf.DUMMYFUNCTION("""COMPUTED_VALUE"""),404.0)</f>
        <v>404</v>
      </c>
      <c r="K5" s="1" t="str">
        <f>IFERROR(__xludf.DUMMYFUNCTION("""COMPUTED_VALUE"""),"Признаки права")</f>
        <v>Признаки права</v>
      </c>
      <c r="L5" s="1">
        <f>IFERROR(__xludf.DUMMYFUNCTION("""COMPUTED_VALUE"""),504.0)</f>
        <v>504</v>
      </c>
      <c r="M5" s="1" t="str">
        <f>IFERROR(__xludf.DUMMYFUNCTION("""COMPUTED_VALUE"""),"Уровни экономики: макроэкономика")</f>
        <v>Уровни экономики: макроэкономика</v>
      </c>
      <c r="N5" s="1">
        <f>IFERROR(__xludf.DUMMYFUNCTION("""COMPUTED_VALUE"""),604.0)</f>
        <v>604</v>
      </c>
      <c r="O5" s="1" t="str">
        <f>IFERROR(__xludf.DUMMYFUNCTION("""COMPUTED_VALUE"""),"Традиционная экономическая система")</f>
        <v>Традиционная экономическая система</v>
      </c>
      <c r="P5" s="1">
        <f>IFERROR(__xludf.DUMMYFUNCTION("""COMPUTED_VALUE"""),704.0)</f>
        <v>704</v>
      </c>
      <c r="Q5" s="1" t="str">
        <f>IFERROR(__xludf.DUMMYFUNCTION("""COMPUTED_VALUE"""),"Прибыль фирмы")</f>
        <v>Прибыль фирмы</v>
      </c>
      <c r="R5" s="1">
        <f>IFERROR(__xludf.DUMMYFUNCTION("""COMPUTED_VALUE"""),804.0)</f>
        <v>804</v>
      </c>
      <c r="S5" s="1" t="str">
        <f>IFERROR(__xludf.DUMMYFUNCTION("""COMPUTED_VALUE"""),"Мораль")</f>
        <v>Мораль</v>
      </c>
      <c r="T5" s="1">
        <f>IFERROR(__xludf.DUMMYFUNCTION("""COMPUTED_VALUE"""),904.0)</f>
        <v>904</v>
      </c>
      <c r="U5" s="1" t="str">
        <f>IFERROR(__xludf.DUMMYFUNCTION("""COMPUTED_VALUE"""),"Относительная истина ")</f>
        <v>Относительная истина </v>
      </c>
      <c r="V5" s="1">
        <f>IFERROR(__xludf.DUMMYFUNCTION("""COMPUTED_VALUE"""),1004.0)</f>
        <v>1004</v>
      </c>
      <c r="W5" s="1" t="str">
        <f>IFERROR(__xludf.DUMMYFUNCTION("""COMPUTED_VALUE"""),"Извлекать информацию из неадаптированных оригинальных текстов")</f>
        <v>Извлекать информацию из неадаптированных оригинальных текстов</v>
      </c>
      <c r="X5" s="1">
        <f>IFERROR(__xludf.DUMMYFUNCTION("""COMPUTED_VALUE"""),1104.0)</f>
        <v>1104</v>
      </c>
      <c r="Y5" s="1"/>
      <c r="Z5" s="1"/>
    </row>
    <row r="6">
      <c r="A6" s="1" t="str">
        <f>IFERROR(__xludf.DUMMYFUNCTION("""COMPUTED_VALUE"""),"Динамизм общественной системы")</f>
        <v>Динамизм общественной системы</v>
      </c>
      <c r="B6" s="1">
        <f>IFERROR(__xludf.DUMMYFUNCTION("""COMPUTED_VALUE"""),5.0)</f>
        <v>5</v>
      </c>
      <c r="C6" s="1" t="str">
        <f>IFERROR(__xludf.DUMMYFUNCTION("""COMPUTED_VALUE"""),"Духовный мир человека")</f>
        <v>Духовный мир человека</v>
      </c>
      <c r="D6" s="1">
        <f>IFERROR(__xludf.DUMMYFUNCTION("""COMPUTED_VALUE"""),105.0)</f>
        <v>105</v>
      </c>
      <c r="E6" s="1" t="str">
        <f>IFERROR(__xludf.DUMMYFUNCTION("""COMPUTED_VALUE"""),"Социальное неравенство")</f>
        <v>Социальное неравенство</v>
      </c>
      <c r="F6" s="1">
        <f>IFERROR(__xludf.DUMMYFUNCTION("""COMPUTED_VALUE"""),205.0)</f>
        <v>205</v>
      </c>
      <c r="G6" s="1" t="str">
        <f>IFERROR(__xludf.DUMMYFUNCTION("""COMPUTED_VALUE"""),"Институциональная подсистема")</f>
        <v>Институциональная подсистема</v>
      </c>
      <c r="H6" s="1">
        <f>IFERROR(__xludf.DUMMYFUNCTION("""COMPUTED_VALUE"""),305.0)</f>
        <v>305</v>
      </c>
      <c r="I6" s="1" t="str">
        <f>IFERROR(__xludf.DUMMYFUNCTION("""COMPUTED_VALUE"""),"Избирательная кампания РФ")</f>
        <v>Избирательная кампания РФ</v>
      </c>
      <c r="J6" s="1">
        <f>IFERROR(__xludf.DUMMYFUNCTION("""COMPUTED_VALUE"""),405.0)</f>
        <v>405</v>
      </c>
      <c r="K6" s="1" t="str">
        <f>IFERROR(__xludf.DUMMYFUNCTION("""COMPUTED_VALUE"""),"Правовая норма")</f>
        <v>Правовая норма</v>
      </c>
      <c r="L6" s="1">
        <f>IFERROR(__xludf.DUMMYFUNCTION("""COMPUTED_VALUE"""),505.0)</f>
        <v>505</v>
      </c>
      <c r="M6" s="1" t="str">
        <f>IFERROR(__xludf.DUMMYFUNCTION("""COMPUTED_VALUE"""),"Понятие факторов производства")</f>
        <v>Понятие факторов производства</v>
      </c>
      <c r="N6" s="1">
        <f>IFERROR(__xludf.DUMMYFUNCTION("""COMPUTED_VALUE"""),605.0)</f>
        <v>605</v>
      </c>
      <c r="O6" s="1" t="str">
        <f>IFERROR(__xludf.DUMMYFUNCTION("""COMPUTED_VALUE"""),"Смешанная экономическая система")</f>
        <v>Смешанная экономическая система</v>
      </c>
      <c r="P6" s="1">
        <f>IFERROR(__xludf.DUMMYFUNCTION("""COMPUTED_VALUE"""),705.0)</f>
        <v>705</v>
      </c>
      <c r="Q6" s="1" t="str">
        <f>IFERROR(__xludf.DUMMYFUNCTION("""COMPUTED_VALUE"""),"Издержки фирмы")</f>
        <v>Издержки фирмы</v>
      </c>
      <c r="R6" s="1">
        <f>IFERROR(__xludf.DUMMYFUNCTION("""COMPUTED_VALUE"""),805.0)</f>
        <v>805</v>
      </c>
      <c r="S6" s="1" t="str">
        <f>IFERROR(__xludf.DUMMYFUNCTION("""COMPUTED_VALUE"""),"Гражданственность")</f>
        <v>Гражданственность</v>
      </c>
      <c r="T6" s="1">
        <f>IFERROR(__xludf.DUMMYFUNCTION("""COMPUTED_VALUE"""),905.0)</f>
        <v>905</v>
      </c>
      <c r="U6" s="1" t="str">
        <f>IFERROR(__xludf.DUMMYFUNCTION("""COMPUTED_VALUE"""),"Объективная истина ")</f>
        <v>Объективная истина </v>
      </c>
      <c r="V6" s="1">
        <f>IFERROR(__xludf.DUMMYFUNCTION("""COMPUTED_VALUE"""),1005.0)</f>
        <v>1005</v>
      </c>
      <c r="W6" s="1" t="str">
        <f>IFERROR(__xludf.DUMMYFUNCTION("""COMPUTED_VALUE"""),"Умение объяснять смысл обществоведческих понятий")</f>
        <v>Умение объяснять смысл обществоведческих понятий</v>
      </c>
      <c r="X6" s="1">
        <f>IFERROR(__xludf.DUMMYFUNCTION("""COMPUTED_VALUE"""),1105.0)</f>
        <v>1105</v>
      </c>
      <c r="Y6" s="1"/>
      <c r="Z6" s="1"/>
    </row>
    <row r="7">
      <c r="A7" s="1" t="str">
        <f>IFERROR(__xludf.DUMMYFUNCTION("""COMPUTED_VALUE"""),"Функции общества")</f>
        <v>Функции общества</v>
      </c>
      <c r="B7" s="1">
        <f>IFERROR(__xludf.DUMMYFUNCTION("""COMPUTED_VALUE"""),6.0)</f>
        <v>6</v>
      </c>
      <c r="C7" s="1" t="str">
        <f>IFERROR(__xludf.DUMMYFUNCTION("""COMPUTED_VALUE"""),"Понятие мировоззрения")</f>
        <v>Понятие мировоззрения</v>
      </c>
      <c r="D7" s="1">
        <f>IFERROR(__xludf.DUMMYFUNCTION("""COMPUTED_VALUE"""),106.0)</f>
        <v>106</v>
      </c>
      <c r="E7" s="1" t="str">
        <f>IFERROR(__xludf.DUMMYFUNCTION("""COMPUTED_VALUE"""),"Критерии социальной стратификации: доход, власть, образование, престиж")</f>
        <v>Критерии социальной стратификации: доход, власть, образование, престиж</v>
      </c>
      <c r="F7" s="1">
        <f>IFERROR(__xludf.DUMMYFUNCTION("""COMPUTED_VALUE"""),206.0)</f>
        <v>206</v>
      </c>
      <c r="G7" s="1" t="str">
        <f>IFERROR(__xludf.DUMMYFUNCTION("""COMPUTED_VALUE"""),"Коммуникативная подсистема")</f>
        <v>Коммуникативная подсистема</v>
      </c>
      <c r="H7" s="1">
        <f>IFERROR(__xludf.DUMMYFUNCTION("""COMPUTED_VALUE"""),306.0)</f>
        <v>306</v>
      </c>
      <c r="I7" s="1" t="str">
        <f>IFERROR(__xludf.DUMMYFUNCTION("""COMPUTED_VALUE"""),"Политическая система РФ")</f>
        <v>Политическая система РФ</v>
      </c>
      <c r="J7" s="1">
        <f>IFERROR(__xludf.DUMMYFUNCTION("""COMPUTED_VALUE"""),406.0)</f>
        <v>406</v>
      </c>
      <c r="K7" s="1" t="str">
        <f>IFERROR(__xludf.DUMMYFUNCTION("""COMPUTED_VALUE"""),"Структура правовой нормы: гипотеза, диспозиция, санкция")</f>
        <v>Структура правовой нормы: гипотеза, диспозиция, санкция</v>
      </c>
      <c r="L7" s="1">
        <f>IFERROR(__xludf.DUMMYFUNCTION("""COMPUTED_VALUE"""),506.0)</f>
        <v>506</v>
      </c>
      <c r="M7" s="1" t="str">
        <f>IFERROR(__xludf.DUMMYFUNCTION("""COMPUTED_VALUE"""),"Доходы на факторы производства")</f>
        <v>Доходы на факторы производства</v>
      </c>
      <c r="N7" s="1">
        <f>IFERROR(__xludf.DUMMYFUNCTION("""COMPUTED_VALUE"""),606.0)</f>
        <v>606</v>
      </c>
      <c r="O7" s="1" t="str">
        <f>IFERROR(__xludf.DUMMYFUNCTION("""COMPUTED_VALUE"""),"Функции рынков")</f>
        <v>Функции рынков</v>
      </c>
      <c r="P7" s="1">
        <f>IFERROR(__xludf.DUMMYFUNCTION("""COMPUTED_VALUE"""),706.0)</f>
        <v>706</v>
      </c>
      <c r="Q7" s="1" t="str">
        <f>IFERROR(__xludf.DUMMYFUNCTION("""COMPUTED_VALUE"""),"Постоянные издержки")</f>
        <v>Постоянные издержки</v>
      </c>
      <c r="R7" s="1">
        <f>IFERROR(__xludf.DUMMYFUNCTION("""COMPUTED_VALUE"""),806.0)</f>
        <v>806</v>
      </c>
      <c r="S7" s="1" t="str">
        <f>IFERROR(__xludf.DUMMYFUNCTION("""COMPUTED_VALUE"""),"Патриотизм")</f>
        <v>Патриотизм</v>
      </c>
      <c r="T7" s="1">
        <f>IFERROR(__xludf.DUMMYFUNCTION("""COMPUTED_VALUE"""),906.0)</f>
        <v>906</v>
      </c>
      <c r="U7" s="1" t="str">
        <f>IFERROR(__xludf.DUMMYFUNCTION("""COMPUTED_VALUE"""),"Уровни познания (чувственный и рациональный)")</f>
        <v>Уровни познания (чувственный и рациональный)</v>
      </c>
      <c r="V7" s="1">
        <f>IFERROR(__xludf.DUMMYFUNCTION("""COMPUTED_VALUE"""),1006.0)</f>
        <v>1006</v>
      </c>
      <c r="W7" s="1" t="str">
        <f>IFERROR(__xludf.DUMMYFUNCTION("""COMPUTED_VALUE"""),"Анализ ситуации по финансовой грамотности ")</f>
        <v>Анализ ситуации по финансовой грамотности </v>
      </c>
      <c r="X7" s="1">
        <f>IFERROR(__xludf.DUMMYFUNCTION("""COMPUTED_VALUE"""),1106.0)</f>
        <v>1106</v>
      </c>
      <c r="Y7" s="1"/>
      <c r="Z7" s="1"/>
    </row>
    <row r="8">
      <c r="A8" s="1" t="str">
        <f>IFERROR(__xludf.DUMMYFUNCTION("""COMPUTED_VALUE"""),"4 подсистемы жизни общества")</f>
        <v>4 подсистемы жизни общества</v>
      </c>
      <c r="B8" s="1">
        <f>IFERROR(__xludf.DUMMYFUNCTION("""COMPUTED_VALUE"""),7.0)</f>
        <v>7</v>
      </c>
      <c r="C8" s="1" t="str">
        <f>IFERROR(__xludf.DUMMYFUNCTION("""COMPUTED_VALUE"""),"Типы мировоззрения")</f>
        <v>Типы мировоззрения</v>
      </c>
      <c r="D8" s="1">
        <f>IFERROR(__xludf.DUMMYFUNCTION("""COMPUTED_VALUE"""),107.0)</f>
        <v>107</v>
      </c>
      <c r="E8" s="1" t="str">
        <f>IFERROR(__xludf.DUMMYFUNCTION("""COMPUTED_VALUE"""),"Престиж и авторитет")</f>
        <v>Престиж и авторитет</v>
      </c>
      <c r="F8" s="1">
        <f>IFERROR(__xludf.DUMMYFUNCTION("""COMPUTED_VALUE"""),207.0)</f>
        <v>207</v>
      </c>
      <c r="G8" s="1" t="str">
        <f>IFERROR(__xludf.DUMMYFUNCTION("""COMPUTED_VALUE"""),"Нормативная подсистема")</f>
        <v>Нормативная подсистема</v>
      </c>
      <c r="H8" s="1">
        <f>IFERROR(__xludf.DUMMYFUNCTION("""COMPUTED_VALUE"""),307.0)</f>
        <v>307</v>
      </c>
      <c r="I8" s="1" t="str">
        <f>IFERROR(__xludf.DUMMYFUNCTION("""COMPUTED_VALUE"""),"Форма государства РФ")</f>
        <v>Форма государства РФ</v>
      </c>
      <c r="J8" s="1">
        <f>IFERROR(__xludf.DUMMYFUNCTION("""COMPUTED_VALUE"""),407.0)</f>
        <v>407</v>
      </c>
      <c r="K8" s="1" t="str">
        <f>IFERROR(__xludf.DUMMYFUNCTION("""COMPUTED_VALUE"""),"Виды правовых норм")</f>
        <v>Виды правовых норм</v>
      </c>
      <c r="L8" s="1">
        <f>IFERROR(__xludf.DUMMYFUNCTION("""COMPUTED_VALUE"""),507.0)</f>
        <v>507</v>
      </c>
      <c r="M8" s="1" t="str">
        <f>IFERROR(__xludf.DUMMYFUNCTION("""COMPUTED_VALUE"""),"Земля как фактор производства")</f>
        <v>Земля как фактор производства</v>
      </c>
      <c r="N8" s="1">
        <f>IFERROR(__xludf.DUMMYFUNCTION("""COMPUTED_VALUE"""),607.0)</f>
        <v>607</v>
      </c>
      <c r="O8" s="1" t="str">
        <f>IFERROR(__xludf.DUMMYFUNCTION("""COMPUTED_VALUE"""),"Виды рынков в зависимости от типа конкуренции")</f>
        <v>Виды рынков в зависимости от типа конкуренции</v>
      </c>
      <c r="P8" s="1">
        <f>IFERROR(__xludf.DUMMYFUNCTION("""COMPUTED_VALUE"""),707.0)</f>
        <v>707</v>
      </c>
      <c r="Q8" s="1" t="str">
        <f>IFERROR(__xludf.DUMMYFUNCTION("""COMPUTED_VALUE"""),"Переменные издержки")</f>
        <v>Переменные издержки</v>
      </c>
      <c r="R8" s="1">
        <f>IFERROR(__xludf.DUMMYFUNCTION("""COMPUTED_VALUE"""),807.0)</f>
        <v>807</v>
      </c>
      <c r="S8" s="1" t="str">
        <f>IFERROR(__xludf.DUMMYFUNCTION("""COMPUTED_VALUE"""),"Гуманизм")</f>
        <v>Гуманизм</v>
      </c>
      <c r="T8" s="1">
        <f>IFERROR(__xludf.DUMMYFUNCTION("""COMPUTED_VALUE"""),907.0)</f>
        <v>907</v>
      </c>
      <c r="U8" s="1" t="str">
        <f>IFERROR(__xludf.DUMMYFUNCTION("""COMPUTED_VALUE"""),"Формы чувственного познания (ощущение, восприятие, представление)")</f>
        <v>Формы чувственного познания (ощущение, восприятие, представление)</v>
      </c>
      <c r="V8" s="1">
        <f>IFERROR(__xludf.DUMMYFUNCTION("""COMPUTED_VALUE"""),1007.0)</f>
        <v>1007</v>
      </c>
      <c r="W8" s="1" t="str">
        <f>IFERROR(__xludf.DUMMYFUNCTION("""COMPUTED_VALUE"""),"Составление простого плана по прочитанному тексту")</f>
        <v>Составление простого плана по прочитанному тексту</v>
      </c>
      <c r="X8" s="1">
        <f>IFERROR(__xludf.DUMMYFUNCTION("""COMPUTED_VALUE"""),1107.0)</f>
        <v>1107</v>
      </c>
      <c r="Y8" s="1"/>
      <c r="Z8" s="1"/>
    </row>
    <row r="9">
      <c r="A9" s="1" t="str">
        <f>IFERROR(__xludf.DUMMYFUNCTION("""COMPUTED_VALUE"""),"Понятие общественной динамики")</f>
        <v>Понятие общественной динамики</v>
      </c>
      <c r="B9" s="1">
        <f>IFERROR(__xludf.DUMMYFUNCTION("""COMPUTED_VALUE"""),8.0)</f>
        <v>8</v>
      </c>
      <c r="C9" s="1" t="str">
        <f>IFERROR(__xludf.DUMMYFUNCTION("""COMPUTED_VALUE"""),"Самосознание индивида")</f>
        <v>Самосознание индивида</v>
      </c>
      <c r="D9" s="1">
        <f>IFERROR(__xludf.DUMMYFUNCTION("""COMPUTED_VALUE"""),108.0)</f>
        <v>108</v>
      </c>
      <c r="E9" s="1" t="str">
        <f>IFERROR(__xludf.DUMMYFUNCTION("""COMPUTED_VALUE"""),"Понятие социальной мобильности")</f>
        <v>Понятие социальной мобильности</v>
      </c>
      <c r="F9" s="1">
        <f>IFERROR(__xludf.DUMMYFUNCTION("""COMPUTED_VALUE"""),208.0)</f>
        <v>208</v>
      </c>
      <c r="G9" s="1" t="str">
        <f>IFERROR(__xludf.DUMMYFUNCTION("""COMPUTED_VALUE"""),"Культурная подсистема")</f>
        <v>Культурная подсистема</v>
      </c>
      <c r="H9" s="1">
        <f>IFERROR(__xludf.DUMMYFUNCTION("""COMPUTED_VALUE"""),308.0)</f>
        <v>308</v>
      </c>
      <c r="I9" s="1" t="str">
        <f>IFERROR(__xludf.DUMMYFUNCTION("""COMPUTED_VALUE"""),"Республиканская форма правления РФ")</f>
        <v>Республиканская форма правления РФ</v>
      </c>
      <c r="J9" s="1">
        <f>IFERROR(__xludf.DUMMYFUNCTION("""COMPUTED_VALUE"""),408.0)</f>
        <v>408</v>
      </c>
      <c r="K9" s="1" t="str">
        <f>IFERROR(__xludf.DUMMYFUNCTION("""COMPUTED_VALUE"""),"Функции права")</f>
        <v>Функции права</v>
      </c>
      <c r="L9" s="1">
        <f>IFERROR(__xludf.DUMMYFUNCTION("""COMPUTED_VALUE"""),508.0)</f>
        <v>508</v>
      </c>
      <c r="M9" s="1" t="str">
        <f>IFERROR(__xludf.DUMMYFUNCTION("""COMPUTED_VALUE"""),"Труд как фактор производства")</f>
        <v>Труд как фактор производства</v>
      </c>
      <c r="N9" s="1">
        <f>IFERROR(__xludf.DUMMYFUNCTION("""COMPUTED_VALUE"""),608.0)</f>
        <v>608</v>
      </c>
      <c r="O9" s="1" t="str">
        <f>IFERROR(__xludf.DUMMYFUNCTION("""COMPUTED_VALUE"""),"Рынок совершенной конкуренции")</f>
        <v>Рынок совершенной конкуренции</v>
      </c>
      <c r="P9" s="1">
        <f>IFERROR(__xludf.DUMMYFUNCTION("""COMPUTED_VALUE"""),708.0)</f>
        <v>708</v>
      </c>
      <c r="Q9" s="1" t="str">
        <f>IFERROR(__xludf.DUMMYFUNCTION("""COMPUTED_VALUE"""),"Экономические издержки")</f>
        <v>Экономические издержки</v>
      </c>
      <c r="R9" s="1">
        <f>IFERROR(__xludf.DUMMYFUNCTION("""COMPUTED_VALUE"""),808.0)</f>
        <v>808</v>
      </c>
      <c r="S9" s="1" t="str">
        <f>IFERROR(__xludf.DUMMYFUNCTION("""COMPUTED_VALUE"""),"Понятие религии")</f>
        <v>Понятие религии</v>
      </c>
      <c r="T9" s="1">
        <f>IFERROR(__xludf.DUMMYFUNCTION("""COMPUTED_VALUE"""),908.0)</f>
        <v>908</v>
      </c>
      <c r="U9" s="1" t="str">
        <f>IFERROR(__xludf.DUMMYFUNCTION("""COMPUTED_VALUE"""),"Формы рационального познания (понятие, суждение, умозаключение)")</f>
        <v>Формы рационального познания (понятие, суждение, умозаключение)</v>
      </c>
      <c r="V9" s="1">
        <f>IFERROR(__xludf.DUMMYFUNCTION("""COMPUTED_VALUE"""),1008.0)</f>
        <v>1008</v>
      </c>
      <c r="W9" s="1" t="str">
        <f>IFERROR(__xludf.DUMMYFUNCTION("""COMPUTED_VALUE"""),"Описывать социальные объекты по изображениям")</f>
        <v>Описывать социальные объекты по изображениям</v>
      </c>
      <c r="X9" s="1">
        <f>IFERROR(__xludf.DUMMYFUNCTION("""COMPUTED_VALUE"""),1108.0)</f>
        <v>1108</v>
      </c>
      <c r="Y9" s="1"/>
      <c r="Z9" s="1"/>
    </row>
    <row r="10">
      <c r="A10" s="1" t="str">
        <f>IFERROR(__xludf.DUMMYFUNCTION("""COMPUTED_VALUE"""),"Прогресс")</f>
        <v>Прогресс</v>
      </c>
      <c r="B10" s="1">
        <f>IFERROR(__xludf.DUMMYFUNCTION("""COMPUTED_VALUE"""),9.0)</f>
        <v>9</v>
      </c>
      <c r="C10" s="1" t="str">
        <f>IFERROR(__xludf.DUMMYFUNCTION("""COMPUTED_VALUE"""),"Формы мировоззрения")</f>
        <v>Формы мировоззрения</v>
      </c>
      <c r="D10" s="1">
        <f>IFERROR(__xludf.DUMMYFUNCTION("""COMPUTED_VALUE"""),109.0)</f>
        <v>109</v>
      </c>
      <c r="E10" s="1" t="str">
        <f>IFERROR(__xludf.DUMMYFUNCTION("""COMPUTED_VALUE"""),"Горизонтальная и вертикальная социальная мобильность")</f>
        <v>Горизонтальная и вертикальная социальная мобильность</v>
      </c>
      <c r="F10" s="1">
        <f>IFERROR(__xludf.DUMMYFUNCTION("""COMPUTED_VALUE"""),209.0)</f>
        <v>209</v>
      </c>
      <c r="G10" s="1" t="str">
        <f>IFERROR(__xludf.DUMMYFUNCTION("""COMPUTED_VALUE"""),"Функциональная подсистема")</f>
        <v>Функциональная подсистема</v>
      </c>
      <c r="H10" s="1">
        <f>IFERROR(__xludf.DUMMYFUNCTION("""COMPUTED_VALUE"""),309.0)</f>
        <v>309</v>
      </c>
      <c r="I10" s="1" t="str">
        <f>IFERROR(__xludf.DUMMYFUNCTION("""COMPUTED_VALUE"""),"Демократический политический режим в РФ")</f>
        <v>Демократический политический режим в РФ</v>
      </c>
      <c r="J10" s="1">
        <f>IFERROR(__xludf.DUMMYFUNCTION("""COMPUTED_VALUE"""),409.0)</f>
        <v>409</v>
      </c>
      <c r="K10" s="1" t="str">
        <f>IFERROR(__xludf.DUMMYFUNCTION("""COMPUTED_VALUE"""),"Система права (отрасли, подотрасли, институты, нормы)")</f>
        <v>Система права (отрасли, подотрасли, институты, нормы)</v>
      </c>
      <c r="L10" s="1">
        <f>IFERROR(__xludf.DUMMYFUNCTION("""COMPUTED_VALUE"""),509.0)</f>
        <v>509</v>
      </c>
      <c r="M10" s="1" t="str">
        <f>IFERROR(__xludf.DUMMYFUNCTION("""COMPUTED_VALUE"""),"Факторы, влияющие на труд как фактор производства")</f>
        <v>Факторы, влияющие на труд как фактор производства</v>
      </c>
      <c r="N10" s="1">
        <f>IFERROR(__xludf.DUMMYFUNCTION("""COMPUTED_VALUE"""),609.0)</f>
        <v>609</v>
      </c>
      <c r="O10" s="1" t="str">
        <f>IFERROR(__xludf.DUMMYFUNCTION("""COMPUTED_VALUE"""),"Олигополия")</f>
        <v>Олигополия</v>
      </c>
      <c r="P10" s="1">
        <f>IFERROR(__xludf.DUMMYFUNCTION("""COMPUTED_VALUE"""),709.0)</f>
        <v>709</v>
      </c>
      <c r="Q10" s="1" t="str">
        <f>IFERROR(__xludf.DUMMYFUNCTION("""COMPUTED_VALUE"""),"Бухгалтерские издержки")</f>
        <v>Бухгалтерские издержки</v>
      </c>
      <c r="R10" s="1">
        <f>IFERROR(__xludf.DUMMYFUNCTION("""COMPUTED_VALUE"""),809.0)</f>
        <v>809</v>
      </c>
      <c r="S10" s="1" t="str">
        <f>IFERROR(__xludf.DUMMYFUNCTION("""COMPUTED_VALUE"""),"Виды религий")</f>
        <v>Виды религий</v>
      </c>
      <c r="T10" s="1">
        <f>IFERROR(__xludf.DUMMYFUNCTION("""COMPUTED_VALUE"""),909.0)</f>
        <v>909</v>
      </c>
      <c r="U10" s="1" t="str">
        <f>IFERROR(__xludf.DUMMYFUNCTION("""COMPUTED_VALUE"""),"Особенности социального познания")</f>
        <v>Особенности социального познания</v>
      </c>
      <c r="V10" s="1">
        <f>IFERROR(__xludf.DUMMYFUNCTION("""COMPUTED_VALUE"""),1009.0)</f>
        <v>1009</v>
      </c>
      <c r="W10" s="1" t="str">
        <f>IFERROR(__xludf.DUMMYFUNCTION("""COMPUTED_VALUE"""),"Раскрывать на примерах положения текста")</f>
        <v>Раскрывать на примерах положения текста</v>
      </c>
      <c r="X10" s="1">
        <f>IFERROR(__xludf.DUMMYFUNCTION("""COMPUTED_VALUE"""),1109.0)</f>
        <v>1109</v>
      </c>
      <c r="Y10" s="1"/>
      <c r="Z10" s="1"/>
    </row>
    <row r="11">
      <c r="A11" s="1" t="str">
        <f>IFERROR(__xludf.DUMMYFUNCTION("""COMPUTED_VALUE"""),"Регресс")</f>
        <v>Регресс</v>
      </c>
      <c r="B11" s="1">
        <f>IFERROR(__xludf.DUMMYFUNCTION("""COMPUTED_VALUE"""),10.0)</f>
        <v>10</v>
      </c>
      <c r="C11" s="1" t="str">
        <f>IFERROR(__xludf.DUMMYFUNCTION("""COMPUTED_VALUE"""),"Понятие деятельности")</f>
        <v>Понятие деятельности</v>
      </c>
      <c r="D11" s="1">
        <f>IFERROR(__xludf.DUMMYFUNCTION("""COMPUTED_VALUE"""),110.0)</f>
        <v>110</v>
      </c>
      <c r="E11" s="1" t="str">
        <f>IFERROR(__xludf.DUMMYFUNCTION("""COMPUTED_VALUE"""),"Восходящая и нисходящая социальная мобильность")</f>
        <v>Восходящая и нисходящая социальная мобильность</v>
      </c>
      <c r="F11" s="1">
        <f>IFERROR(__xludf.DUMMYFUNCTION("""COMPUTED_VALUE"""),210.0)</f>
        <v>210</v>
      </c>
      <c r="G11" s="1" t="str">
        <f>IFERROR(__xludf.DUMMYFUNCTION("""COMPUTED_VALUE"""),"Понятие государства")</f>
        <v>Понятие государства</v>
      </c>
      <c r="H11" s="1">
        <f>IFERROR(__xludf.DUMMYFUNCTION("""COMPUTED_VALUE"""),310.0)</f>
        <v>310</v>
      </c>
      <c r="I11" s="1" t="str">
        <f>IFERROR(__xludf.DUMMYFUNCTION("""COMPUTED_VALUE"""),"Федеративное устройство РФ, типы субъектов в РФ")</f>
        <v>Федеративное устройство РФ, типы субъектов в РФ</v>
      </c>
      <c r="J11" s="1">
        <f>IFERROR(__xludf.DUMMYFUNCTION("""COMPUTED_VALUE"""),410.0)</f>
        <v>410</v>
      </c>
      <c r="K11" s="1" t="str">
        <f>IFERROR(__xludf.DUMMYFUNCTION("""COMPUTED_VALUE"""),"Частное и публичное право")</f>
        <v>Частное и публичное право</v>
      </c>
      <c r="L11" s="1">
        <f>IFERROR(__xludf.DUMMYFUNCTION("""COMPUTED_VALUE"""),510.0)</f>
        <v>510</v>
      </c>
      <c r="M11" s="1" t="str">
        <f>IFERROR(__xludf.DUMMYFUNCTION("""COMPUTED_VALUE"""),"Капитал как фактор производства")</f>
        <v>Капитал как фактор производства</v>
      </c>
      <c r="N11" s="1">
        <f>IFERROR(__xludf.DUMMYFUNCTION("""COMPUTED_VALUE"""),610.0)</f>
        <v>610</v>
      </c>
      <c r="O11" s="1" t="str">
        <f>IFERROR(__xludf.DUMMYFUNCTION("""COMPUTED_VALUE"""),"Монополия")</f>
        <v>Монополия</v>
      </c>
      <c r="P11" s="1">
        <f>IFERROR(__xludf.DUMMYFUNCTION("""COMPUTED_VALUE"""),710.0)</f>
        <v>710</v>
      </c>
      <c r="Q11" s="1" t="str">
        <f>IFERROR(__xludf.DUMMYFUNCTION("""COMPUTED_VALUE"""),"Основные источники финансирования бизнеса")</f>
        <v>Основные источники финансирования бизнеса</v>
      </c>
      <c r="R11" s="1">
        <f>IFERROR(__xludf.DUMMYFUNCTION("""COMPUTED_VALUE"""),810.0)</f>
        <v>810</v>
      </c>
      <c r="S11" s="1" t="str">
        <f>IFERROR(__xludf.DUMMYFUNCTION("""COMPUTED_VALUE"""),"Мировые религии")</f>
        <v>Мировые религии</v>
      </c>
      <c r="T11" s="1">
        <f>IFERROR(__xludf.DUMMYFUNCTION("""COMPUTED_VALUE"""),910.0)</f>
        <v>910</v>
      </c>
      <c r="U11" s="1" t="str">
        <f>IFERROR(__xludf.DUMMYFUNCTION("""COMPUTED_VALUE"""),"Особенности научного познания")</f>
        <v>Особенности научного познания</v>
      </c>
      <c r="V11" s="1">
        <f>IFERROR(__xludf.DUMMYFUNCTION("""COMPUTED_VALUE"""),1010.0)</f>
        <v>1010</v>
      </c>
      <c r="W11" s="1" t="str">
        <f>IFERROR(__xludf.DUMMYFUNCTION("""COMPUTED_VALUE"""),"Формулирование и аргументация суждений, связанных с проблематикой текста")</f>
        <v>Формулирование и аргументация суждений, связанных с проблематикой текста</v>
      </c>
      <c r="X11" s="1">
        <f>IFERROR(__xludf.DUMMYFUNCTION("""COMPUTED_VALUE"""),1110.0)</f>
        <v>1110</v>
      </c>
      <c r="Y11" s="1"/>
      <c r="Z11" s="1"/>
    </row>
    <row r="12">
      <c r="A12" s="1" t="str">
        <f>IFERROR(__xludf.DUMMYFUNCTION("""COMPUTED_VALUE"""),"Реформа и ее признаки")</f>
        <v>Реформа и ее признаки</v>
      </c>
      <c r="B12" s="1">
        <f>IFERROR(__xludf.DUMMYFUNCTION("""COMPUTED_VALUE"""),11.0)</f>
        <v>11</v>
      </c>
      <c r="C12" s="1" t="str">
        <f>IFERROR(__xludf.DUMMYFUNCTION("""COMPUTED_VALUE"""),"Структура деятельности")</f>
        <v>Структура деятельности</v>
      </c>
      <c r="D12" s="1">
        <f>IFERROR(__xludf.DUMMYFUNCTION("""COMPUTED_VALUE"""),111.0)</f>
        <v>111</v>
      </c>
      <c r="E12" s="1" t="str">
        <f>IFERROR(__xludf.DUMMYFUNCTION("""COMPUTED_VALUE"""),"Индивидуальная и групповая социальная мобильность")</f>
        <v>Индивидуальная и групповая социальная мобильность</v>
      </c>
      <c r="F12" s="1">
        <f>IFERROR(__xludf.DUMMYFUNCTION("""COMPUTED_VALUE"""),211.0)</f>
        <v>211</v>
      </c>
      <c r="G12" s="1" t="str">
        <f>IFERROR(__xludf.DUMMYFUNCTION("""COMPUTED_VALUE"""),"Государственная власть")</f>
        <v>Государственная власть</v>
      </c>
      <c r="H12" s="1">
        <f>IFERROR(__xludf.DUMMYFUNCTION("""COMPUTED_VALUE"""),311.0)</f>
        <v>311</v>
      </c>
      <c r="I12" s="1" t="str">
        <f>IFERROR(__xludf.DUMMYFUNCTION("""COMPUTED_VALUE"""),"Система сдержек и противовесов в РФ")</f>
        <v>Система сдержек и противовесов в РФ</v>
      </c>
      <c r="J12" s="1">
        <f>IFERROR(__xludf.DUMMYFUNCTION("""COMPUTED_VALUE"""),411.0)</f>
        <v>411</v>
      </c>
      <c r="K12" s="1" t="str">
        <f>IFERROR(__xludf.DUMMYFUNCTION("""COMPUTED_VALUE"""),"Материальное и процессуальное право")</f>
        <v>Материальное и процессуальное право</v>
      </c>
      <c r="L12" s="1">
        <f>IFERROR(__xludf.DUMMYFUNCTION("""COMPUTED_VALUE"""),511.0)</f>
        <v>511</v>
      </c>
      <c r="M12" s="1" t="str">
        <f>IFERROR(__xludf.DUMMYFUNCTION("""COMPUTED_VALUE"""),"Предпринимательские способности как фактор производства")</f>
        <v>Предпринимательские способности как фактор производства</v>
      </c>
      <c r="N12" s="1">
        <f>IFERROR(__xludf.DUMMYFUNCTION("""COMPUTED_VALUE"""),611.0)</f>
        <v>611</v>
      </c>
      <c r="O12" s="1" t="str">
        <f>IFERROR(__xludf.DUMMYFUNCTION("""COMPUTED_VALUE"""),"Монополистическая конкуренция")</f>
        <v>Монополистическая конкуренция</v>
      </c>
      <c r="P12" s="1">
        <f>IFERROR(__xludf.DUMMYFUNCTION("""COMPUTED_VALUE"""),711.0)</f>
        <v>711</v>
      </c>
      <c r="Q12" s="1" t="str">
        <f>IFERROR(__xludf.DUMMYFUNCTION("""COMPUTED_VALUE"""),"Внутренние источники финансирования бизнеса")</f>
        <v>Внутренние источники финансирования бизнеса</v>
      </c>
      <c r="R12" s="1">
        <f>IFERROR(__xludf.DUMMYFUNCTION("""COMPUTED_VALUE"""),811.0)</f>
        <v>811</v>
      </c>
      <c r="S12" s="1" t="str">
        <f>IFERROR(__xludf.DUMMYFUNCTION("""COMPUTED_VALUE"""),"Функции религии")</f>
        <v>Функции религии</v>
      </c>
      <c r="T12" s="1">
        <f>IFERROR(__xludf.DUMMYFUNCTION("""COMPUTED_VALUE"""),911.0)</f>
        <v>911</v>
      </c>
      <c r="U12" s="1" t="str">
        <f>IFERROR(__xludf.DUMMYFUNCTION("""COMPUTED_VALUE"""),"Уровни научного познания (эмпирический, теоретический)")</f>
        <v>Уровни научного познания (эмпирический, теоретический)</v>
      </c>
      <c r="V12" s="1">
        <f>IFERROR(__xludf.DUMMYFUNCTION("""COMPUTED_VALUE"""),1011.0)</f>
        <v>1011</v>
      </c>
      <c r="W12" s="1" t="str">
        <f>IFERROR(__xludf.DUMMYFUNCTION("""COMPUTED_VALUE"""),"Применять обществоведческие знания в решении познавательных задач")</f>
        <v>Применять обществоведческие знания в решении познавательных задач</v>
      </c>
      <c r="X12" s="1">
        <f>IFERROR(__xludf.DUMMYFUNCTION("""COMPUTED_VALUE"""),1111.0)</f>
        <v>1111</v>
      </c>
      <c r="Y12" s="1"/>
      <c r="Z12" s="1"/>
    </row>
    <row r="13">
      <c r="A13" s="1" t="str">
        <f>IFERROR(__xludf.DUMMYFUNCTION("""COMPUTED_VALUE"""),"Революция и ее признаки")</f>
        <v>Революция и ее признаки</v>
      </c>
      <c r="B13" s="1">
        <f>IFERROR(__xludf.DUMMYFUNCTION("""COMPUTED_VALUE"""),12.0)</f>
        <v>12</v>
      </c>
      <c r="C13" s="1" t="str">
        <f>IFERROR(__xludf.DUMMYFUNCTION("""COMPUTED_VALUE"""),"Материальная и духовная деятельность")</f>
        <v>Материальная и духовная деятельность</v>
      </c>
      <c r="D13" s="1">
        <f>IFERROR(__xludf.DUMMYFUNCTION("""COMPUTED_VALUE"""),112.0)</f>
        <v>112</v>
      </c>
      <c r="E13" s="1" t="str">
        <f>IFERROR(__xludf.DUMMYFUNCTION("""COMPUTED_VALUE"""),"Другие классификации социальной мобильности")</f>
        <v>Другие классификации социальной мобильности</v>
      </c>
      <c r="F13" s="1">
        <f>IFERROR(__xludf.DUMMYFUNCTION("""COMPUTED_VALUE"""),212.0)</f>
        <v>212</v>
      </c>
      <c r="G13" s="1" t="str">
        <f>IFERROR(__xludf.DUMMYFUNCTION("""COMPUTED_VALUE"""),"Признаки государства")</f>
        <v>Признаки государства</v>
      </c>
      <c r="H13" s="1">
        <f>IFERROR(__xludf.DUMMYFUNCTION("""COMPUTED_VALUE"""),312.0)</f>
        <v>312</v>
      </c>
      <c r="I13" s="1" t="str">
        <f>IFERROR(__xludf.DUMMYFUNCTION("""COMPUTED_VALUE"""),"РФ - социальное государство")</f>
        <v>РФ - социальное государство</v>
      </c>
      <c r="J13" s="1">
        <f>IFERROR(__xludf.DUMMYFUNCTION("""COMPUTED_VALUE"""),412.0)</f>
        <v>412</v>
      </c>
      <c r="K13" s="1" t="str">
        <f>IFERROR(__xludf.DUMMYFUNCTION("""COMPUTED_VALUE"""),"Источники права")</f>
        <v>Источники права</v>
      </c>
      <c r="L13" s="1">
        <f>IFERROR(__xludf.DUMMYFUNCTION("""COMPUTED_VALUE"""),512.0)</f>
        <v>512</v>
      </c>
      <c r="M13" s="1" t="str">
        <f>IFERROR(__xludf.DUMMYFUNCTION("""COMPUTED_VALUE"""),"Информация как фактор производства")</f>
        <v>Информация как фактор производства</v>
      </c>
      <c r="N13" s="1">
        <f>IFERROR(__xludf.DUMMYFUNCTION("""COMPUTED_VALUE"""),612.0)</f>
        <v>612</v>
      </c>
      <c r="O13" s="1" t="str">
        <f>IFERROR(__xludf.DUMMYFUNCTION("""COMPUTED_VALUE"""),"Политика защиты конкуренции")</f>
        <v>Политика защиты конкуренции</v>
      </c>
      <c r="P13" s="1">
        <f>IFERROR(__xludf.DUMMYFUNCTION("""COMPUTED_VALUE"""),712.0)</f>
        <v>712</v>
      </c>
      <c r="Q13" s="1" t="str">
        <f>IFERROR(__xludf.DUMMYFUNCTION("""COMPUTED_VALUE"""),"Внешние источники финансирования бизнеса")</f>
        <v>Внешние источники финансирования бизнеса</v>
      </c>
      <c r="R13" s="1">
        <f>IFERROR(__xludf.DUMMYFUNCTION("""COMPUTED_VALUE"""),812.0)</f>
        <v>812</v>
      </c>
      <c r="S13" s="1" t="str">
        <f>IFERROR(__xludf.DUMMYFUNCTION("""COMPUTED_VALUE"""),"Компоненты религии")</f>
        <v>Компоненты религии</v>
      </c>
      <c r="T13" s="1">
        <f>IFERROR(__xludf.DUMMYFUNCTION("""COMPUTED_VALUE"""),912.0)</f>
        <v>912</v>
      </c>
      <c r="U13" s="1" t="str">
        <f>IFERROR(__xludf.DUMMYFUNCTION("""COMPUTED_VALUE"""),"Методы научного познания ")</f>
        <v>Методы научного познания </v>
      </c>
      <c r="V13" s="1">
        <f>IFERROR(__xludf.DUMMYFUNCTION("""COMPUTED_VALUE"""),1012.0)</f>
        <v>1012</v>
      </c>
      <c r="W13" s="1" t="str">
        <f>IFERROR(__xludf.DUMMYFUNCTION("""COMPUTED_VALUE"""),"Конкретизировать аспекты темы с учетом реалий современного российского общества и государства")</f>
        <v>Конкретизировать аспекты темы с учетом реалий современного российского общества и государства</v>
      </c>
      <c r="X13" s="1">
        <f>IFERROR(__xludf.DUMMYFUNCTION("""COMPUTED_VALUE"""),1112.0)</f>
        <v>1112</v>
      </c>
      <c r="Y13" s="1"/>
      <c r="Z13" s="1"/>
    </row>
    <row r="14">
      <c r="A14" s="1" t="str">
        <f>IFERROR(__xludf.DUMMYFUNCTION("""COMPUTED_VALUE"""),"Эволюция")</f>
        <v>Эволюция</v>
      </c>
      <c r="B14" s="1">
        <f>IFERROR(__xludf.DUMMYFUNCTION("""COMPUTED_VALUE"""),13.0)</f>
        <v>13</v>
      </c>
      <c r="C14" s="1" t="str">
        <f>IFERROR(__xludf.DUMMYFUNCTION("""COMPUTED_VALUE"""),"Виды деятельности")</f>
        <v>Виды деятельности</v>
      </c>
      <c r="D14" s="1">
        <f>IFERROR(__xludf.DUMMYFUNCTION("""COMPUTED_VALUE"""),113.0)</f>
        <v>113</v>
      </c>
      <c r="E14" s="1" t="str">
        <f>IFERROR(__xludf.DUMMYFUNCTION("""COMPUTED_VALUE"""),"Каналы (лифты) социальной мобильности")</f>
        <v>Каналы (лифты) социальной мобильности</v>
      </c>
      <c r="F14" s="1">
        <f>IFERROR(__xludf.DUMMYFUNCTION("""COMPUTED_VALUE"""),213.0)</f>
        <v>213</v>
      </c>
      <c r="G14" s="1" t="str">
        <f>IFERROR(__xludf.DUMMYFUNCTION("""COMPUTED_VALUE"""),"Внешние функции государства")</f>
        <v>Внешние функции государства</v>
      </c>
      <c r="H14" s="1">
        <f>IFERROR(__xludf.DUMMYFUNCTION("""COMPUTED_VALUE"""),313.0)</f>
        <v>313</v>
      </c>
      <c r="I14" s="1" t="str">
        <f>IFERROR(__xludf.DUMMYFUNCTION("""COMPUTED_VALUE"""),"РФ - светское государство")</f>
        <v>РФ - светское государство</v>
      </c>
      <c r="J14" s="1">
        <f>IFERROR(__xludf.DUMMYFUNCTION("""COMPUTED_VALUE"""),413.0)</f>
        <v>413</v>
      </c>
      <c r="K14" s="1" t="str">
        <f>IFERROR(__xludf.DUMMYFUNCTION("""COMPUTED_VALUE"""),"НПА")</f>
        <v>НПА</v>
      </c>
      <c r="L14" s="1">
        <f>IFERROR(__xludf.DUMMYFUNCTION("""COMPUTED_VALUE"""),513.0)</f>
        <v>513</v>
      </c>
      <c r="M14" s="1" t="str">
        <f>IFERROR(__xludf.DUMMYFUNCTION("""COMPUTED_VALUE"""),"Основы маркетинга")</f>
        <v>Основы маркетинга</v>
      </c>
      <c r="N14" s="1">
        <f>IFERROR(__xludf.DUMMYFUNCTION("""COMPUTED_VALUE"""),613.0)</f>
        <v>613</v>
      </c>
      <c r="O14" s="1" t="str">
        <f>IFERROR(__xludf.DUMMYFUNCTION("""COMPUTED_VALUE"""),"Антимонопольное законодательство")</f>
        <v>Антимонопольное законодательство</v>
      </c>
      <c r="P14" s="1">
        <f>IFERROR(__xludf.DUMMYFUNCTION("""COMPUTED_VALUE"""),713.0)</f>
        <v>713</v>
      </c>
      <c r="Q14" s="1" t="str">
        <f>IFERROR(__xludf.DUMMYFUNCTION("""COMPUTED_VALUE"""),"Фондовый рынок и его инструменты")</f>
        <v>Фондовый рынок и его инструменты</v>
      </c>
      <c r="R14" s="1">
        <f>IFERROR(__xludf.DUMMYFUNCTION("""COMPUTED_VALUE"""),813.0)</f>
        <v>813</v>
      </c>
      <c r="S14" s="1" t="str">
        <f>IFERROR(__xludf.DUMMYFUNCTION("""COMPUTED_VALUE"""),"Понятие образования")</f>
        <v>Понятие образования</v>
      </c>
      <c r="T14" s="1">
        <f>IFERROR(__xludf.DUMMYFUNCTION("""COMPUTED_VALUE"""),913.0)</f>
        <v>913</v>
      </c>
      <c r="U14" s="1" t="str">
        <f>IFERROR(__xludf.DUMMYFUNCTION("""COMPUTED_VALUE"""),"Мышление")</f>
        <v>Мышление</v>
      </c>
      <c r="V14" s="1">
        <f>IFERROR(__xludf.DUMMYFUNCTION("""COMPUTED_VALUE"""),1013.0)</f>
        <v>1013</v>
      </c>
      <c r="W14" s="1" t="str">
        <f>IFERROR(__xludf.DUMMYFUNCTION("""COMPUTED_VALUE"""),"Применять социально-экономические и гуманитарные знания в процессе решения тестовых заданий")</f>
        <v>Применять социально-экономические и гуманитарные знания в процессе решения тестовых заданий</v>
      </c>
      <c r="X14" s="1">
        <f>IFERROR(__xludf.DUMMYFUNCTION("""COMPUTED_VALUE"""),1113.0)</f>
        <v>1113</v>
      </c>
      <c r="Y14" s="1"/>
      <c r="Z14" s="1"/>
    </row>
    <row r="15">
      <c r="A15" s="1" t="str">
        <f>IFERROR(__xludf.DUMMYFUNCTION("""COMPUTED_VALUE"""),"Критерии прогресса")</f>
        <v>Критерии прогресса</v>
      </c>
      <c r="B15" s="1">
        <f>IFERROR(__xludf.DUMMYFUNCTION("""COMPUTED_VALUE"""),14.0)</f>
        <v>14</v>
      </c>
      <c r="C15" s="1" t="str">
        <f>IFERROR(__xludf.DUMMYFUNCTION("""COMPUTED_VALUE"""),"Игра")</f>
        <v>Игра</v>
      </c>
      <c r="D15" s="1">
        <f>IFERROR(__xludf.DUMMYFUNCTION("""COMPUTED_VALUE"""),114.0)</f>
        <v>114</v>
      </c>
      <c r="E15" s="1" t="str">
        <f>IFERROR(__xludf.DUMMYFUNCTION("""COMPUTED_VALUE"""),"Факторы социальной мобильности")</f>
        <v>Факторы социальной мобильности</v>
      </c>
      <c r="F15" s="1">
        <f>IFERROR(__xludf.DUMMYFUNCTION("""COMPUTED_VALUE"""),214.0)</f>
        <v>214</v>
      </c>
      <c r="G15" s="1" t="str">
        <f>IFERROR(__xludf.DUMMYFUNCTION("""COMPUTED_VALUE"""),"Внутренние функции государства")</f>
        <v>Внутренние функции государства</v>
      </c>
      <c r="H15" s="1">
        <f>IFERROR(__xludf.DUMMYFUNCTION("""COMPUTED_VALUE"""),314.0)</f>
        <v>314</v>
      </c>
      <c r="I15" s="1" t="str">
        <f>IFERROR(__xludf.DUMMYFUNCTION("""COMPUTED_VALUE"""),"Идеологический и политический плюрализм в РФ")</f>
        <v>Идеологический и политический плюрализм в РФ</v>
      </c>
      <c r="J15" s="1">
        <f>IFERROR(__xludf.DUMMYFUNCTION("""COMPUTED_VALUE"""),414.0)</f>
        <v>414</v>
      </c>
      <c r="K15" s="1" t="str">
        <f>IFERROR(__xludf.DUMMYFUNCTION("""COMPUTED_VALUE"""),"Правовой обычай")</f>
        <v>Правовой обычай</v>
      </c>
      <c r="L15" s="1">
        <f>IFERROR(__xludf.DUMMYFUNCTION("""COMPUTED_VALUE"""),514.0)</f>
        <v>514</v>
      </c>
      <c r="M15" s="1" t="str">
        <f>IFERROR(__xludf.DUMMYFUNCTION("""COMPUTED_VALUE"""),"Основные принципы менеджмента")</f>
        <v>Основные принципы менеджмента</v>
      </c>
      <c r="N15" s="1">
        <f>IFERROR(__xludf.DUMMYFUNCTION("""COMPUTED_VALUE"""),614.0)</f>
        <v>614</v>
      </c>
      <c r="O15" s="1" t="str">
        <f>IFERROR(__xludf.DUMMYFUNCTION("""COMPUTED_VALUE"""),"Понятие финансового рынка")</f>
        <v>Понятие финансового рынка</v>
      </c>
      <c r="P15" s="1">
        <f>IFERROR(__xludf.DUMMYFUNCTION("""COMPUTED_VALUE"""),714.0)</f>
        <v>714</v>
      </c>
      <c r="Q15" s="1" t="str">
        <f>IFERROR(__xludf.DUMMYFUNCTION("""COMPUTED_VALUE"""),"Долевые ценные бумаги")</f>
        <v>Долевые ценные бумаги</v>
      </c>
      <c r="R15" s="1">
        <f>IFERROR(__xludf.DUMMYFUNCTION("""COMPUTED_VALUE"""),814.0)</f>
        <v>814</v>
      </c>
      <c r="S15" s="1" t="str">
        <f>IFERROR(__xludf.DUMMYFUNCTION("""COMPUTED_VALUE"""),"Религиозные объединения")</f>
        <v>Религиозные объединения</v>
      </c>
      <c r="T15" s="1">
        <f>IFERROR(__xludf.DUMMYFUNCTION("""COMPUTED_VALUE"""),914.0)</f>
        <v>914</v>
      </c>
      <c r="U15" s="1" t="str">
        <f>IFERROR(__xludf.DUMMYFUNCTION("""COMPUTED_VALUE"""),"Знания и его виды")</f>
        <v>Знания и его виды</v>
      </c>
      <c r="V15" s="1">
        <f>IFERROR(__xludf.DUMMYFUNCTION("""COMPUTED_VALUE"""),1014.0)</f>
        <v>1014</v>
      </c>
      <c r="W15" s="1"/>
      <c r="X15" s="1"/>
      <c r="Y15" s="1"/>
      <c r="Z15" s="1"/>
    </row>
    <row r="16">
      <c r="A16" s="1" t="str">
        <f>IFERROR(__xludf.DUMMYFUNCTION("""COMPUTED_VALUE"""),"Типы обществ")</f>
        <v>Типы обществ</v>
      </c>
      <c r="B16" s="1">
        <f>IFERROR(__xludf.DUMMYFUNCTION("""COMPUTED_VALUE"""),15.0)</f>
        <v>15</v>
      </c>
      <c r="C16" s="1" t="str">
        <f>IFERROR(__xludf.DUMMYFUNCTION("""COMPUTED_VALUE"""),"Общение")</f>
        <v>Общение</v>
      </c>
      <c r="D16" s="1">
        <f>IFERROR(__xludf.DUMMYFUNCTION("""COMPUTED_VALUE"""),115.0)</f>
        <v>115</v>
      </c>
      <c r="E16" s="1" t="str">
        <f>IFERROR(__xludf.DUMMYFUNCTION("""COMPUTED_VALUE"""),"Особенности современной социальной структуры (высший, средний и низший класс)")</f>
        <v>Особенности современной социальной структуры (высший, средний и низший класс)</v>
      </c>
      <c r="F16" s="1">
        <f>IFERROR(__xludf.DUMMYFUNCTION("""COMPUTED_VALUE"""),215.0)</f>
        <v>215</v>
      </c>
      <c r="G16" s="1" t="str">
        <f>IFERROR(__xludf.DUMMYFUNCTION("""COMPUTED_VALUE"""),"Внутренний и внешний суверенитет")</f>
        <v>Внутренний и внешний суверенитет</v>
      </c>
      <c r="H16" s="1">
        <f>IFERROR(__xludf.DUMMYFUNCTION("""COMPUTED_VALUE"""),315.0)</f>
        <v>315</v>
      </c>
      <c r="I16" s="1" t="str">
        <f>IFERROR(__xludf.DUMMYFUNCTION("""COMPUTED_VALUE"""),"Принципы федеративного устройства")</f>
        <v>Принципы федеративного устройства</v>
      </c>
      <c r="J16" s="1">
        <f>IFERROR(__xludf.DUMMYFUNCTION("""COMPUTED_VALUE"""),415.0)</f>
        <v>415</v>
      </c>
      <c r="K16" s="1" t="str">
        <f>IFERROR(__xludf.DUMMYFUNCTION("""COMPUTED_VALUE"""),"Правовой прецедент")</f>
        <v>Правовой прецедент</v>
      </c>
      <c r="L16" s="1">
        <f>IFERROR(__xludf.DUMMYFUNCTION("""COMPUTED_VALUE"""),515.0)</f>
        <v>515</v>
      </c>
      <c r="M16" s="1" t="str">
        <f>IFERROR(__xludf.DUMMYFUNCTION("""COMPUTED_VALUE"""),"Проблема ограниченности ресурсов")</f>
        <v>Проблема ограниченности ресурсов</v>
      </c>
      <c r="N16" s="1">
        <f>IFERROR(__xludf.DUMMYFUNCTION("""COMPUTED_VALUE"""),615.0)</f>
        <v>615</v>
      </c>
      <c r="O16" s="1" t="str">
        <f>IFERROR(__xludf.DUMMYFUNCTION("""COMPUTED_VALUE"""),"Финансовые институты")</f>
        <v>Финансовые институты</v>
      </c>
      <c r="P16" s="1">
        <f>IFERROR(__xludf.DUMMYFUNCTION("""COMPUTED_VALUE"""),715.0)</f>
        <v>715</v>
      </c>
      <c r="Q16" s="1" t="str">
        <f>IFERROR(__xludf.DUMMYFUNCTION("""COMPUTED_VALUE"""),"Долговые ценные бумаги")</f>
        <v>Долговые ценные бумаги</v>
      </c>
      <c r="R16" s="1">
        <f>IFERROR(__xludf.DUMMYFUNCTION("""COMPUTED_VALUE"""),815.0)</f>
        <v>815</v>
      </c>
      <c r="S16" s="1" t="str">
        <f>IFERROR(__xludf.DUMMYFUNCTION("""COMPUTED_VALUE"""),"Современные тенденции образования")</f>
        <v>Современные тенденции образования</v>
      </c>
      <c r="T16" s="1">
        <f>IFERROR(__xludf.DUMMYFUNCTION("""COMPUTED_VALUE"""),915.0)</f>
        <v>915</v>
      </c>
      <c r="U16" s="1" t="str">
        <f>IFERROR(__xludf.DUMMYFUNCTION("""COMPUTED_VALUE"""),"Понятие познания")</f>
        <v>Понятие познания</v>
      </c>
      <c r="V16" s="1">
        <f>IFERROR(__xludf.DUMMYFUNCTION("""COMPUTED_VALUE"""),1015.0)</f>
        <v>1015</v>
      </c>
      <c r="W16" s="1"/>
      <c r="X16" s="1"/>
      <c r="Y16" s="1"/>
      <c r="Z16" s="1"/>
    </row>
    <row r="17">
      <c r="A17" s="1" t="str">
        <f>IFERROR(__xludf.DUMMYFUNCTION("""COMPUTED_VALUE"""),"Аграрное (традиционное) общество и его признаки")</f>
        <v>Аграрное (традиционное) общество и его признаки</v>
      </c>
      <c r="B17" s="1">
        <f>IFERROR(__xludf.DUMMYFUNCTION("""COMPUTED_VALUE"""),16.0)</f>
        <v>16</v>
      </c>
      <c r="C17" s="1" t="str">
        <f>IFERROR(__xludf.DUMMYFUNCTION("""COMPUTED_VALUE"""),"Труд")</f>
        <v>Труд</v>
      </c>
      <c r="D17" s="1">
        <f>IFERROR(__xludf.DUMMYFUNCTION("""COMPUTED_VALUE"""),116.0)</f>
        <v>116</v>
      </c>
      <c r="E17" s="1" t="str">
        <f>IFERROR(__xludf.DUMMYFUNCTION("""COMPUTED_VALUE"""),"Социальные конфликты, их роль и функции")</f>
        <v>Социальные конфликты, их роль и функции</v>
      </c>
      <c r="F17" s="1">
        <f>IFERROR(__xludf.DUMMYFUNCTION("""COMPUTED_VALUE"""),216.0)</f>
        <v>216</v>
      </c>
      <c r="G17" s="1" t="str">
        <f>IFERROR(__xludf.DUMMYFUNCTION("""COMPUTED_VALUE"""),"Функции политической системы")</f>
        <v>Функции политической системы</v>
      </c>
      <c r="H17" s="1">
        <f>IFERROR(__xludf.DUMMYFUNCTION("""COMPUTED_VALUE"""),316.0)</f>
        <v>316</v>
      </c>
      <c r="I17" s="1" t="str">
        <f>IFERROR(__xludf.DUMMYFUNCTION("""COMPUTED_VALUE"""),"Вопросы ведения РФ")</f>
        <v>Вопросы ведения РФ</v>
      </c>
      <c r="J17" s="1">
        <f>IFERROR(__xludf.DUMMYFUNCTION("""COMPUTED_VALUE"""),416.0)</f>
        <v>416</v>
      </c>
      <c r="K17" s="1" t="str">
        <f>IFERROR(__xludf.DUMMYFUNCTION("""COMPUTED_VALUE"""),"Понятие юридической ответственности")</f>
        <v>Понятие юридической ответственности</v>
      </c>
      <c r="L17" s="1">
        <f>IFERROR(__xludf.DUMMYFUNCTION("""COMPUTED_VALUE"""),516.0)</f>
        <v>516</v>
      </c>
      <c r="M17" s="1" t="str">
        <f>IFERROR(__xludf.DUMMYFUNCTION("""COMPUTED_VALUE"""),"Товары и услуги")</f>
        <v>Товары и услуги</v>
      </c>
      <c r="N17" s="1">
        <f>IFERROR(__xludf.DUMMYFUNCTION("""COMPUTED_VALUE"""),616.0)</f>
        <v>616</v>
      </c>
      <c r="O17" s="1" t="str">
        <f>IFERROR(__xludf.DUMMYFUNCTION("""COMPUTED_VALUE"""),"Банки и банковская система")</f>
        <v>Банки и банковская система</v>
      </c>
      <c r="P17" s="1">
        <f>IFERROR(__xludf.DUMMYFUNCTION("""COMPUTED_VALUE"""),716.0)</f>
        <v>716</v>
      </c>
      <c r="Q17" s="1" t="str">
        <f>IFERROR(__xludf.DUMMYFUNCTION("""COMPUTED_VALUE"""),"Акции: обыкновенные и привилегированные")</f>
        <v>Акции: обыкновенные и привилегированные</v>
      </c>
      <c r="R17" s="1">
        <f>IFERROR(__xludf.DUMMYFUNCTION("""COMPUTED_VALUE"""),816.0)</f>
        <v>816</v>
      </c>
      <c r="S17" s="1" t="str">
        <f>IFERROR(__xludf.DUMMYFUNCTION("""COMPUTED_VALUE"""),"Непрерывность образования")</f>
        <v>Непрерывность образования</v>
      </c>
      <c r="T17" s="1">
        <f>IFERROR(__xludf.DUMMYFUNCTION("""COMPUTED_VALUE"""),916.0)</f>
        <v>916</v>
      </c>
      <c r="U17" s="1"/>
      <c r="V17" s="1"/>
      <c r="W17" s="1"/>
      <c r="X17" s="1"/>
      <c r="Y17" s="1"/>
      <c r="Z17" s="1"/>
    </row>
    <row r="18">
      <c r="A18" s="1" t="str">
        <f>IFERROR(__xludf.DUMMYFUNCTION("""COMPUTED_VALUE"""),"Индустриальное общество и его признаки")</f>
        <v>Индустриальное общество и его признаки</v>
      </c>
      <c r="B18" s="1">
        <f>IFERROR(__xludf.DUMMYFUNCTION("""COMPUTED_VALUE"""),17.0)</f>
        <v>17</v>
      </c>
      <c r="C18" s="1" t="str">
        <f>IFERROR(__xludf.DUMMYFUNCTION("""COMPUTED_VALUE"""),"Учение")</f>
        <v>Учение</v>
      </c>
      <c r="D18" s="1">
        <f>IFERROR(__xludf.DUMMYFUNCTION("""COMPUTED_VALUE"""),117.0)</f>
        <v>117</v>
      </c>
      <c r="E18" s="1" t="str">
        <f>IFERROR(__xludf.DUMMYFUNCTION("""COMPUTED_VALUE"""),"Структура социального конфликта")</f>
        <v>Структура социального конфликта</v>
      </c>
      <c r="F18" s="1">
        <f>IFERROR(__xludf.DUMMYFUNCTION("""COMPUTED_VALUE"""),217.0)</f>
        <v>217</v>
      </c>
      <c r="G18" s="1" t="str">
        <f>IFERROR(__xludf.DUMMYFUNCTION("""COMPUTED_VALUE"""),"Форма государства")</f>
        <v>Форма государства</v>
      </c>
      <c r="H18" s="1">
        <f>IFERROR(__xludf.DUMMYFUNCTION("""COMPUTED_VALUE"""),317.0)</f>
        <v>317</v>
      </c>
      <c r="I18" s="1" t="str">
        <f>IFERROR(__xludf.DUMMYFUNCTION("""COMPUTED_VALUE"""),"Вопросы совместного ведения РФ и субъектов")</f>
        <v>Вопросы совместного ведения РФ и субъектов</v>
      </c>
      <c r="J18" s="1">
        <f>IFERROR(__xludf.DUMMYFUNCTION("""COMPUTED_VALUE"""),417.0)</f>
        <v>417</v>
      </c>
      <c r="K18" s="1" t="str">
        <f>IFERROR(__xludf.DUMMYFUNCTION("""COMPUTED_VALUE"""),"Виды юридической ответственности")</f>
        <v>Виды юридической ответственности</v>
      </c>
      <c r="L18" s="1">
        <f>IFERROR(__xludf.DUMMYFUNCTION("""COMPUTED_VALUE"""),517.0)</f>
        <v>517</v>
      </c>
      <c r="M18" s="1" t="str">
        <f>IFERROR(__xludf.DUMMYFUNCTION("""COMPUTED_VALUE"""),"Ресурсы и потребности")</f>
        <v>Ресурсы и потребности</v>
      </c>
      <c r="N18" s="1">
        <f>IFERROR(__xludf.DUMMYFUNCTION("""COMPUTED_VALUE"""),617.0)</f>
        <v>617</v>
      </c>
      <c r="O18" s="1" t="str">
        <f>IFERROR(__xludf.DUMMYFUNCTION("""COMPUTED_VALUE"""),"Центральный банк")</f>
        <v>Центральный банк</v>
      </c>
      <c r="P18" s="1">
        <f>IFERROR(__xludf.DUMMYFUNCTION("""COMPUTED_VALUE"""),717.0)</f>
        <v>717</v>
      </c>
      <c r="Q18" s="1" t="str">
        <f>IFERROR(__xludf.DUMMYFUNCTION("""COMPUTED_VALUE"""),"Облигации")</f>
        <v>Облигации</v>
      </c>
      <c r="R18" s="1">
        <f>IFERROR(__xludf.DUMMYFUNCTION("""COMPUTED_VALUE"""),817.0)</f>
        <v>817</v>
      </c>
      <c r="S18" s="1" t="str">
        <f>IFERROR(__xludf.DUMMYFUNCTION("""COMPUTED_VALUE"""),"Гуманизация образования")</f>
        <v>Гуманизация образования</v>
      </c>
      <c r="T18" s="1">
        <f>IFERROR(__xludf.DUMMYFUNCTION("""COMPUTED_VALUE"""),917.0)</f>
        <v>917</v>
      </c>
      <c r="U18" s="1"/>
      <c r="V18" s="1"/>
      <c r="W18" s="1"/>
      <c r="X18" s="1"/>
      <c r="Y18" s="1"/>
      <c r="Z18" s="1"/>
    </row>
    <row r="19">
      <c r="A19" s="1" t="str">
        <f>IFERROR(__xludf.DUMMYFUNCTION("""COMPUTED_VALUE"""),"Постиндустриальное общество и его признаки")</f>
        <v>Постиндустриальное общество и его признаки</v>
      </c>
      <c r="B19" s="1">
        <f>IFERROR(__xludf.DUMMYFUNCTION("""COMPUTED_VALUE"""),18.0)</f>
        <v>18</v>
      </c>
      <c r="C19" s="1" t="str">
        <f>IFERROR(__xludf.DUMMYFUNCTION("""COMPUTED_VALUE"""),"Потребности (первичные, вторичные, биологические, социальные, духовные)")</f>
        <v>Потребности (первичные, вторичные, биологические, социальные, духовные)</v>
      </c>
      <c r="D19" s="1">
        <f>IFERROR(__xludf.DUMMYFUNCTION("""COMPUTED_VALUE"""),118.0)</f>
        <v>118</v>
      </c>
      <c r="E19" s="1" t="str">
        <f>IFERROR(__xludf.DUMMYFUNCTION("""COMPUTED_VALUE"""),"Причина социального конфликта")</f>
        <v>Причина социального конфликта</v>
      </c>
      <c r="F19" s="1">
        <f>IFERROR(__xludf.DUMMYFUNCTION("""COMPUTED_VALUE"""),218.0)</f>
        <v>218</v>
      </c>
      <c r="G19" s="1" t="str">
        <f>IFERROR(__xludf.DUMMYFUNCTION("""COMPUTED_VALUE"""),"Формы правления")</f>
        <v>Формы правления</v>
      </c>
      <c r="H19" s="1">
        <f>IFERROR(__xludf.DUMMYFUNCTION("""COMPUTED_VALUE"""),318.0)</f>
        <v>318</v>
      </c>
      <c r="I19" s="1" t="str">
        <f>IFERROR(__xludf.DUMMYFUNCTION("""COMPUTED_VALUE"""),"Структура государственной власти РФ")</f>
        <v>Структура государственной власти РФ</v>
      </c>
      <c r="J19" s="1">
        <f>IFERROR(__xludf.DUMMYFUNCTION("""COMPUTED_VALUE"""),418.0)</f>
        <v>418</v>
      </c>
      <c r="K19" s="1" t="str">
        <f>IFERROR(__xludf.DUMMYFUNCTION("""COMPUTED_VALUE"""),"Особенности уголовной ответственности")</f>
        <v>Особенности уголовной ответственности</v>
      </c>
      <c r="L19" s="1">
        <f>IFERROR(__xludf.DUMMYFUNCTION("""COMPUTED_VALUE"""),518.0)</f>
        <v>518</v>
      </c>
      <c r="M19" s="1" t="str">
        <f>IFERROR(__xludf.DUMMYFUNCTION("""COMPUTED_VALUE"""),"Производство, распределение, обмен и потребление")</f>
        <v>Производство, распределение, обмен и потребление</v>
      </c>
      <c r="N19" s="1">
        <f>IFERROR(__xludf.DUMMYFUNCTION("""COMPUTED_VALUE"""),618.0)</f>
        <v>618</v>
      </c>
      <c r="O19" s="1" t="str">
        <f>IFERROR(__xludf.DUMMYFUNCTION("""COMPUTED_VALUE"""),"Функции центрального банка")</f>
        <v>Функции центрального банка</v>
      </c>
      <c r="P19" s="1">
        <f>IFERROR(__xludf.DUMMYFUNCTION("""COMPUTED_VALUE"""),718.0)</f>
        <v>718</v>
      </c>
      <c r="Q19" s="1" t="str">
        <f>IFERROR(__xludf.DUMMYFUNCTION("""COMPUTED_VALUE"""),"Чеки")</f>
        <v>Чеки</v>
      </c>
      <c r="R19" s="1">
        <f>IFERROR(__xludf.DUMMYFUNCTION("""COMPUTED_VALUE"""),818.0)</f>
        <v>818</v>
      </c>
      <c r="S19" s="1" t="str">
        <f>IFERROR(__xludf.DUMMYFUNCTION("""COMPUTED_VALUE"""),"Гуманитаризация образования")</f>
        <v>Гуманитаризация образования</v>
      </c>
      <c r="T19" s="1">
        <f>IFERROR(__xludf.DUMMYFUNCTION("""COMPUTED_VALUE"""),918.0)</f>
        <v>918</v>
      </c>
      <c r="U19" s="1"/>
      <c r="V19" s="1"/>
      <c r="W19" s="1"/>
      <c r="X19" s="1"/>
      <c r="Y19" s="1"/>
      <c r="Z19" s="1"/>
    </row>
    <row r="20">
      <c r="A20" s="1" t="str">
        <f>IFERROR(__xludf.DUMMYFUNCTION("""COMPUTED_VALUE"""),"Глобальные проблемы человечества: понятие и признаки")</f>
        <v>Глобальные проблемы человечества: понятие и признаки</v>
      </c>
      <c r="B20" s="1">
        <f>IFERROR(__xludf.DUMMYFUNCTION("""COMPUTED_VALUE"""),19.0)</f>
        <v>19</v>
      </c>
      <c r="C20" s="1" t="str">
        <f>IFERROR(__xludf.DUMMYFUNCTION("""COMPUTED_VALUE"""),"Мнимые и разумные потребности")</f>
        <v>Мнимые и разумные потребности</v>
      </c>
      <c r="D20" s="1">
        <f>IFERROR(__xludf.DUMMYFUNCTION("""COMPUTED_VALUE"""),119.0)</f>
        <v>119</v>
      </c>
      <c r="E20" s="1" t="str">
        <f>IFERROR(__xludf.DUMMYFUNCTION("""COMPUTED_VALUE"""),"Повод социального конфликта")</f>
        <v>Повод социального конфликта</v>
      </c>
      <c r="F20" s="1">
        <f>IFERROR(__xludf.DUMMYFUNCTION("""COMPUTED_VALUE"""),219.0)</f>
        <v>219</v>
      </c>
      <c r="G20" s="1" t="str">
        <f>IFERROR(__xludf.DUMMYFUNCTION("""COMPUTED_VALUE"""),"Формы государственно-территориального устройства")</f>
        <v>Формы государственно-территориального устройства</v>
      </c>
      <c r="H20" s="1">
        <f>IFERROR(__xludf.DUMMYFUNCTION("""COMPUTED_VALUE"""),319.0)</f>
        <v>319</v>
      </c>
      <c r="I20" s="1" t="str">
        <f>IFERROR(__xludf.DUMMYFUNCTION("""COMPUTED_VALUE"""),"Президент РФ: положение в структуре государственной власти")</f>
        <v>Президент РФ: положение в структуре государственной власти</v>
      </c>
      <c r="J20" s="1">
        <f>IFERROR(__xludf.DUMMYFUNCTION("""COMPUTED_VALUE"""),419.0)</f>
        <v>419</v>
      </c>
      <c r="K20" s="1" t="str">
        <f>IFERROR(__xludf.DUMMYFUNCTION("""COMPUTED_VALUE"""),"Особенности уголовного процесса")</f>
        <v>Особенности уголовного процесса</v>
      </c>
      <c r="L20" s="1">
        <f>IFERROR(__xludf.DUMMYFUNCTION("""COMPUTED_VALUE"""),519.0)</f>
        <v>519</v>
      </c>
      <c r="M20" s="1" t="str">
        <f>IFERROR(__xludf.DUMMYFUNCTION("""COMPUTED_VALUE"""),"Разделение труда и специализация")</f>
        <v>Разделение труда и специализация</v>
      </c>
      <c r="N20" s="1">
        <f>IFERROR(__xludf.DUMMYFUNCTION("""COMPUTED_VALUE"""),619.0)</f>
        <v>619</v>
      </c>
      <c r="O20" s="1" t="str">
        <f>IFERROR(__xludf.DUMMYFUNCTION("""COMPUTED_VALUE"""),"Коммерческие банки")</f>
        <v>Коммерческие банки</v>
      </c>
      <c r="P20" s="1">
        <f>IFERROR(__xludf.DUMMYFUNCTION("""COMPUTED_VALUE"""),719.0)</f>
        <v>719</v>
      </c>
      <c r="Q20" s="1" t="str">
        <f>IFERROR(__xludf.DUMMYFUNCTION("""COMPUTED_VALUE"""),"Сберегательные сертификаты")</f>
        <v>Сберегательные сертификаты</v>
      </c>
      <c r="R20" s="1">
        <f>IFERROR(__xludf.DUMMYFUNCTION("""COMPUTED_VALUE"""),819.0)</f>
        <v>819</v>
      </c>
      <c r="S20" s="1" t="str">
        <f>IFERROR(__xludf.DUMMYFUNCTION("""COMPUTED_VALUE"""),"Уровни образования")</f>
        <v>Уровни образования</v>
      </c>
      <c r="T20" s="1">
        <f>IFERROR(__xludf.DUMMYFUNCTION("""COMPUTED_VALUE"""),919.0)</f>
        <v>919</v>
      </c>
      <c r="U20" s="1"/>
      <c r="V20" s="1"/>
      <c r="W20" s="1"/>
      <c r="X20" s="1"/>
      <c r="Y20" s="1"/>
      <c r="Z20" s="1"/>
    </row>
    <row r="21">
      <c r="A21" s="1" t="str">
        <f>IFERROR(__xludf.DUMMYFUNCTION("""COMPUTED_VALUE"""),"Пути решения глобальных проблем")</f>
        <v>Пути решения глобальных проблем</v>
      </c>
      <c r="B21" s="1">
        <f>IFERROR(__xludf.DUMMYFUNCTION("""COMPUTED_VALUE"""),20.0)</f>
        <v>20</v>
      </c>
      <c r="C21" s="1" t="str">
        <f>IFERROR(__xludf.DUMMYFUNCTION("""COMPUTED_VALUE"""),"Интересы")</f>
        <v>Интересы</v>
      </c>
      <c r="D21" s="1">
        <f>IFERROR(__xludf.DUMMYFUNCTION("""COMPUTED_VALUE"""),120.0)</f>
        <v>120</v>
      </c>
      <c r="E21" s="1" t="str">
        <f>IFERROR(__xludf.DUMMYFUNCTION("""COMPUTED_VALUE"""),"Стадии социального конфликта")</f>
        <v>Стадии социального конфликта</v>
      </c>
      <c r="F21" s="1">
        <f>IFERROR(__xludf.DUMMYFUNCTION("""COMPUTED_VALUE"""),220.0)</f>
        <v>220</v>
      </c>
      <c r="G21" s="1" t="str">
        <f>IFERROR(__xludf.DUMMYFUNCTION("""COMPUTED_VALUE"""),"Политические режимы")</f>
        <v>Политические режимы</v>
      </c>
      <c r="H21" s="1">
        <f>IFERROR(__xludf.DUMMYFUNCTION("""COMPUTED_VALUE"""),320.0)</f>
        <v>320</v>
      </c>
      <c r="I21" s="1" t="str">
        <f>IFERROR(__xludf.DUMMYFUNCTION("""COMPUTED_VALUE"""),"Полномочия Президента РФ")</f>
        <v>Полномочия Президента РФ</v>
      </c>
      <c r="J21" s="1">
        <f>IFERROR(__xludf.DUMMYFUNCTION("""COMPUTED_VALUE"""),420.0)</f>
        <v>420</v>
      </c>
      <c r="K21" s="1" t="str">
        <f>IFERROR(__xludf.DUMMYFUNCTION("""COMPUTED_VALUE"""),"Конституционное судопроизводство")</f>
        <v>Конституционное судопроизводство</v>
      </c>
      <c r="L21" s="1">
        <f>IFERROR(__xludf.DUMMYFUNCTION("""COMPUTED_VALUE"""),520.0)</f>
        <v>520</v>
      </c>
      <c r="M21" s="1" t="str">
        <f>IFERROR(__xludf.DUMMYFUNCTION("""COMPUTED_VALUE"""),"Производительность труда")</f>
        <v>Производительность труда</v>
      </c>
      <c r="N21" s="1">
        <f>IFERROR(__xludf.DUMMYFUNCTION("""COMPUTED_VALUE"""),620.0)</f>
        <v>620</v>
      </c>
      <c r="O21" s="1" t="str">
        <f>IFERROR(__xludf.DUMMYFUNCTION("""COMPUTED_VALUE"""),"Функции коммерческого банка")</f>
        <v>Функции коммерческого банка</v>
      </c>
      <c r="P21" s="1">
        <f>IFERROR(__xludf.DUMMYFUNCTION("""COMPUTED_VALUE"""),720.0)</f>
        <v>720</v>
      </c>
      <c r="Q21" s="1" t="str">
        <f>IFERROR(__xludf.DUMMYFUNCTION("""COMPUTED_VALUE"""),"Инвестиционные паи")</f>
        <v>Инвестиционные паи</v>
      </c>
      <c r="R21" s="1">
        <f>IFERROR(__xludf.DUMMYFUNCTION("""COMPUTED_VALUE"""),820.0)</f>
        <v>820</v>
      </c>
      <c r="S21" s="1" t="str">
        <f>IFERROR(__xludf.DUMMYFUNCTION("""COMPUTED_VALUE"""),"Формы культуры")</f>
        <v>Формы культуры</v>
      </c>
      <c r="T21" s="1">
        <f>IFERROR(__xludf.DUMMYFUNCTION("""COMPUTED_VALUE"""),920.0)</f>
        <v>920</v>
      </c>
      <c r="U21" s="1"/>
      <c r="V21" s="1"/>
      <c r="W21" s="1"/>
      <c r="X21" s="1"/>
      <c r="Y21" s="1"/>
      <c r="Z21" s="1"/>
    </row>
    <row r="22">
      <c r="A22" s="1" t="str">
        <f>IFERROR(__xludf.DUMMYFUNCTION("""COMPUTED_VALUE"""),"Предпосылки возникновения глобальных проблем")</f>
        <v>Предпосылки возникновения глобальных проблем</v>
      </c>
      <c r="B22" s="1">
        <f>IFERROR(__xludf.DUMMYFUNCTION("""COMPUTED_VALUE"""),21.0)</f>
        <v>21</v>
      </c>
      <c r="C22" s="1" t="str">
        <f>IFERROR(__xludf.DUMMYFUNCTION("""COMPUTED_VALUE"""),"Пирамида Маслоу")</f>
        <v>Пирамида Маслоу</v>
      </c>
      <c r="D22" s="1">
        <f>IFERROR(__xludf.DUMMYFUNCTION("""COMPUTED_VALUE"""),121.0)</f>
        <v>121</v>
      </c>
      <c r="E22" s="1" t="str">
        <f>IFERROR(__xludf.DUMMYFUNCTION("""COMPUTED_VALUE"""),"Компромисс как способ разрешения конфликта")</f>
        <v>Компромисс как способ разрешения конфликта</v>
      </c>
      <c r="F22" s="1">
        <f>IFERROR(__xludf.DUMMYFUNCTION("""COMPUTED_VALUE"""),221.0)</f>
        <v>221</v>
      </c>
      <c r="G22" s="1" t="str">
        <f>IFERROR(__xludf.DUMMYFUNCTION("""COMPUTED_VALUE"""),"Монархия и ее виды")</f>
        <v>Монархия и ее виды</v>
      </c>
      <c r="H22" s="1">
        <f>IFERROR(__xludf.DUMMYFUNCTION("""COMPUTED_VALUE"""),321.0)</f>
        <v>321</v>
      </c>
      <c r="I22" s="1" t="str">
        <f>IFERROR(__xludf.DUMMYFUNCTION("""COMPUTED_VALUE"""),"Требования к кандидатуре Президента РФ")</f>
        <v>Требования к кандидатуре Президента РФ</v>
      </c>
      <c r="J22" s="1">
        <f>IFERROR(__xludf.DUMMYFUNCTION("""COMPUTED_VALUE"""),421.0)</f>
        <v>421</v>
      </c>
      <c r="K22" s="1" t="str">
        <f>IFERROR(__xludf.DUMMYFUNCTION("""COMPUTED_VALUE"""),"Гражданские споры и порядок их рассмотрения")</f>
        <v>Гражданские споры и порядок их рассмотрения</v>
      </c>
      <c r="L22" s="1">
        <f>IFERROR(__xludf.DUMMYFUNCTION("""COMPUTED_VALUE"""),521.0)</f>
        <v>521</v>
      </c>
      <c r="M22" s="1" t="str">
        <f>IFERROR(__xludf.DUMMYFUNCTION("""COMPUTED_VALUE"""),"Понятие денег")</f>
        <v>Понятие денег</v>
      </c>
      <c r="N22" s="1">
        <f>IFERROR(__xludf.DUMMYFUNCTION("""COMPUTED_VALUE"""),621.0)</f>
        <v>621</v>
      </c>
      <c r="O22" s="1" t="str">
        <f>IFERROR(__xludf.DUMMYFUNCTION("""COMPUTED_VALUE"""),"Активные, пассивные, забалансовые операции банка")</f>
        <v>Активные, пассивные, забалансовые операции банка</v>
      </c>
      <c r="P22" s="1">
        <f>IFERROR(__xludf.DUMMYFUNCTION("""COMPUTED_VALUE"""),721.0)</f>
        <v>721</v>
      </c>
      <c r="Q22" s="1" t="str">
        <f>IFERROR(__xludf.DUMMYFUNCTION("""COMPUTED_VALUE"""),"Рациональное экономическое поведение потребителя")</f>
        <v>Рациональное экономическое поведение потребителя</v>
      </c>
      <c r="R22" s="1">
        <f>IFERROR(__xludf.DUMMYFUNCTION("""COMPUTED_VALUE"""),821.0)</f>
        <v>821</v>
      </c>
      <c r="S22" s="1" t="str">
        <f>IFERROR(__xludf.DUMMYFUNCTION("""COMPUTED_VALUE"""),"Виды культуры (массовая, народная, элитарная)")</f>
        <v>Виды культуры (массовая, народная, элитарная)</v>
      </c>
      <c r="T22" s="1">
        <f>IFERROR(__xludf.DUMMYFUNCTION("""COMPUTED_VALUE"""),921.0)</f>
        <v>921</v>
      </c>
      <c r="U22" s="1"/>
      <c r="V22" s="1"/>
      <c r="W22" s="1"/>
      <c r="X22" s="1"/>
      <c r="Y22" s="1"/>
      <c r="Z22" s="1"/>
    </row>
    <row r="23">
      <c r="A23" s="1" t="str">
        <f>IFERROR(__xludf.DUMMYFUNCTION("""COMPUTED_VALUE"""),"Основные институты общества")</f>
        <v>Основные институты общества</v>
      </c>
      <c r="B23" s="1">
        <f>IFERROR(__xludf.DUMMYFUNCTION("""COMPUTED_VALUE"""),22.0)</f>
        <v>22</v>
      </c>
      <c r="C23" s="1" t="str">
        <f>IFERROR(__xludf.DUMMYFUNCTION("""COMPUTED_VALUE"""),"Мотивы в деятельности")</f>
        <v>Мотивы в деятельности</v>
      </c>
      <c r="D23" s="1">
        <f>IFERROR(__xludf.DUMMYFUNCTION("""COMPUTED_VALUE"""),122.0)</f>
        <v>122</v>
      </c>
      <c r="E23" s="1" t="str">
        <f>IFERROR(__xludf.DUMMYFUNCTION("""COMPUTED_VALUE"""),"Виды социальных конфликтов по субъектам")</f>
        <v>Виды социальных конфликтов по субъектам</v>
      </c>
      <c r="F23" s="1">
        <f>IFERROR(__xludf.DUMMYFUNCTION("""COMPUTED_VALUE"""),222.0)</f>
        <v>222</v>
      </c>
      <c r="G23" s="1" t="str">
        <f>IFERROR(__xludf.DUMMYFUNCTION("""COMPUTED_VALUE"""),"Республика и ее виды")</f>
        <v>Республика и ее виды</v>
      </c>
      <c r="H23" s="1">
        <f>IFERROR(__xludf.DUMMYFUNCTION("""COMPUTED_VALUE"""),322.0)</f>
        <v>322</v>
      </c>
      <c r="I23" s="1" t="str">
        <f>IFERROR(__xludf.DUMMYFUNCTION("""COMPUTED_VALUE"""),"Федеральное собрание РФ: структура и положение в структуре государственной власти")</f>
        <v>Федеральное собрание РФ: структура и положение в структуре государственной власти</v>
      </c>
      <c r="J23" s="1">
        <f>IFERROR(__xludf.DUMMYFUNCTION("""COMPUTED_VALUE"""),422.0)</f>
        <v>422</v>
      </c>
      <c r="K23" s="1" t="str">
        <f>IFERROR(__xludf.DUMMYFUNCTION("""COMPUTED_VALUE"""),"Основные правила и принципы гражданского процесса")</f>
        <v>Основные правила и принципы гражданского процесса</v>
      </c>
      <c r="L23" s="1">
        <f>IFERROR(__xludf.DUMMYFUNCTION("""COMPUTED_VALUE"""),522.0)</f>
        <v>522</v>
      </c>
      <c r="M23" s="1" t="str">
        <f>IFERROR(__xludf.DUMMYFUNCTION("""COMPUTED_VALUE"""),"Функции денег")</f>
        <v>Функции денег</v>
      </c>
      <c r="N23" s="1">
        <f>IFERROR(__xludf.DUMMYFUNCTION("""COMPUTED_VALUE"""),622.0)</f>
        <v>622</v>
      </c>
      <c r="O23" s="1" t="str">
        <f>IFERROR(__xludf.DUMMYFUNCTION("""COMPUTED_VALUE"""),"Рынок труда")</f>
        <v>Рынок труда</v>
      </c>
      <c r="P23" s="1">
        <f>IFERROR(__xludf.DUMMYFUNCTION("""COMPUTED_VALUE"""),722.0)</f>
        <v>722</v>
      </c>
      <c r="Q23" s="1" t="str">
        <f>IFERROR(__xludf.DUMMYFUNCTION("""COMPUTED_VALUE"""),"Семейный бюджет: доходы и расходы")</f>
        <v>Семейный бюджет: доходы и расходы</v>
      </c>
      <c r="R23" s="1">
        <f>IFERROR(__xludf.DUMMYFUNCTION("""COMPUTED_VALUE"""),822.0)</f>
        <v>822</v>
      </c>
      <c r="S23" s="1" t="str">
        <f>IFERROR(__xludf.DUMMYFUNCTION("""COMPUTED_VALUE"""),"Субкультуры")</f>
        <v>Субкультуры</v>
      </c>
      <c r="T23" s="1">
        <f>IFERROR(__xludf.DUMMYFUNCTION("""COMPUTED_VALUE"""),922.0)</f>
        <v>922</v>
      </c>
      <c r="U23" s="1"/>
      <c r="V23" s="1"/>
      <c r="W23" s="1"/>
      <c r="X23" s="1"/>
      <c r="Y23" s="1"/>
      <c r="Z23" s="1"/>
    </row>
    <row r="24">
      <c r="A24" s="1" t="str">
        <f>IFERROR(__xludf.DUMMYFUNCTION("""COMPUTED_VALUE"""),"Понятие глобализации")</f>
        <v>Понятие глобализации</v>
      </c>
      <c r="B24" s="1">
        <f>IFERROR(__xludf.DUMMYFUNCTION("""COMPUTED_VALUE"""),23.0)</f>
        <v>23</v>
      </c>
      <c r="C24" s="1" t="str">
        <f>IFERROR(__xludf.DUMMYFUNCTION("""COMPUTED_VALUE"""),"Ценности человека")</f>
        <v>Ценности человека</v>
      </c>
      <c r="D24" s="1">
        <f>IFERROR(__xludf.DUMMYFUNCTION("""COMPUTED_VALUE"""),123.0)</f>
        <v>123</v>
      </c>
      <c r="E24" s="1" t="str">
        <f>IFERROR(__xludf.DUMMYFUNCTION("""COMPUTED_VALUE"""),"Виды социальных конфликтов по объектам")</f>
        <v>Виды социальных конфликтов по объектам</v>
      </c>
      <c r="F24" s="1">
        <f>IFERROR(__xludf.DUMMYFUNCTION("""COMPUTED_VALUE"""),223.0)</f>
        <v>223</v>
      </c>
      <c r="G24" s="1" t="str">
        <f>IFERROR(__xludf.DUMMYFUNCTION("""COMPUTED_VALUE"""),"Федеративное устройство")</f>
        <v>Федеративное устройство</v>
      </c>
      <c r="H24" s="1">
        <f>IFERROR(__xludf.DUMMYFUNCTION("""COMPUTED_VALUE"""),323.0)</f>
        <v>323</v>
      </c>
      <c r="I24" s="1" t="str">
        <f>IFERROR(__xludf.DUMMYFUNCTION("""COMPUTED_VALUE"""),"Совет Федерации: структура")</f>
        <v>Совет Федерации: структура</v>
      </c>
      <c r="J24" s="1">
        <f>IFERROR(__xludf.DUMMYFUNCTION("""COMPUTED_VALUE"""),423.0)</f>
        <v>423</v>
      </c>
      <c r="K24" s="1" t="str">
        <f>IFERROR(__xludf.DUMMYFUNCTION("""COMPUTED_VALUE"""),"Юридическая ответственность за налоговые правонарушения")</f>
        <v>Юридическая ответственность за налоговые правонарушения</v>
      </c>
      <c r="L24" s="1">
        <f>IFERROR(__xludf.DUMMYFUNCTION("""COMPUTED_VALUE"""),523.0)</f>
        <v>523</v>
      </c>
      <c r="M24" s="1" t="str">
        <f>IFERROR(__xludf.DUMMYFUNCTION("""COMPUTED_VALUE"""),"Заработная плата")</f>
        <v>Заработная плата</v>
      </c>
      <c r="N24" s="1">
        <f>IFERROR(__xludf.DUMMYFUNCTION("""COMPUTED_VALUE"""),623.0)</f>
        <v>623</v>
      </c>
      <c r="O24" s="1" t="str">
        <f>IFERROR(__xludf.DUMMYFUNCTION("""COMPUTED_VALUE"""),"Спрос и предложение на рынке труда")</f>
        <v>Спрос и предложение на рынке труда</v>
      </c>
      <c r="P24" s="1">
        <f>IFERROR(__xludf.DUMMYFUNCTION("""COMPUTED_VALUE"""),723.0)</f>
        <v>723</v>
      </c>
      <c r="Q24" s="1" t="str">
        <f>IFERROR(__xludf.DUMMYFUNCTION("""COMPUTED_VALUE"""),"Предпринимательство")</f>
        <v>Предпринимательство</v>
      </c>
      <c r="R24" s="1">
        <f>IFERROR(__xludf.DUMMYFUNCTION("""COMPUTED_VALUE"""),823.0)</f>
        <v>823</v>
      </c>
      <c r="S24" s="1" t="str">
        <f>IFERROR(__xludf.DUMMYFUNCTION("""COMPUTED_VALUE"""),"Контркультуры")</f>
        <v>Контркультуры</v>
      </c>
      <c r="T24" s="1">
        <f>IFERROR(__xludf.DUMMYFUNCTION("""COMPUTED_VALUE"""),923.0)</f>
        <v>923</v>
      </c>
      <c r="U24" s="1"/>
      <c r="V24" s="1"/>
      <c r="W24" s="1"/>
      <c r="X24" s="1"/>
      <c r="Y24" s="1"/>
      <c r="Z24" s="1"/>
    </row>
    <row r="25">
      <c r="A25" s="1" t="str">
        <f>IFERROR(__xludf.DUMMYFUNCTION("""COMPUTED_VALUE"""),"Последствия глобализации")</f>
        <v>Последствия глобализации</v>
      </c>
      <c r="B25" s="1">
        <f>IFERROR(__xludf.DUMMYFUNCTION("""COMPUTED_VALUE"""),24.0)</f>
        <v>24</v>
      </c>
      <c r="C25" s="1" t="str">
        <f>IFERROR(__xludf.DUMMYFUNCTION("""COMPUTED_VALUE"""),"Способности человека и их природа")</f>
        <v>Способности человека и их природа</v>
      </c>
      <c r="D25" s="1">
        <f>IFERROR(__xludf.DUMMYFUNCTION("""COMPUTED_VALUE"""),124.0)</f>
        <v>124</v>
      </c>
      <c r="E25" s="1" t="str">
        <f>IFERROR(__xludf.DUMMYFUNCTION("""COMPUTED_VALUE"""),"Виды социальных конфликтов по направленности")</f>
        <v>Виды социальных конфликтов по направленности</v>
      </c>
      <c r="F25" s="1">
        <f>IFERROR(__xludf.DUMMYFUNCTION("""COMPUTED_VALUE"""),224.0)</f>
        <v>224</v>
      </c>
      <c r="G25" s="1" t="str">
        <f>IFERROR(__xludf.DUMMYFUNCTION("""COMPUTED_VALUE"""),"Унитарное устройство")</f>
        <v>Унитарное устройство</v>
      </c>
      <c r="H25" s="1">
        <f>IFERROR(__xludf.DUMMYFUNCTION("""COMPUTED_VALUE"""),324.0)</f>
        <v>324</v>
      </c>
      <c r="I25" s="1" t="str">
        <f>IFERROR(__xludf.DUMMYFUNCTION("""COMPUTED_VALUE"""),"Полномочия Совета Федерации")</f>
        <v>Полномочия Совета Федерации</v>
      </c>
      <c r="J25" s="1">
        <f>IFERROR(__xludf.DUMMYFUNCTION("""COMPUTED_VALUE"""),424.0)</f>
        <v>424</v>
      </c>
      <c r="K25" s="1" t="str">
        <f>IFERROR(__xludf.DUMMYFUNCTION("""COMPUTED_VALUE"""),"Экологические правонарушения")</f>
        <v>Экологические правонарушения</v>
      </c>
      <c r="L25" s="1">
        <f>IFERROR(__xludf.DUMMYFUNCTION("""COMPUTED_VALUE"""),524.0)</f>
        <v>524</v>
      </c>
      <c r="M25" s="1" t="str">
        <f>IFERROR(__xludf.DUMMYFUNCTION("""COMPUTED_VALUE"""),"Формы заработной платы")</f>
        <v>Формы заработной платы</v>
      </c>
      <c r="N25" s="1">
        <f>IFERROR(__xludf.DUMMYFUNCTION("""COMPUTED_VALUE"""),624.0)</f>
        <v>624</v>
      </c>
      <c r="O25" s="1" t="str">
        <f>IFERROR(__xludf.DUMMYFUNCTION("""COMPUTED_VALUE"""),"Государственная политика в области занятости")</f>
        <v>Государственная политика в области занятости</v>
      </c>
      <c r="P25" s="1">
        <f>IFERROR(__xludf.DUMMYFUNCTION("""COMPUTED_VALUE"""),724.0)</f>
        <v>724</v>
      </c>
      <c r="Q25" s="1" t="str">
        <f>IFERROR(__xludf.DUMMYFUNCTION("""COMPUTED_VALUE"""),"Признаки предпринимательской деятельности")</f>
        <v>Признаки предпринимательской деятельности</v>
      </c>
      <c r="R25" s="1">
        <f>IFERROR(__xludf.DUMMYFUNCTION("""COMPUTED_VALUE"""),824.0)</f>
        <v>824</v>
      </c>
      <c r="S25" s="1" t="str">
        <f>IFERROR(__xludf.DUMMYFUNCTION("""COMPUTED_VALUE"""),"Диалог культур")</f>
        <v>Диалог культур</v>
      </c>
      <c r="T25" s="1">
        <f>IFERROR(__xludf.DUMMYFUNCTION("""COMPUTED_VALUE"""),924.0)</f>
        <v>924</v>
      </c>
      <c r="U25" s="1"/>
      <c r="V25" s="1"/>
      <c r="W25" s="1"/>
      <c r="X25" s="1"/>
      <c r="Y25" s="1"/>
      <c r="Z25" s="1"/>
    </row>
    <row r="26">
      <c r="A26" s="1" t="str">
        <f>IFERROR(__xludf.DUMMYFUNCTION("""COMPUTED_VALUE"""),"Направления глобализации")</f>
        <v>Направления глобализации</v>
      </c>
      <c r="B26" s="1">
        <f>IFERROR(__xludf.DUMMYFUNCTION("""COMPUTED_VALUE"""),25.0)</f>
        <v>25</v>
      </c>
      <c r="C26" s="1" t="str">
        <f>IFERROR(__xludf.DUMMYFUNCTION("""COMPUTED_VALUE"""),"Задатки")</f>
        <v>Задатки</v>
      </c>
      <c r="D26" s="1">
        <f>IFERROR(__xludf.DUMMYFUNCTION("""COMPUTED_VALUE"""),125.0)</f>
        <v>125</v>
      </c>
      <c r="E26" s="1" t="str">
        <f>IFERROR(__xludf.DUMMYFUNCTION("""COMPUTED_VALUE"""),"Виды социальных конфликтов по источникам возникновения")</f>
        <v>Виды социальных конфликтов по источникам возникновения</v>
      </c>
      <c r="F26" s="1">
        <f>IFERROR(__xludf.DUMMYFUNCTION("""COMPUTED_VALUE"""),225.0)</f>
        <v>225</v>
      </c>
      <c r="G26" s="1" t="str">
        <f>IFERROR(__xludf.DUMMYFUNCTION("""COMPUTED_VALUE"""),"Конфедерация")</f>
        <v>Конфедерация</v>
      </c>
      <c r="H26" s="1">
        <f>IFERROR(__xludf.DUMMYFUNCTION("""COMPUTED_VALUE"""),325.0)</f>
        <v>325</v>
      </c>
      <c r="I26" s="1" t="str">
        <f>IFERROR(__xludf.DUMMYFUNCTION("""COMPUTED_VALUE"""),"Государственная Дума: структура")</f>
        <v>Государственная Дума: структура</v>
      </c>
      <c r="J26" s="1">
        <f>IFERROR(__xludf.DUMMYFUNCTION("""COMPUTED_VALUE"""),425.0)</f>
        <v>425</v>
      </c>
      <c r="K26" s="1" t="str">
        <f>IFERROR(__xludf.DUMMYFUNCTION("""COMPUTED_VALUE"""),"Способы защиты имущественных и неимущественных прав")</f>
        <v>Способы защиты имущественных и неимущественных прав</v>
      </c>
      <c r="L26" s="1">
        <f>IFERROR(__xludf.DUMMYFUNCTION("""COMPUTED_VALUE"""),525.0)</f>
        <v>525</v>
      </c>
      <c r="M26" s="1" t="str">
        <f>IFERROR(__xludf.DUMMYFUNCTION("""COMPUTED_VALUE"""),"Стимулирование труда")</f>
        <v>Стимулирование труда</v>
      </c>
      <c r="N26" s="1">
        <f>IFERROR(__xludf.DUMMYFUNCTION("""COMPUTED_VALUE"""),625.0)</f>
        <v>625</v>
      </c>
      <c r="O26" s="1" t="str">
        <f>IFERROR(__xludf.DUMMYFUNCTION("""COMPUTED_VALUE"""),"Понятие безработицы")</f>
        <v>Понятие безработицы</v>
      </c>
      <c r="P26" s="1">
        <f>IFERROR(__xludf.DUMMYFUNCTION("""COMPUTED_VALUE"""),725.0)</f>
        <v>725</v>
      </c>
      <c r="Q26" s="1" t="str">
        <f>IFERROR(__xludf.DUMMYFUNCTION("""COMPUTED_VALUE"""),"Формы предпринимательской деятельности")</f>
        <v>Формы предпринимательской деятельности</v>
      </c>
      <c r="R26" s="1">
        <f>IFERROR(__xludf.DUMMYFUNCTION("""COMPUTED_VALUE"""),825.0)</f>
        <v>825</v>
      </c>
      <c r="S26" s="1" t="str">
        <f>IFERROR(__xludf.DUMMYFUNCTION("""COMPUTED_VALUE"""),"Функции образования")</f>
        <v>Функции образования</v>
      </c>
      <c r="T26" s="1">
        <f>IFERROR(__xludf.DUMMYFUNCTION("""COMPUTED_VALUE"""),925.0)</f>
        <v>925</v>
      </c>
      <c r="U26" s="1"/>
      <c r="V26" s="1"/>
      <c r="W26" s="1"/>
      <c r="X26" s="1"/>
      <c r="Y26" s="1"/>
      <c r="Z26" s="1"/>
    </row>
    <row r="27">
      <c r="A27" s="1" t="str">
        <f>IFERROR(__xludf.DUMMYFUNCTION("""COMPUTED_VALUE"""),"Предпосылки глобализации")</f>
        <v>Предпосылки глобализации</v>
      </c>
      <c r="B27" s="1">
        <f>IFERROR(__xludf.DUMMYFUNCTION("""COMPUTED_VALUE"""),26.0)</f>
        <v>26</v>
      </c>
      <c r="C27" s="1" t="str">
        <f>IFERROR(__xludf.DUMMYFUNCTION("""COMPUTED_VALUE"""),"Талант, гениальность")</f>
        <v>Талант, гениальность</v>
      </c>
      <c r="D27" s="1">
        <f>IFERROR(__xludf.DUMMYFUNCTION("""COMPUTED_VALUE"""),126.0)</f>
        <v>126</v>
      </c>
      <c r="E27" s="1" t="str">
        <f>IFERROR(__xludf.DUMMYFUNCTION("""COMPUTED_VALUE"""),"Стратегии взаимодействия в конфликте (соперничество, сотрудничество, избегание, приспособление)")</f>
        <v>Стратегии взаимодействия в конфликте (соперничество, сотрудничество, избегание, приспособление)</v>
      </c>
      <c r="F27" s="1">
        <f>IFERROR(__xludf.DUMMYFUNCTION("""COMPUTED_VALUE"""),226.0)</f>
        <v>226</v>
      </c>
      <c r="G27" s="1" t="str">
        <f>IFERROR(__xludf.DUMMYFUNCTION("""COMPUTED_VALUE"""),"Демократический политический режим: его основные ценности и признаки ")</f>
        <v>Демократический политический режим: его основные ценности и признаки </v>
      </c>
      <c r="H27" s="1">
        <f>IFERROR(__xludf.DUMMYFUNCTION("""COMPUTED_VALUE"""),326.0)</f>
        <v>326</v>
      </c>
      <c r="I27" s="1" t="str">
        <f>IFERROR(__xludf.DUMMYFUNCTION("""COMPUTED_VALUE"""),"Полномочия Государственной Думы")</f>
        <v>Полномочия Государственной Думы</v>
      </c>
      <c r="J27" s="1">
        <f>IFERROR(__xludf.DUMMYFUNCTION("""COMPUTED_VALUE"""),426.0)</f>
        <v>426</v>
      </c>
      <c r="K27" s="1" t="str">
        <f>IFERROR(__xludf.DUMMYFUNCTION("""COMPUTED_VALUE"""),"Законодательство в сфере антикоррупционной политики государства")</f>
        <v>Законодательство в сфере антикоррупционной политики государства</v>
      </c>
      <c r="L27" s="1">
        <f>IFERROR(__xludf.DUMMYFUNCTION("""COMPUTED_VALUE"""),526.0)</f>
        <v>526</v>
      </c>
      <c r="M27" s="1" t="str">
        <f>IFERROR(__xludf.DUMMYFUNCTION("""COMPUTED_VALUE"""),"Экономические меры социальной поддержки населения ")</f>
        <v>Экономические меры социальной поддержки населения </v>
      </c>
      <c r="N27" s="1">
        <f>IFERROR(__xludf.DUMMYFUNCTION("""COMPUTED_VALUE"""),626.0)</f>
        <v>626</v>
      </c>
      <c r="O27" s="1" t="str">
        <f>IFERROR(__xludf.DUMMYFUNCTION("""COMPUTED_VALUE"""),"Экономический состав населения")</f>
        <v>Экономический состав населения</v>
      </c>
      <c r="P27" s="1">
        <f>IFERROR(__xludf.DUMMYFUNCTION("""COMPUTED_VALUE"""),726.0)</f>
        <v>726</v>
      </c>
      <c r="Q27" s="1" t="str">
        <f>IFERROR(__xludf.DUMMYFUNCTION("""COMPUTED_VALUE"""),"Основные организационно-правовые формы предпринимательской деятельности: ООО, АО, производственный кооператив, товарищество")</f>
        <v>Основные организационно-правовые формы предпринимательской деятельности: ООО, АО, производственный кооператив, товарищество</v>
      </c>
      <c r="R27" s="1">
        <f>IFERROR(__xludf.DUMMYFUNCTION("""COMPUTED_VALUE"""),826.0)</f>
        <v>826</v>
      </c>
      <c r="S27" s="1" t="str">
        <f>IFERROR(__xludf.DUMMYFUNCTION("""COMPUTED_VALUE"""),"Порядок оказания платных образовательных услуг")</f>
        <v>Порядок оказания платных образовательных услуг</v>
      </c>
      <c r="T27" s="1">
        <f>IFERROR(__xludf.DUMMYFUNCTION("""COMPUTED_VALUE"""),926.0)</f>
        <v>926</v>
      </c>
      <c r="U27" s="1"/>
      <c r="V27" s="1"/>
      <c r="W27" s="1"/>
      <c r="X27" s="1"/>
      <c r="Y27" s="1"/>
      <c r="Z27" s="1"/>
    </row>
    <row r="28">
      <c r="A28" s="1" t="str">
        <f>IFERROR(__xludf.DUMMYFUNCTION("""COMPUTED_VALUE"""),"Взаимное влияние природы и общества")</f>
        <v>Взаимное влияние природы и общества</v>
      </c>
      <c r="B28" s="1">
        <f>IFERROR(__xludf.DUMMYFUNCTION("""COMPUTED_VALUE"""),27.0)</f>
        <v>27</v>
      </c>
      <c r="C28" s="1" t="str">
        <f>IFERROR(__xludf.DUMMYFUNCTION("""COMPUTED_VALUE"""),"Свобода и необходимость в деятельности")</f>
        <v>Свобода и необходимость в деятельности</v>
      </c>
      <c r="D28" s="1">
        <f>IFERROR(__xludf.DUMMYFUNCTION("""COMPUTED_VALUE"""),127.0)</f>
        <v>127</v>
      </c>
      <c r="E28" s="1" t="str">
        <f>IFERROR(__xludf.DUMMYFUNCTION("""COMPUTED_VALUE"""),"Виды социальных конфликтов")</f>
        <v>Виды социальных конфликтов</v>
      </c>
      <c r="F28" s="1">
        <f>IFERROR(__xludf.DUMMYFUNCTION("""COMPUTED_VALUE"""),227.0)</f>
        <v>227</v>
      </c>
      <c r="G28" s="1" t="str">
        <f>IFERROR(__xludf.DUMMYFUNCTION("""COMPUTED_VALUE"""),"Авторитарный политический режим")</f>
        <v>Авторитарный политический режим</v>
      </c>
      <c r="H28" s="1">
        <f>IFERROR(__xludf.DUMMYFUNCTION("""COMPUTED_VALUE"""),327.0)</f>
        <v>327</v>
      </c>
      <c r="I28" s="1" t="str">
        <f>IFERROR(__xludf.DUMMYFUNCTION("""COMPUTED_VALUE"""),"Правительство: состав и положение в структуре государственной власти ")</f>
        <v>Правительство: состав и положение в структуре государственной власти </v>
      </c>
      <c r="J28" s="1">
        <f>IFERROR(__xludf.DUMMYFUNCTION("""COMPUTED_VALUE"""),427.0)</f>
        <v>427</v>
      </c>
      <c r="K28" s="1" t="str">
        <f>IFERROR(__xludf.DUMMYFUNCTION("""COMPUTED_VALUE"""),"Противодействие терроризму в РФ")</f>
        <v>Противодействие терроризму в РФ</v>
      </c>
      <c r="L28" s="1">
        <f>IFERROR(__xludf.DUMMYFUNCTION("""COMPUTED_VALUE"""),527.0)</f>
        <v>527</v>
      </c>
      <c r="M28" s="1" t="str">
        <f>IFERROR(__xludf.DUMMYFUNCTION("""COMPUTED_VALUE"""),"Неравенство доходов")</f>
        <v>Неравенство доходов</v>
      </c>
      <c r="N28" s="1">
        <f>IFERROR(__xludf.DUMMYFUNCTION("""COMPUTED_VALUE"""),627.0)</f>
        <v>627</v>
      </c>
      <c r="O28" s="1" t="str">
        <f>IFERROR(__xludf.DUMMYFUNCTION("""COMPUTED_VALUE"""),"Фрикционная безработица")</f>
        <v>Фрикционная безработица</v>
      </c>
      <c r="P28" s="1">
        <f>IFERROR(__xludf.DUMMYFUNCTION("""COMPUTED_VALUE"""),727.0)</f>
        <v>727</v>
      </c>
      <c r="Q28" s="1" t="str">
        <f>IFERROR(__xludf.DUMMYFUNCTION("""COMPUTED_VALUE"""),"Банковские услуги, предоставляемые гражданам: кредит, обмен валют, электронные деньги, депозит, денежный перевод, платежная карта")</f>
        <v>Банковские услуги, предоставляемые гражданам: кредит, обмен валют, электронные деньги, депозит, денежный перевод, платежная карта</v>
      </c>
      <c r="R28" s="1">
        <f>IFERROR(__xludf.DUMMYFUNCTION("""COMPUTED_VALUE"""),827.0)</f>
        <v>827</v>
      </c>
      <c r="S28" s="1" t="str">
        <f>IFERROR(__xludf.DUMMYFUNCTION("""COMPUTED_VALUE"""),"Понятие искусства")</f>
        <v>Понятие искусства</v>
      </c>
      <c r="T28" s="1">
        <f>IFERROR(__xludf.DUMMYFUNCTION("""COMPUTED_VALUE"""),927.0)</f>
        <v>927</v>
      </c>
      <c r="U28" s="1"/>
      <c r="V28" s="1"/>
      <c r="W28" s="1"/>
      <c r="X28" s="1"/>
      <c r="Y28" s="1"/>
      <c r="Z28" s="1"/>
    </row>
    <row r="29">
      <c r="A29" s="1" t="str">
        <f>IFERROR(__xludf.DUMMYFUNCTION("""COMPUTED_VALUE"""),"Социальные отношения: понятия и виды")</f>
        <v>Социальные отношения: понятия и виды</v>
      </c>
      <c r="B29" s="1">
        <f>IFERROR(__xludf.DUMMYFUNCTION("""COMPUTED_VALUE"""),28.0)</f>
        <v>28</v>
      </c>
      <c r="C29" s="1" t="str">
        <f>IFERROR(__xludf.DUMMYFUNCTION("""COMPUTED_VALUE"""),"Социальное поведение человека")</f>
        <v>Социальное поведение человека</v>
      </c>
      <c r="D29" s="1">
        <f>IFERROR(__xludf.DUMMYFUNCTION("""COMPUTED_VALUE"""),128.0)</f>
        <v>128</v>
      </c>
      <c r="E29" s="1" t="str">
        <f>IFERROR(__xludf.DUMMYFUNCTION("""COMPUTED_VALUE"""),"Люмпены")</f>
        <v>Люмпены</v>
      </c>
      <c r="F29" s="1">
        <f>IFERROR(__xludf.DUMMYFUNCTION("""COMPUTED_VALUE"""),232.0)</f>
        <v>232</v>
      </c>
      <c r="G29" s="1" t="str">
        <f>IFERROR(__xludf.DUMMYFUNCTION("""COMPUTED_VALUE"""),"Тоталитарный политический режим")</f>
        <v>Тоталитарный политический режим</v>
      </c>
      <c r="H29" s="1">
        <f>IFERROR(__xludf.DUMMYFUNCTION("""COMPUTED_VALUE"""),328.0)</f>
        <v>328</v>
      </c>
      <c r="I29" s="1" t="str">
        <f>IFERROR(__xludf.DUMMYFUNCTION("""COMPUTED_VALUE"""),"Полномочия Правительства")</f>
        <v>Полномочия Правительства</v>
      </c>
      <c r="J29" s="1">
        <f>IFERROR(__xludf.DUMMYFUNCTION("""COMPUTED_VALUE"""),428.0)</f>
        <v>428</v>
      </c>
      <c r="K29" s="1" t="str">
        <f>IFERROR(__xludf.DUMMYFUNCTION("""COMPUTED_VALUE"""),"Право на благоприятную окружающую среду и способы его защиты")</f>
        <v>Право на благоприятную окружающую среду и способы его защиты</v>
      </c>
      <c r="L29" s="1">
        <f>IFERROR(__xludf.DUMMYFUNCTION("""COMPUTED_VALUE"""),528.0)</f>
        <v>528</v>
      </c>
      <c r="M29" s="1" t="str">
        <f>IFERROR(__xludf.DUMMYFUNCTION("""COMPUTED_VALUE"""),"Конкуренция")</f>
        <v>Конкуренция</v>
      </c>
      <c r="N29" s="1">
        <f>IFERROR(__xludf.DUMMYFUNCTION("""COMPUTED_VALUE"""),628.0)</f>
        <v>628</v>
      </c>
      <c r="O29" s="1" t="str">
        <f>IFERROR(__xludf.DUMMYFUNCTION("""COMPUTED_VALUE"""),"Структурная безработица")</f>
        <v>Структурная безработица</v>
      </c>
      <c r="P29" s="1">
        <f>IFERROR(__xludf.DUMMYFUNCTION("""COMPUTED_VALUE"""),728.0)</f>
        <v>728</v>
      </c>
      <c r="Q29" s="1" t="str">
        <f>IFERROR(__xludf.DUMMYFUNCTION("""COMPUTED_VALUE"""),"Дистанционное банковское обслуживание: онлайн-банкинг, мобильный банкинг, банкоматы")</f>
        <v>Дистанционное банковское обслуживание: онлайн-банкинг, мобильный банкинг, банкоматы</v>
      </c>
      <c r="R29" s="1">
        <f>IFERROR(__xludf.DUMMYFUNCTION("""COMPUTED_VALUE"""),828.0)</f>
        <v>828</v>
      </c>
      <c r="S29" s="1" t="str">
        <f>IFERROR(__xludf.DUMMYFUNCTION("""COMPUTED_VALUE"""),"Виды искусства")</f>
        <v>Виды искусства</v>
      </c>
      <c r="T29" s="1">
        <f>IFERROR(__xludf.DUMMYFUNCTION("""COMPUTED_VALUE"""),928.0)</f>
        <v>928</v>
      </c>
      <c r="U29" s="1"/>
      <c r="V29" s="1"/>
      <c r="W29" s="1"/>
      <c r="X29" s="1"/>
      <c r="Y29" s="1"/>
      <c r="Z29" s="1"/>
    </row>
    <row r="30">
      <c r="A30" s="1" t="str">
        <f>IFERROR(__xludf.DUMMYFUNCTION("""COMPUTED_VALUE"""),"Социальное взаимодействие")</f>
        <v>Социальное взаимодействие</v>
      </c>
      <c r="B30" s="1">
        <f>IFERROR(__xludf.DUMMYFUNCTION("""COMPUTED_VALUE"""),29.0)</f>
        <v>29</v>
      </c>
      <c r="C30" s="1" t="str">
        <f>IFERROR(__xludf.DUMMYFUNCTION("""COMPUTED_VALUE"""),"Свобода и ответственность")</f>
        <v>Свобода и ответственность</v>
      </c>
      <c r="D30" s="1">
        <f>IFERROR(__xludf.DUMMYFUNCTION("""COMPUTED_VALUE"""),129.0)</f>
        <v>129</v>
      </c>
      <c r="E30" s="1" t="str">
        <f>IFERROR(__xludf.DUMMYFUNCTION("""COMPUTED_VALUE"""),"Маргиналы")</f>
        <v>Маргиналы</v>
      </c>
      <c r="F30" s="1">
        <f>IFERROR(__xludf.DUMMYFUNCTION("""COMPUTED_VALUE"""),233.0)</f>
        <v>233</v>
      </c>
      <c r="G30" s="1" t="str">
        <f>IFERROR(__xludf.DUMMYFUNCTION("""COMPUTED_VALUE"""),"Правовое государство")</f>
        <v>Правовое государство</v>
      </c>
      <c r="H30" s="1">
        <f>IFERROR(__xludf.DUMMYFUNCTION("""COMPUTED_VALUE"""),329.0)</f>
        <v>329</v>
      </c>
      <c r="I30" s="1" t="str">
        <f>IFERROR(__xludf.DUMMYFUNCTION("""COMPUTED_VALUE"""),"Судебная система РФ")</f>
        <v>Судебная система РФ</v>
      </c>
      <c r="J30" s="1">
        <f>IFERROR(__xludf.DUMMYFUNCTION("""COMPUTED_VALUE"""),429.0)</f>
        <v>429</v>
      </c>
      <c r="K30" s="1" t="str">
        <f>IFERROR(__xludf.DUMMYFUNCTION("""COMPUTED_VALUE"""),"Гражданское право")</f>
        <v>Гражданское право</v>
      </c>
      <c r="L30" s="1">
        <f>IFERROR(__xludf.DUMMYFUNCTION("""COMPUTED_VALUE"""),529.0)</f>
        <v>529</v>
      </c>
      <c r="M30" s="1"/>
      <c r="N30" s="1"/>
      <c r="O30" s="1" t="str">
        <f>IFERROR(__xludf.DUMMYFUNCTION("""COMPUTED_VALUE"""),"Циклическая безработица")</f>
        <v>Циклическая безработица</v>
      </c>
      <c r="P30" s="1">
        <f>IFERROR(__xludf.DUMMYFUNCTION("""COMPUTED_VALUE"""),729.0)</f>
        <v>729</v>
      </c>
      <c r="Q30" s="1" t="str">
        <f>IFERROR(__xludf.DUMMYFUNCTION("""COMPUTED_VALUE"""),"Сбережения")</f>
        <v>Сбережения</v>
      </c>
      <c r="R30" s="1">
        <f>IFERROR(__xludf.DUMMYFUNCTION("""COMPUTED_VALUE"""),829.0)</f>
        <v>829</v>
      </c>
      <c r="S30" s="1" t="str">
        <f>IFERROR(__xludf.DUMMYFUNCTION("""COMPUTED_VALUE"""),"Функции искусства")</f>
        <v>Функции искусства</v>
      </c>
      <c r="T30" s="1">
        <f>IFERROR(__xludf.DUMMYFUNCTION("""COMPUTED_VALUE"""),929.0)</f>
        <v>929</v>
      </c>
      <c r="U30" s="1"/>
      <c r="V30" s="1"/>
      <c r="W30" s="1"/>
      <c r="X30" s="1"/>
      <c r="Y30" s="1"/>
      <c r="Z30" s="1"/>
    </row>
    <row r="31">
      <c r="A31" s="1" t="str">
        <f>IFERROR(__xludf.DUMMYFUNCTION("""COMPUTED_VALUE"""),"ЗОЖ")</f>
        <v>ЗОЖ</v>
      </c>
      <c r="B31" s="1">
        <f>IFERROR(__xludf.DUMMYFUNCTION("""COMPUTED_VALUE"""),30.0)</f>
        <v>30</v>
      </c>
      <c r="C31" s="1" t="str">
        <f>IFERROR(__xludf.DUMMYFUNCTION("""COMPUTED_VALUE"""),"Понятие социализации")</f>
        <v>Понятие социализации</v>
      </c>
      <c r="D31" s="1">
        <f>IFERROR(__xludf.DUMMYFUNCTION("""COMPUTED_VALUE"""),130.0)</f>
        <v>130</v>
      </c>
      <c r="E31" s="1" t="str">
        <f>IFERROR(__xludf.DUMMYFUNCTION("""COMPUTED_VALUE"""),"Конформное поведение")</f>
        <v>Конформное поведение</v>
      </c>
      <c r="F31" s="1">
        <f>IFERROR(__xludf.DUMMYFUNCTION("""COMPUTED_VALUE"""),235.0)</f>
        <v>235</v>
      </c>
      <c r="G31" s="1" t="str">
        <f>IFERROR(__xludf.DUMMYFUNCTION("""COMPUTED_VALUE"""),"Гражданское общество и его структура")</f>
        <v>Гражданское общество и его структура</v>
      </c>
      <c r="H31" s="1">
        <f>IFERROR(__xludf.DUMMYFUNCTION("""COMPUTED_VALUE"""),330.0)</f>
        <v>330</v>
      </c>
      <c r="I31" s="1" t="str">
        <f>IFERROR(__xludf.DUMMYFUNCTION("""COMPUTED_VALUE"""),"Полномочия Верховного Суда РФ")</f>
        <v>Полномочия Верховного Суда РФ</v>
      </c>
      <c r="J31" s="1">
        <f>IFERROR(__xludf.DUMMYFUNCTION("""COMPUTED_VALUE"""),430.0)</f>
        <v>430</v>
      </c>
      <c r="K31" s="1" t="str">
        <f>IFERROR(__xludf.DUMMYFUNCTION("""COMPUTED_VALUE"""),"Гражданские правоотношения")</f>
        <v>Гражданские правоотношения</v>
      </c>
      <c r="L31" s="1">
        <f>IFERROR(__xludf.DUMMYFUNCTION("""COMPUTED_VALUE"""),530.0)</f>
        <v>530</v>
      </c>
      <c r="M31" s="1"/>
      <c r="N31" s="1"/>
      <c r="O31" s="1" t="str">
        <f>IFERROR(__xludf.DUMMYFUNCTION("""COMPUTED_VALUE"""),"Сезонная безработица")</f>
        <v>Сезонная безработица</v>
      </c>
      <c r="P31" s="1">
        <f>IFERROR(__xludf.DUMMYFUNCTION("""COMPUTED_VALUE"""),730.0)</f>
        <v>730</v>
      </c>
      <c r="Q31" s="1" t="str">
        <f>IFERROR(__xludf.DUMMYFUNCTION("""COMPUTED_VALUE"""),"Понятие рыночного механизма")</f>
        <v>Понятие рыночного механизма</v>
      </c>
      <c r="R31" s="1">
        <f>IFERROR(__xludf.DUMMYFUNCTION("""COMPUTED_VALUE"""),830.0)</f>
        <v>830</v>
      </c>
      <c r="S31" s="1" t="str">
        <f>IFERROR(__xludf.DUMMYFUNCTION("""COMPUTED_VALUE"""),"Виды наук")</f>
        <v>Виды наук</v>
      </c>
      <c r="T31" s="1">
        <f>IFERROR(__xludf.DUMMYFUNCTION("""COMPUTED_VALUE"""),930.0)</f>
        <v>930</v>
      </c>
      <c r="U31" s="1"/>
      <c r="V31" s="1"/>
      <c r="W31" s="1"/>
      <c r="X31" s="1"/>
      <c r="Y31" s="1"/>
      <c r="Z31" s="1"/>
    </row>
    <row r="32">
      <c r="A32" s="1" t="str">
        <f>IFERROR(__xludf.DUMMYFUNCTION("""COMPUTED_VALUE"""),"Значение ЗОЖ для личности и общества")</f>
        <v>Значение ЗОЖ для личности и общества</v>
      </c>
      <c r="B32" s="1">
        <f>IFERROR(__xludf.DUMMYFUNCTION("""COMPUTED_VALUE"""),31.0)</f>
        <v>31</v>
      </c>
      <c r="C32" s="1" t="str">
        <f>IFERROR(__xludf.DUMMYFUNCTION("""COMPUTED_VALUE"""),"Первичная и вторичная социализация")</f>
        <v>Первичная и вторичная социализация</v>
      </c>
      <c r="D32" s="1">
        <f>IFERROR(__xludf.DUMMYFUNCTION("""COMPUTED_VALUE"""),131.0)</f>
        <v>131</v>
      </c>
      <c r="E32" s="1" t="str">
        <f>IFERROR(__xludf.DUMMYFUNCTION("""COMPUTED_VALUE"""),"Девиантное поведение")</f>
        <v>Девиантное поведение</v>
      </c>
      <c r="F32" s="1">
        <f>IFERROR(__xludf.DUMMYFUNCTION("""COMPUTED_VALUE"""),236.0)</f>
        <v>236</v>
      </c>
      <c r="G32" s="1" t="str">
        <f>IFERROR(__xludf.DUMMYFUNCTION("""COMPUTED_VALUE"""),"Предпосылки формирования гражданского общества")</f>
        <v>Предпосылки формирования гражданского общества</v>
      </c>
      <c r="H32" s="1">
        <f>IFERROR(__xludf.DUMMYFUNCTION("""COMPUTED_VALUE"""),331.0)</f>
        <v>331</v>
      </c>
      <c r="I32" s="1" t="str">
        <f>IFERROR(__xludf.DUMMYFUNCTION("""COMPUTED_VALUE"""),"Полномочия Конституционного Суда РФ")</f>
        <v>Полномочия Конституционного Суда РФ</v>
      </c>
      <c r="J32" s="1">
        <f>IFERROR(__xludf.DUMMYFUNCTION("""COMPUTED_VALUE"""),431.0)</f>
        <v>431</v>
      </c>
      <c r="K32" s="1" t="str">
        <f>IFERROR(__xludf.DUMMYFUNCTION("""COMPUTED_VALUE"""),"Субъекты гражданских правоотношений")</f>
        <v>Субъекты гражданских правоотношений</v>
      </c>
      <c r="L32" s="1">
        <f>IFERROR(__xludf.DUMMYFUNCTION("""COMPUTED_VALUE"""),531.0)</f>
        <v>531</v>
      </c>
      <c r="M32" s="1"/>
      <c r="N32" s="1"/>
      <c r="O32" s="1" t="str">
        <f>IFERROR(__xludf.DUMMYFUNCTION("""COMPUTED_VALUE"""),"Скрытая безработица")</f>
        <v>Скрытая безработица</v>
      </c>
      <c r="P32" s="1">
        <f>IFERROR(__xludf.DUMMYFUNCTION("""COMPUTED_VALUE"""),731.0)</f>
        <v>731</v>
      </c>
      <c r="Q32" s="1" t="str">
        <f>IFERROR(__xludf.DUMMYFUNCTION("""COMPUTED_VALUE"""),"Понятие спроса")</f>
        <v>Понятие спроса</v>
      </c>
      <c r="R32" s="1">
        <f>IFERROR(__xludf.DUMMYFUNCTION("""COMPUTED_VALUE"""),831.0)</f>
        <v>831</v>
      </c>
      <c r="S32" s="1" t="str">
        <f>IFERROR(__xludf.DUMMYFUNCTION("""COMPUTED_VALUE"""),"Роль науки в производстве")</f>
        <v>Роль науки в производстве</v>
      </c>
      <c r="T32" s="1">
        <f>IFERROR(__xludf.DUMMYFUNCTION("""COMPUTED_VALUE"""),931.0)</f>
        <v>931</v>
      </c>
      <c r="U32" s="1"/>
      <c r="V32" s="1"/>
      <c r="W32" s="1"/>
      <c r="X32" s="1"/>
      <c r="Y32" s="1"/>
      <c r="Z32" s="1"/>
    </row>
    <row r="33">
      <c r="A33" s="1" t="str">
        <f>IFERROR(__xludf.DUMMYFUNCTION("""COMPUTED_VALUE"""),"Вред алкоголя и наркотиков")</f>
        <v>Вред алкоголя и наркотиков</v>
      </c>
      <c r="B33" s="1">
        <f>IFERROR(__xludf.DUMMYFUNCTION("""COMPUTED_VALUE"""),32.0)</f>
        <v>32</v>
      </c>
      <c r="C33" s="1" t="str">
        <f>IFERROR(__xludf.DUMMYFUNCTION("""COMPUTED_VALUE"""),"Этапы социализации")</f>
        <v>Этапы социализации</v>
      </c>
      <c r="D33" s="1">
        <f>IFERROR(__xludf.DUMMYFUNCTION("""COMPUTED_VALUE"""),132.0)</f>
        <v>132</v>
      </c>
      <c r="E33" s="1" t="str">
        <f>IFERROR(__xludf.DUMMYFUNCTION("""COMPUTED_VALUE"""),"Делинквентное поведение")</f>
        <v>Делинквентное поведение</v>
      </c>
      <c r="F33" s="1">
        <f>IFERROR(__xludf.DUMMYFUNCTION("""COMPUTED_VALUE"""),237.0)</f>
        <v>237</v>
      </c>
      <c r="G33" s="1" t="str">
        <f>IFERROR(__xludf.DUMMYFUNCTION("""COMPUTED_VALUE"""),"Политическая элита")</f>
        <v>Политическая элита</v>
      </c>
      <c r="H33" s="1">
        <f>IFERROR(__xludf.DUMMYFUNCTION("""COMPUTED_VALUE"""),332.0)</f>
        <v>332</v>
      </c>
      <c r="I33" s="1" t="str">
        <f>IFERROR(__xludf.DUMMYFUNCTION("""COMPUTED_VALUE"""),"Понятие прав человека и гражданина")</f>
        <v>Понятие прав человека и гражданина</v>
      </c>
      <c r="J33" s="1">
        <f>IFERROR(__xludf.DUMMYFUNCTION("""COMPUTED_VALUE"""),432.0)</f>
        <v>432</v>
      </c>
      <c r="K33" s="1" t="str">
        <f>IFERROR(__xludf.DUMMYFUNCTION("""COMPUTED_VALUE"""),"Физические лица как субъекты гражданских отношений")</f>
        <v>Физические лица как субъекты гражданских отношений</v>
      </c>
      <c r="L33" s="1">
        <f>IFERROR(__xludf.DUMMYFUNCTION("""COMPUTED_VALUE"""),532.0)</f>
        <v>532</v>
      </c>
      <c r="M33" s="1"/>
      <c r="N33" s="1"/>
      <c r="O33" s="1" t="str">
        <f>IFERROR(__xludf.DUMMYFUNCTION("""COMPUTED_VALUE"""),"Понятие инфляции")</f>
        <v>Понятие инфляции</v>
      </c>
      <c r="P33" s="1">
        <f>IFERROR(__xludf.DUMMYFUNCTION("""COMPUTED_VALUE"""),732.0)</f>
        <v>732</v>
      </c>
      <c r="Q33" s="1" t="str">
        <f>IFERROR(__xludf.DUMMYFUNCTION("""COMPUTED_VALUE"""),"Величина спроса")</f>
        <v>Величина спроса</v>
      </c>
      <c r="R33" s="1">
        <f>IFERROR(__xludf.DUMMYFUNCTION("""COMPUTED_VALUE"""),832.0)</f>
        <v>832</v>
      </c>
      <c r="S33" s="1" t="str">
        <f>IFERROR(__xludf.DUMMYFUNCTION("""COMPUTED_VALUE"""),"Свобода совести")</f>
        <v>Свобода совести</v>
      </c>
      <c r="T33" s="1">
        <f>IFERROR(__xludf.DUMMYFUNCTION("""COMPUTED_VALUE"""),932.0)</f>
        <v>932</v>
      </c>
      <c r="U33" s="1"/>
      <c r="V33" s="1"/>
      <c r="W33" s="1"/>
      <c r="X33" s="1"/>
      <c r="Y33" s="1"/>
      <c r="Z33" s="1"/>
    </row>
    <row r="34">
      <c r="A34" s="1" t="str">
        <f>IFERROR(__xludf.DUMMYFUNCTION("""COMPUTED_VALUE"""),"Понятие законотворчества")</f>
        <v>Понятие законотворчества</v>
      </c>
      <c r="B34" s="1">
        <f>IFERROR(__xludf.DUMMYFUNCTION("""COMPUTED_VALUE"""),33.0)</f>
        <v>33</v>
      </c>
      <c r="C34" s="1" t="str">
        <f>IFERROR(__xludf.DUMMYFUNCTION("""COMPUTED_VALUE"""),"Социализация и взросление")</f>
        <v>Социализация и взросление</v>
      </c>
      <c r="D34" s="1">
        <f>IFERROR(__xludf.DUMMYFUNCTION("""COMPUTED_VALUE"""),133.0)</f>
        <v>133</v>
      </c>
      <c r="E34" s="1" t="str">
        <f>IFERROR(__xludf.DUMMYFUNCTION("""COMPUTED_VALUE"""),"Причины девиантного поведения (биологические, социальные, психологические)")</f>
        <v>Причины девиантного поведения (биологические, социальные, психологические)</v>
      </c>
      <c r="F34" s="1">
        <f>IFERROR(__xludf.DUMMYFUNCTION("""COMPUTED_VALUE"""),238.0)</f>
        <v>238</v>
      </c>
      <c r="G34" s="1" t="str">
        <f>IFERROR(__xludf.DUMMYFUNCTION("""COMPUTED_VALUE"""),"Понятие политической идеологии")</f>
        <v>Понятие политической идеологии</v>
      </c>
      <c r="H34" s="1">
        <f>IFERROR(__xludf.DUMMYFUNCTION("""COMPUTED_VALUE"""),333.0)</f>
        <v>333</v>
      </c>
      <c r="I34" s="1" t="str">
        <f>IFERROR(__xludf.DUMMYFUNCTION("""COMPUTED_VALUE"""),"Личные права человека")</f>
        <v>Личные права человека</v>
      </c>
      <c r="J34" s="1">
        <f>IFERROR(__xludf.DUMMYFUNCTION("""COMPUTED_VALUE"""),433.0)</f>
        <v>433</v>
      </c>
      <c r="K34" s="1" t="str">
        <f>IFERROR(__xludf.DUMMYFUNCTION("""COMPUTED_VALUE"""),"Юридические лица как субъекты гражданских отношений")</f>
        <v>Юридические лица как субъекты гражданских отношений</v>
      </c>
      <c r="L34" s="1">
        <f>IFERROR(__xludf.DUMMYFUNCTION("""COMPUTED_VALUE"""),533.0)</f>
        <v>533</v>
      </c>
      <c r="M34" s="1"/>
      <c r="N34" s="1"/>
      <c r="O34" s="1" t="str">
        <f>IFERROR(__xludf.DUMMYFUNCTION("""COMPUTED_VALUE"""),"Виды инфляции: инфляция спроса и инфляция издержек")</f>
        <v>Виды инфляции: инфляция спроса и инфляция издержек</v>
      </c>
      <c r="P34" s="1">
        <f>IFERROR(__xludf.DUMMYFUNCTION("""COMPUTED_VALUE"""),733.0)</f>
        <v>733</v>
      </c>
      <c r="Q34" s="1" t="str">
        <f>IFERROR(__xludf.DUMMYFUNCTION("""COMPUTED_VALUE"""),"Закон спроса")</f>
        <v>Закон спроса</v>
      </c>
      <c r="R34" s="1">
        <f>IFERROR(__xludf.DUMMYFUNCTION("""COMPUTED_VALUE"""),833.0)</f>
        <v>833</v>
      </c>
      <c r="S34" s="1" t="str">
        <f>IFERROR(__xludf.DUMMYFUNCTION("""COMPUTED_VALUE"""),"Понятие науки")</f>
        <v>Понятие науки</v>
      </c>
      <c r="T34" s="1">
        <f>IFERROR(__xludf.DUMMYFUNCTION("""COMPUTED_VALUE"""),933.0)</f>
        <v>933</v>
      </c>
      <c r="U34" s="1"/>
      <c r="V34" s="1"/>
      <c r="W34" s="1"/>
      <c r="X34" s="1"/>
      <c r="Y34" s="1"/>
      <c r="Z34" s="1"/>
    </row>
    <row r="35">
      <c r="A35" s="1" t="str">
        <f>IFERROR(__xludf.DUMMYFUNCTION("""COMPUTED_VALUE"""),"Этапы законотворчества в РФ")</f>
        <v>Этапы законотворчества в РФ</v>
      </c>
      <c r="B35" s="1">
        <f>IFERROR(__xludf.DUMMYFUNCTION("""COMPUTED_VALUE"""),34.0)</f>
        <v>34</v>
      </c>
      <c r="C35" s="1" t="str">
        <f>IFERROR(__xludf.DUMMYFUNCTION("""COMPUTED_VALUE"""),"Агенты, институты и факторы социализации")</f>
        <v>Агенты, институты и факторы социализации</v>
      </c>
      <c r="D35" s="1">
        <f>IFERROR(__xludf.DUMMYFUNCTION("""COMPUTED_VALUE"""),134.0)</f>
        <v>134</v>
      </c>
      <c r="E35" s="1" t="str">
        <f>IFERROR(__xludf.DUMMYFUNCTION("""COMPUTED_VALUE"""),"Положительная девиация")</f>
        <v>Положительная девиация</v>
      </c>
      <c r="F35" s="1">
        <f>IFERROR(__xludf.DUMMYFUNCTION("""COMPUTED_VALUE"""),239.0)</f>
        <v>239</v>
      </c>
      <c r="G35" s="1" t="str">
        <f>IFERROR(__xludf.DUMMYFUNCTION("""COMPUTED_VALUE"""),"Основные виды идеологий")</f>
        <v>Основные виды идеологий</v>
      </c>
      <c r="H35" s="1">
        <f>IFERROR(__xludf.DUMMYFUNCTION("""COMPUTED_VALUE"""),334.0)</f>
        <v>334</v>
      </c>
      <c r="I35" s="1" t="str">
        <f>IFERROR(__xludf.DUMMYFUNCTION("""COMPUTED_VALUE"""),"Социально-экономические и культурные права человека")</f>
        <v>Социально-экономические и культурные права человека</v>
      </c>
      <c r="J35" s="1">
        <f>IFERROR(__xludf.DUMMYFUNCTION("""COMPUTED_VALUE"""),434.0)</f>
        <v>434</v>
      </c>
      <c r="K35" s="1" t="str">
        <f>IFERROR(__xludf.DUMMYFUNCTION("""COMPUTED_VALUE"""),"Правоспособность")</f>
        <v>Правоспособность</v>
      </c>
      <c r="L35" s="1">
        <f>IFERROR(__xludf.DUMMYFUNCTION("""COMPUTED_VALUE"""),534.0)</f>
        <v>534</v>
      </c>
      <c r="M35" s="1"/>
      <c r="N35" s="1"/>
      <c r="O35" s="1" t="str">
        <f>IFERROR(__xludf.DUMMYFUNCTION("""COMPUTED_VALUE"""),"Виды инфляции: ползучая, галопирующая, гиперинфляция")</f>
        <v>Виды инфляции: ползучая, галопирующая, гиперинфляция</v>
      </c>
      <c r="P35" s="1">
        <f>IFERROR(__xludf.DUMMYFUNCTION("""COMPUTED_VALUE"""),734.0)</f>
        <v>734</v>
      </c>
      <c r="Q35" s="1" t="str">
        <f>IFERROR(__xludf.DUMMYFUNCTION("""COMPUTED_VALUE"""),"Факторы влияющие на спрос")</f>
        <v>Факторы влияющие на спрос</v>
      </c>
      <c r="R35" s="1">
        <f>IFERROR(__xludf.DUMMYFUNCTION("""COMPUTED_VALUE"""),834.0)</f>
        <v>834</v>
      </c>
      <c r="S35" s="1" t="str">
        <f>IFERROR(__xludf.DUMMYFUNCTION("""COMPUTED_VALUE"""),"Права и обязанности учащихся в РФ")</f>
        <v>Права и обязанности учащихся в РФ</v>
      </c>
      <c r="T35" s="1">
        <f>IFERROR(__xludf.DUMMYFUNCTION("""COMPUTED_VALUE"""),934.0)</f>
        <v>934</v>
      </c>
      <c r="U35" s="1"/>
      <c r="V35" s="1"/>
      <c r="W35" s="1"/>
      <c r="X35" s="1"/>
      <c r="Y35" s="1"/>
      <c r="Z35" s="1"/>
    </row>
    <row r="36">
      <c r="A36" s="1" t="str">
        <f>IFERROR(__xludf.DUMMYFUNCTION("""COMPUTED_VALUE"""),"Права и обязанности учащихся в РФ")</f>
        <v>Права и обязанности учащихся в РФ</v>
      </c>
      <c r="B36" s="1">
        <f>IFERROR(__xludf.DUMMYFUNCTION("""COMPUTED_VALUE"""),35.0)</f>
        <v>35</v>
      </c>
      <c r="C36" s="1" t="str">
        <f>IFERROR(__xludf.DUMMYFUNCTION("""COMPUTED_VALUE"""),"Особенности подросткового возраста")</f>
        <v>Особенности подросткового возраста</v>
      </c>
      <c r="D36" s="1">
        <f>IFERROR(__xludf.DUMMYFUNCTION("""COMPUTED_VALUE"""),135.0)</f>
        <v>135</v>
      </c>
      <c r="E36" s="1" t="str">
        <f>IFERROR(__xludf.DUMMYFUNCTION("""COMPUTED_VALUE"""),"Типы девиантного поведения")</f>
        <v>Типы девиантного поведения</v>
      </c>
      <c r="F36" s="1">
        <f>IFERROR(__xludf.DUMMYFUNCTION("""COMPUTED_VALUE"""),240.0)</f>
        <v>240</v>
      </c>
      <c r="G36" s="1" t="str">
        <f>IFERROR(__xludf.DUMMYFUNCTION("""COMPUTED_VALUE"""),"Понятие политических партий")</f>
        <v>Понятие политических партий</v>
      </c>
      <c r="H36" s="1">
        <f>IFERROR(__xludf.DUMMYFUNCTION("""COMPUTED_VALUE"""),335.0)</f>
        <v>335</v>
      </c>
      <c r="I36" s="1" t="str">
        <f>IFERROR(__xludf.DUMMYFUNCTION("""COMPUTED_VALUE"""),"Политические права человека")</f>
        <v>Политические права человека</v>
      </c>
      <c r="J36" s="1">
        <f>IFERROR(__xludf.DUMMYFUNCTION("""COMPUTED_VALUE"""),435.0)</f>
        <v>435</v>
      </c>
      <c r="K36" s="1" t="str">
        <f>IFERROR(__xludf.DUMMYFUNCTION("""COMPUTED_VALUE"""),"Дееспособность")</f>
        <v>Дееспособность</v>
      </c>
      <c r="L36" s="1">
        <f>IFERROR(__xludf.DUMMYFUNCTION("""COMPUTED_VALUE"""),535.0)</f>
        <v>535</v>
      </c>
      <c r="M36" s="1"/>
      <c r="N36" s="1"/>
      <c r="O36" s="1" t="str">
        <f>IFERROR(__xludf.DUMMYFUNCTION("""COMPUTED_VALUE"""),"Последствия инфляции")</f>
        <v>Последствия инфляции</v>
      </c>
      <c r="P36" s="1">
        <f>IFERROR(__xludf.DUMMYFUNCTION("""COMPUTED_VALUE"""),735.0)</f>
        <v>735</v>
      </c>
      <c r="Q36" s="1" t="str">
        <f>IFERROR(__xludf.DUMMYFUNCTION("""COMPUTED_VALUE"""),"Понятие предложения")</f>
        <v>Понятие предложения</v>
      </c>
      <c r="R36" s="1">
        <f>IFERROR(__xludf.DUMMYFUNCTION("""COMPUTED_VALUE"""),835.0)</f>
        <v>835</v>
      </c>
      <c r="S36" s="1"/>
      <c r="T36" s="1"/>
      <c r="U36" s="1"/>
      <c r="V36" s="1"/>
      <c r="W36" s="1"/>
      <c r="X36" s="1"/>
      <c r="Y36" s="1"/>
      <c r="Z36" s="1"/>
    </row>
    <row r="37">
      <c r="A37" s="1" t="str">
        <f>IFERROR(__xludf.DUMMYFUNCTION("""COMPUTED_VALUE"""),"Понятие и виды социальных институтов")</f>
        <v>Понятие и виды социальных институтов</v>
      </c>
      <c r="B37" s="1">
        <f>IFERROR(__xludf.DUMMYFUNCTION("""COMPUTED_VALUE"""),36.0)</f>
        <v>36</v>
      </c>
      <c r="C37" s="1" t="str">
        <f>IFERROR(__xludf.DUMMYFUNCTION("""COMPUTED_VALUE"""),"Межличностные отношения")</f>
        <v>Межличностные отношения</v>
      </c>
      <c r="D37" s="1">
        <f>IFERROR(__xludf.DUMMYFUNCTION("""COMPUTED_VALUE"""),136.0)</f>
        <v>136</v>
      </c>
      <c r="E37" s="1" t="str">
        <f>IFERROR(__xludf.DUMMYFUNCTION("""COMPUTED_VALUE"""),"Борьба с девиацией")</f>
        <v>Борьба с девиацией</v>
      </c>
      <c r="F37" s="1">
        <f>IFERROR(__xludf.DUMMYFUNCTION("""COMPUTED_VALUE"""),241.0)</f>
        <v>241</v>
      </c>
      <c r="G37" s="1" t="str">
        <f>IFERROR(__xludf.DUMMYFUNCTION("""COMPUTED_VALUE"""),"Функции политических партий")</f>
        <v>Функции политических партий</v>
      </c>
      <c r="H37" s="1">
        <f>IFERROR(__xludf.DUMMYFUNCTION("""COMPUTED_VALUE"""),336.0)</f>
        <v>336</v>
      </c>
      <c r="I37" s="1" t="str">
        <f>IFERROR(__xludf.DUMMYFUNCTION("""COMPUTED_VALUE"""),"Конституционные обязанности человека")</f>
        <v>Конституционные обязанности человека</v>
      </c>
      <c r="J37" s="1">
        <f>IFERROR(__xludf.DUMMYFUNCTION("""COMPUTED_VALUE"""),436.0)</f>
        <v>436</v>
      </c>
      <c r="K37" s="1" t="str">
        <f>IFERROR(__xludf.DUMMYFUNCTION("""COMPUTED_VALUE"""),"Имущественные права")</f>
        <v>Имущественные права</v>
      </c>
      <c r="L37" s="1">
        <f>IFERROR(__xludf.DUMMYFUNCTION("""COMPUTED_VALUE"""),536.0)</f>
        <v>536</v>
      </c>
      <c r="M37" s="1"/>
      <c r="N37" s="1"/>
      <c r="O37" s="1" t="str">
        <f>IFERROR(__xludf.DUMMYFUNCTION("""COMPUTED_VALUE"""),"Понятие экономического роста")</f>
        <v>Понятие экономического роста</v>
      </c>
      <c r="P37" s="1">
        <f>IFERROR(__xludf.DUMMYFUNCTION("""COMPUTED_VALUE"""),736.0)</f>
        <v>736</v>
      </c>
      <c r="Q37" s="1" t="str">
        <f>IFERROR(__xludf.DUMMYFUNCTION("""COMPUTED_VALUE"""),"Величина предложения")</f>
        <v>Величина предложения</v>
      </c>
      <c r="R37" s="1">
        <f>IFERROR(__xludf.DUMMYFUNCTION("""COMPUTED_VALUE"""),836.0)</f>
        <v>836</v>
      </c>
      <c r="S37" s="1"/>
      <c r="T37" s="1"/>
      <c r="U37" s="1"/>
      <c r="V37" s="1"/>
      <c r="W37" s="1"/>
      <c r="X37" s="1"/>
      <c r="Y37" s="1"/>
      <c r="Z37" s="1"/>
    </row>
    <row r="38">
      <c r="A38" s="1" t="str">
        <f>IFERROR(__xludf.DUMMYFUNCTION("""COMPUTED_VALUE"""),"Функции социальных институтов")</f>
        <v>Функции социальных институтов</v>
      </c>
      <c r="B38" s="1">
        <f>IFERROR(__xludf.DUMMYFUNCTION("""COMPUTED_VALUE"""),37.0)</f>
        <v>37</v>
      </c>
      <c r="C38" s="1" t="str">
        <f>IFERROR(__xludf.DUMMYFUNCTION("""COMPUTED_VALUE"""),"Межличностные конфликты")</f>
        <v>Межличностные конфликты</v>
      </c>
      <c r="D38" s="1">
        <f>IFERROR(__xludf.DUMMYFUNCTION("""COMPUTED_VALUE"""),137.0)</f>
        <v>137</v>
      </c>
      <c r="E38" s="1" t="str">
        <f>IFERROR(__xludf.DUMMYFUNCTION("""COMPUTED_VALUE"""),"Социальный контроль")</f>
        <v>Социальный контроль</v>
      </c>
      <c r="F38" s="1">
        <f>IFERROR(__xludf.DUMMYFUNCTION("""COMPUTED_VALUE"""),242.0)</f>
        <v>242</v>
      </c>
      <c r="G38" s="1" t="str">
        <f>IFERROR(__xludf.DUMMYFUNCTION("""COMPUTED_VALUE"""),"Кадровые и массовые политические партии")</f>
        <v>Кадровые и массовые политические партии</v>
      </c>
      <c r="H38" s="1">
        <f>IFERROR(__xludf.DUMMYFUNCTION("""COMPUTED_VALUE"""),337.0)</f>
        <v>337</v>
      </c>
      <c r="I38" s="1" t="str">
        <f>IFERROR(__xludf.DUMMYFUNCTION("""COMPUTED_VALUE"""),"Понятие гражданства")</f>
        <v>Понятие гражданства</v>
      </c>
      <c r="J38" s="1">
        <f>IFERROR(__xludf.DUMMYFUNCTION("""COMPUTED_VALUE"""),437.0)</f>
        <v>437</v>
      </c>
      <c r="K38" s="1" t="str">
        <f>IFERROR(__xludf.DUMMYFUNCTION("""COMPUTED_VALUE"""),"Право собственности в юридическом смысле")</f>
        <v>Право собственности в юридическом смысле</v>
      </c>
      <c r="L38" s="1">
        <f>IFERROR(__xludf.DUMMYFUNCTION("""COMPUTED_VALUE"""),537.0)</f>
        <v>537</v>
      </c>
      <c r="M38" s="1"/>
      <c r="N38" s="1"/>
      <c r="O38" s="1" t="str">
        <f>IFERROR(__xludf.DUMMYFUNCTION("""COMPUTED_VALUE"""),"Показатели экономического роста")</f>
        <v>Показатели экономического роста</v>
      </c>
      <c r="P38" s="1">
        <f>IFERROR(__xludf.DUMMYFUNCTION("""COMPUTED_VALUE"""),737.0)</f>
        <v>737</v>
      </c>
      <c r="Q38" s="1" t="str">
        <f>IFERROR(__xludf.DUMMYFUNCTION("""COMPUTED_VALUE"""),"Факторы влияющие на предложение")</f>
        <v>Факторы влияющие на предложение</v>
      </c>
      <c r="R38" s="1">
        <f>IFERROR(__xludf.DUMMYFUNCTION("""COMPUTED_VALUE"""),837.0)</f>
        <v>837</v>
      </c>
      <c r="S38" s="1"/>
      <c r="T38" s="1"/>
      <c r="U38" s="1"/>
      <c r="V38" s="1"/>
      <c r="W38" s="1"/>
      <c r="X38" s="1"/>
      <c r="Y38" s="1"/>
      <c r="Z38" s="1"/>
    </row>
    <row r="39">
      <c r="A39" s="1" t="str">
        <f>IFERROR(__xludf.DUMMYFUNCTION("""COMPUTED_VALUE"""),"Дисфункции социальных институтов")</f>
        <v>Дисфункции социальных институтов</v>
      </c>
      <c r="B39" s="1">
        <f>IFERROR(__xludf.DUMMYFUNCTION("""COMPUTED_VALUE"""),38.0)</f>
        <v>38</v>
      </c>
      <c r="C39" s="1" t="str">
        <f>IFERROR(__xludf.DUMMYFUNCTION("""COMPUTED_VALUE"""),"Способы решения межличностных конфликтов")</f>
        <v>Способы решения межличностных конфликтов</v>
      </c>
      <c r="D39" s="1">
        <f>IFERROR(__xludf.DUMMYFUNCTION("""COMPUTED_VALUE"""),138.0)</f>
        <v>138</v>
      </c>
      <c r="E39" s="1" t="str">
        <f>IFERROR(__xludf.DUMMYFUNCTION("""COMPUTED_VALUE"""),"Внешний социальный контроль")</f>
        <v>Внешний социальный контроль</v>
      </c>
      <c r="F39" s="1">
        <f>IFERROR(__xludf.DUMMYFUNCTION("""COMPUTED_VALUE"""),243.0)</f>
        <v>243</v>
      </c>
      <c r="G39" s="1" t="str">
        <f>IFERROR(__xludf.DUMMYFUNCTION("""COMPUTED_VALUE"""),"Структура политических партий")</f>
        <v>Структура политических партий</v>
      </c>
      <c r="H39" s="1">
        <f>IFERROR(__xludf.DUMMYFUNCTION("""COMPUTED_VALUE"""),338.0)</f>
        <v>338</v>
      </c>
      <c r="I39" s="1" t="str">
        <f>IFERROR(__xludf.DUMMYFUNCTION("""COMPUTED_VALUE"""),"Требования для кандидатов в гражданство РФ")</f>
        <v>Требования для кандидатов в гражданство РФ</v>
      </c>
      <c r="J39" s="1">
        <f>IFERROR(__xludf.DUMMYFUNCTION("""COMPUTED_VALUE"""),438.0)</f>
        <v>438</v>
      </c>
      <c r="K39" s="1" t="str">
        <f>IFERROR(__xludf.DUMMYFUNCTION("""COMPUTED_VALUE"""),"Правомочия собственника: владение, пользование, распоряжение")</f>
        <v>Правомочия собственника: владение, пользование, распоряжение</v>
      </c>
      <c r="L39" s="1">
        <f>IFERROR(__xludf.DUMMYFUNCTION("""COMPUTED_VALUE"""),538.0)</f>
        <v>538</v>
      </c>
      <c r="M39" s="1"/>
      <c r="N39" s="1"/>
      <c r="O39" s="1" t="str">
        <f>IFERROR(__xludf.DUMMYFUNCTION("""COMPUTED_VALUE"""),"ВВП")</f>
        <v>ВВП</v>
      </c>
      <c r="P39" s="1">
        <f>IFERROR(__xludf.DUMMYFUNCTION("""COMPUTED_VALUE"""),738.0)</f>
        <v>738</v>
      </c>
      <c r="Q39" s="1" t="str">
        <f>IFERROR(__xludf.DUMMYFUNCTION("""COMPUTED_VALUE"""),"Рыночное равновесие")</f>
        <v>Рыночное равновесие</v>
      </c>
      <c r="R39" s="1">
        <f>IFERROR(__xludf.DUMMYFUNCTION("""COMPUTED_VALUE"""),838.0)</f>
        <v>838</v>
      </c>
      <c r="S39" s="1"/>
      <c r="T39" s="1"/>
      <c r="U39" s="1"/>
      <c r="V39" s="1"/>
      <c r="W39" s="1"/>
      <c r="X39" s="1"/>
      <c r="Y39" s="1"/>
      <c r="Z39" s="1"/>
    </row>
    <row r="40">
      <c r="A40" s="1" t="str">
        <f>IFERROR(__xludf.DUMMYFUNCTION("""COMPUTED_VALUE"""),"Формальные и неформальные социальные институты")</f>
        <v>Формальные и неформальные социальные институты</v>
      </c>
      <c r="B40" s="1">
        <f>IFERROR(__xludf.DUMMYFUNCTION("""COMPUTED_VALUE"""),39.0)</f>
        <v>39</v>
      </c>
      <c r="C40" s="1" t="str">
        <f>IFERROR(__xludf.DUMMYFUNCTION("""COMPUTED_VALUE"""),"Признаки творческой деятельности")</f>
        <v>Признаки творческой деятельности</v>
      </c>
      <c r="D40" s="1">
        <f>IFERROR(__xludf.DUMMYFUNCTION("""COMPUTED_VALUE"""),139.0)</f>
        <v>139</v>
      </c>
      <c r="E40" s="1" t="str">
        <f>IFERROR(__xludf.DUMMYFUNCTION("""COMPUTED_VALUE"""),"Внутренний социальный контроль")</f>
        <v>Внутренний социальный контроль</v>
      </c>
      <c r="F40" s="1">
        <f>IFERROR(__xludf.DUMMYFUNCTION("""COMPUTED_VALUE"""),244.0)</f>
        <v>244</v>
      </c>
      <c r="G40" s="1" t="str">
        <f>IFERROR(__xludf.DUMMYFUNCTION("""COMPUTED_VALUE"""),"Правящие и оппозиционные партии")</f>
        <v>Правящие и оппозиционные партии</v>
      </c>
      <c r="H40" s="1">
        <f>IFERROR(__xludf.DUMMYFUNCTION("""COMPUTED_VALUE"""),339.0)</f>
        <v>339</v>
      </c>
      <c r="I40" s="1" t="str">
        <f>IFERROR(__xludf.DUMMYFUNCTION("""COMPUTED_VALUE"""),"Основания приобретения гражданства РФ")</f>
        <v>Основания приобретения гражданства РФ</v>
      </c>
      <c r="J40" s="1">
        <f>IFERROR(__xludf.DUMMYFUNCTION("""COMPUTED_VALUE"""),439.0)</f>
        <v>439</v>
      </c>
      <c r="K40" s="1" t="str">
        <f>IFERROR(__xludf.DUMMYFUNCTION("""COMPUTED_VALUE"""),"Основания приобретения права собственности")</f>
        <v>Основания приобретения права собственности</v>
      </c>
      <c r="L40" s="1">
        <f>IFERROR(__xludf.DUMMYFUNCTION("""COMPUTED_VALUE"""),539.0)</f>
        <v>539</v>
      </c>
      <c r="M40" s="1"/>
      <c r="N40" s="1"/>
      <c r="O40" s="1" t="str">
        <f>IFERROR(__xludf.DUMMYFUNCTION("""COMPUTED_VALUE"""),"ВНП")</f>
        <v>ВНП</v>
      </c>
      <c r="P40" s="1">
        <f>IFERROR(__xludf.DUMMYFUNCTION("""COMPUTED_VALUE"""),739.0)</f>
        <v>739</v>
      </c>
      <c r="Q40" s="1" t="str">
        <f>IFERROR(__xludf.DUMMYFUNCTION("""COMPUTED_VALUE"""),"Равновесная цена")</f>
        <v>Равновесная цена</v>
      </c>
      <c r="R40" s="1">
        <f>IFERROR(__xludf.DUMMYFUNCTION("""COMPUTED_VALUE"""),839.0)</f>
        <v>839</v>
      </c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 t="str">
        <f>IFERROR(__xludf.DUMMYFUNCTION("""COMPUTED_VALUE"""),"Темперамент")</f>
        <v>Темперамент</v>
      </c>
      <c r="D41" s="1">
        <f>IFERROR(__xludf.DUMMYFUNCTION("""COMPUTED_VALUE"""),140.0)</f>
        <v>140</v>
      </c>
      <c r="E41" s="1" t="str">
        <f>IFERROR(__xludf.DUMMYFUNCTION("""COMPUTED_VALUE"""),"Совесть как механизм внутреннего социального контроля")</f>
        <v>Совесть как механизм внутреннего социального контроля</v>
      </c>
      <c r="F41" s="1">
        <f>IFERROR(__xludf.DUMMYFUNCTION("""COMPUTED_VALUE"""),245.0)</f>
        <v>245</v>
      </c>
      <c r="G41" s="1" t="str">
        <f>IFERROR(__xludf.DUMMYFUNCTION("""COMPUTED_VALUE"""),"Понятие партийной системы")</f>
        <v>Понятие партийной системы</v>
      </c>
      <c r="H41" s="1">
        <f>IFERROR(__xludf.DUMMYFUNCTION("""COMPUTED_VALUE"""),340.0)</f>
        <v>340</v>
      </c>
      <c r="I41" s="1" t="str">
        <f>IFERROR(__xludf.DUMMYFUNCTION("""COMPUTED_VALUE"""),"Порядок принятия и изменения Конституции")</f>
        <v>Порядок принятия и изменения Конституции</v>
      </c>
      <c r="J41" s="1">
        <f>IFERROR(__xludf.DUMMYFUNCTION("""COMPUTED_VALUE"""),440.0)</f>
        <v>440</v>
      </c>
      <c r="K41" s="1" t="str">
        <f>IFERROR(__xludf.DUMMYFUNCTION("""COMPUTED_VALUE"""),"Право на результаты интеллектуальной деятельности")</f>
        <v>Право на результаты интеллектуальной деятельности</v>
      </c>
      <c r="L41" s="1">
        <f>IFERROR(__xludf.DUMMYFUNCTION("""COMPUTED_VALUE"""),540.0)</f>
        <v>540</v>
      </c>
      <c r="M41" s="1"/>
      <c r="N41" s="1"/>
      <c r="O41" s="1" t="str">
        <f>IFERROR(__xludf.DUMMYFUNCTION("""COMPUTED_VALUE"""),"Система национальных счетов")</f>
        <v>Система национальных счетов</v>
      </c>
      <c r="P41" s="1">
        <f>IFERROR(__xludf.DUMMYFUNCTION("""COMPUTED_VALUE"""),740.0)</f>
        <v>740</v>
      </c>
      <c r="Q41" s="1" t="str">
        <f>IFERROR(__xludf.DUMMYFUNCTION("""COMPUTED_VALUE"""),"Личный финансовый план")</f>
        <v>Личный финансовый план</v>
      </c>
      <c r="R41" s="1">
        <f>IFERROR(__xludf.DUMMYFUNCTION("""COMPUTED_VALUE"""),840.0)</f>
        <v>840</v>
      </c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 t="str">
        <f>IFERROR(__xludf.DUMMYFUNCTION("""COMPUTED_VALUE"""),"Сходства и различия человека и животных")</f>
        <v>Сходства и различия человека и животных</v>
      </c>
      <c r="D42" s="1">
        <f>IFERROR(__xludf.DUMMYFUNCTION("""COMPUTED_VALUE"""),141.0)</f>
        <v>141</v>
      </c>
      <c r="E42" s="1" t="str">
        <f>IFERROR(__xludf.DUMMYFUNCTION("""COMPUTED_VALUE"""),"Формальный и неформальный социальный контроль")</f>
        <v>Формальный и неформальный социальный контроль</v>
      </c>
      <c r="F42" s="1">
        <f>IFERROR(__xludf.DUMMYFUNCTION("""COMPUTED_VALUE"""),246.0)</f>
        <v>246</v>
      </c>
      <c r="G42" s="1" t="str">
        <f>IFERROR(__xludf.DUMMYFUNCTION("""COMPUTED_VALUE"""),"Однопартийная, двухпартийная, многопартийная системы")</f>
        <v>Однопартийная, двухпартийная, многопартийная системы</v>
      </c>
      <c r="H42" s="1">
        <f>IFERROR(__xludf.DUMMYFUNCTION("""COMPUTED_VALUE"""),341.0)</f>
        <v>341</v>
      </c>
      <c r="I42" s="1" t="str">
        <f>IFERROR(__xludf.DUMMYFUNCTION("""COMPUTED_VALUE"""),"Местное самоуправление в РФ")</f>
        <v>Местное самоуправление в РФ</v>
      </c>
      <c r="J42" s="1">
        <f>IFERROR(__xludf.DUMMYFUNCTION("""COMPUTED_VALUE"""),441.0)</f>
        <v>441</v>
      </c>
      <c r="K42" s="1" t="str">
        <f>IFERROR(__xludf.DUMMYFUNCTION("""COMPUTED_VALUE"""),"Наследование")</f>
        <v>Наследование</v>
      </c>
      <c r="L42" s="1">
        <f>IFERROR(__xludf.DUMMYFUNCTION("""COMPUTED_VALUE"""),541.0)</f>
        <v>541</v>
      </c>
      <c r="M42" s="1"/>
      <c r="N42" s="1"/>
      <c r="O42" s="1" t="str">
        <f>IFERROR(__xludf.DUMMYFUNCTION("""COMPUTED_VALUE"""),"Фазы экономического цикла")</f>
        <v>Фазы экономического цикла</v>
      </c>
      <c r="P42" s="1">
        <f>IFERROR(__xludf.DUMMYFUNCTION("""COMPUTED_VALUE"""),741.0)</f>
        <v>741</v>
      </c>
      <c r="Q42" s="1" t="str">
        <f>IFERROR(__xludf.DUMMYFUNCTION("""COMPUTED_VALUE"""),"Экономические функции домохозяйства")</f>
        <v>Экономические функции домохозяйства</v>
      </c>
      <c r="R42" s="1">
        <f>IFERROR(__xludf.DUMMYFUNCTION("""COMPUTED_VALUE"""),841.0)</f>
        <v>841</v>
      </c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 t="str">
        <f>IFERROR(__xludf.DUMMYFUNCTION("""COMPUTED_VALUE"""),"Элементы социального контроля")</f>
        <v>Элементы социального контроля</v>
      </c>
      <c r="F43" s="1">
        <f>IFERROR(__xludf.DUMMYFUNCTION("""COMPUTED_VALUE"""),247.0)</f>
        <v>247</v>
      </c>
      <c r="G43" s="1" t="str">
        <f>IFERROR(__xludf.DUMMYFUNCTION("""COMPUTED_VALUE"""),"Общественно-политические движения")</f>
        <v>Общественно-политические движения</v>
      </c>
      <c r="H43" s="1">
        <f>IFERROR(__xludf.DUMMYFUNCTION("""COMPUTED_VALUE"""),342.0)</f>
        <v>342</v>
      </c>
      <c r="I43" s="1" t="str">
        <f>IFERROR(__xludf.DUMMYFUNCTION("""COMPUTED_VALUE"""),"Принципы избирательного права РФ")</f>
        <v>Принципы избирательного права РФ</v>
      </c>
      <c r="J43" s="1">
        <f>IFERROR(__xludf.DUMMYFUNCTION("""COMPUTED_VALUE"""),442.0)</f>
        <v>442</v>
      </c>
      <c r="K43" s="1" t="str">
        <f>IFERROR(__xludf.DUMMYFUNCTION("""COMPUTED_VALUE"""),"Личные неимущественные права: честь, достоинство, деловая репутация")</f>
        <v>Личные неимущественные права: честь, достоинство, деловая репутация</v>
      </c>
      <c r="L43" s="1">
        <f>IFERROR(__xludf.DUMMYFUNCTION("""COMPUTED_VALUE"""),542.0)</f>
        <v>542</v>
      </c>
      <c r="M43" s="1"/>
      <c r="N43" s="1"/>
      <c r="O43" s="1" t="str">
        <f>IFERROR(__xludf.DUMMYFUNCTION("""COMPUTED_VALUE"""),"Роль государства в экономике")</f>
        <v>Роль государства в экономике</v>
      </c>
      <c r="P43" s="1">
        <f>IFERROR(__xludf.DUMMYFUNCTION("""COMPUTED_VALUE"""),742.0)</f>
        <v>742</v>
      </c>
      <c r="Q43" s="1" t="str">
        <f>IFERROR(__xludf.DUMMYFUNCTION("""COMPUTED_VALUE"""),"Активы и пассивы")</f>
        <v>Активы и пассивы</v>
      </c>
      <c r="R43" s="1">
        <f>IFERROR(__xludf.DUMMYFUNCTION("""COMPUTED_VALUE"""),842.0)</f>
        <v>842</v>
      </c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 t="str">
        <f>IFERROR(__xludf.DUMMYFUNCTION("""COMPUTED_VALUE"""),"Функции социального контроля")</f>
        <v>Функции социального контроля</v>
      </c>
      <c r="F44" s="1">
        <f>IFERROR(__xludf.DUMMYFUNCTION("""COMPUTED_VALUE"""),248.0)</f>
        <v>248</v>
      </c>
      <c r="G44" s="1" t="str">
        <f>IFERROR(__xludf.DUMMYFUNCTION("""COMPUTED_VALUE"""),"СМИ как политический институт")</f>
        <v>СМИ как политический институт</v>
      </c>
      <c r="H44" s="1">
        <f>IFERROR(__xludf.DUMMYFUNCTION("""COMPUTED_VALUE"""),343.0)</f>
        <v>343</v>
      </c>
      <c r="I44" s="1" t="str">
        <f>IFERROR(__xludf.DUMMYFUNCTION("""COMPUTED_VALUE"""),"Статус Конституции")</f>
        <v>Статус Конституции</v>
      </c>
      <c r="J44" s="1">
        <f>IFERROR(__xludf.DUMMYFUNCTION("""COMPUTED_VALUE"""),443.0)</f>
        <v>443</v>
      </c>
      <c r="K44" s="1" t="str">
        <f>IFERROR(__xludf.DUMMYFUNCTION("""COMPUTED_VALUE"""),"Порядок приема на работу")</f>
        <v>Порядок приема на работу</v>
      </c>
      <c r="L44" s="1">
        <f>IFERROR(__xludf.DUMMYFUNCTION("""COMPUTED_VALUE"""),543.0)</f>
        <v>543</v>
      </c>
      <c r="M44" s="1"/>
      <c r="N44" s="1"/>
      <c r="O44" s="1" t="str">
        <f>IFERROR(__xludf.DUMMYFUNCTION("""COMPUTED_VALUE"""),"Понятие и виды общественных благ")</f>
        <v>Понятие и виды общественных благ</v>
      </c>
      <c r="P44" s="1">
        <f>IFERROR(__xludf.DUMMYFUNCTION("""COMPUTED_VALUE"""),743.0)</f>
        <v>743</v>
      </c>
      <c r="Q44" s="1" t="str">
        <f>IFERROR(__xludf.DUMMYFUNCTION("""COMPUTED_VALUE"""),"Потребление домохозяйств")</f>
        <v>Потребление домохозяйств</v>
      </c>
      <c r="R44" s="1">
        <f>IFERROR(__xludf.DUMMYFUNCTION("""COMPUTED_VALUE"""),843.0)</f>
        <v>843</v>
      </c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 t="str">
        <f>IFERROR(__xludf.DUMMYFUNCTION("""COMPUTED_VALUE"""),"Понятие социальных норм")</f>
        <v>Понятие социальных норм</v>
      </c>
      <c r="F45" s="1">
        <f>IFERROR(__xludf.DUMMYFUNCTION("""COMPUTED_VALUE"""),249.0)</f>
        <v>249</v>
      </c>
      <c r="G45" s="1" t="str">
        <f>IFERROR(__xludf.DUMMYFUNCTION("""COMPUTED_VALUE"""),"Роль СМИ в политической системе")</f>
        <v>Роль СМИ в политической системе</v>
      </c>
      <c r="H45" s="1">
        <f>IFERROR(__xludf.DUMMYFUNCTION("""COMPUTED_VALUE"""),344.0)</f>
        <v>344</v>
      </c>
      <c r="I45" s="1"/>
      <c r="J45" s="1"/>
      <c r="K45" s="1" t="str">
        <f>IFERROR(__xludf.DUMMYFUNCTION("""COMPUTED_VALUE"""),"Порядок заключения трудового договора")</f>
        <v>Порядок заключения трудового договора</v>
      </c>
      <c r="L45" s="1">
        <f>IFERROR(__xludf.DUMMYFUNCTION("""COMPUTED_VALUE"""),544.0)</f>
        <v>544</v>
      </c>
      <c r="M45" s="1"/>
      <c r="N45" s="1"/>
      <c r="O45" s="1" t="str">
        <f>IFERROR(__xludf.DUMMYFUNCTION("""COMPUTED_VALUE"""),"Понятие налога")</f>
        <v>Понятие налога</v>
      </c>
      <c r="P45" s="1">
        <f>IFERROR(__xludf.DUMMYFUNCTION("""COMPUTED_VALUE"""),744.0)</f>
        <v>744</v>
      </c>
      <c r="Q45" s="1" t="str">
        <f>IFERROR(__xludf.DUMMYFUNCTION("""COMPUTED_VALUE"""),"Конкурентные преимущества фирмы")</f>
        <v>Конкурентные преимущества фирмы</v>
      </c>
      <c r="R45" s="1">
        <f>IFERROR(__xludf.DUMMYFUNCTION("""COMPUTED_VALUE"""),844.0)</f>
        <v>844</v>
      </c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 t="str">
        <f>IFERROR(__xludf.DUMMYFUNCTION("""COMPUTED_VALUE"""),"Обычаи и традиции")</f>
        <v>Обычаи и традиции</v>
      </c>
      <c r="F46" s="1">
        <f>IFERROR(__xludf.DUMMYFUNCTION("""COMPUTED_VALUE"""),250.0)</f>
        <v>250</v>
      </c>
      <c r="G46" s="1" t="str">
        <f>IFERROR(__xludf.DUMMYFUNCTION("""COMPUTED_VALUE"""),"Понятие избирательной компании")</f>
        <v>Понятие избирательной компании</v>
      </c>
      <c r="H46" s="1">
        <f>IFERROR(__xludf.DUMMYFUNCTION("""COMPUTED_VALUE"""),345.0)</f>
        <v>345</v>
      </c>
      <c r="I46" s="1"/>
      <c r="J46" s="1"/>
      <c r="K46" s="1" t="str">
        <f>IFERROR(__xludf.DUMMYFUNCTION("""COMPUTED_VALUE"""),"Документы, необходимые для приема на работу")</f>
        <v>Документы, необходимые для приема на работу</v>
      </c>
      <c r="L46" s="1">
        <f>IFERROR(__xludf.DUMMYFUNCTION("""COMPUTED_VALUE"""),545.0)</f>
        <v>545</v>
      </c>
      <c r="M46" s="1"/>
      <c r="N46" s="1"/>
      <c r="O46" s="1" t="str">
        <f>IFERROR(__xludf.DUMMYFUNCTION("""COMPUTED_VALUE"""),"Налоговая система РФ")</f>
        <v>Налоговая система РФ</v>
      </c>
      <c r="P46" s="1">
        <f>IFERROR(__xludf.DUMMYFUNCTION("""COMPUTED_VALUE"""),745.0)</f>
        <v>745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 t="str">
        <f>IFERROR(__xludf.DUMMYFUNCTION("""COMPUTED_VALUE"""),"Моральные нормы")</f>
        <v>Моральные нормы</v>
      </c>
      <c r="F47" s="1">
        <f>IFERROR(__xludf.DUMMYFUNCTION("""COMPUTED_VALUE"""),251.0)</f>
        <v>251</v>
      </c>
      <c r="G47" s="1" t="str">
        <f>IFERROR(__xludf.DUMMYFUNCTION("""COMPUTED_VALUE"""),"Избирательная система")</f>
        <v>Избирательная система</v>
      </c>
      <c r="H47" s="1">
        <f>IFERROR(__xludf.DUMMYFUNCTION("""COMPUTED_VALUE"""),346.0)</f>
        <v>346</v>
      </c>
      <c r="I47" s="1"/>
      <c r="J47" s="1"/>
      <c r="K47" s="1" t="str">
        <f>IFERROR(__xludf.DUMMYFUNCTION("""COMPUTED_VALUE"""),"Права и обязанности работника и работодателя")</f>
        <v>Права и обязанности работника и работодателя</v>
      </c>
      <c r="L47" s="1">
        <f>IFERROR(__xludf.DUMMYFUNCTION("""COMPUTED_VALUE"""),546.0)</f>
        <v>546</v>
      </c>
      <c r="M47" s="1"/>
      <c r="N47" s="1"/>
      <c r="O47" s="1" t="str">
        <f>IFERROR(__xludf.DUMMYFUNCTION("""COMPUTED_VALUE"""),"Федеральные, региональные, местные налоги")</f>
        <v>Федеральные, региональные, местные налоги</v>
      </c>
      <c r="P47" s="1">
        <f>IFERROR(__xludf.DUMMYFUNCTION("""COMPUTED_VALUE"""),746.0)</f>
        <v>746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 t="str">
        <f>IFERROR(__xludf.DUMMYFUNCTION("""COMPUTED_VALUE"""),"Правовые нормы")</f>
        <v>Правовые нормы</v>
      </c>
      <c r="F48" s="1">
        <f>IFERROR(__xludf.DUMMYFUNCTION("""COMPUTED_VALUE"""),252.0)</f>
        <v>252</v>
      </c>
      <c r="G48" s="1" t="str">
        <f>IFERROR(__xludf.DUMMYFUNCTION("""COMPUTED_VALUE"""),"Мажоритарная система (абсолютного большинства, относительного большинства)")</f>
        <v>Мажоритарная система (абсолютного большинства, относительного большинства)</v>
      </c>
      <c r="H48" s="1">
        <f>IFERROR(__xludf.DUMMYFUNCTION("""COMPUTED_VALUE"""),347.0)</f>
        <v>347</v>
      </c>
      <c r="I48" s="1"/>
      <c r="J48" s="1"/>
      <c r="K48" s="1" t="str">
        <f>IFERROR(__xludf.DUMMYFUNCTION("""COMPUTED_VALUE"""),"Особенности трудовых отношений с участием несовершеннолетних")</f>
        <v>Особенности трудовых отношений с участием несовершеннолетних</v>
      </c>
      <c r="L48" s="1">
        <f>IFERROR(__xludf.DUMMYFUNCTION("""COMPUTED_VALUE"""),547.0)</f>
        <v>547</v>
      </c>
      <c r="M48" s="1"/>
      <c r="N48" s="1"/>
      <c r="O48" s="1" t="str">
        <f>IFERROR(__xludf.DUMMYFUNCTION("""COMPUTED_VALUE"""),"Функции налогов")</f>
        <v>Функции налогов</v>
      </c>
      <c r="P48" s="1">
        <f>IFERROR(__xludf.DUMMYFUNCTION("""COMPUTED_VALUE"""),747.0)</f>
        <v>747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 t="str">
        <f>IFERROR(__xludf.DUMMYFUNCTION("""COMPUTED_VALUE"""),"Корпоративные нормы")</f>
        <v>Корпоративные нормы</v>
      </c>
      <c r="F49" s="1">
        <f>IFERROR(__xludf.DUMMYFUNCTION("""COMPUTED_VALUE"""),253.0)</f>
        <v>253</v>
      </c>
      <c r="G49" s="1" t="str">
        <f>IFERROR(__xludf.DUMMYFUNCTION("""COMPUTED_VALUE"""),"Пропорциональная избирательная система")</f>
        <v>Пропорциональная избирательная система</v>
      </c>
      <c r="H49" s="1">
        <f>IFERROR(__xludf.DUMMYFUNCTION("""COMPUTED_VALUE"""),348.0)</f>
        <v>348</v>
      </c>
      <c r="I49" s="1"/>
      <c r="J49" s="1"/>
      <c r="K49" s="1" t="str">
        <f>IFERROR(__xludf.DUMMYFUNCTION("""COMPUTED_VALUE"""),"Основания расторжения трудового договора")</f>
        <v>Основания расторжения трудового договора</v>
      </c>
      <c r="L49" s="1">
        <f>IFERROR(__xludf.DUMMYFUNCTION("""COMPUTED_VALUE"""),548.0)</f>
        <v>548</v>
      </c>
      <c r="M49" s="1"/>
      <c r="N49" s="1"/>
      <c r="O49" s="1" t="str">
        <f>IFERROR(__xludf.DUMMYFUNCTION("""COMPUTED_VALUE"""),"Налоги, уплачиваемые предприятиями")</f>
        <v>Налоги, уплачиваемые предприятиями</v>
      </c>
      <c r="P49" s="1">
        <f>IFERROR(__xludf.DUMMYFUNCTION("""COMPUTED_VALUE"""),748.0)</f>
        <v>748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 t="str">
        <f>IFERROR(__xludf.DUMMYFUNCTION("""COMPUTED_VALUE"""),"Религиозные нормы")</f>
        <v>Религиозные нормы</v>
      </c>
      <c r="F50" s="1">
        <f>IFERROR(__xludf.DUMMYFUNCTION("""COMPUTED_VALUE"""),254.0)</f>
        <v>254</v>
      </c>
      <c r="G50" s="1" t="str">
        <f>IFERROR(__xludf.DUMMYFUNCTION("""COMPUTED_VALUE"""),"Смешанная избирательная система")</f>
        <v>Смешанная избирательная система</v>
      </c>
      <c r="H50" s="1">
        <f>IFERROR(__xludf.DUMMYFUNCTION("""COMPUTED_VALUE"""),349.0)</f>
        <v>349</v>
      </c>
      <c r="I50" s="1"/>
      <c r="J50" s="1"/>
      <c r="K50" s="1" t="str">
        <f>IFERROR(__xludf.DUMMYFUNCTION("""COMPUTED_VALUE"""),"Расторжение трудового договора по инициативе работника")</f>
        <v>Расторжение трудового договора по инициативе работника</v>
      </c>
      <c r="L50" s="1">
        <f>IFERROR(__xludf.DUMMYFUNCTION("""COMPUTED_VALUE"""),549.0)</f>
        <v>549</v>
      </c>
      <c r="M50" s="1"/>
      <c r="N50" s="1"/>
      <c r="O50" s="1" t="str">
        <f>IFERROR(__xludf.DUMMYFUNCTION("""COMPUTED_VALUE"""),"Налоги, уплачиваемые физическими лицами")</f>
        <v>Налоги, уплачиваемые физическими лицами</v>
      </c>
      <c r="P50" s="1">
        <f>IFERROR(__xludf.DUMMYFUNCTION("""COMPUTED_VALUE"""),749.0)</f>
        <v>749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 t="str">
        <f>IFERROR(__xludf.DUMMYFUNCTION("""COMPUTED_VALUE"""),"Политические нормы")</f>
        <v>Политические нормы</v>
      </c>
      <c r="F51" s="1">
        <f>IFERROR(__xludf.DUMMYFUNCTION("""COMPUTED_VALUE"""),255.0)</f>
        <v>255</v>
      </c>
      <c r="G51" s="1" t="str">
        <f>IFERROR(__xludf.DUMMYFUNCTION("""COMPUTED_VALUE"""),"Политический процесс")</f>
        <v>Политический процесс</v>
      </c>
      <c r="H51" s="1">
        <f>IFERROR(__xludf.DUMMYFUNCTION("""COMPUTED_VALUE"""),350.0)</f>
        <v>350</v>
      </c>
      <c r="I51" s="1"/>
      <c r="J51" s="1"/>
      <c r="K51" s="1" t="str">
        <f>IFERROR(__xludf.DUMMYFUNCTION("""COMPUTED_VALUE"""),"Расторжение трудового договора по инициативе работодателя")</f>
        <v>Расторжение трудового договора по инициативе работодателя</v>
      </c>
      <c r="L51" s="1">
        <f>IFERROR(__xludf.DUMMYFUNCTION("""COMPUTED_VALUE"""),550.0)</f>
        <v>550</v>
      </c>
      <c r="M51" s="1"/>
      <c r="N51" s="1"/>
      <c r="O51" s="1" t="str">
        <f>IFERROR(__xludf.DUMMYFUNCTION("""COMPUTED_VALUE"""),"Понятие государственного бюджета")</f>
        <v>Понятие государственного бюджета</v>
      </c>
      <c r="P51" s="1">
        <f>IFERROR(__xludf.DUMMYFUNCTION("""COMPUTED_VALUE"""),750.0)</f>
        <v>750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 t="str">
        <f>IFERROR(__xludf.DUMMYFUNCTION("""COMPUTED_VALUE"""),"Этикет")</f>
        <v>Этикет</v>
      </c>
      <c r="F52" s="1">
        <f>IFERROR(__xludf.DUMMYFUNCTION("""COMPUTED_VALUE"""),256.0)</f>
        <v>256</v>
      </c>
      <c r="G52" s="1" t="str">
        <f>IFERROR(__xludf.DUMMYFUNCTION("""COMPUTED_VALUE"""),"Понятие политического лидерства")</f>
        <v>Понятие политического лидерства</v>
      </c>
      <c r="H52" s="1">
        <f>IFERROR(__xludf.DUMMYFUNCTION("""COMPUTED_VALUE"""),351.0)</f>
        <v>351</v>
      </c>
      <c r="I52" s="1"/>
      <c r="J52" s="1"/>
      <c r="K52" s="1" t="str">
        <f>IFERROR(__xludf.DUMMYFUNCTION("""COMPUTED_VALUE"""),"Расторжение трудового договора по соглашению сторон")</f>
        <v>Расторжение трудового договора по соглашению сторон</v>
      </c>
      <c r="L52" s="1">
        <f>IFERROR(__xludf.DUMMYFUNCTION("""COMPUTED_VALUE"""),551.0)</f>
        <v>551</v>
      </c>
      <c r="M52" s="1"/>
      <c r="N52" s="1"/>
      <c r="O52" s="1" t="str">
        <f>IFERROR(__xludf.DUMMYFUNCTION("""COMPUTED_VALUE"""),"Доходная часть государственного бюджета")</f>
        <v>Доходная часть государственного бюджета</v>
      </c>
      <c r="P52" s="1">
        <f>IFERROR(__xludf.DUMMYFUNCTION("""COMPUTED_VALUE"""),751.0)</f>
        <v>751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 t="str">
        <f>IFERROR(__xludf.DUMMYFUNCTION("""COMPUTED_VALUE"""),"Эстетические нормы")</f>
        <v>Эстетические нормы</v>
      </c>
      <c r="F53" s="1">
        <f>IFERROR(__xludf.DUMMYFUNCTION("""COMPUTED_VALUE"""),257.0)</f>
        <v>257</v>
      </c>
      <c r="G53" s="1" t="str">
        <f>IFERROR(__xludf.DUMMYFUNCTION("""COMPUTED_VALUE"""),"Функции политического лидера")</f>
        <v>Функции политического лидера</v>
      </c>
      <c r="H53" s="1">
        <f>IFERROR(__xludf.DUMMYFUNCTION("""COMPUTED_VALUE"""),352.0)</f>
        <v>352</v>
      </c>
      <c r="I53" s="1"/>
      <c r="J53" s="1"/>
      <c r="K53" s="1" t="str">
        <f>IFERROR(__xludf.DUMMYFUNCTION("""COMPUTED_VALUE"""),"Расторжение трудового договора по независящим от сторон причинам")</f>
        <v>Расторжение трудового договора по независящим от сторон причинам</v>
      </c>
      <c r="L53" s="1">
        <f>IFERROR(__xludf.DUMMYFUNCTION("""COMPUTED_VALUE"""),552.0)</f>
        <v>552</v>
      </c>
      <c r="M53" s="1"/>
      <c r="N53" s="1"/>
      <c r="O53" s="1" t="str">
        <f>IFERROR(__xludf.DUMMYFUNCTION("""COMPUTED_VALUE"""),"Расходная часть государственного бюджета")</f>
        <v>Расходная часть государственного бюджета</v>
      </c>
      <c r="P53" s="1">
        <f>IFERROR(__xludf.DUMMYFUNCTION("""COMPUTED_VALUE"""),752.0)</f>
        <v>752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 t="str">
        <f>IFERROR(__xludf.DUMMYFUNCTION("""COMPUTED_VALUE"""),"Признаки социальных норм")</f>
        <v>Признаки социальных норм</v>
      </c>
      <c r="F54" s="1">
        <f>IFERROR(__xludf.DUMMYFUNCTION("""COMPUTED_VALUE"""),258.0)</f>
        <v>258</v>
      </c>
      <c r="G54" s="1" t="str">
        <f>IFERROR(__xludf.DUMMYFUNCTION("""COMPUTED_VALUE"""),"Типы политического лидерства")</f>
        <v>Типы политического лидерства</v>
      </c>
      <c r="H54" s="1">
        <f>IFERROR(__xludf.DUMMYFUNCTION("""COMPUTED_VALUE"""),353.0)</f>
        <v>353</v>
      </c>
      <c r="I54" s="1"/>
      <c r="J54" s="1"/>
      <c r="K54" s="1" t="str">
        <f>IFERROR(__xludf.DUMMYFUNCTION("""COMPUTED_VALUE"""),"Порядок и условия заключения брака")</f>
        <v>Порядок и условия заключения брака</v>
      </c>
      <c r="L54" s="1">
        <f>IFERROR(__xludf.DUMMYFUNCTION("""COMPUTED_VALUE"""),553.0)</f>
        <v>553</v>
      </c>
      <c r="M54" s="1"/>
      <c r="N54" s="1"/>
      <c r="O54" s="1" t="str">
        <f>IFERROR(__xludf.DUMMYFUNCTION("""COMPUTED_VALUE"""),"Монетарная политика государства")</f>
        <v>Монетарная политика государства</v>
      </c>
      <c r="P54" s="1">
        <f>IFERROR(__xludf.DUMMYFUNCTION("""COMPUTED_VALUE"""),753.0)</f>
        <v>753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 t="str">
        <f>IFERROR(__xludf.DUMMYFUNCTION("""COMPUTED_VALUE"""),"Функции социальных норм")</f>
        <v>Функции социальных норм</v>
      </c>
      <c r="F55" s="1">
        <f>IFERROR(__xludf.DUMMYFUNCTION("""COMPUTED_VALUE"""),259.0)</f>
        <v>259</v>
      </c>
      <c r="G55" s="1" t="str">
        <f>IFERROR(__xludf.DUMMYFUNCTION("""COMPUTED_VALUE"""),"Легальность")</f>
        <v>Легальность</v>
      </c>
      <c r="H55" s="1">
        <f>IFERROR(__xludf.DUMMYFUNCTION("""COMPUTED_VALUE"""),354.0)</f>
        <v>354</v>
      </c>
      <c r="I55" s="1"/>
      <c r="J55" s="1"/>
      <c r="K55" s="1" t="str">
        <f>IFERROR(__xludf.DUMMYFUNCTION("""COMPUTED_VALUE"""),"Обстоятельства, препятствующие заключению брака")</f>
        <v>Обстоятельства, препятствующие заключению брака</v>
      </c>
      <c r="L55" s="1">
        <f>IFERROR(__xludf.DUMMYFUNCTION("""COMPUTED_VALUE"""),554.0)</f>
        <v>554</v>
      </c>
      <c r="M55" s="1"/>
      <c r="N55" s="1"/>
      <c r="O55" s="1" t="str">
        <f>IFERROR(__xludf.DUMMYFUNCTION("""COMPUTED_VALUE"""),"Фискальная политика государства")</f>
        <v>Фискальная политика государства</v>
      </c>
      <c r="P55" s="1">
        <f>IFERROR(__xludf.DUMMYFUNCTION("""COMPUTED_VALUE"""),754.0)</f>
        <v>754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 t="str">
        <f>IFERROR(__xludf.DUMMYFUNCTION("""COMPUTED_VALUE"""),"Понятие социальных санкций")</f>
        <v>Понятие социальных санкций</v>
      </c>
      <c r="F56" s="1">
        <f>IFERROR(__xludf.DUMMYFUNCTION("""COMPUTED_VALUE"""),260.0)</f>
        <v>260</v>
      </c>
      <c r="G56" s="1" t="str">
        <f>IFERROR(__xludf.DUMMYFUNCTION("""COMPUTED_VALUE"""),"Легитимность и ее типы")</f>
        <v>Легитимность и ее типы</v>
      </c>
      <c r="H56" s="1">
        <f>IFERROR(__xludf.DUMMYFUNCTION("""COMPUTED_VALUE"""),355.0)</f>
        <v>355</v>
      </c>
      <c r="I56" s="1"/>
      <c r="J56" s="1"/>
      <c r="K56" s="1" t="str">
        <f>IFERROR(__xludf.DUMMYFUNCTION("""COMPUTED_VALUE"""),"Имущественные права и обязанности супругов")</f>
        <v>Имущественные права и обязанности супругов</v>
      </c>
      <c r="L56" s="1">
        <f>IFERROR(__xludf.DUMMYFUNCTION("""COMPUTED_VALUE"""),555.0)</f>
        <v>555</v>
      </c>
      <c r="M56" s="1"/>
      <c r="N56" s="1"/>
      <c r="O56" s="1" t="str">
        <f>IFERROR(__xludf.DUMMYFUNCTION("""COMPUTED_VALUE"""),"Государственный долг")</f>
        <v>Государственный долг</v>
      </c>
      <c r="P56" s="1">
        <f>IFERROR(__xludf.DUMMYFUNCTION("""COMPUTED_VALUE"""),755.0)</f>
        <v>755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 t="str">
        <f>IFERROR(__xludf.DUMMYFUNCTION("""COMPUTED_VALUE"""),"Формальные, неформальные, позитивные и негативные социальные санкции")</f>
        <v>Формальные, неформальные, позитивные и негативные социальные санкции</v>
      </c>
      <c r="F57" s="1">
        <f>IFERROR(__xludf.DUMMYFUNCTION("""COMPUTED_VALUE"""),261.0)</f>
        <v>261</v>
      </c>
      <c r="G57" s="1" t="str">
        <f>IFERROR(__xludf.DUMMYFUNCTION("""COMPUTED_VALUE"""),"Принцип разделения властей ")</f>
        <v>Принцип разделения властей </v>
      </c>
      <c r="H57" s="1">
        <f>IFERROR(__xludf.DUMMYFUNCTION("""COMPUTED_VALUE"""),356.0)</f>
        <v>356</v>
      </c>
      <c r="I57" s="1"/>
      <c r="J57" s="1"/>
      <c r="K57" s="1" t="str">
        <f>IFERROR(__xludf.DUMMYFUNCTION("""COMPUTED_VALUE"""),"Личные неимущественные права и обязанности супругов")</f>
        <v>Личные неимущественные права и обязанности супругов</v>
      </c>
      <c r="L57" s="1">
        <f>IFERROR(__xludf.DUMMYFUNCTION("""COMPUTED_VALUE"""),556.0)</f>
        <v>556</v>
      </c>
      <c r="M57" s="1"/>
      <c r="N57" s="1"/>
      <c r="O57" s="1" t="str">
        <f>IFERROR(__xludf.DUMMYFUNCTION("""COMPUTED_VALUE"""),"Понятие мировой экономики")</f>
        <v>Понятие мировой экономики</v>
      </c>
      <c r="P57" s="1">
        <f>IFERROR(__xludf.DUMMYFUNCTION("""COMPUTED_VALUE"""),756.0)</f>
        <v>756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 t="str">
        <f>IFERROR(__xludf.DUMMYFUNCTION("""COMPUTED_VALUE"""),"Способы регулирования общественных отношений")</f>
        <v>Способы регулирования общественных отношений</v>
      </c>
      <c r="F58" s="1">
        <f>IFERROR(__xludf.DUMMYFUNCTION("""COMPUTED_VALUE"""),262.0)</f>
        <v>262</v>
      </c>
      <c r="G58" s="1" t="str">
        <f>IFERROR(__xludf.DUMMYFUNCTION("""COMPUTED_VALUE"""),"Политическая культура")</f>
        <v>Политическая культура</v>
      </c>
      <c r="H58" s="1">
        <f>IFERROR(__xludf.DUMMYFUNCTION("""COMPUTED_VALUE"""),357.0)</f>
        <v>357</v>
      </c>
      <c r="I58" s="1"/>
      <c r="J58" s="1"/>
      <c r="K58" s="1" t="str">
        <f>IFERROR(__xludf.DUMMYFUNCTION("""COMPUTED_VALUE"""),"Права и обязанности родителей и детей")</f>
        <v>Права и обязанности родителей и детей</v>
      </c>
      <c r="L58" s="1">
        <f>IFERROR(__xludf.DUMMYFUNCTION("""COMPUTED_VALUE"""),557.0)</f>
        <v>557</v>
      </c>
      <c r="M58" s="1"/>
      <c r="N58" s="1"/>
      <c r="O58" s="1" t="str">
        <f>IFERROR(__xludf.DUMMYFUNCTION("""COMPUTED_VALUE"""),"Субъекты мировой экономики")</f>
        <v>Субъекты мировой экономики</v>
      </c>
      <c r="P58" s="1">
        <f>IFERROR(__xludf.DUMMYFUNCTION("""COMPUTED_VALUE"""),757.0)</f>
        <v>757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 t="str">
        <f>IFERROR(__xludf.DUMMYFUNCTION("""COMPUTED_VALUE"""),"Понятие и виды социальных общностей")</f>
        <v>Понятие и виды социальных общностей</v>
      </c>
      <c r="F59" s="1">
        <f>IFERROR(__xludf.DUMMYFUNCTION("""COMPUTED_VALUE"""),263.0)</f>
        <v>263</v>
      </c>
      <c r="G59" s="1" t="str">
        <f>IFERROR(__xludf.DUMMYFUNCTION("""COMPUTED_VALUE"""),"Политическое участие. Формы политического участия")</f>
        <v>Политическое участие. Формы политического участия</v>
      </c>
      <c r="H59" s="1">
        <f>IFERROR(__xludf.DUMMYFUNCTION("""COMPUTED_VALUE"""),358.0)</f>
        <v>358</v>
      </c>
      <c r="I59" s="1"/>
      <c r="J59" s="1"/>
      <c r="K59" s="1" t="str">
        <f>IFERROR(__xludf.DUMMYFUNCTION("""COMPUTED_VALUE"""),"Понятие и предмет международного права")</f>
        <v>Понятие и предмет международного права</v>
      </c>
      <c r="L59" s="1">
        <f>IFERROR(__xludf.DUMMYFUNCTION("""COMPUTED_VALUE"""),558.0)</f>
        <v>558</v>
      </c>
      <c r="M59" s="1"/>
      <c r="N59" s="1"/>
      <c r="O59" s="1" t="str">
        <f>IFERROR(__xludf.DUMMYFUNCTION("""COMPUTED_VALUE"""),"Международное разделение труда")</f>
        <v>Международное разделение труда</v>
      </c>
      <c r="P59" s="1">
        <f>IFERROR(__xludf.DUMMYFUNCTION("""COMPUTED_VALUE"""),758.0)</f>
        <v>758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 t="str">
        <f>IFERROR(__xludf.DUMMYFUNCTION("""COMPUTED_VALUE"""),"Понятие и признаки социальных групп")</f>
        <v>Понятие и признаки социальных групп</v>
      </c>
      <c r="F60" s="1">
        <f>IFERROR(__xludf.DUMMYFUNCTION("""COMPUTED_VALUE"""),264.0)</f>
        <v>264</v>
      </c>
      <c r="G60" s="1"/>
      <c r="H60" s="1"/>
      <c r="I60" s="1"/>
      <c r="J60" s="1"/>
      <c r="K60" s="1" t="str">
        <f>IFERROR(__xludf.DUMMYFUNCTION("""COMPUTED_VALUE"""),"Международная защита прав человека в условиях мирного и военного времени")</f>
        <v>Международная защита прав человека в условиях мирного и военного времени</v>
      </c>
      <c r="L60" s="1">
        <f>IFERROR(__xludf.DUMMYFUNCTION("""COMPUTED_VALUE"""),559.0)</f>
        <v>559</v>
      </c>
      <c r="M60" s="1"/>
      <c r="N60" s="1"/>
      <c r="O60" s="1" t="str">
        <f>IFERROR(__xludf.DUMMYFUNCTION("""COMPUTED_VALUE"""),"Международная специализация")</f>
        <v>Международная специализация</v>
      </c>
      <c r="P60" s="1">
        <f>IFERROR(__xludf.DUMMYFUNCTION("""COMPUTED_VALUE"""),759.0)</f>
        <v>759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 t="str">
        <f>IFERROR(__xludf.DUMMYFUNCTION("""COMPUTED_VALUE"""),"Квазигруппа")</f>
        <v>Квазигруппа</v>
      </c>
      <c r="F61" s="1">
        <f>IFERROR(__xludf.DUMMYFUNCTION("""COMPUTED_VALUE"""),265.0)</f>
        <v>265</v>
      </c>
      <c r="G61" s="1"/>
      <c r="H61" s="1"/>
      <c r="I61" s="1"/>
      <c r="J61" s="1"/>
      <c r="K61" s="1" t="str">
        <f>IFERROR(__xludf.DUMMYFUNCTION("""COMPUTED_VALUE"""),"Воинская обязанность ")</f>
        <v>Воинская обязанность </v>
      </c>
      <c r="L61" s="1">
        <f>IFERROR(__xludf.DUMMYFUNCTION("""COMPUTED_VALUE"""),560.0)</f>
        <v>560</v>
      </c>
      <c r="M61" s="1"/>
      <c r="N61" s="1"/>
      <c r="O61" s="1" t="str">
        <f>IFERROR(__xludf.DUMMYFUNCTION("""COMPUTED_VALUE"""),"Тенденции экономического развития России")</f>
        <v>Тенденции экономического развития России</v>
      </c>
      <c r="P61" s="1">
        <f>IFERROR(__xludf.DUMMYFUNCTION("""COMPUTED_VALUE"""),760.0)</f>
        <v>760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 t="str">
        <f>IFERROR(__xludf.DUMMYFUNCTION("""COMPUTED_VALUE"""),"Основные свойства квазигрупп")</f>
        <v>Основные свойства квазигрупп</v>
      </c>
      <c r="F62" s="1">
        <f>IFERROR(__xludf.DUMMYFUNCTION("""COMPUTED_VALUE"""),266.0)</f>
        <v>266</v>
      </c>
      <c r="G62" s="1"/>
      <c r="H62" s="1"/>
      <c r="I62" s="1"/>
      <c r="J62" s="1"/>
      <c r="K62" s="1" t="str">
        <f>IFERROR(__xludf.DUMMYFUNCTION("""COMPUTED_VALUE"""),"Альтернативная гражданская служба: понятие, сроки, основания")</f>
        <v>Альтернативная гражданская служба: понятие, сроки, основания</v>
      </c>
      <c r="L62" s="1">
        <f>IFERROR(__xludf.DUMMYFUNCTION("""COMPUTED_VALUE"""),561.0)</f>
        <v>561</v>
      </c>
      <c r="M62" s="1"/>
      <c r="N62" s="1"/>
      <c r="O62" s="1" t="str">
        <f>IFERROR(__xludf.DUMMYFUNCTION("""COMPUTED_VALUE"""),"Международная торговля")</f>
        <v>Международная торговля</v>
      </c>
      <c r="P62" s="1">
        <f>IFERROR(__xludf.DUMMYFUNCTION("""COMPUTED_VALUE"""),761.0)</f>
        <v>761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 t="str">
        <f>IFERROR(__xludf.DUMMYFUNCTION("""COMPUTED_VALUE"""),"Виды социальных групп")</f>
        <v>Виды социальных групп</v>
      </c>
      <c r="F63" s="1">
        <f>IFERROR(__xludf.DUMMYFUNCTION("""COMPUTED_VALUE"""),267.0)</f>
        <v>267</v>
      </c>
      <c r="G63" s="1"/>
      <c r="H63" s="1"/>
      <c r="I63" s="1"/>
      <c r="J63" s="1"/>
      <c r="K63" s="1" t="str">
        <f>IFERROR(__xludf.DUMMYFUNCTION("""COMPUTED_VALUE"""),"Военная служба")</f>
        <v>Военная служба</v>
      </c>
      <c r="L63" s="1">
        <f>IFERROR(__xludf.DUMMYFUNCTION("""COMPUTED_VALUE"""),562.0)</f>
        <v>562</v>
      </c>
      <c r="M63" s="1"/>
      <c r="N63" s="1"/>
      <c r="O63" s="1" t="str">
        <f>IFERROR(__xludf.DUMMYFUNCTION("""COMPUTED_VALUE"""),"Экономическая интеграция")</f>
        <v>Экономическая интеграция</v>
      </c>
      <c r="P63" s="1">
        <f>IFERROR(__xludf.DUMMYFUNCTION("""COMPUTED_VALUE"""),762.0)</f>
        <v>762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 t="str">
        <f>IFERROR(__xludf.DUMMYFUNCTION("""COMPUTED_VALUE"""),"Молодежь")</f>
        <v>Молодежь</v>
      </c>
      <c r="F64" s="1">
        <f>IFERROR(__xludf.DUMMYFUNCTION("""COMPUTED_VALUE"""),268.0)</f>
        <v>268</v>
      </c>
      <c r="G64" s="1"/>
      <c r="H64" s="1"/>
      <c r="I64" s="1"/>
      <c r="J64" s="1"/>
      <c r="K64" s="1" t="str">
        <f>IFERROR(__xludf.DUMMYFUNCTION("""COMPUTED_VALUE"""),"Права и обязанности налогоплательщиков")</f>
        <v>Права и обязанности налогоплательщиков</v>
      </c>
      <c r="L64" s="1">
        <f>IFERROR(__xludf.DUMMYFUNCTION("""COMPUTED_VALUE"""),563.0)</f>
        <v>563</v>
      </c>
      <c r="M64" s="1"/>
      <c r="N64" s="1"/>
      <c r="O64" s="1" t="str">
        <f>IFERROR(__xludf.DUMMYFUNCTION("""COMPUTED_VALUE"""),"Глобальные экономические проблемы")</f>
        <v>Глобальные экономические проблемы</v>
      </c>
      <c r="P64" s="1">
        <f>IFERROR(__xludf.DUMMYFUNCTION("""COMPUTED_VALUE"""),763.0)</f>
        <v>763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 t="str">
        <f>IFERROR(__xludf.DUMMYFUNCTION("""COMPUTED_VALUE"""),"Особенности социального положения молодежи")</f>
        <v>Особенности социального положения молодежи</v>
      </c>
      <c r="F65" s="1">
        <f>IFERROR(__xludf.DUMMYFUNCTION("""COMPUTED_VALUE"""),269.0)</f>
        <v>269</v>
      </c>
      <c r="G65" s="1"/>
      <c r="H65" s="1"/>
      <c r="I65" s="1"/>
      <c r="J65" s="1"/>
      <c r="K65" s="1" t="str">
        <f>IFERROR(__xludf.DUMMYFUNCTION("""COMPUTED_VALUE"""),"Понятие и функции правоохранительных органов")</f>
        <v>Понятие и функции правоохранительных органов</v>
      </c>
      <c r="L65" s="1">
        <f>IFERROR(__xludf.DUMMYFUNCTION("""COMPUTED_VALUE"""),564.0)</f>
        <v>564</v>
      </c>
      <c r="M65" s="1"/>
      <c r="N65" s="1"/>
      <c r="O65" s="1" t="str">
        <f>IFERROR(__xludf.DUMMYFUNCTION("""COMPUTED_VALUE"""),"Государственная политика в области международной торговли")</f>
        <v>Государственная политика в области международной торговли</v>
      </c>
      <c r="P65" s="1">
        <f>IFERROR(__xludf.DUMMYFUNCTION("""COMPUTED_VALUE"""),764.0)</f>
        <v>764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 t="str">
        <f>IFERROR(__xludf.DUMMYFUNCTION("""COMPUTED_VALUE"""),"Социально-психологические качества молодежи")</f>
        <v>Социально-психологические качества молодежи</v>
      </c>
      <c r="F66" s="1">
        <f>IFERROR(__xludf.DUMMYFUNCTION("""COMPUTED_VALUE"""),270.0)</f>
        <v>270</v>
      </c>
      <c r="G66" s="1"/>
      <c r="H66" s="1"/>
      <c r="I66" s="1"/>
      <c r="J66" s="1"/>
      <c r="K66" s="1" t="str">
        <f>IFERROR(__xludf.DUMMYFUNCTION("""COMPUTED_VALUE"""),"Адвокатура РФ")</f>
        <v>Адвокатура РФ</v>
      </c>
      <c r="L66" s="1">
        <f>IFERROR(__xludf.DUMMYFUNCTION("""COMPUTED_VALUE"""),565.0)</f>
        <v>565</v>
      </c>
      <c r="M66" s="1"/>
      <c r="N66" s="1"/>
      <c r="O66" s="1" t="str">
        <f>IFERROR(__xludf.DUMMYFUNCTION("""COMPUTED_VALUE"""),"Протекционизм")</f>
        <v>Протекционизм</v>
      </c>
      <c r="P66" s="1">
        <f>IFERROR(__xludf.DUMMYFUNCTION("""COMPUTED_VALUE"""),765.0)</f>
        <v>765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 t="str">
        <f>IFERROR(__xludf.DUMMYFUNCTION("""COMPUTED_VALUE"""),"Молодежная субкультура")</f>
        <v>Молодежная субкультура</v>
      </c>
      <c r="F67" s="1">
        <f>IFERROR(__xludf.DUMMYFUNCTION("""COMPUTED_VALUE"""),271.0)</f>
        <v>271</v>
      </c>
      <c r="G67" s="1"/>
      <c r="H67" s="1"/>
      <c r="I67" s="1"/>
      <c r="J67" s="1"/>
      <c r="K67" s="1" t="str">
        <f>IFERROR(__xludf.DUMMYFUNCTION("""COMPUTED_VALUE"""),"Нотариат РФ")</f>
        <v>Нотариат РФ</v>
      </c>
      <c r="L67" s="1">
        <f>IFERROR(__xludf.DUMMYFUNCTION("""COMPUTED_VALUE"""),566.0)</f>
        <v>566</v>
      </c>
      <c r="M67" s="1"/>
      <c r="N67" s="1"/>
      <c r="O67" s="1" t="str">
        <f>IFERROR(__xludf.DUMMYFUNCTION("""COMPUTED_VALUE"""),"Фритредерство")</f>
        <v>Фритредерство</v>
      </c>
      <c r="P67" s="1">
        <f>IFERROR(__xludf.DUMMYFUNCTION("""COMPUTED_VALUE"""),766.0)</f>
        <v>766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 t="str">
        <f>IFERROR(__xludf.DUMMYFUNCTION("""COMPUTED_VALUE"""),"Особенности молодежной субкультуры")</f>
        <v>Особенности молодежной субкультуры</v>
      </c>
      <c r="F68" s="1">
        <f>IFERROR(__xludf.DUMMYFUNCTION("""COMPUTED_VALUE"""),272.0)</f>
        <v>272</v>
      </c>
      <c r="G68" s="1"/>
      <c r="H68" s="1"/>
      <c r="I68" s="1"/>
      <c r="J68" s="1"/>
      <c r="K68" s="1" t="str">
        <f>IFERROR(__xludf.DUMMYFUNCTION("""COMPUTED_VALUE"""),"Прокуратура РФ")</f>
        <v>Прокуратура РФ</v>
      </c>
      <c r="L68" s="1">
        <f>IFERROR(__xludf.DUMMYFUNCTION("""COMPUTED_VALUE"""),567.0)</f>
        <v>567</v>
      </c>
      <c r="M68" s="1"/>
      <c r="N68" s="1"/>
      <c r="O68" s="1" t="str">
        <f>IFERROR(__xludf.DUMMYFUNCTION("""COMPUTED_VALUE"""),"Умеренная торговая политика")</f>
        <v>Умеренная торговая политика</v>
      </c>
      <c r="P68" s="1">
        <f>IFERROR(__xludf.DUMMYFUNCTION("""COMPUTED_VALUE"""),767.0)</f>
        <v>767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 t="str">
        <f>IFERROR(__xludf.DUMMYFUNCTION("""COMPUTED_VALUE"""),"Понятие этнической общности")</f>
        <v>Понятие этнической общности</v>
      </c>
      <c r="F69" s="1">
        <f>IFERROR(__xludf.DUMMYFUNCTION("""COMPUTED_VALUE"""),273.0)</f>
        <v>273</v>
      </c>
      <c r="G69" s="1"/>
      <c r="H69" s="1"/>
      <c r="I69" s="1"/>
      <c r="J69" s="1"/>
      <c r="K69" s="1" t="str">
        <f>IFERROR(__xludf.DUMMYFUNCTION("""COMPUTED_VALUE"""),"МВД")</f>
        <v>МВД</v>
      </c>
      <c r="L69" s="1">
        <f>IFERROR(__xludf.DUMMYFUNCTION("""COMPUTED_VALUE"""),568.0)</f>
        <v>568</v>
      </c>
      <c r="M69" s="1"/>
      <c r="N69" s="1"/>
      <c r="O69" s="1" t="str">
        <f>IFERROR(__xludf.DUMMYFUNCTION("""COMPUTED_VALUE"""),"Другие виды рынков")</f>
        <v>Другие виды рынков</v>
      </c>
      <c r="P69" s="1">
        <f>IFERROR(__xludf.DUMMYFUNCTION("""COMPUTED_VALUE"""),768.0)</f>
        <v>768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 t="str">
        <f>IFERROR(__xludf.DUMMYFUNCTION("""COMPUTED_VALUE"""),"Исторические типы этнических общностей")</f>
        <v>Исторические типы этнических общностей</v>
      </c>
      <c r="F70" s="1">
        <f>IFERROR(__xludf.DUMMYFUNCTION("""COMPUTED_VALUE"""),274.0)</f>
        <v>274</v>
      </c>
      <c r="G70" s="1"/>
      <c r="H70" s="1"/>
      <c r="I70" s="1"/>
      <c r="J70" s="1"/>
      <c r="K70" s="1" t="str">
        <f>IFERROR(__xludf.DUMMYFUNCTION("""COMPUTED_VALUE"""),"Уголовное право")</f>
        <v>Уголовное право</v>
      </c>
      <c r="L70" s="1">
        <f>IFERROR(__xludf.DUMMYFUNCTION("""COMPUTED_VALUE"""),570.0)</f>
        <v>570</v>
      </c>
      <c r="M70" s="1"/>
      <c r="N70" s="1"/>
      <c r="O70" s="1" t="str">
        <f>IFERROR(__xludf.DUMMYFUNCTION("""COMPUTED_VALUE"""),"Системы налогообложения (прогрессивная, регрессивная, пропорциональная)")</f>
        <v>Системы налогообложения (прогрессивная, регрессивная, пропорциональная)</v>
      </c>
      <c r="P70" s="1">
        <f>IFERROR(__xludf.DUMMYFUNCTION("""COMPUTED_VALUE"""),769.0)</f>
        <v>769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 t="str">
        <f>IFERROR(__xludf.DUMMYFUNCTION("""COMPUTED_VALUE"""),"Особенности нации как этноса")</f>
        <v>Особенности нации как этноса</v>
      </c>
      <c r="F71" s="1">
        <f>IFERROR(__xludf.DUMMYFUNCTION("""COMPUTED_VALUE"""),275.0)</f>
        <v>275</v>
      </c>
      <c r="G71" s="1"/>
      <c r="H71" s="1"/>
      <c r="I71" s="1"/>
      <c r="J71" s="1"/>
      <c r="K71" s="1" t="str">
        <f>IFERROR(__xludf.DUMMYFUNCTION("""COMPUTED_VALUE"""),"Административное право")</f>
        <v>Административное право</v>
      </c>
      <c r="L71" s="1">
        <f>IFERROR(__xludf.DUMMYFUNCTION("""COMPUTED_VALUE"""),571.0)</f>
        <v>571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 t="str">
        <f>IFERROR(__xludf.DUMMYFUNCTION("""COMPUTED_VALUE"""),"Этническое самосознание")</f>
        <v>Этническое самосознание</v>
      </c>
      <c r="F72" s="1">
        <f>IFERROR(__xludf.DUMMYFUNCTION("""COMPUTED_VALUE"""),276.0)</f>
        <v>276</v>
      </c>
      <c r="G72" s="1"/>
      <c r="H72" s="1"/>
      <c r="I72" s="1"/>
      <c r="J72" s="1"/>
      <c r="K72" s="1" t="str">
        <f>IFERROR(__xludf.DUMMYFUNCTION("""COMPUTED_VALUE"""),"Трудовое право")</f>
        <v>Трудовое право</v>
      </c>
      <c r="L72" s="1">
        <f>IFERROR(__xludf.DUMMYFUNCTION("""COMPUTED_VALUE"""),572.0)</f>
        <v>572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 t="str">
        <f>IFERROR(__xludf.DUMMYFUNCTION("""COMPUTED_VALUE"""),"Межнациональные отношения")</f>
        <v>Межнациональные отношения</v>
      </c>
      <c r="F73" s="1">
        <f>IFERROR(__xludf.DUMMYFUNCTION("""COMPUTED_VALUE"""),277.0)</f>
        <v>277</v>
      </c>
      <c r="G73" s="1"/>
      <c r="H73" s="1"/>
      <c r="I73" s="1"/>
      <c r="J73" s="1"/>
      <c r="K73" s="1" t="str">
        <f>IFERROR(__xludf.DUMMYFUNCTION("""COMPUTED_VALUE"""),"Прекращение брака")</f>
        <v>Прекращение брака</v>
      </c>
      <c r="L73" s="1">
        <f>IFERROR(__xludf.DUMMYFUNCTION("""COMPUTED_VALUE"""),573.0)</f>
        <v>573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 t="str">
        <f>IFERROR(__xludf.DUMMYFUNCTION("""COMPUTED_VALUE"""),"Международная интеграция")</f>
        <v>Международная интеграция</v>
      </c>
      <c r="F74" s="1">
        <f>IFERROR(__xludf.DUMMYFUNCTION("""COMPUTED_VALUE"""),278.0)</f>
        <v>278</v>
      </c>
      <c r="G74" s="1"/>
      <c r="H74" s="1"/>
      <c r="I74" s="1"/>
      <c r="J74" s="1"/>
      <c r="K74" s="1" t="str">
        <f>IFERROR(__xludf.DUMMYFUNCTION("""COMPUTED_VALUE"""),"Правонарушения и их виды")</f>
        <v>Правонарушения и их виды</v>
      </c>
      <c r="L74" s="1">
        <f>IFERROR(__xludf.DUMMYFUNCTION("""COMPUTED_VALUE"""),574.0)</f>
        <v>574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 t="str">
        <f>IFERROR(__xludf.DUMMYFUNCTION("""COMPUTED_VALUE"""),"Международная дифференциация")</f>
        <v>Международная дифференциация</v>
      </c>
      <c r="F75" s="1">
        <f>IFERROR(__xludf.DUMMYFUNCTION("""COMPUTED_VALUE"""),279.0)</f>
        <v>279</v>
      </c>
      <c r="G75" s="1"/>
      <c r="H75" s="1"/>
      <c r="I75" s="1"/>
      <c r="J75" s="1"/>
      <c r="K75" s="1" t="str">
        <f>IFERROR(__xludf.DUMMYFUNCTION("""COMPUTED_VALUE"""),"Правоотношения и их состав")</f>
        <v>Правоотношения и их состав</v>
      </c>
      <c r="L75" s="1">
        <f>IFERROR(__xludf.DUMMYFUNCTION("""COMPUTED_VALUE"""),575.0)</f>
        <v>575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 t="str">
        <f>IFERROR(__xludf.DUMMYFUNCTION("""COMPUTED_VALUE"""),"Культурный плюрализм")</f>
        <v>Культурный плюрализм</v>
      </c>
      <c r="F76" s="1">
        <f>IFERROR(__xludf.DUMMYFUNCTION("""COMPUTED_VALUE"""),280.0)</f>
        <v>280</v>
      </c>
      <c r="G76" s="1"/>
      <c r="H76" s="1"/>
      <c r="I76" s="1"/>
      <c r="J76" s="1"/>
      <c r="K76" s="1" t="str">
        <f>IFERROR(__xludf.DUMMYFUNCTION("""COMPUTED_VALUE"""),"Юридические факты")</f>
        <v>Юридические факты</v>
      </c>
      <c r="L76" s="1">
        <f>IFERROR(__xludf.DUMMYFUNCTION("""COMPUTED_VALUE"""),576.0)</f>
        <v>576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 t="str">
        <f>IFERROR(__xludf.DUMMYFUNCTION("""COMPUTED_VALUE"""),"""Плавильный котел""")</f>
        <v>"Плавильный котел"</v>
      </c>
      <c r="F77" s="1">
        <f>IFERROR(__xludf.DUMMYFUNCTION("""COMPUTED_VALUE"""),281.0)</f>
        <v>281</v>
      </c>
      <c r="G77" s="1"/>
      <c r="H77" s="1"/>
      <c r="I77" s="1"/>
      <c r="J77" s="1"/>
      <c r="K77" s="1" t="str">
        <f>IFERROR(__xludf.DUMMYFUNCTION("""COMPUTED_VALUE"""),"Понятие законотворчества")</f>
        <v>Понятие законотворчества</v>
      </c>
      <c r="L77" s="1">
        <f>IFERROR(__xludf.DUMMYFUNCTION("""COMPUTED_VALUE"""),577.0)</f>
        <v>577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 t="str">
        <f>IFERROR(__xludf.DUMMYFUNCTION("""COMPUTED_VALUE"""),"Мультикультурализм")</f>
        <v>Мультикультурализм</v>
      </c>
      <c r="F78" s="1">
        <f>IFERROR(__xludf.DUMMYFUNCTION("""COMPUTED_VALUE"""),282.0)</f>
        <v>282</v>
      </c>
      <c r="G78" s="1"/>
      <c r="H78" s="1"/>
      <c r="I78" s="1"/>
      <c r="J78" s="1"/>
      <c r="K78" s="1" t="str">
        <f>IFERROR(__xludf.DUMMYFUNCTION("""COMPUTED_VALUE"""),"Этапы законотворчества в РФ")</f>
        <v>Этапы законотворчества в РФ</v>
      </c>
      <c r="L78" s="1">
        <f>IFERROR(__xludf.DUMMYFUNCTION("""COMPUTED_VALUE"""),578.0)</f>
        <v>578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 t="str">
        <f>IFERROR(__xludf.DUMMYFUNCTION("""COMPUTED_VALUE"""),"Национализм, шовинизм, сегрегация, геноцид")</f>
        <v>Национализм, шовинизм, сегрегация, геноцид</v>
      </c>
      <c r="F79" s="1">
        <f>IFERROR(__xludf.DUMMYFUNCTION("""COMPUTED_VALUE"""),283.0)</f>
        <v>283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 t="str">
        <f>IFERROR(__xludf.DUMMYFUNCTION("""COMPUTED_VALUE"""),"Межнациональные конфликты")</f>
        <v>Межнациональные конфликты</v>
      </c>
      <c r="F80" s="1">
        <f>IFERROR(__xludf.DUMMYFUNCTION("""COMPUTED_VALUE"""),284.0)</f>
        <v>284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 t="str">
        <f>IFERROR(__xludf.DUMMYFUNCTION("""COMPUTED_VALUE"""),"Причины межнациональных конфликтов")</f>
        <v>Причины межнациональных конфликтов</v>
      </c>
      <c r="F81" s="1">
        <f>IFERROR(__xludf.DUMMYFUNCTION("""COMPUTED_VALUE"""),285.0)</f>
        <v>285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 t="str">
        <f>IFERROR(__xludf.DUMMYFUNCTION("""COMPUTED_VALUE"""),"Основные принципы национальной политики РФ")</f>
        <v>Основные принципы национальной политики РФ</v>
      </c>
      <c r="F82" s="1">
        <f>IFERROR(__xludf.DUMMYFUNCTION("""COMPUTED_VALUE"""),286.0)</f>
        <v>286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 t="str">
        <f>IFERROR(__xludf.DUMMYFUNCTION("""COMPUTED_VALUE"""),"Семья как малая соц группа и как соц институт")</f>
        <v>Семья как малая соц группа и как соц институт</v>
      </c>
      <c r="F83" s="1">
        <f>IFERROR(__xludf.DUMMYFUNCTION("""COMPUTED_VALUE"""),287.0)</f>
        <v>287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 t="str">
        <f>IFERROR(__xludf.DUMMYFUNCTION("""COMPUTED_VALUE"""),"Функции семьи")</f>
        <v>Функции семьи</v>
      </c>
      <c r="F84" s="1">
        <f>IFERROR(__xludf.DUMMYFUNCTION("""COMPUTED_VALUE"""),288.0)</f>
        <v>288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 t="str">
        <f>IFERROR(__xludf.DUMMYFUNCTION("""COMPUTED_VALUE"""),"Типы семьи (по составу, по распределению власти, по распределению домашних обязанностей и другие)")</f>
        <v>Типы семьи (по составу, по распределению власти, по распределению домашних обязанностей и другие)</v>
      </c>
      <c r="F85" s="1">
        <f>IFERROR(__xludf.DUMMYFUNCTION("""COMPUTED_VALUE"""),289.0)</f>
        <v>289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 t="str">
        <f>IFERROR(__xludf.DUMMYFUNCTION("""COMPUTED_VALUE"""),"Понятие брака")</f>
        <v>Понятие брака</v>
      </c>
      <c r="F86" s="1">
        <f>IFERROR(__xludf.DUMMYFUNCTION("""COMPUTED_VALUE"""),290.0)</f>
        <v>290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 t="str">
        <f>IFERROR(__xludf.DUMMYFUNCTION("""COMPUTED_VALUE"""),"Гражданский, церковный, фактический брак")</f>
        <v>Гражданский, церковный, фактический брак</v>
      </c>
      <c r="F87" s="1">
        <f>IFERROR(__xludf.DUMMYFUNCTION("""COMPUTED_VALUE"""),291.0)</f>
        <v>291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 t="str">
        <f>IFERROR(__xludf.DUMMYFUNCTION("""COMPUTED_VALUE"""),"Современные проблемы семьи")</f>
        <v>Современные проблемы семьи</v>
      </c>
      <c r="F88" s="1">
        <f>IFERROR(__xludf.DUMMYFUNCTION("""COMPUTED_VALUE"""),292.0)</f>
        <v>292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 t="str">
        <f>IFERROR(__xludf.DUMMYFUNCTION("""COMPUTED_VALUE"""),"Социальный статус и статусный набор")</f>
        <v>Социальный статус и статусный набор</v>
      </c>
      <c r="F89" s="1">
        <f>IFERROR(__xludf.DUMMYFUNCTION("""COMPUTED_VALUE"""),293.0)</f>
        <v>293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 t="str">
        <f>IFERROR(__xludf.DUMMYFUNCTION("""COMPUTED_VALUE"""),"Компоненты социального статуса")</f>
        <v>Компоненты социального статуса</v>
      </c>
      <c r="F90" s="1">
        <f>IFERROR(__xludf.DUMMYFUNCTION("""COMPUTED_VALUE"""),294.0)</f>
        <v>294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 t="str">
        <f>IFERROR(__xludf.DUMMYFUNCTION("""COMPUTED_VALUE"""),"Виды социальных статусов")</f>
        <v>Виды социальных статусов</v>
      </c>
      <c r="F91" s="1">
        <f>IFERROR(__xludf.DUMMYFUNCTION("""COMPUTED_VALUE"""),295.0)</f>
        <v>295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 t="str">
        <f>IFERROR(__xludf.DUMMYFUNCTION("""COMPUTED_VALUE"""),"Статусные несоответствия")</f>
        <v>Статусные несоответствия</v>
      </c>
      <c r="F92" s="1">
        <f>IFERROR(__xludf.DUMMYFUNCTION("""COMPUTED_VALUE"""),296.0)</f>
        <v>296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 t="str">
        <f>IFERROR(__xludf.DUMMYFUNCTION("""COMPUTED_VALUE"""),"Социальная роль и ролевой набор")</f>
        <v>Социальная роль и ролевой набор</v>
      </c>
      <c r="F93" s="1">
        <f>IFERROR(__xludf.DUMMYFUNCTION("""COMPUTED_VALUE"""),297.0)</f>
        <v>297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 t="str">
        <f>IFERROR(__xludf.DUMMYFUNCTION("""COMPUTED_VALUE"""),"Ролевое поведение")</f>
        <v>Ролевое поведение</v>
      </c>
      <c r="F94" s="1">
        <f>IFERROR(__xludf.DUMMYFUNCTION("""COMPUTED_VALUE"""),298.0)</f>
        <v>298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 t="str">
        <f>IFERROR(__xludf.DUMMYFUNCTION("""COMPUTED_VALUE"""),"Ролевые конфликты")</f>
        <v>Ролевые конфликты</v>
      </c>
      <c r="F95" s="1">
        <f>IFERROR(__xludf.DUMMYFUNCTION("""COMPUTED_VALUE"""),299.0)</f>
        <v>299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drawing r:id="rId1"/>
</worksheet>
</file>