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IFERROR(__xludf.DUMMYFUNCTION("IMPORTRANGE(""https://docs.google.com/spreadsheets/d/1KhlcAFOdhmXdkKCREzUyloeKG_9smoJ8BQiuq6S6wkk/edit#gid=1086412777"",""УМИТЫ!A:AK"")"),"Арифметика, арифметические выражения")</f>
        <v>Арифметика, арифметические выражения</v>
      </c>
      <c r="B1" s="1"/>
      <c r="C1" s="1" t="str">
        <f>IFERROR(__xludf.DUMMYFUNCTION("""COMPUTED_VALUE"""),"Степени, корни")</f>
        <v>Степени, корни</v>
      </c>
      <c r="D1" s="1"/>
      <c r="E1" s="1" t="str">
        <f>IFERROR(__xludf.DUMMYFUNCTION("""COMPUTED_VALUE"""),"Уравнения, системы уравнений, неравенства, системы неравенств")</f>
        <v>Уравнения, системы уравнений, неравенства, системы неравенств</v>
      </c>
      <c r="F1" s="1"/>
      <c r="G1" s="1" t="str">
        <f>IFERROR(__xludf.DUMMYFUNCTION("""COMPUTED_VALUE"""),"Функции, графики. Производная, интеграл, первообразная")</f>
        <v>Функции, графики. Производная, интеграл, первообразная</v>
      </c>
      <c r="H1" s="1"/>
      <c r="I1" s="1" t="str">
        <f>IFERROR(__xludf.DUMMYFUNCTION("""COMPUTED_VALUE"""),"Показательные уравнения и неравенства, логарифмы")</f>
        <v>Показательные уравнения и неравенства, логарифмы</v>
      </c>
      <c r="J1" s="1"/>
      <c r="K1" s="1" t="str">
        <f>IFERROR(__xludf.DUMMYFUNCTION("""COMPUTED_VALUE"""),"Тригонометрия")</f>
        <v>Тригонометрия</v>
      </c>
      <c r="L1" s="1"/>
      <c r="M1" s="1" t="str">
        <f>IFERROR(__xludf.DUMMYFUNCTION("""COMPUTED_VALUE"""),"Планиметрия")</f>
        <v>Планиметрия</v>
      </c>
      <c r="N1" s="1"/>
      <c r="O1" s="1" t="str">
        <f>IFERROR(__xludf.DUMMYFUNCTION("""COMPUTED_VALUE"""),"Вектор, координаты")</f>
        <v>Вектор, координаты</v>
      </c>
      <c r="P1" s="1"/>
      <c r="Q1" s="1" t="str">
        <f>IFERROR(__xludf.DUMMYFUNCTION("""COMPUTED_VALUE"""),"Стереометрия")</f>
        <v>Стереометрия</v>
      </c>
      <c r="R1" s="1"/>
      <c r="S1" s="1" t="str">
        <f>IFERROR(__xludf.DUMMYFUNCTION("""COMPUTED_VALUE"""),"Теория вероятностей, комбинаторика, статистика")</f>
        <v>Теория вероятностей, комбинаторика, статистика</v>
      </c>
      <c r="T1" s="1"/>
      <c r="U1" s="1" t="str">
        <f>IFERROR(__xludf.DUMMYFUNCTION("""COMPUTED_VALUE"""),"Текстовые задачи")</f>
        <v>Текстовые задачи</v>
      </c>
      <c r="V1" s="1"/>
      <c r="W1" s="1" t="str">
        <f>IFERROR(__xludf.DUMMYFUNCTION("""COMPUTED_VALUE"""),"Числа и их свойства")</f>
        <v>Числа и их свойства</v>
      </c>
      <c r="X1" s="1"/>
      <c r="Y1" s="1" t="str">
        <f>IFERROR(__xludf.DUMMYFUNCTION("""COMPUTED_VALUE"""),"Навыки и умения")</f>
        <v>Навыки и умения</v>
      </c>
      <c r="Z1" s="1"/>
      <c r="AA1" s="1" t="str">
        <f>IFERROR(__xludf.DUMMYFUNCTION("""COMPUTED_VALUE"""),"Финансовая математика")</f>
        <v>Финансовая математика</v>
      </c>
      <c r="AB1" s="1"/>
      <c r="AC1" s="1" t="str">
        <f>IFERROR(__xludf.DUMMYFUNCTION("""COMPUTED_VALUE"""),"Задача с параметром")</f>
        <v>Задача с параметром</v>
      </c>
      <c r="AD1" s="1"/>
      <c r="AE1" s="1"/>
      <c r="AF1" s="1"/>
    </row>
    <row r="2">
      <c r="A2" s="1" t="str">
        <f>IFERROR(__xludf.DUMMYFUNCTION("""COMPUTED_VALUE"""),"Действия с натуральными числами")</f>
        <v>Действия с натуральными числами</v>
      </c>
      <c r="B2" s="1">
        <f>IFERROR(__xludf.DUMMYFUNCTION("""COMPUTED_VALUE"""),1.0)</f>
        <v>1</v>
      </c>
      <c r="C2" s="1" t="str">
        <f>IFERROR(__xludf.DUMMYFUNCTION("""COMPUTED_VALUE"""),"Число в 0 степени")</f>
        <v>Число в 0 степени</v>
      </c>
      <c r="D2" s="1">
        <f>IFERROR(__xludf.DUMMYFUNCTION("""COMPUTED_VALUE"""),101.0)</f>
        <v>101</v>
      </c>
      <c r="E2" s="1" t="str">
        <f>IFERROR(__xludf.DUMMYFUNCTION("""COMPUTED_VALUE"""),"Линейные уравнения")</f>
        <v>Линейные уравнения</v>
      </c>
      <c r="F2" s="1">
        <f>IFERROR(__xludf.DUMMYFUNCTION("""COMPUTED_VALUE"""),201.0)</f>
        <v>201</v>
      </c>
      <c r="G2" s="1" t="str">
        <f>IFERROR(__xludf.DUMMYFUNCTION("""COMPUTED_VALUE"""),"Линейная функция")</f>
        <v>Линейная функция</v>
      </c>
      <c r="H2" s="1">
        <f>IFERROR(__xludf.DUMMYFUNCTION("""COMPUTED_VALUE"""),301.0)</f>
        <v>301</v>
      </c>
      <c r="I2" s="1" t="str">
        <f>IFERROR(__xludf.DUMMYFUNCTION("""COMPUTED_VALUE"""),"Показательные уравнения")</f>
        <v>Показательные уравнения</v>
      </c>
      <c r="J2" s="1">
        <f>IFERROR(__xludf.DUMMYFUNCTION("""COMPUTED_VALUE"""),401.0)</f>
        <v>401</v>
      </c>
      <c r="K2" s="1" t="str">
        <f>IFERROR(__xludf.DUMMYFUNCTION("""COMPUTED_VALUE"""),"Числовая окружность")</f>
        <v>Числовая окружность</v>
      </c>
      <c r="L2" s="1">
        <f>IFERROR(__xludf.DUMMYFUNCTION("""COMPUTED_VALUE"""),501.0)</f>
        <v>501</v>
      </c>
      <c r="M2" s="1" t="str">
        <f>IFERROR(__xludf.DUMMYFUNCTION("""COMPUTED_VALUE"""),"Прямая, отрезок, точка, луч, угол")</f>
        <v>Прямая, отрезок, точка, луч, угол</v>
      </c>
      <c r="N2" s="1">
        <f>IFERROR(__xludf.DUMMYFUNCTION("""COMPUTED_VALUE"""),601.0)</f>
        <v>601</v>
      </c>
      <c r="O2" s="1" t="str">
        <f>IFERROR(__xludf.DUMMYFUNCTION("""COMPUTED_VALUE"""),"Прямоугольная система координат")</f>
        <v>Прямоугольная система координат</v>
      </c>
      <c r="P2" s="1">
        <f>IFERROR(__xludf.DUMMYFUNCTION("""COMPUTED_VALUE"""),1601.0)</f>
        <v>1601</v>
      </c>
      <c r="Q2" s="1" t="str">
        <f>IFERROR(__xludf.DUMMYFUNCTION("""COMPUTED_VALUE"""),"Аксиомы стереометрии")</f>
        <v>Аксиомы стереометрии</v>
      </c>
      <c r="R2" s="1">
        <f>IFERROR(__xludf.DUMMYFUNCTION("""COMPUTED_VALUE"""),801.0)</f>
        <v>801</v>
      </c>
      <c r="S2" s="1" t="str">
        <f>IFERROR(__xludf.DUMMYFUNCTION("""COMPUTED_VALUE"""),"Классическое определение")</f>
        <v>Классическое определение</v>
      </c>
      <c r="T2" s="1">
        <f>IFERROR(__xludf.DUMMYFUNCTION("""COMPUTED_VALUE"""),901.0)</f>
        <v>901</v>
      </c>
      <c r="U2" s="1" t="str">
        <f>IFERROR(__xludf.DUMMYFUNCTION("""COMPUTED_VALUE"""),"Текстовые задачи с прикладным содержанием")</f>
        <v>Текстовые задачи с прикладным содержанием</v>
      </c>
      <c r="V2" s="1">
        <f>IFERROR(__xludf.DUMMYFUNCTION("""COMPUTED_VALUE"""),1001.0)</f>
        <v>1001</v>
      </c>
      <c r="W2" s="1" t="str">
        <f>IFERROR(__xludf.DUMMYFUNCTION("""COMPUTED_VALUE"""),"Числовые множества")</f>
        <v>Числовые множества</v>
      </c>
      <c r="X2" s="1">
        <f>IFERROR(__xludf.DUMMYFUNCTION("""COMPUTED_VALUE"""),1141.0)</f>
        <v>1141</v>
      </c>
      <c r="Y2" s="1" t="str">
        <f>IFERROR(__xludf.DUMMYFUNCTION("""COMPUTED_VALUE"""),"Уметь выполнять арифметические действия, сочетая устные и письменные приёмы")</f>
        <v>Уметь выполнять арифметические действия, сочетая устные и письменные приёмы</v>
      </c>
      <c r="Z2" s="1">
        <f>IFERROR(__xludf.DUMMYFUNCTION("""COMPUTED_VALUE"""),1201.0)</f>
        <v>1201</v>
      </c>
      <c r="AA2" s="1" t="str">
        <f>IFERROR(__xludf.DUMMYFUNCTION("""COMPUTED_VALUE"""),"Понятие аннуитетного платежа")</f>
        <v>Понятие аннуитетного платежа</v>
      </c>
      <c r="AB2" s="1">
        <f>IFERROR(__xludf.DUMMYFUNCTION("""COMPUTED_VALUE"""),1401.0)</f>
        <v>1401</v>
      </c>
      <c r="AC2" s="1" t="str">
        <f>IFERROR(__xludf.DUMMYFUNCTION("""COMPUTED_VALUE"""),"Что такое параметр")</f>
        <v>Что такое параметр</v>
      </c>
      <c r="AD2" s="1">
        <f>IFERROR(__xludf.DUMMYFUNCTION("""COMPUTED_VALUE"""),1501.0)</f>
        <v>1501</v>
      </c>
      <c r="AE2" s="1"/>
      <c r="AF2" s="1"/>
    </row>
    <row r="3">
      <c r="A3" s="1" t="str">
        <f>IFERROR(__xludf.DUMMYFUNCTION("""COMPUTED_VALUE"""),"Основное свойство дроби")</f>
        <v>Основное свойство дроби</v>
      </c>
      <c r="B3" s="1">
        <f>IFERROR(__xludf.DUMMYFUNCTION("""COMPUTED_VALUE"""),2.0)</f>
        <v>2</v>
      </c>
      <c r="C3" s="1" t="str">
        <f>IFERROR(__xludf.DUMMYFUNCTION("""COMPUTED_VALUE"""),"Число в 1 степени")</f>
        <v>Число в 1 степени</v>
      </c>
      <c r="D3" s="1">
        <f>IFERROR(__xludf.DUMMYFUNCTION("""COMPUTED_VALUE"""),102.0)</f>
        <v>102</v>
      </c>
      <c r="E3" s="1" t="str">
        <f>IFERROR(__xludf.DUMMYFUNCTION("""COMPUTED_VALUE"""),"Квадратные уравнения")</f>
        <v>Квадратные уравнения</v>
      </c>
      <c r="F3" s="1">
        <f>IFERROR(__xludf.DUMMYFUNCTION("""COMPUTED_VALUE"""),202.0)</f>
        <v>202</v>
      </c>
      <c r="G3" s="1" t="str">
        <f>IFERROR(__xludf.DUMMYFUNCTION("""COMPUTED_VALUE"""),"Угловой коэффициент")</f>
        <v>Угловой коэффициент</v>
      </c>
      <c r="H3" s="1">
        <f>IFERROR(__xludf.DUMMYFUNCTION("""COMPUTED_VALUE"""),302.0)</f>
        <v>302</v>
      </c>
      <c r="I3" s="1" t="str">
        <f>IFERROR(__xludf.DUMMYFUNCTION("""COMPUTED_VALUE"""),"Способы решения показательных уравнений")</f>
        <v>Способы решения показательных уравнений</v>
      </c>
      <c r="J3" s="1">
        <f>IFERROR(__xludf.DUMMYFUNCTION("""COMPUTED_VALUE"""),402.0)</f>
        <v>402</v>
      </c>
      <c r="K3" s="1" t="str">
        <f>IFERROR(__xludf.DUMMYFUNCTION("""COMPUTED_VALUE"""),"Синус и косинус. Тангенс и котангенс")</f>
        <v>Синус и косинус. Тангенс и котангенс</v>
      </c>
      <c r="L3" s="1">
        <f>IFERROR(__xludf.DUMMYFUNCTION("""COMPUTED_VALUE"""),502.0)</f>
        <v>502</v>
      </c>
      <c r="M3" s="1" t="str">
        <f>IFERROR(__xludf.DUMMYFUNCTION("""COMPUTED_VALUE"""),"Сравнение отрезков и углов")</f>
        <v>Сравнение отрезков и углов</v>
      </c>
      <c r="N3" s="1">
        <f>IFERROR(__xludf.DUMMYFUNCTION("""COMPUTED_VALUE"""),602.0)</f>
        <v>602</v>
      </c>
      <c r="O3" s="1" t="str">
        <f>IFERROR(__xludf.DUMMYFUNCTION("""COMPUTED_VALUE"""),"Свойства векторов")</f>
        <v>Свойства векторов</v>
      </c>
      <c r="P3" s="1">
        <f>IFERROR(__xludf.DUMMYFUNCTION("""COMPUTED_VALUE"""),1602.0)</f>
        <v>1602</v>
      </c>
      <c r="Q3" s="1" t="str">
        <f>IFERROR(__xludf.DUMMYFUNCTION("""COMPUTED_VALUE"""),"Параллельные прямые в пространстве")</f>
        <v>Параллельные прямые в пространстве</v>
      </c>
      <c r="R3" s="1">
        <f>IFERROR(__xludf.DUMMYFUNCTION("""COMPUTED_VALUE"""),802.0)</f>
        <v>802</v>
      </c>
      <c r="S3" s="1" t="str">
        <f>IFERROR(__xludf.DUMMYFUNCTION("""COMPUTED_VALUE"""),"Противоположное событие")</f>
        <v>Противоположное событие</v>
      </c>
      <c r="T3" s="1">
        <f>IFERROR(__xludf.DUMMYFUNCTION("""COMPUTED_VALUE"""),902.0)</f>
        <v>902</v>
      </c>
      <c r="U3" s="1" t="str">
        <f>IFERROR(__xludf.DUMMYFUNCTION("""COMPUTED_VALUE"""),"Умение решать задачи с использованием преобразований алгебраических выражений")</f>
        <v>Умение решать задачи с использованием преобразований алгебраических выражений</v>
      </c>
      <c r="V3" s="1">
        <f>IFERROR(__xludf.DUMMYFUNCTION("""COMPUTED_VALUE"""),1004.0)</f>
        <v>1004</v>
      </c>
      <c r="W3" s="1" t="str">
        <f>IFERROR(__xludf.DUMMYFUNCTION("""COMPUTED_VALUE"""),"Натуральные числа")</f>
        <v>Натуральные числа</v>
      </c>
      <c r="X3" s="1">
        <f>IFERROR(__xludf.DUMMYFUNCTION("""COMPUTED_VALUE"""),1142.0)</f>
        <v>1142</v>
      </c>
      <c r="Y3" s="1" t="str">
        <f>IFERROR(__xludf.DUMMYFUNCTION("""COMPUTED_VALUE"""),"Уметь находить значения корня натуральной степени, степени с рациональным показателем, логарифма")</f>
        <v>Уметь находить значения корня натуральной степени, степени с рациональным показателем, логарифма</v>
      </c>
      <c r="Z3" s="1">
        <f>IFERROR(__xludf.DUMMYFUNCTION("""COMPUTED_VALUE"""),1202.0)</f>
        <v>1202</v>
      </c>
      <c r="AA3" s="1" t="str">
        <f>IFERROR(__xludf.DUMMYFUNCTION("""COMPUTED_VALUE"""),"Дифференцированный платеж")</f>
        <v>Дифференцированный платеж</v>
      </c>
      <c r="AB3" s="1">
        <f>IFERROR(__xludf.DUMMYFUNCTION("""COMPUTED_VALUE"""),1402.0)</f>
        <v>1402</v>
      </c>
      <c r="AC3" s="1" t="str">
        <f>IFERROR(__xludf.DUMMYFUNCTION("""COMPUTED_VALUE"""),"Линейные уравнения и приводимые к ним уравнения с параметрами")</f>
        <v>Линейные уравнения и приводимые к ним уравнения с параметрами</v>
      </c>
      <c r="AD3" s="1">
        <f>IFERROR(__xludf.DUMMYFUNCTION("""COMPUTED_VALUE"""),1502.0)</f>
        <v>1502</v>
      </c>
      <c r="AE3" s="1"/>
      <c r="AF3" s="1"/>
    </row>
    <row r="4">
      <c r="A4" s="1" t="str">
        <f>IFERROR(__xludf.DUMMYFUNCTION("""COMPUTED_VALUE"""),"Сокращение дробей")</f>
        <v>Сокращение дробей</v>
      </c>
      <c r="B4" s="1">
        <f>IFERROR(__xludf.DUMMYFUNCTION("""COMPUTED_VALUE"""),3.0)</f>
        <v>3</v>
      </c>
      <c r="C4" s="1" t="str">
        <f>IFERROR(__xludf.DUMMYFUNCTION("""COMPUTED_VALUE"""),"Возведение числа в натуральную степень")</f>
        <v>Возведение числа в натуральную степень</v>
      </c>
      <c r="D4" s="1">
        <f>IFERROR(__xludf.DUMMYFUNCTION("""COMPUTED_VALUE"""),103.0)</f>
        <v>103</v>
      </c>
      <c r="E4" s="1" t="str">
        <f>IFERROR(__xludf.DUMMYFUNCTION("""COMPUTED_VALUE"""),"Дискриминант")</f>
        <v>Дискриминант</v>
      </c>
      <c r="F4" s="1">
        <f>IFERROR(__xludf.DUMMYFUNCTION("""COMPUTED_VALUE"""),203.0)</f>
        <v>203</v>
      </c>
      <c r="G4" s="1" t="str">
        <f>IFERROR(__xludf.DUMMYFUNCTION("""COMPUTED_VALUE"""),"Квадратичная функция")</f>
        <v>Квадратичная функция</v>
      </c>
      <c r="H4" s="1">
        <f>IFERROR(__xludf.DUMMYFUNCTION("""COMPUTED_VALUE"""),303.0)</f>
        <v>303</v>
      </c>
      <c r="I4" s="1" t="str">
        <f>IFERROR(__xludf.DUMMYFUNCTION("""COMPUTED_VALUE"""),"Показательные неравенства")</f>
        <v>Показательные неравенства</v>
      </c>
      <c r="J4" s="1">
        <f>IFERROR(__xludf.DUMMYFUNCTION("""COMPUTED_VALUE"""),403.0)</f>
        <v>403</v>
      </c>
      <c r="K4" s="1" t="str">
        <f>IFERROR(__xludf.DUMMYFUNCTION("""COMPUTED_VALUE"""),"Радианы, градусы, перевод из радиан в градусы и обратно")</f>
        <v>Радианы, градусы, перевод из радиан в градусы и обратно</v>
      </c>
      <c r="L4" s="1">
        <f>IFERROR(__xludf.DUMMYFUNCTION("""COMPUTED_VALUE"""),503.0)</f>
        <v>503</v>
      </c>
      <c r="M4" s="1" t="str">
        <f>IFERROR(__xludf.DUMMYFUNCTION("""COMPUTED_VALUE"""),"Измерение отрезков, длина отрезка")</f>
        <v>Измерение отрезков, длина отрезка</v>
      </c>
      <c r="N4" s="1">
        <f>IFERROR(__xludf.DUMMYFUNCTION("""COMPUTED_VALUE"""),604.0)</f>
        <v>604</v>
      </c>
      <c r="O4" s="1" t="str">
        <f>IFERROR(__xludf.DUMMYFUNCTION("""COMPUTED_VALUE"""),"Скалярное произведение")</f>
        <v>Скалярное произведение</v>
      </c>
      <c r="P4" s="1">
        <f>IFERROR(__xludf.DUMMYFUNCTION("""COMPUTED_VALUE"""),1603.0)</f>
        <v>1603</v>
      </c>
      <c r="Q4" s="1" t="str">
        <f>IFERROR(__xludf.DUMMYFUNCTION("""COMPUTED_VALUE"""),"Параллельность прямой и плоскости")</f>
        <v>Параллельность прямой и плоскости</v>
      </c>
      <c r="R4" s="1">
        <f>IFERROR(__xludf.DUMMYFUNCTION("""COMPUTED_VALUE"""),803.0)</f>
        <v>803</v>
      </c>
      <c r="S4" s="1" t="str">
        <f>IFERROR(__xludf.DUMMYFUNCTION("""COMPUTED_VALUE"""),"Задачи на классическую формулу вероятностей")</f>
        <v>Задачи на классическую формулу вероятностей</v>
      </c>
      <c r="T4" s="1">
        <f>IFERROR(__xludf.DUMMYFUNCTION("""COMPUTED_VALUE"""),903.0)</f>
        <v>903</v>
      </c>
      <c r="U4" s="1" t="str">
        <f>IFERROR(__xludf.DUMMYFUNCTION("""COMPUTED_VALUE"""),"Умение решать задачи с использованием свойств степеней, корней")</f>
        <v>Умение решать задачи с использованием свойств степеней, корней</v>
      </c>
      <c r="V4" s="1">
        <f>IFERROR(__xludf.DUMMYFUNCTION("""COMPUTED_VALUE"""),1005.0)</f>
        <v>1005</v>
      </c>
      <c r="W4" s="1" t="str">
        <f>IFERROR(__xludf.DUMMYFUNCTION("""COMPUTED_VALUE"""),"Целые числа")</f>
        <v>Целые числа</v>
      </c>
      <c r="X4" s="1">
        <f>IFERROR(__xludf.DUMMYFUNCTION("""COMPUTED_VALUE"""),1143.0)</f>
        <v>1143</v>
      </c>
      <c r="Y4" s="1" t="str">
        <f>IFERROR(__xludf.DUMMYFUNCTION("""COMPUTED_VALUE"""),"Уметь вычислять значения числовых и буквенных выражений, осуществляя необходимые подстановки и преобразования")</f>
        <v>Уметь вычислять значения числовых и буквенных выражений, осуществляя необходимые подстановки и преобразования</v>
      </c>
      <c r="Z4" s="1">
        <f>IFERROR(__xludf.DUMMYFUNCTION("""COMPUTED_VALUE"""),1203.0)</f>
        <v>1203</v>
      </c>
      <c r="AA4" s="1" t="str">
        <f>IFERROR(__xludf.DUMMYFUNCTION("""COMPUTED_VALUE"""),"Смешанные выплаты")</f>
        <v>Смешанные выплаты</v>
      </c>
      <c r="AB4" s="1">
        <f>IFERROR(__xludf.DUMMYFUNCTION("""COMPUTED_VALUE"""),1403.0)</f>
        <v>1403</v>
      </c>
      <c r="AC4" s="1" t="str">
        <f>IFERROR(__xludf.DUMMYFUNCTION("""COMPUTED_VALUE"""),"Квадратичные и сводимые к ним уравнения с параметрами")</f>
        <v>Квадратичные и сводимые к ним уравнения с параметрами</v>
      </c>
      <c r="AD4" s="1">
        <f>IFERROR(__xludf.DUMMYFUNCTION("""COMPUTED_VALUE"""),1503.0)</f>
        <v>1503</v>
      </c>
      <c r="AE4" s="1"/>
      <c r="AF4" s="1"/>
    </row>
    <row r="5">
      <c r="A5" s="1" t="str">
        <f>IFERROR(__xludf.DUMMYFUNCTION("""COMPUTED_VALUE"""),"Перевод смешанного числа в неправильную дробь")</f>
        <v>Перевод смешанного числа в неправильную дробь</v>
      </c>
      <c r="B5" s="1">
        <f>IFERROR(__xludf.DUMMYFUNCTION("""COMPUTED_VALUE"""),4.0)</f>
        <v>4</v>
      </c>
      <c r="C5" s="1" t="str">
        <f>IFERROR(__xludf.DUMMYFUNCTION("""COMPUTED_VALUE"""),"Возведение отрицательного числа в четную степень")</f>
        <v>Возведение отрицательного числа в четную степень</v>
      </c>
      <c r="D5" s="1">
        <f>IFERROR(__xludf.DUMMYFUNCTION("""COMPUTED_VALUE"""),104.0)</f>
        <v>104</v>
      </c>
      <c r="E5" s="1" t="str">
        <f>IFERROR(__xludf.DUMMYFUNCTION("""COMPUTED_VALUE"""),"Теорема Виета")</f>
        <v>Теорема Виета</v>
      </c>
      <c r="F5" s="1">
        <f>IFERROR(__xludf.DUMMYFUNCTION("""COMPUTED_VALUE"""),204.0)</f>
        <v>204</v>
      </c>
      <c r="G5" s="1" t="str">
        <f>IFERROR(__xludf.DUMMYFUNCTION("""COMPUTED_VALUE"""),"Гипербола")</f>
        <v>Гипербола</v>
      </c>
      <c r="H5" s="1">
        <f>IFERROR(__xludf.DUMMYFUNCTION("""COMPUTED_VALUE"""),304.0)</f>
        <v>304</v>
      </c>
      <c r="I5" s="1" t="str">
        <f>IFERROR(__xludf.DUMMYFUNCTION("""COMPUTED_VALUE"""),"Показательная функция")</f>
        <v>Показательная функция</v>
      </c>
      <c r="J5" s="1">
        <f>IFERROR(__xludf.DUMMYFUNCTION("""COMPUTED_VALUE"""),404.0)</f>
        <v>404</v>
      </c>
      <c r="K5" s="1" t="str">
        <f>IFERROR(__xludf.DUMMYFUNCTION("""COMPUTED_VALUE"""),"Основные тригонометрические тождества")</f>
        <v>Основные тригонометрические тождества</v>
      </c>
      <c r="L5" s="1">
        <f>IFERROR(__xludf.DUMMYFUNCTION("""COMPUTED_VALUE"""),504.0)</f>
        <v>504</v>
      </c>
      <c r="M5" s="1" t="str">
        <f>IFERROR(__xludf.DUMMYFUNCTION("""COMPUTED_VALUE"""),"Единицы измерения")</f>
        <v>Единицы измерения</v>
      </c>
      <c r="N5" s="1">
        <f>IFERROR(__xludf.DUMMYFUNCTION("""COMPUTED_VALUE"""),605.0)</f>
        <v>605</v>
      </c>
      <c r="O5" s="1" t="str">
        <f>IFERROR(__xludf.DUMMYFUNCTION("""COMPUTED_VALUE"""),"Уравнение плоскости в пространстве")</f>
        <v>Уравнение плоскости в пространстве</v>
      </c>
      <c r="P5" s="1">
        <f>IFERROR(__xludf.DUMMYFUNCTION("""COMPUTED_VALUE"""),1604.0)</f>
        <v>1604</v>
      </c>
      <c r="Q5" s="1" t="str">
        <f>IFERROR(__xludf.DUMMYFUNCTION("""COMPUTED_VALUE"""),"Скрещивающиеся прямые")</f>
        <v>Скрещивающиеся прямые</v>
      </c>
      <c r="R5" s="1">
        <f>IFERROR(__xludf.DUMMYFUNCTION("""COMPUTED_VALUE"""),804.0)</f>
        <v>804</v>
      </c>
      <c r="S5" s="1" t="str">
        <f>IFERROR(__xludf.DUMMYFUNCTION("""COMPUTED_VALUE"""),"Теоремы о вероятностях событий")</f>
        <v>Теоремы о вероятностях событий</v>
      </c>
      <c r="T5" s="1">
        <f>IFERROR(__xludf.DUMMYFUNCTION("""COMPUTED_VALUE"""),904.0)</f>
        <v>904</v>
      </c>
      <c r="U5" s="1" t="str">
        <f>IFERROR(__xludf.DUMMYFUNCTION("""COMPUTED_VALUE"""),"Задачи на движение по прямой")</f>
        <v>Задачи на движение по прямой</v>
      </c>
      <c r="V5" s="1">
        <f>IFERROR(__xludf.DUMMYFUNCTION("""COMPUTED_VALUE"""),1006.0)</f>
        <v>1006</v>
      </c>
      <c r="W5" s="1" t="str">
        <f>IFERROR(__xludf.DUMMYFUNCTION("""COMPUTED_VALUE"""),"Рациональные числа")</f>
        <v>Рациональные числа</v>
      </c>
      <c r="X5" s="1">
        <f>IFERROR(__xludf.DUMMYFUNCTION("""COMPUTED_VALUE"""),1144.0)</f>
        <v>1144</v>
      </c>
      <c r="Y5" s="1" t="str">
        <f>IFERROR(__xludf.DUMMYFUNCTION("""COMPUTED_VALUE"""),"Уметь проводить по известным формулам и правилам преобразования буквенных выражений, включающих степени, радикалы, логарифмы и тригонометрические функции")</f>
        <v>Уметь проводить по известным формулам и правилам преобразования буквенных выражений, включающих степени, радикалы, логарифмы и тригонометрические функции</v>
      </c>
      <c r="Z5" s="1">
        <f>IFERROR(__xludf.DUMMYFUNCTION("""COMPUTED_VALUE"""),1204.0)</f>
        <v>1204</v>
      </c>
      <c r="AA5" s="1" t="str">
        <f>IFERROR(__xludf.DUMMYFUNCTION("""COMPUTED_VALUE"""),"Вклады")</f>
        <v>Вклады</v>
      </c>
      <c r="AB5" s="1">
        <f>IFERROR(__xludf.DUMMYFUNCTION("""COMPUTED_VALUE"""),1404.0)</f>
        <v>1404</v>
      </c>
      <c r="AC5" s="1" t="str">
        <f>IFERROR(__xludf.DUMMYFUNCTION("""COMPUTED_VALUE"""),"Уравнения с параметрами, содержащие модуль")</f>
        <v>Уравнения с параметрами, содержащие модуль</v>
      </c>
      <c r="AD5" s="1">
        <f>IFERROR(__xludf.DUMMYFUNCTION("""COMPUTED_VALUE"""),1504.0)</f>
        <v>1504</v>
      </c>
      <c r="AE5" s="1"/>
      <c r="AF5" s="1"/>
    </row>
    <row r="6">
      <c r="A6" s="1" t="str">
        <f>IFERROR(__xludf.DUMMYFUNCTION("""COMPUTED_VALUE"""),"Перевод неправильной дроби в смешанное число")</f>
        <v>Перевод неправильной дроби в смешанное число</v>
      </c>
      <c r="B6" s="1">
        <f>IFERROR(__xludf.DUMMYFUNCTION("""COMPUTED_VALUE"""),5.0)</f>
        <v>5</v>
      </c>
      <c r="C6" s="1" t="str">
        <f>IFERROR(__xludf.DUMMYFUNCTION("""COMPUTED_VALUE"""),"Возведение отрицательного числа в нечетную степень")</f>
        <v>Возведение отрицательного числа в нечетную степень</v>
      </c>
      <c r="D6" s="1">
        <f>IFERROR(__xludf.DUMMYFUNCTION("""COMPUTED_VALUE"""),105.0)</f>
        <v>105</v>
      </c>
      <c r="E6" s="1" t="str">
        <f>IFERROR(__xludf.DUMMYFUNCTION("""COMPUTED_VALUE"""),"Неполные квадратные уравнения")</f>
        <v>Неполные квадратные уравнения</v>
      </c>
      <c r="F6" s="1">
        <f>IFERROR(__xludf.DUMMYFUNCTION("""COMPUTED_VALUE"""),205.0)</f>
        <v>205</v>
      </c>
      <c r="G6" s="1" t="str">
        <f>IFERROR(__xludf.DUMMYFUNCTION("""COMPUTED_VALUE"""),"Степенная функция")</f>
        <v>Степенная функция</v>
      </c>
      <c r="H6" s="1">
        <f>IFERROR(__xludf.DUMMYFUNCTION("""COMPUTED_VALUE"""),305.0)</f>
        <v>305</v>
      </c>
      <c r="I6" s="1" t="str">
        <f>IFERROR(__xludf.DUMMYFUNCTION("""COMPUTED_VALUE"""),"Определение логарифма")</f>
        <v>Определение логарифма</v>
      </c>
      <c r="J6" s="1">
        <f>IFERROR(__xludf.DUMMYFUNCTION("""COMPUTED_VALUE"""),405.0)</f>
        <v>405</v>
      </c>
      <c r="K6" s="1" t="str">
        <f>IFERROR(__xludf.DUMMYFUNCTION("""COMPUTED_VALUE"""),"Формулы приведения")</f>
        <v>Формулы приведения</v>
      </c>
      <c r="L6" s="1">
        <f>IFERROR(__xludf.DUMMYFUNCTION("""COMPUTED_VALUE"""),505.0)</f>
        <v>505</v>
      </c>
      <c r="M6" s="1" t="str">
        <f>IFERROR(__xludf.DUMMYFUNCTION("""COMPUTED_VALUE"""),"Измерение углов, градусная мера угла")</f>
        <v>Измерение углов, градусная мера угла</v>
      </c>
      <c r="N6" s="1">
        <f>IFERROR(__xludf.DUMMYFUNCTION("""COMPUTED_VALUE"""),606.0)</f>
        <v>606</v>
      </c>
      <c r="O6" s="1" t="str">
        <f>IFERROR(__xludf.DUMMYFUNCTION("""COMPUTED_VALUE"""),"Уравнение прямой в пространстве")</f>
        <v>Уравнение прямой в пространстве</v>
      </c>
      <c r="P6" s="1">
        <f>IFERROR(__xludf.DUMMYFUNCTION("""COMPUTED_VALUE"""),1605.0)</f>
        <v>1605</v>
      </c>
      <c r="Q6" s="1" t="str">
        <f>IFERROR(__xludf.DUMMYFUNCTION("""COMPUTED_VALUE"""),"Угол между прямыми")</f>
        <v>Угол между прямыми</v>
      </c>
      <c r="R6" s="1">
        <f>IFERROR(__xludf.DUMMYFUNCTION("""COMPUTED_VALUE"""),805.0)</f>
        <v>805</v>
      </c>
      <c r="S6" s="1" t="str">
        <f>IFERROR(__xludf.DUMMYFUNCTION("""COMPUTED_VALUE"""),"Задачи на теоремы о вероятностных событиях")</f>
        <v>Задачи на теоремы о вероятностных событиях</v>
      </c>
      <c r="T6" s="1">
        <f>IFERROR(__xludf.DUMMYFUNCTION("""COMPUTED_VALUE"""),905.0)</f>
        <v>905</v>
      </c>
      <c r="U6" s="1" t="str">
        <f>IFERROR(__xludf.DUMMYFUNCTION("""COMPUTED_VALUE"""),"Задачи на движение по воде")</f>
        <v>Задачи на движение по воде</v>
      </c>
      <c r="V6" s="1">
        <f>IFERROR(__xludf.DUMMYFUNCTION("""COMPUTED_VALUE"""),1007.0)</f>
        <v>1007</v>
      </c>
      <c r="W6" s="1" t="str">
        <f>IFERROR(__xludf.DUMMYFUNCTION("""COMPUTED_VALUE"""),"Понятие делимости")</f>
        <v>Понятие делимости</v>
      </c>
      <c r="X6" s="1">
        <f>IFERROR(__xludf.DUMMYFUNCTION("""COMPUTED_VALUE"""),1145.0)</f>
        <v>1145</v>
      </c>
      <c r="Y6" s="1" t="str">
        <f>IFERROR(__xludf.DUMMYFUNCTION("""COMPUTED_VALUE"""),"Сформированность понятийного аппарата по основным разделам курса математики")</f>
        <v>Сформированность понятийного аппарата по основным разделам курса математики</v>
      </c>
      <c r="Z6" s="1">
        <f>IFERROR(__xludf.DUMMYFUNCTION("""COMPUTED_VALUE"""),1205.0)</f>
        <v>1205</v>
      </c>
      <c r="AA6" s="1" t="str">
        <f>IFERROR(__xludf.DUMMYFUNCTION("""COMPUTED_VALUE"""),"Задачи на оптимальный выбор")</f>
        <v>Задачи на оптимальный выбор</v>
      </c>
      <c r="AB6" s="1">
        <f>IFERROR(__xludf.DUMMYFUNCTION("""COMPUTED_VALUE"""),1405.0)</f>
        <v>1405</v>
      </c>
      <c r="AC6" s="1" t="str">
        <f>IFERROR(__xludf.DUMMYFUNCTION("""COMPUTED_VALUE"""),"Системы уравнений с параметрами")</f>
        <v>Системы уравнений с параметрами</v>
      </c>
      <c r="AD6" s="1">
        <f>IFERROR(__xludf.DUMMYFUNCTION("""COMPUTED_VALUE"""),1505.0)</f>
        <v>1505</v>
      </c>
      <c r="AE6" s="1"/>
      <c r="AF6" s="1"/>
    </row>
    <row r="7">
      <c r="A7" s="1" t="str">
        <f>IFERROR(__xludf.DUMMYFUNCTION("""COMPUTED_VALUE"""),"Сложение/вычитание обыкновенных дробей с одинаковым знаменателем")</f>
        <v>Сложение/вычитание обыкновенных дробей с одинаковым знаменателем</v>
      </c>
      <c r="B7" s="1">
        <f>IFERROR(__xludf.DUMMYFUNCTION("""COMPUTED_VALUE"""),6.0)</f>
        <v>6</v>
      </c>
      <c r="C7" s="1" t="str">
        <f>IFERROR(__xludf.DUMMYFUNCTION("""COMPUTED_VALUE"""),"Возведение числа в отрицательную степень")</f>
        <v>Возведение числа в отрицательную степень</v>
      </c>
      <c r="D7" s="1">
        <f>IFERROR(__xludf.DUMMYFUNCTION("""COMPUTED_VALUE"""),106.0)</f>
        <v>106</v>
      </c>
      <c r="E7" s="1" t="str">
        <f>IFERROR(__xludf.DUMMYFUNCTION("""COMPUTED_VALUE"""),"Кубические уравнения")</f>
        <v>Кубические уравнения</v>
      </c>
      <c r="F7" s="1">
        <f>IFERROR(__xludf.DUMMYFUNCTION("""COMPUTED_VALUE"""),206.0)</f>
        <v>206</v>
      </c>
      <c r="G7" s="1" t="str">
        <f>IFERROR(__xludf.DUMMYFUNCTION("""COMPUTED_VALUE"""),"Функция квадратного корня")</f>
        <v>Функция квадратного корня</v>
      </c>
      <c r="H7" s="1">
        <f>IFERROR(__xludf.DUMMYFUNCTION("""COMPUTED_VALUE"""),306.0)</f>
        <v>306</v>
      </c>
      <c r="I7" s="1" t="str">
        <f>IFERROR(__xludf.DUMMYFUNCTION("""COMPUTED_VALUE"""),"Логарифмическая функция")</f>
        <v>Логарифмическая функция</v>
      </c>
      <c r="J7" s="1">
        <f>IFERROR(__xludf.DUMMYFUNCTION("""COMPUTED_VALUE"""),406.0)</f>
        <v>406</v>
      </c>
      <c r="K7" s="1" t="str">
        <f>IFERROR(__xludf.DUMMYFUNCTION("""COMPUTED_VALUE"""),"Синус и косинус суммы и разности аргументов")</f>
        <v>Синус и косинус суммы и разности аргументов</v>
      </c>
      <c r="L7" s="1">
        <f>IFERROR(__xludf.DUMMYFUNCTION("""COMPUTED_VALUE"""),511.0)</f>
        <v>511</v>
      </c>
      <c r="M7" s="1" t="str">
        <f>IFERROR(__xludf.DUMMYFUNCTION("""COMPUTED_VALUE"""),"Смежные углы")</f>
        <v>Смежные углы</v>
      </c>
      <c r="N7" s="1">
        <f>IFERROR(__xludf.DUMMYFUNCTION("""COMPUTED_VALUE"""),607.0)</f>
        <v>607</v>
      </c>
      <c r="O7" s="1" t="str">
        <f>IFERROR(__xludf.DUMMYFUNCTION("""COMPUTED_VALUE"""),"Угол между прямыми через координаты")</f>
        <v>Угол между прямыми через координаты</v>
      </c>
      <c r="P7" s="1">
        <f>IFERROR(__xludf.DUMMYFUNCTION("""COMPUTED_VALUE"""),1606.0)</f>
        <v>1606</v>
      </c>
      <c r="Q7" s="1" t="str">
        <f>IFERROR(__xludf.DUMMYFUNCTION("""COMPUTED_VALUE"""),"Параллельные плоскости, свойства")</f>
        <v>Параллельные плоскости, свойства</v>
      </c>
      <c r="R7" s="1">
        <f>IFERROR(__xludf.DUMMYFUNCTION("""COMPUTED_VALUE"""),806.0)</f>
        <v>806</v>
      </c>
      <c r="S7" s="1" t="str">
        <f>IFERROR(__xludf.DUMMYFUNCTION("""COMPUTED_VALUE"""),"Определение событий")</f>
        <v>Определение событий</v>
      </c>
      <c r="T7" s="1">
        <f>IFERROR(__xludf.DUMMYFUNCTION("""COMPUTED_VALUE"""),906.0)</f>
        <v>906</v>
      </c>
      <c r="U7" s="1" t="str">
        <f>IFERROR(__xludf.DUMMYFUNCTION("""COMPUTED_VALUE"""),"Задачи на совместную работу")</f>
        <v>Задачи на совместную работу</v>
      </c>
      <c r="V7" s="1">
        <f>IFERROR(__xludf.DUMMYFUNCTION("""COMPUTED_VALUE"""),1008.0)</f>
        <v>1008</v>
      </c>
      <c r="W7" s="1" t="str">
        <f>IFERROR(__xludf.DUMMYFUNCTION("""COMPUTED_VALUE"""),"Признаки делимости чисел")</f>
        <v>Признаки делимости чисел</v>
      </c>
      <c r="X7" s="1">
        <f>IFERROR(__xludf.DUMMYFUNCTION("""COMPUTED_VALUE"""),1146.0)</f>
        <v>1146</v>
      </c>
      <c r="Y7" s="1" t="str">
        <f>IFERROR(__xludf.DUMMYFUNCTION("""COMPUTED_VALUE"""),"Знание основных теорем, формул и умение их применять")</f>
        <v>Знание основных теорем, формул и умение их применять</v>
      </c>
      <c r="Z7" s="1">
        <f>IFERROR(__xludf.DUMMYFUNCTION("""COMPUTED_VALUE"""),1206.0)</f>
        <v>1206</v>
      </c>
      <c r="AA7" s="1" t="str">
        <f>IFERROR(__xludf.DUMMYFUNCTION("""COMPUTED_VALUE"""),"Сложный процент")</f>
        <v>Сложный процент</v>
      </c>
      <c r="AB7" s="1">
        <f>IFERROR(__xludf.DUMMYFUNCTION("""COMPUTED_VALUE"""),1406.0)</f>
        <v>1406</v>
      </c>
      <c r="AC7" s="1" t="str">
        <f>IFERROR(__xludf.DUMMYFUNCTION("""COMPUTED_VALUE"""),"Иррациональные уравнения с параметрами")</f>
        <v>Иррациональные уравнения с параметрами</v>
      </c>
      <c r="AD7" s="1">
        <f>IFERROR(__xludf.DUMMYFUNCTION("""COMPUTED_VALUE"""),1506.0)</f>
        <v>1506</v>
      </c>
      <c r="AE7" s="1"/>
      <c r="AF7" s="1"/>
    </row>
    <row r="8">
      <c r="A8" s="1" t="str">
        <f>IFERROR(__xludf.DUMMYFUNCTION("""COMPUTED_VALUE"""),"Сложение/вычитание обыкновенных дробей с разными знаменателями")</f>
        <v>Сложение/вычитание обыкновенных дробей с разными знаменателями</v>
      </c>
      <c r="B8" s="1">
        <f>IFERROR(__xludf.DUMMYFUNCTION("""COMPUTED_VALUE"""),7.0)</f>
        <v>7</v>
      </c>
      <c r="C8" s="1" t="str">
        <f>IFERROR(__xludf.DUMMYFUNCTION("""COMPUTED_VALUE"""),"Возведение числа в дробную степень")</f>
        <v>Возведение числа в дробную степень</v>
      </c>
      <c r="D8" s="1">
        <f>IFERROR(__xludf.DUMMYFUNCTION("""COMPUTED_VALUE"""),107.0)</f>
        <v>107</v>
      </c>
      <c r="E8" s="1" t="str">
        <f>IFERROR(__xludf.DUMMYFUNCTION("""COMPUTED_VALUE"""),"Дробно-рациональные уравнения")</f>
        <v>Дробно-рациональные уравнения</v>
      </c>
      <c r="F8" s="1">
        <f>IFERROR(__xludf.DUMMYFUNCTION("""COMPUTED_VALUE"""),207.0)</f>
        <v>207</v>
      </c>
      <c r="G8" s="1" t="str">
        <f>IFERROR(__xludf.DUMMYFUNCTION("""COMPUTED_VALUE"""),"Функция с модулем")</f>
        <v>Функция с модулем</v>
      </c>
      <c r="H8" s="1">
        <f>IFERROR(__xludf.DUMMYFUNCTION("""COMPUTED_VALUE"""),307.0)</f>
        <v>307</v>
      </c>
      <c r="I8" s="1" t="str">
        <f>IFERROR(__xludf.DUMMYFUNCTION("""COMPUTED_VALUE"""),"Основное логарифмическое тождество")</f>
        <v>Основное логарифмическое тождество</v>
      </c>
      <c r="J8" s="1">
        <f>IFERROR(__xludf.DUMMYFUNCTION("""COMPUTED_VALUE"""),407.0)</f>
        <v>407</v>
      </c>
      <c r="K8" s="1" t="str">
        <f>IFERROR(__xludf.DUMMYFUNCTION("""COMPUTED_VALUE"""),"Тангенс суммы и разности аргументов")</f>
        <v>Тангенс суммы и разности аргументов</v>
      </c>
      <c r="L8" s="1">
        <f>IFERROR(__xludf.DUMMYFUNCTION("""COMPUTED_VALUE"""),512.0)</f>
        <v>512</v>
      </c>
      <c r="M8" s="1" t="str">
        <f>IFERROR(__xludf.DUMMYFUNCTION("""COMPUTED_VALUE"""),"Вертикальные углы")</f>
        <v>Вертикальные углы</v>
      </c>
      <c r="N8" s="1">
        <f>IFERROR(__xludf.DUMMYFUNCTION("""COMPUTED_VALUE"""),608.0)</f>
        <v>608</v>
      </c>
      <c r="O8" s="1" t="str">
        <f>IFERROR(__xludf.DUMMYFUNCTION("""COMPUTED_VALUE"""),"Угол между прямой и плоскостью через координаты")</f>
        <v>Угол между прямой и плоскостью через координаты</v>
      </c>
      <c r="P8" s="1">
        <f>IFERROR(__xludf.DUMMYFUNCTION("""COMPUTED_VALUE"""),1607.0)</f>
        <v>1607</v>
      </c>
      <c r="Q8" s="1" t="str">
        <f>IFERROR(__xludf.DUMMYFUNCTION("""COMPUTED_VALUE"""),"Перпендикулярность прямых и плоскостей")</f>
        <v>Перпендикулярность прямых и плоскостей</v>
      </c>
      <c r="R8" s="1">
        <f>IFERROR(__xludf.DUMMYFUNCTION("""COMPUTED_VALUE"""),807.0)</f>
        <v>807</v>
      </c>
      <c r="S8" s="1" t="str">
        <f>IFERROR(__xludf.DUMMYFUNCTION("""COMPUTED_VALUE"""),"Независимые события")</f>
        <v>Независимые события</v>
      </c>
      <c r="T8" s="1">
        <f>IFERROR(__xludf.DUMMYFUNCTION("""COMPUTED_VALUE"""),907.0)</f>
        <v>907</v>
      </c>
      <c r="U8" s="1" t="str">
        <f>IFERROR(__xludf.DUMMYFUNCTION("""COMPUTED_VALUE"""),"Задачи на проценты")</f>
        <v>Задачи на проценты</v>
      </c>
      <c r="V8" s="1">
        <f>IFERROR(__xludf.DUMMYFUNCTION("""COMPUTED_VALUE"""),1009.0)</f>
        <v>1009</v>
      </c>
      <c r="W8" s="1" t="str">
        <f>IFERROR(__xludf.DUMMYFUNCTION("""COMPUTED_VALUE"""),"Определение четности")</f>
        <v>Определение четности</v>
      </c>
      <c r="X8" s="1">
        <f>IFERROR(__xludf.DUMMYFUNCTION("""COMPUTED_VALUE"""),1147.0)</f>
        <v>1147</v>
      </c>
      <c r="Y8" s="1" t="str">
        <f>IFERROR(__xludf.DUMMYFUNCTION("""COMPUTED_VALUE"""),"Умение доказывать теоремы и находить нестандартные способы решения задач")</f>
        <v>Умение доказывать теоремы и находить нестандартные способы решения задач</v>
      </c>
      <c r="Z8" s="1">
        <f>IFERROR(__xludf.DUMMYFUNCTION("""COMPUTED_VALUE"""),1207.0)</f>
        <v>1207</v>
      </c>
      <c r="AA8" s="1"/>
      <c r="AB8" s="1"/>
      <c r="AC8" s="1" t="str">
        <f>IFERROR(__xludf.DUMMYFUNCTION("""COMPUTED_VALUE"""),"Линейные неравенства и неравенства, приводимые к линейным с параметром")</f>
        <v>Линейные неравенства и неравенства, приводимые к линейным с параметром</v>
      </c>
      <c r="AD8" s="1">
        <f>IFERROR(__xludf.DUMMYFUNCTION("""COMPUTED_VALUE"""),1507.0)</f>
        <v>1507</v>
      </c>
      <c r="AE8" s="1"/>
      <c r="AF8" s="1"/>
    </row>
    <row r="9">
      <c r="A9" s="1" t="str">
        <f>IFERROR(__xludf.DUMMYFUNCTION("""COMPUTED_VALUE"""),"Сложение/вычитание смешанных чисел")</f>
        <v>Сложение/вычитание смешанных чисел</v>
      </c>
      <c r="B9" s="1">
        <f>IFERROR(__xludf.DUMMYFUNCTION("""COMPUTED_VALUE"""),8.0)</f>
        <v>8</v>
      </c>
      <c r="C9" s="1" t="str">
        <f>IFERROR(__xludf.DUMMYFUNCTION("""COMPUTED_VALUE"""),"Произведение выражений с одинаковой степенью")</f>
        <v>Произведение выражений с одинаковой степенью</v>
      </c>
      <c r="D9" s="1">
        <f>IFERROR(__xludf.DUMMYFUNCTION("""COMPUTED_VALUE"""),108.0)</f>
        <v>108</v>
      </c>
      <c r="E9" s="1" t="str">
        <f>IFERROR(__xludf.DUMMYFUNCTION("""COMPUTED_VALUE"""),"Иррациональные уравнения")</f>
        <v>Иррациональные уравнения</v>
      </c>
      <c r="F9" s="1">
        <f>IFERROR(__xludf.DUMMYFUNCTION("""COMPUTED_VALUE"""),208.0)</f>
        <v>208</v>
      </c>
      <c r="G9" s="1" t="str">
        <f>IFERROR(__xludf.DUMMYFUNCTION("""COMPUTED_VALUE"""),"Показательная функция")</f>
        <v>Показательная функция</v>
      </c>
      <c r="H9" s="1">
        <f>IFERROR(__xludf.DUMMYFUNCTION("""COMPUTED_VALUE"""),308.0)</f>
        <v>308</v>
      </c>
      <c r="I9" s="1" t="str">
        <f>IFERROR(__xludf.DUMMYFUNCTION("""COMPUTED_VALUE"""),"Свойства и формулы логарифма")</f>
        <v>Свойства и формулы логарифма</v>
      </c>
      <c r="J9" s="1">
        <f>IFERROR(__xludf.DUMMYFUNCTION("""COMPUTED_VALUE"""),408.0)</f>
        <v>408</v>
      </c>
      <c r="K9" s="1" t="str">
        <f>IFERROR(__xludf.DUMMYFUNCTION("""COMPUTED_VALUE"""),"Формулы двойного аргумента")</f>
        <v>Формулы двойного аргумента</v>
      </c>
      <c r="L9" s="1">
        <f>IFERROR(__xludf.DUMMYFUNCTION("""COMPUTED_VALUE"""),513.0)</f>
        <v>513</v>
      </c>
      <c r="M9" s="1" t="str">
        <f>IFERROR(__xludf.DUMMYFUNCTION("""COMPUTED_VALUE"""),"Перпендикулярные прямые")</f>
        <v>Перпендикулярные прямые</v>
      </c>
      <c r="N9" s="1">
        <f>IFERROR(__xludf.DUMMYFUNCTION("""COMPUTED_VALUE"""),609.0)</f>
        <v>609</v>
      </c>
      <c r="O9" s="1" t="str">
        <f>IFERROR(__xludf.DUMMYFUNCTION("""COMPUTED_VALUE"""),"Угол между плоскостями через координаты")</f>
        <v>Угол между плоскостями через координаты</v>
      </c>
      <c r="P9" s="1">
        <f>IFERROR(__xludf.DUMMYFUNCTION("""COMPUTED_VALUE"""),1608.0)</f>
        <v>1608</v>
      </c>
      <c r="Q9" s="1" t="str">
        <f>IFERROR(__xludf.DUMMYFUNCTION("""COMPUTED_VALUE"""),"Расстояние от точки до плоскости")</f>
        <v>Расстояние от точки до плоскости</v>
      </c>
      <c r="R9" s="1">
        <f>IFERROR(__xludf.DUMMYFUNCTION("""COMPUTED_VALUE"""),808.0)</f>
        <v>808</v>
      </c>
      <c r="S9" s="1" t="str">
        <f>IFERROR(__xludf.DUMMYFUNCTION("""COMPUTED_VALUE"""),"Зависимые события")</f>
        <v>Зависимые события</v>
      </c>
      <c r="T9" s="1">
        <f>IFERROR(__xludf.DUMMYFUNCTION("""COMPUTED_VALUE"""),908.0)</f>
        <v>908</v>
      </c>
      <c r="U9" s="1" t="str">
        <f>IFERROR(__xludf.DUMMYFUNCTION("""COMPUTED_VALUE"""),"Задачи на смеси и сплавы")</f>
        <v>Задачи на смеси и сплавы</v>
      </c>
      <c r="V9" s="1">
        <f>IFERROR(__xludf.DUMMYFUNCTION("""COMPUTED_VALUE"""),1011.0)</f>
        <v>1011</v>
      </c>
      <c r="W9" s="1" t="str">
        <f>IFERROR(__xludf.DUMMYFUNCTION("""COMPUTED_VALUE"""),"Утверждения о четности чисел")</f>
        <v>Утверждения о четности чисел</v>
      </c>
      <c r="X9" s="1">
        <f>IFERROR(__xludf.DUMMYFUNCTION("""COMPUTED_VALUE"""),1148.0)</f>
        <v>1148</v>
      </c>
      <c r="Y9" s="1" t="str">
        <f>IFERROR(__xludf.DUMMYFUNCTION("""COMPUTED_VALUE"""),"Уметь решать рациональные, иррациональные, показательные, тригонометрические и логарифмические уравнения, их системы")</f>
        <v>Уметь решать рациональные, иррациональные, показательные, тригонометрические и логарифмические уравнения, их системы</v>
      </c>
      <c r="Z9" s="1">
        <f>IFERROR(__xludf.DUMMYFUNCTION("""COMPUTED_VALUE"""),1208.0)</f>
        <v>1208</v>
      </c>
      <c r="AA9" s="1"/>
      <c r="AB9" s="1"/>
      <c r="AC9" s="1" t="str">
        <f>IFERROR(__xludf.DUMMYFUNCTION("""COMPUTED_VALUE"""),"Системы неравенств с параметром")</f>
        <v>Системы неравенств с параметром</v>
      </c>
      <c r="AD9" s="1">
        <f>IFERROR(__xludf.DUMMYFUNCTION("""COMPUTED_VALUE"""),1508.0)</f>
        <v>1508</v>
      </c>
      <c r="AE9" s="1"/>
      <c r="AF9" s="1"/>
    </row>
    <row r="10">
      <c r="A10" s="1" t="str">
        <f>IFERROR(__xludf.DUMMYFUNCTION("""COMPUTED_VALUE"""),"Сложение/вычитание обыкновенной дроби и смешанного числа")</f>
        <v>Сложение/вычитание обыкновенной дроби и смешанного числа</v>
      </c>
      <c r="B10" s="1">
        <f>IFERROR(__xludf.DUMMYFUNCTION("""COMPUTED_VALUE"""),9.0)</f>
        <v>9</v>
      </c>
      <c r="C10" s="1" t="str">
        <f>IFERROR(__xludf.DUMMYFUNCTION("""COMPUTED_VALUE"""),"Деление выражений в одинаковой степени")</f>
        <v>Деление выражений в одинаковой степени</v>
      </c>
      <c r="D10" s="1">
        <f>IFERROR(__xludf.DUMMYFUNCTION("""COMPUTED_VALUE"""),109.0)</f>
        <v>109</v>
      </c>
      <c r="E10" s="1" t="str">
        <f>IFERROR(__xludf.DUMMYFUNCTION("""COMPUTED_VALUE"""),"Уравнения с модулем")</f>
        <v>Уравнения с модулем</v>
      </c>
      <c r="F10" s="1">
        <f>IFERROR(__xludf.DUMMYFUNCTION("""COMPUTED_VALUE"""),209.0)</f>
        <v>209</v>
      </c>
      <c r="G10" s="1" t="str">
        <f>IFERROR(__xludf.DUMMYFUNCTION("""COMPUTED_VALUE"""),"Логарифмическая функция")</f>
        <v>Логарифмическая функция</v>
      </c>
      <c r="H10" s="1">
        <f>IFERROR(__xludf.DUMMYFUNCTION("""COMPUTED_VALUE"""),309.0)</f>
        <v>309</v>
      </c>
      <c r="I10" s="1" t="str">
        <f>IFERROR(__xludf.DUMMYFUNCTION("""COMPUTED_VALUE"""),"ОДЗ логарифмической функции")</f>
        <v>ОДЗ логарифмической функции</v>
      </c>
      <c r="J10" s="1">
        <f>IFERROR(__xludf.DUMMYFUNCTION("""COMPUTED_VALUE"""),409.0)</f>
        <v>409</v>
      </c>
      <c r="K10" s="1" t="str">
        <f>IFERROR(__xludf.DUMMYFUNCTION("""COMPUTED_VALUE"""),"Преобразование сумм тригонометрических функций в произведения")</f>
        <v>Преобразование сумм тригонометрических функций в произведения</v>
      </c>
      <c r="L10" s="1">
        <f>IFERROR(__xludf.DUMMYFUNCTION("""COMPUTED_VALUE"""),514.0)</f>
        <v>514</v>
      </c>
      <c r="M10" s="1" t="str">
        <f>IFERROR(__xludf.DUMMYFUNCTION("""COMPUTED_VALUE"""),"Понятие треугольника")</f>
        <v>Понятие треугольника</v>
      </c>
      <c r="N10" s="1">
        <f>IFERROR(__xludf.DUMMYFUNCTION("""COMPUTED_VALUE"""),610.0)</f>
        <v>610</v>
      </c>
      <c r="O10" s="1" t="str">
        <f>IFERROR(__xludf.DUMMYFUNCTION("""COMPUTED_VALUE"""),"Расстояние от точки до плоскости через координаты")</f>
        <v>Расстояние от точки до плоскости через координаты</v>
      </c>
      <c r="P10" s="1">
        <f>IFERROR(__xludf.DUMMYFUNCTION("""COMPUTED_VALUE"""),1609.0)</f>
        <v>1609</v>
      </c>
      <c r="Q10" s="1" t="str">
        <f>IFERROR(__xludf.DUMMYFUNCTION("""COMPUTED_VALUE"""),"Теорема о трех перпендикулярах")</f>
        <v>Теорема о трех перпендикулярах</v>
      </c>
      <c r="R10" s="1">
        <f>IFERROR(__xludf.DUMMYFUNCTION("""COMPUTED_VALUE"""),809.0)</f>
        <v>809</v>
      </c>
      <c r="S10" s="1" t="str">
        <f>IFERROR(__xludf.DUMMYFUNCTION("""COMPUTED_VALUE"""),"Формула числа сочетаний")</f>
        <v>Формула числа сочетаний</v>
      </c>
      <c r="T10" s="1">
        <f>IFERROR(__xludf.DUMMYFUNCTION("""COMPUTED_VALUE"""),910.0)</f>
        <v>910</v>
      </c>
      <c r="U10" s="1" t="str">
        <f>IFERROR(__xludf.DUMMYFUNCTION("""COMPUTED_VALUE"""),"Задачи на среднюю скорость")</f>
        <v>Задачи на среднюю скорость</v>
      </c>
      <c r="V10" s="1">
        <f>IFERROR(__xludf.DUMMYFUNCTION("""COMPUTED_VALUE"""),1012.0)</f>
        <v>1012</v>
      </c>
      <c r="W10" s="1" t="str">
        <f>IFERROR(__xludf.DUMMYFUNCTION("""COMPUTED_VALUE"""),"Деление с остатком")</f>
        <v>Деление с остатком</v>
      </c>
      <c r="X10" s="1">
        <f>IFERROR(__xludf.DUMMYFUNCTION("""COMPUTED_VALUE"""),1149.0)</f>
        <v>1149</v>
      </c>
      <c r="Y10" s="1" t="str">
        <f>IFERROR(__xludf.DUMMYFUNCTION("""COMPUTED_VALUE"""),"Уметь решать уравнения, простейшие системы уравнений, используя свойства функций и их графиков")</f>
        <v>Уметь решать уравнения, простейшие системы уравнений, используя свойства функций и их графиков</v>
      </c>
      <c r="Z10" s="1">
        <f>IFERROR(__xludf.DUMMYFUNCTION("""COMPUTED_VALUE"""),1209.0)</f>
        <v>1209</v>
      </c>
      <c r="AA10" s="1"/>
      <c r="AB10" s="1"/>
      <c r="AC10" s="1" t="str">
        <f>IFERROR(__xludf.DUMMYFUNCTION("""COMPUTED_VALUE"""),"Квадратичные неравенства с параметрами")</f>
        <v>Квадратичные неравенства с параметрами</v>
      </c>
      <c r="AD10" s="1">
        <f>IFERROR(__xludf.DUMMYFUNCTION("""COMPUTED_VALUE"""),1509.0)</f>
        <v>1509</v>
      </c>
      <c r="AE10" s="1"/>
      <c r="AF10" s="1"/>
    </row>
    <row r="11">
      <c r="A11" s="1" t="str">
        <f>IFERROR(__xludf.DUMMYFUNCTION("""COMPUTED_VALUE"""),"Сложение/вычитание обыкновенной дроби и целого числа")</f>
        <v>Сложение/вычитание обыкновенной дроби и целого числа</v>
      </c>
      <c r="B11" s="1">
        <f>IFERROR(__xludf.DUMMYFUNCTION("""COMPUTED_VALUE"""),10.0)</f>
        <v>10</v>
      </c>
      <c r="C11" s="1" t="str">
        <f>IFERROR(__xludf.DUMMYFUNCTION("""COMPUTED_VALUE"""),"Произведение степеней с одинаковым основанием")</f>
        <v>Произведение степеней с одинаковым основанием</v>
      </c>
      <c r="D11" s="1">
        <f>IFERROR(__xludf.DUMMYFUNCTION("""COMPUTED_VALUE"""),110.0)</f>
        <v>110</v>
      </c>
      <c r="E11" s="1" t="str">
        <f>IFERROR(__xludf.DUMMYFUNCTION("""COMPUTED_VALUE"""),"Область допустимых значений")</f>
        <v>Область допустимых значений</v>
      </c>
      <c r="F11" s="1">
        <f>IFERROR(__xludf.DUMMYFUNCTION("""COMPUTED_VALUE"""),210.0)</f>
        <v>210</v>
      </c>
      <c r="G11" s="1" t="str">
        <f>IFERROR(__xludf.DUMMYFUNCTION("""COMPUTED_VALUE"""),"Тригонометрические функции")</f>
        <v>Тригонометрические функции</v>
      </c>
      <c r="H11" s="1">
        <f>IFERROR(__xludf.DUMMYFUNCTION("""COMPUTED_VALUE"""),310.0)</f>
        <v>310</v>
      </c>
      <c r="I11" s="1" t="str">
        <f>IFERROR(__xludf.DUMMYFUNCTION("""COMPUTED_VALUE"""),"Применение свойств логарифма к преобразованию выражений")</f>
        <v>Применение свойств логарифма к преобразованию выражений</v>
      </c>
      <c r="J11" s="1">
        <f>IFERROR(__xludf.DUMMYFUNCTION("""COMPUTED_VALUE"""),410.0)</f>
        <v>410</v>
      </c>
      <c r="K11" s="1" t="str">
        <f>IFERROR(__xludf.DUMMYFUNCTION("""COMPUTED_VALUE"""),"Преобразование произведений тригонометрических функций в суммы")</f>
        <v>Преобразование произведений тригонометрических функций в суммы</v>
      </c>
      <c r="L11" s="1">
        <f>IFERROR(__xludf.DUMMYFUNCTION("""COMPUTED_VALUE"""),515.0)</f>
        <v>515</v>
      </c>
      <c r="M11" s="1" t="str">
        <f>IFERROR(__xludf.DUMMYFUNCTION("""COMPUTED_VALUE"""),"Медиана треугольника")</f>
        <v>Медиана треугольника</v>
      </c>
      <c r="N11" s="1">
        <f>IFERROR(__xludf.DUMMYFUNCTION("""COMPUTED_VALUE"""),611.0)</f>
        <v>611</v>
      </c>
      <c r="O11" s="1"/>
      <c r="P11" s="1"/>
      <c r="Q11" s="1" t="str">
        <f>IFERROR(__xludf.DUMMYFUNCTION("""COMPUTED_VALUE"""),"Угол между прямой и плоскостью")</f>
        <v>Угол между прямой и плоскостью</v>
      </c>
      <c r="R11" s="1">
        <f>IFERROR(__xludf.DUMMYFUNCTION("""COMPUTED_VALUE"""),810.0)</f>
        <v>810</v>
      </c>
      <c r="S11" s="1" t="str">
        <f>IFERROR(__xludf.DUMMYFUNCTION("""COMPUTED_VALUE"""),"Формула числа перестановок")</f>
        <v>Формула числа перестановок</v>
      </c>
      <c r="T11" s="1">
        <f>IFERROR(__xludf.DUMMYFUNCTION("""COMPUTED_VALUE"""),911.0)</f>
        <v>911</v>
      </c>
      <c r="U11" s="1" t="str">
        <f>IFERROR(__xludf.DUMMYFUNCTION("""COMPUTED_VALUE"""),"Скорость сближения и скорость отдаления")</f>
        <v>Скорость сближения и скорость отдаления</v>
      </c>
      <c r="V11" s="1">
        <f>IFERROR(__xludf.DUMMYFUNCTION("""COMPUTED_VALUE"""),1013.0)</f>
        <v>1013</v>
      </c>
      <c r="W11" s="1" t="str">
        <f>IFERROR(__xludf.DUMMYFUNCTION("""COMPUTED_VALUE"""),"Простое число")</f>
        <v>Простое число</v>
      </c>
      <c r="X11" s="1">
        <f>IFERROR(__xludf.DUMMYFUNCTION("""COMPUTED_VALUE"""),1150.0)</f>
        <v>1150</v>
      </c>
      <c r="Y11" s="1" t="str">
        <f>IFERROR(__xludf.DUMMYFUNCTION("""COMPUTED_VALUE"""),"Уметь использовать для приближенного решения уравнений и неравенств графический метод")</f>
        <v>Уметь использовать для приближенного решения уравнений и неравенств графический метод</v>
      </c>
      <c r="Z11" s="1">
        <f>IFERROR(__xludf.DUMMYFUNCTION("""COMPUTED_VALUE"""),1210.0)</f>
        <v>1210</v>
      </c>
      <c r="AA11" s="1"/>
      <c r="AB11" s="1"/>
      <c r="AC11" s="1" t="str">
        <f>IFERROR(__xludf.DUMMYFUNCTION("""COMPUTED_VALUE"""),"Иррациональные неравенства с параметрами")</f>
        <v>Иррациональные неравенства с параметрами</v>
      </c>
      <c r="AD11" s="1">
        <f>IFERROR(__xludf.DUMMYFUNCTION("""COMPUTED_VALUE"""),1510.0)</f>
        <v>1510</v>
      </c>
      <c r="AE11" s="1"/>
      <c r="AF11" s="1"/>
    </row>
    <row r="12">
      <c r="A12" s="1" t="str">
        <f>IFERROR(__xludf.DUMMYFUNCTION("""COMPUTED_VALUE"""),"Сложение/вычитание смешанного и целого числа")</f>
        <v>Сложение/вычитание смешанного и целого числа</v>
      </c>
      <c r="B12" s="1">
        <f>IFERROR(__xludf.DUMMYFUNCTION("""COMPUTED_VALUE"""),11.0)</f>
        <v>11</v>
      </c>
      <c r="C12" s="1" t="str">
        <f>IFERROR(__xludf.DUMMYFUNCTION("""COMPUTED_VALUE"""),"Деление степеней с одинаковыми основаниями")</f>
        <v>Деление степеней с одинаковыми основаниями</v>
      </c>
      <c r="D12" s="1">
        <f>IFERROR(__xludf.DUMMYFUNCTION("""COMPUTED_VALUE"""),111.0)</f>
        <v>111</v>
      </c>
      <c r="E12" s="1" t="str">
        <f>IFERROR(__xludf.DUMMYFUNCTION("""COMPUTED_VALUE"""),"Системы уравнений")</f>
        <v>Системы уравнений</v>
      </c>
      <c r="F12" s="1">
        <f>IFERROR(__xludf.DUMMYFUNCTION("""COMPUTED_VALUE"""),211.0)</f>
        <v>211</v>
      </c>
      <c r="G12" s="1" t="str">
        <f>IFERROR(__xludf.DUMMYFUNCTION("""COMPUTED_VALUE"""),"Исследование функции")</f>
        <v>Исследование функции</v>
      </c>
      <c r="H12" s="1">
        <f>IFERROR(__xludf.DUMMYFUNCTION("""COMPUTED_VALUE"""),311.0)</f>
        <v>311</v>
      </c>
      <c r="I12" s="1" t="str">
        <f>IFERROR(__xludf.DUMMYFUNCTION("""COMPUTED_VALUE"""),"Определение логарифмического уравнения")</f>
        <v>Определение логарифмического уравнения</v>
      </c>
      <c r="J12" s="1">
        <f>IFERROR(__xludf.DUMMYFUNCTION("""COMPUTED_VALUE"""),411.0)</f>
        <v>411</v>
      </c>
      <c r="K12" s="1" t="str">
        <f>IFERROR(__xludf.DUMMYFUNCTION("""COMPUTED_VALUE"""),"Формулы понижения степени")</f>
        <v>Формулы понижения степени</v>
      </c>
      <c r="L12" s="1">
        <f>IFERROR(__xludf.DUMMYFUNCTION("""COMPUTED_VALUE"""),516.0)</f>
        <v>516</v>
      </c>
      <c r="M12" s="1" t="str">
        <f>IFERROR(__xludf.DUMMYFUNCTION("""COMPUTED_VALUE"""),"Биссектриса треугольника")</f>
        <v>Биссектриса треугольника</v>
      </c>
      <c r="N12" s="1">
        <f>IFERROR(__xludf.DUMMYFUNCTION("""COMPUTED_VALUE"""),612.0)</f>
        <v>612</v>
      </c>
      <c r="O12" s="1"/>
      <c r="P12" s="1"/>
      <c r="Q12" s="1" t="str">
        <f>IFERROR(__xludf.DUMMYFUNCTION("""COMPUTED_VALUE"""),"Двугранный угол")</f>
        <v>Двугранный угол</v>
      </c>
      <c r="R12" s="1">
        <f>IFERROR(__xludf.DUMMYFUNCTION("""COMPUTED_VALUE"""),811.0)</f>
        <v>811</v>
      </c>
      <c r="S12" s="1" t="str">
        <f>IFERROR(__xludf.DUMMYFUNCTION("""COMPUTED_VALUE"""),"Бином Ньютона")</f>
        <v>Бином Ньютона</v>
      </c>
      <c r="T12" s="1">
        <f>IFERROR(__xludf.DUMMYFUNCTION("""COMPUTED_VALUE"""),912.0)</f>
        <v>912</v>
      </c>
      <c r="U12" s="1" t="str">
        <f>IFERROR(__xludf.DUMMYFUNCTION("""COMPUTED_VALUE"""),"Задачи на относительную скорость")</f>
        <v>Задачи на относительную скорость</v>
      </c>
      <c r="V12" s="1">
        <f>IFERROR(__xludf.DUMMYFUNCTION("""COMPUTED_VALUE"""),1014.0)</f>
        <v>1014</v>
      </c>
      <c r="W12" s="1" t="str">
        <f>IFERROR(__xludf.DUMMYFUNCTION("""COMPUTED_VALUE"""),"Составное число")</f>
        <v>Составное число</v>
      </c>
      <c r="X12" s="1">
        <f>IFERROR(__xludf.DUMMYFUNCTION("""COMPUTED_VALUE"""),1151.0)</f>
        <v>1151</v>
      </c>
      <c r="Y12" s="1" t="str">
        <f>IFERROR(__xludf.DUMMYFUNCTION("""COMPUTED_VALUE"""),"Уметь решать рациональные, показательные и логарифмические неравенства, их системы")</f>
        <v>Уметь решать рациональные, показательные и логарифмические неравенства, их системы</v>
      </c>
      <c r="Z12" s="1">
        <f>IFERROR(__xludf.DUMMYFUNCTION("""COMPUTED_VALUE"""),1211.0)</f>
        <v>1211</v>
      </c>
      <c r="AA12" s="1"/>
      <c r="AB12" s="1"/>
      <c r="AC12" s="1" t="str">
        <f>IFERROR(__xludf.DUMMYFUNCTION("""COMPUTED_VALUE"""),"Уравнения и неравенства с параметрами, содержащие логарифмы")</f>
        <v>Уравнения и неравенства с параметрами, содержащие логарифмы</v>
      </c>
      <c r="AD12" s="1">
        <f>IFERROR(__xludf.DUMMYFUNCTION("""COMPUTED_VALUE"""),1511.0)</f>
        <v>1511</v>
      </c>
      <c r="AE12" s="1"/>
      <c r="AF12" s="1"/>
    </row>
    <row r="13">
      <c r="A13" s="1" t="str">
        <f>IFERROR(__xludf.DUMMYFUNCTION("""COMPUTED_VALUE"""),"Умножение обыкновенных дробей")</f>
        <v>Умножение обыкновенных дробей</v>
      </c>
      <c r="B13" s="1">
        <f>IFERROR(__xludf.DUMMYFUNCTION("""COMPUTED_VALUE"""),12.0)</f>
        <v>12</v>
      </c>
      <c r="C13" s="1" t="str">
        <f>IFERROR(__xludf.DUMMYFUNCTION("""COMPUTED_VALUE"""),"Возведение степени в степень")</f>
        <v>Возведение степени в степень</v>
      </c>
      <c r="D13" s="1">
        <f>IFERROR(__xludf.DUMMYFUNCTION("""COMPUTED_VALUE"""),112.0)</f>
        <v>112</v>
      </c>
      <c r="E13" s="1" t="str">
        <f>IFERROR(__xludf.DUMMYFUNCTION("""COMPUTED_VALUE"""),"Графический способ решения системы уравнений")</f>
        <v>Графический способ решения системы уравнений</v>
      </c>
      <c r="F13" s="1">
        <f>IFERROR(__xludf.DUMMYFUNCTION("""COMPUTED_VALUE"""),212.0)</f>
        <v>212</v>
      </c>
      <c r="G13" s="1" t="str">
        <f>IFERROR(__xludf.DUMMYFUNCTION("""COMPUTED_VALUE"""),"Преобразование графика функции")</f>
        <v>Преобразование графика функции</v>
      </c>
      <c r="H13" s="1">
        <f>IFERROR(__xludf.DUMMYFUNCTION("""COMPUTED_VALUE"""),312.0)</f>
        <v>312</v>
      </c>
      <c r="I13" s="1" t="str">
        <f>IFERROR(__xludf.DUMMYFUNCTION("""COMPUTED_VALUE"""),"Решение простейших логарифмических уравнений")</f>
        <v>Решение простейших логарифмических уравнений</v>
      </c>
      <c r="J13" s="1">
        <f>IFERROR(__xludf.DUMMYFUNCTION("""COMPUTED_VALUE"""),412.0)</f>
        <v>412</v>
      </c>
      <c r="K13" s="1" t="str">
        <f>IFERROR(__xludf.DUMMYFUNCTION("""COMPUTED_VALUE"""),"Применение свойств тригонометрических функций к преобразованию выражений")</f>
        <v>Применение свойств тригонометрических функций к преобразованию выражений</v>
      </c>
      <c r="L13" s="1">
        <f>IFERROR(__xludf.DUMMYFUNCTION("""COMPUTED_VALUE"""),517.0)</f>
        <v>517</v>
      </c>
      <c r="M13" s="1" t="str">
        <f>IFERROR(__xludf.DUMMYFUNCTION("""COMPUTED_VALUE"""),"Высота треугольника")</f>
        <v>Высота треугольника</v>
      </c>
      <c r="N13" s="1">
        <f>IFERROR(__xludf.DUMMYFUNCTION("""COMPUTED_VALUE"""),613.0)</f>
        <v>613</v>
      </c>
      <c r="O13" s="1"/>
      <c r="P13" s="1"/>
      <c r="Q13" s="1" t="str">
        <f>IFERROR(__xludf.DUMMYFUNCTION("""COMPUTED_VALUE"""),"Перпендикулярность двух плоскостей")</f>
        <v>Перпендикулярность двух плоскостей</v>
      </c>
      <c r="R13" s="1">
        <f>IFERROR(__xludf.DUMMYFUNCTION("""COMPUTED_VALUE"""),812.0)</f>
        <v>812</v>
      </c>
      <c r="S13" s="1" t="str">
        <f>IFERROR(__xludf.DUMMYFUNCTION("""COMPUTED_VALUE"""),"Биноминальное распределение")</f>
        <v>Биноминальное распределение</v>
      </c>
      <c r="T13" s="1">
        <f>IFERROR(__xludf.DUMMYFUNCTION("""COMPUTED_VALUE"""),913.0)</f>
        <v>913</v>
      </c>
      <c r="U13" s="1" t="str">
        <f>IFERROR(__xludf.DUMMYFUNCTION("""COMPUTED_VALUE"""),"Задачи на прогрессии")</f>
        <v>Задачи на прогрессии</v>
      </c>
      <c r="V13" s="1">
        <f>IFERROR(__xludf.DUMMYFUNCTION("""COMPUTED_VALUE"""),1015.0)</f>
        <v>1015</v>
      </c>
      <c r="W13" s="1" t="str">
        <f>IFERROR(__xludf.DUMMYFUNCTION("""COMPUTED_VALUE"""),"Основная теорема арифметики")</f>
        <v>Основная теорема арифметики</v>
      </c>
      <c r="X13" s="1">
        <f>IFERROR(__xludf.DUMMYFUNCTION("""COMPUTED_VALUE"""),1152.0)</f>
        <v>1152</v>
      </c>
      <c r="Y13" s="1" t="str">
        <f>IFERROR(__xludf.DUMMYFUNCTION("""COMPUTED_VALUE"""),"Сформированность умений моделировать реальные ситуации, исследовать построенные модели, интерпретировать полученный результат")</f>
        <v>Сформированность умений моделировать реальные ситуации, исследовать построенные модели, интерпретировать полученный результат</v>
      </c>
      <c r="Z13" s="1">
        <f>IFERROR(__xludf.DUMMYFUNCTION("""COMPUTED_VALUE"""),1212.0)</f>
        <v>1212</v>
      </c>
      <c r="AA13" s="1"/>
      <c r="AB13" s="1"/>
      <c r="AC13" s="1" t="str">
        <f>IFERROR(__xludf.DUMMYFUNCTION("""COMPUTED_VALUE"""),"Тригонометрические уравнения, неравенства и системы уравнений с параметрами")</f>
        <v>Тригонометрические уравнения, неравенства и системы уравнений с параметрами</v>
      </c>
      <c r="AD13" s="1">
        <f>IFERROR(__xludf.DUMMYFUNCTION("""COMPUTED_VALUE"""),1512.0)</f>
        <v>1512</v>
      </c>
      <c r="AE13" s="1"/>
      <c r="AF13" s="1"/>
    </row>
    <row r="14">
      <c r="A14" s="1" t="str">
        <f>IFERROR(__xludf.DUMMYFUNCTION("""COMPUTED_VALUE"""),"Умножение обыкновенной дроби на смешанное число")</f>
        <v>Умножение обыкновенной дроби на смешанное число</v>
      </c>
      <c r="B14" s="1">
        <f>IFERROR(__xludf.DUMMYFUNCTION("""COMPUTED_VALUE"""),13.0)</f>
        <v>13</v>
      </c>
      <c r="C14" s="1" t="str">
        <f>IFERROR(__xludf.DUMMYFUNCTION("""COMPUTED_VALUE"""),"Свойства корней")</f>
        <v>Свойства корней</v>
      </c>
      <c r="D14" s="1">
        <f>IFERROR(__xludf.DUMMYFUNCTION("""COMPUTED_VALUE"""),113.0)</f>
        <v>113</v>
      </c>
      <c r="E14" s="1" t="str">
        <f>IFERROR(__xludf.DUMMYFUNCTION("""COMPUTED_VALUE"""),"Метод подстановки")</f>
        <v>Метод подстановки</v>
      </c>
      <c r="F14" s="1">
        <f>IFERROR(__xludf.DUMMYFUNCTION("""COMPUTED_VALUE"""),213.0)</f>
        <v>213</v>
      </c>
      <c r="G14" s="1" t="str">
        <f>IFERROR(__xludf.DUMMYFUNCTION("""COMPUTED_VALUE"""),"Экстремумы функции")</f>
        <v>Экстремумы функции</v>
      </c>
      <c r="H14" s="1">
        <f>IFERROR(__xludf.DUMMYFUNCTION("""COMPUTED_VALUE"""),313.0)</f>
        <v>313</v>
      </c>
      <c r="I14" s="1" t="str">
        <f>IFERROR(__xludf.DUMMYFUNCTION("""COMPUTED_VALUE"""),"Способы решения логарифмических уравнений")</f>
        <v>Способы решения логарифмических уравнений</v>
      </c>
      <c r="J14" s="1">
        <f>IFERROR(__xludf.DUMMYFUNCTION("""COMPUTED_VALUE"""),413.0)</f>
        <v>413</v>
      </c>
      <c r="K14" s="1" t="str">
        <f>IFERROR(__xludf.DUMMYFUNCTION("""COMPUTED_VALUE"""),"Простейшие тригонометрические уравнения")</f>
        <v>Простейшие тригонометрические уравнения</v>
      </c>
      <c r="L14" s="1">
        <f>IFERROR(__xludf.DUMMYFUNCTION("""COMPUTED_VALUE"""),518.0)</f>
        <v>518</v>
      </c>
      <c r="M14" s="1" t="str">
        <f>IFERROR(__xludf.DUMMYFUNCTION("""COMPUTED_VALUE"""),"Равнобедренный треугольник")</f>
        <v>Равнобедренный треугольник</v>
      </c>
      <c r="N14" s="1">
        <f>IFERROR(__xludf.DUMMYFUNCTION("""COMPUTED_VALUE"""),615.0)</f>
        <v>615</v>
      </c>
      <c r="O14" s="1"/>
      <c r="P14" s="1"/>
      <c r="Q14" s="1" t="str">
        <f>IFERROR(__xludf.DUMMYFUNCTION("""COMPUTED_VALUE"""),"Понятие куба")</f>
        <v>Понятие куба</v>
      </c>
      <c r="R14" s="1">
        <f>IFERROR(__xludf.DUMMYFUNCTION("""COMPUTED_VALUE"""),813.0)</f>
        <v>813</v>
      </c>
      <c r="S14" s="1" t="str">
        <f>IFERROR(__xludf.DUMMYFUNCTION("""COMPUTED_VALUE"""),"Свойства биноминального распределения")</f>
        <v>Свойства биноминального распределения</v>
      </c>
      <c r="T14" s="1">
        <f>IFERROR(__xludf.DUMMYFUNCTION("""COMPUTED_VALUE"""),914.0)</f>
        <v>914</v>
      </c>
      <c r="U14" s="1" t="str">
        <f>IFERROR(__xludf.DUMMYFUNCTION("""COMPUTED_VALUE"""),"Задачи на круговое движение")</f>
        <v>Задачи на круговое движение</v>
      </c>
      <c r="V14" s="1">
        <f>IFERROR(__xludf.DUMMYFUNCTION("""COMPUTED_VALUE"""),1016.0)</f>
        <v>1016</v>
      </c>
      <c r="W14" s="1" t="str">
        <f>IFERROR(__xludf.DUMMYFUNCTION("""COMPUTED_VALUE"""),"Каноническое разложение")</f>
        <v>Каноническое разложение</v>
      </c>
      <c r="X14" s="1">
        <f>IFERROR(__xludf.DUMMYFUNCTION("""COMPUTED_VALUE"""),1153.0)</f>
        <v>1153</v>
      </c>
      <c r="Y14" s="1" t="str">
        <f>IFERROR(__xludf.DUMMYFUNCTION("""COMPUTED_VALUE"""),"Уметь определять значение функции по значению аргумента при различных способах задания функции")</f>
        <v>Уметь определять значение функции по значению аргумента при различных способах задания функции</v>
      </c>
      <c r="Z14" s="1">
        <f>IFERROR(__xludf.DUMMYFUNCTION("""COMPUTED_VALUE"""),1213.0)</f>
        <v>1213</v>
      </c>
      <c r="AA14" s="1"/>
      <c r="AB14" s="1"/>
      <c r="AC14" s="1" t="str">
        <f>IFERROR(__xludf.DUMMYFUNCTION("""COMPUTED_VALUE"""),"Применение свойств функций к решению уравнений и неравенств с параметром")</f>
        <v>Применение свойств функций к решению уравнений и неравенств с параметром</v>
      </c>
      <c r="AD14" s="1">
        <f>IFERROR(__xludf.DUMMYFUNCTION("""COMPUTED_VALUE"""),1513.0)</f>
        <v>1513</v>
      </c>
      <c r="AE14" s="1"/>
      <c r="AF14" s="1"/>
    </row>
    <row r="15">
      <c r="A15" s="1" t="str">
        <f>IFERROR(__xludf.DUMMYFUNCTION("""COMPUTED_VALUE"""),"Умножение обыкновенной дроби на целое число")</f>
        <v>Умножение обыкновенной дроби на целое число</v>
      </c>
      <c r="B15" s="1">
        <f>IFERROR(__xludf.DUMMYFUNCTION("""COMPUTED_VALUE"""),14.0)</f>
        <v>14</v>
      </c>
      <c r="C15" s="1" t="str">
        <f>IFERROR(__xludf.DUMMYFUNCTION("""COMPUTED_VALUE"""),"Вынесение множителя из квадратного корня")</f>
        <v>Вынесение множителя из квадратного корня</v>
      </c>
      <c r="D15" s="1">
        <f>IFERROR(__xludf.DUMMYFUNCTION("""COMPUTED_VALUE"""),114.0)</f>
        <v>114</v>
      </c>
      <c r="E15" s="1" t="str">
        <f>IFERROR(__xludf.DUMMYFUNCTION("""COMPUTED_VALUE"""),"Метод алгебраического сложения")</f>
        <v>Метод алгебраического сложения</v>
      </c>
      <c r="F15" s="1">
        <f>IFERROR(__xludf.DUMMYFUNCTION("""COMPUTED_VALUE"""),214.0)</f>
        <v>214</v>
      </c>
      <c r="G15" s="1" t="str">
        <f>IFERROR(__xludf.DUMMYFUNCTION("""COMPUTED_VALUE"""),"Наибольшее и наименьшее значения фунции")</f>
        <v>Наибольшее и наименьшее значения фунции</v>
      </c>
      <c r="H15" s="1">
        <f>IFERROR(__xludf.DUMMYFUNCTION("""COMPUTED_VALUE"""),314.0)</f>
        <v>314</v>
      </c>
      <c r="I15" s="1" t="str">
        <f>IFERROR(__xludf.DUMMYFUNCTION("""COMPUTED_VALUE"""),"Логарифмические неравенства")</f>
        <v>Логарифмические неравенства</v>
      </c>
      <c r="J15" s="1">
        <f>IFERROR(__xludf.DUMMYFUNCTION("""COMPUTED_VALUE"""),414.0)</f>
        <v>414</v>
      </c>
      <c r="K15" s="1" t="str">
        <f>IFERROR(__xludf.DUMMYFUNCTION("""COMPUTED_VALUE"""),"Способы решения тригонометрических уравнений")</f>
        <v>Способы решения тригонометрических уравнений</v>
      </c>
      <c r="L15" s="1">
        <f>IFERROR(__xludf.DUMMYFUNCTION("""COMPUTED_VALUE"""),519.0)</f>
        <v>519</v>
      </c>
      <c r="M15" s="1" t="str">
        <f>IFERROR(__xludf.DUMMYFUNCTION("""COMPUTED_VALUE"""),"Свойства равнобедренного треугольника")</f>
        <v>Свойства равнобедренного треугольника</v>
      </c>
      <c r="N15" s="1">
        <f>IFERROR(__xludf.DUMMYFUNCTION("""COMPUTED_VALUE"""),616.0)</f>
        <v>616</v>
      </c>
      <c r="O15" s="1"/>
      <c r="P15" s="1"/>
      <c r="Q15" s="1" t="str">
        <f>IFERROR(__xludf.DUMMYFUNCTION("""COMPUTED_VALUE"""),"Свойства куба")</f>
        <v>Свойства куба</v>
      </c>
      <c r="R15" s="1">
        <f>IFERROR(__xludf.DUMMYFUNCTION("""COMPUTED_VALUE"""),814.0)</f>
        <v>814</v>
      </c>
      <c r="S15" s="1" t="str">
        <f>IFERROR(__xludf.DUMMYFUNCTION("""COMPUTED_VALUE"""),"Табличное представление данных в статистике")</f>
        <v>Табличное представление данных в статистике</v>
      </c>
      <c r="T15" s="1">
        <f>IFERROR(__xludf.DUMMYFUNCTION("""COMPUTED_VALUE"""),915.0)</f>
        <v>915</v>
      </c>
      <c r="U15" s="1" t="str">
        <f>IFERROR(__xludf.DUMMYFUNCTION("""COMPUTED_VALUE"""),"Формула числа размещений")</f>
        <v>Формула числа размещений</v>
      </c>
      <c r="V15" s="1">
        <f>IFERROR(__xludf.DUMMYFUNCTION("""COMPUTED_VALUE"""),1018.0)</f>
        <v>1018</v>
      </c>
      <c r="W15" s="1" t="str">
        <f>IFERROR(__xludf.DUMMYFUNCTION("""COMPUTED_VALUE"""),"Делитель")</f>
        <v>Делитель</v>
      </c>
      <c r="X15" s="1">
        <f>IFERROR(__xludf.DUMMYFUNCTION("""COMPUTED_VALUE"""),1154.0)</f>
        <v>1154</v>
      </c>
      <c r="Y15" s="1" t="str">
        <f>IFERROR(__xludf.DUMMYFUNCTION("""COMPUTED_VALUE"""),"Уметь описывать по графику поведение и свойства функции,")</f>
        <v>Уметь описывать по графику поведение и свойства функции,</v>
      </c>
      <c r="Z15" s="1">
        <f>IFERROR(__xludf.DUMMYFUNCTION("""COMPUTED_VALUE"""),1214.0)</f>
        <v>1214</v>
      </c>
      <c r="AA15" s="1"/>
      <c r="AB15" s="1"/>
      <c r="AC15" s="1" t="str">
        <f>IFERROR(__xludf.DUMMYFUNCTION("""COMPUTED_VALUE"""),"Метод областей")</f>
        <v>Метод областей</v>
      </c>
      <c r="AD15" s="1">
        <f>IFERROR(__xludf.DUMMYFUNCTION("""COMPUTED_VALUE"""),1514.0)</f>
        <v>1514</v>
      </c>
      <c r="AE15" s="1"/>
      <c r="AF15" s="1"/>
    </row>
    <row r="16">
      <c r="A16" s="1" t="str">
        <f>IFERROR(__xludf.DUMMYFUNCTION("""COMPUTED_VALUE"""),"Умножение смешанных чисел")</f>
        <v>Умножение смешанных чисел</v>
      </c>
      <c r="B16" s="1">
        <f>IFERROR(__xludf.DUMMYFUNCTION("""COMPUTED_VALUE"""),15.0)</f>
        <v>15</v>
      </c>
      <c r="C16" s="1" t="str">
        <f>IFERROR(__xludf.DUMMYFUNCTION("""COMPUTED_VALUE"""),"Занесение множителя под квадратный корень")</f>
        <v>Занесение множителя под квадратный корень</v>
      </c>
      <c r="D16" s="1">
        <f>IFERROR(__xludf.DUMMYFUNCTION("""COMPUTED_VALUE"""),115.0)</f>
        <v>115</v>
      </c>
      <c r="E16" s="1" t="str">
        <f>IFERROR(__xludf.DUMMYFUNCTION("""COMPUTED_VALUE"""),"Смешанные уравнения")</f>
        <v>Смешанные уравнения</v>
      </c>
      <c r="F16" s="1">
        <f>IFERROR(__xludf.DUMMYFUNCTION("""COMPUTED_VALUE"""),215.0)</f>
        <v>215</v>
      </c>
      <c r="G16" s="1" t="str">
        <f>IFERROR(__xludf.DUMMYFUNCTION("""COMPUTED_VALUE"""),"Ограниченность функции")</f>
        <v>Ограниченность функции</v>
      </c>
      <c r="H16" s="1">
        <f>IFERROR(__xludf.DUMMYFUNCTION("""COMPUTED_VALUE"""),315.0)</f>
        <v>315</v>
      </c>
      <c r="I16" s="1" t="str">
        <f>IFERROR(__xludf.DUMMYFUNCTION("""COMPUTED_VALUE"""),"Десятичный и натуральный логарифмы")</f>
        <v>Десятичный и натуральный логарифмы</v>
      </c>
      <c r="J16" s="1">
        <f>IFERROR(__xludf.DUMMYFUNCTION("""COMPUTED_VALUE"""),415.0)</f>
        <v>415</v>
      </c>
      <c r="K16" s="1" t="str">
        <f>IFERROR(__xludf.DUMMYFUNCTION("""COMPUTED_VALUE"""),"Применение формул для преобразования тригонометрического уравнения (основные тригонометрические тождества, формулы приведения, двойного аргумента, понижение порядка)")</f>
        <v>Применение формул для преобразования тригонометрического уравнения (основные тригонометрические тождества, формулы приведения, двойного аргумента, понижение порядка)</v>
      </c>
      <c r="L16" s="1">
        <f>IFERROR(__xludf.DUMMYFUNCTION("""COMPUTED_VALUE"""),520.0)</f>
        <v>520</v>
      </c>
      <c r="M16" s="1" t="str">
        <f>IFERROR(__xludf.DUMMYFUNCTION("""COMPUTED_VALUE"""),"Признаки равенства треугольников")</f>
        <v>Признаки равенства треугольников</v>
      </c>
      <c r="N16" s="1">
        <f>IFERROR(__xludf.DUMMYFUNCTION("""COMPUTED_VALUE"""),617.0)</f>
        <v>617</v>
      </c>
      <c r="O16" s="1"/>
      <c r="P16" s="1"/>
      <c r="Q16" s="1" t="str">
        <f>IFERROR(__xludf.DUMMYFUNCTION("""COMPUTED_VALUE"""),"Объем куба")</f>
        <v>Объем куба</v>
      </c>
      <c r="R16" s="1">
        <f>IFERROR(__xludf.DUMMYFUNCTION("""COMPUTED_VALUE"""),815.0)</f>
        <v>815</v>
      </c>
      <c r="S16" s="1" t="str">
        <f>IFERROR(__xludf.DUMMYFUNCTION("""COMPUTED_VALUE"""),"Графическое представление данных в статистике")</f>
        <v>Графическое представление данных в статистике</v>
      </c>
      <c r="T16" s="1">
        <f>IFERROR(__xludf.DUMMYFUNCTION("""COMPUTED_VALUE"""),916.0)</f>
        <v>916</v>
      </c>
      <c r="U16" s="1"/>
      <c r="V16" s="1"/>
      <c r="W16" s="1" t="str">
        <f>IFERROR(__xludf.DUMMYFUNCTION("""COMPUTED_VALUE"""),"Взаимно простые числа")</f>
        <v>Взаимно простые числа</v>
      </c>
      <c r="X16" s="1">
        <f>IFERROR(__xludf.DUMMYFUNCTION("""COMPUTED_VALUE"""),1155.0)</f>
        <v>1155</v>
      </c>
      <c r="Y16" s="1" t="str">
        <f>IFERROR(__xludf.DUMMYFUNCTION("""COMPUTED_VALUE"""),"Уметь находить по графику функции наибольшее и наименьшее значения")</f>
        <v>Уметь находить по графику функции наибольшее и наименьшее значения</v>
      </c>
      <c r="Z16" s="1">
        <f>IFERROR(__xludf.DUMMYFUNCTION("""COMPUTED_VALUE"""),1215.0)</f>
        <v>1215</v>
      </c>
      <c r="AA16" s="1"/>
      <c r="AB16" s="1"/>
      <c r="AC16" s="1" t="str">
        <f>IFERROR(__xludf.DUMMYFUNCTION("""COMPUTED_VALUE"""),"Преобразование графиков для решения задач с параметром")</f>
        <v>Преобразование графиков для решения задач с параметром</v>
      </c>
      <c r="AD16" s="1">
        <f>IFERROR(__xludf.DUMMYFUNCTION("""COMPUTED_VALUE"""),1515.0)</f>
        <v>1515</v>
      </c>
      <c r="AE16" s="1"/>
      <c r="AF16" s="1"/>
    </row>
    <row r="17">
      <c r="A17" s="1" t="str">
        <f>IFERROR(__xludf.DUMMYFUNCTION("""COMPUTED_VALUE"""),"Деление обыкновенных дробей")</f>
        <v>Деление обыкновенных дробей</v>
      </c>
      <c r="B17" s="1">
        <f>IFERROR(__xludf.DUMMYFUNCTION("""COMPUTED_VALUE"""),16.0)</f>
        <v>16</v>
      </c>
      <c r="C17" s="1" t="str">
        <f>IFERROR(__xludf.DUMMYFUNCTION("""COMPUTED_VALUE"""),"Произведение квадратных корней")</f>
        <v>Произведение квадратных корней</v>
      </c>
      <c r="D17" s="1">
        <f>IFERROR(__xludf.DUMMYFUNCTION("""COMPUTED_VALUE"""),116.0)</f>
        <v>116</v>
      </c>
      <c r="E17" s="1" t="str">
        <f>IFERROR(__xludf.DUMMYFUNCTION("""COMPUTED_VALUE"""),"Равносильность уравнений, систем уравнений")</f>
        <v>Равносильность уравнений, систем уравнений</v>
      </c>
      <c r="F17" s="1">
        <f>IFERROR(__xludf.DUMMYFUNCTION("""COMPUTED_VALUE"""),216.0)</f>
        <v>216</v>
      </c>
      <c r="G17" s="1" t="str">
        <f>IFERROR(__xludf.DUMMYFUNCTION("""COMPUTED_VALUE"""),"Периодичность функции")</f>
        <v>Периодичность функции</v>
      </c>
      <c r="H17" s="1">
        <f>IFERROR(__xludf.DUMMYFUNCTION("""COMPUTED_VALUE"""),316.0)</f>
        <v>316</v>
      </c>
      <c r="I17" s="1" t="str">
        <f>IFERROR(__xludf.DUMMYFUNCTION("""COMPUTED_VALUE"""),"Потенцирование")</f>
        <v>Потенцирование</v>
      </c>
      <c r="J17" s="1">
        <f>IFERROR(__xludf.DUMMYFUNCTION("""COMPUTED_VALUE"""),416.0)</f>
        <v>416</v>
      </c>
      <c r="K17" s="1" t="str">
        <f>IFERROR(__xludf.DUMMYFUNCTION("""COMPUTED_VALUE"""),"Уравнения, приводящиеся к квадратным")</f>
        <v>Уравнения, приводящиеся к квадратным</v>
      </c>
      <c r="L17" s="1">
        <f>IFERROR(__xludf.DUMMYFUNCTION("""COMPUTED_VALUE"""),521.0)</f>
        <v>521</v>
      </c>
      <c r="M17" s="1" t="str">
        <f>IFERROR(__xludf.DUMMYFUNCTION("""COMPUTED_VALUE"""),"Равносторонний треугольник")</f>
        <v>Равносторонний треугольник</v>
      </c>
      <c r="N17" s="1">
        <f>IFERROR(__xludf.DUMMYFUNCTION("""COMPUTED_VALUE"""),618.0)</f>
        <v>618</v>
      </c>
      <c r="O17" s="1"/>
      <c r="P17" s="1"/>
      <c r="Q17" s="1" t="str">
        <f>IFERROR(__xludf.DUMMYFUNCTION("""COMPUTED_VALUE"""),"Площадь элементов куба")</f>
        <v>Площадь элементов куба</v>
      </c>
      <c r="R17" s="1">
        <f>IFERROR(__xludf.DUMMYFUNCTION("""COMPUTED_VALUE"""),816.0)</f>
        <v>816</v>
      </c>
      <c r="S17" s="1" t="str">
        <f>IFERROR(__xludf.DUMMYFUNCTION("""COMPUTED_VALUE"""),"Числовые характеристики рядов данных")</f>
        <v>Числовые характеристики рядов данных</v>
      </c>
      <c r="T17" s="1">
        <f>IFERROR(__xludf.DUMMYFUNCTION("""COMPUTED_VALUE"""),917.0)</f>
        <v>917</v>
      </c>
      <c r="U17" s="1"/>
      <c r="V17" s="1"/>
      <c r="W17" s="1" t="str">
        <f>IFERROR(__xludf.DUMMYFUNCTION("""COMPUTED_VALUE"""),"Свойства взаимно простых чисел")</f>
        <v>Свойства взаимно простых чисел</v>
      </c>
      <c r="X17" s="1">
        <f>IFERROR(__xludf.DUMMYFUNCTION("""COMPUTED_VALUE"""),1156.0)</f>
        <v>1156</v>
      </c>
      <c r="Y17" s="1" t="str">
        <f>IFERROR(__xludf.DUMMYFUNCTION("""COMPUTED_VALUE"""),"Уметь строить графики изученных функций")</f>
        <v>Уметь строить графики изученных функций</v>
      </c>
      <c r="Z17" s="1">
        <f>IFERROR(__xludf.DUMMYFUNCTION("""COMPUTED_VALUE"""),1216.0)</f>
        <v>1216</v>
      </c>
      <c r="AA17" s="1"/>
      <c r="AB17" s="1"/>
      <c r="AC17" s="1" t="str">
        <f>IFERROR(__xludf.DUMMYFUNCTION("""COMPUTED_VALUE"""),"Метод упрощающего значения")</f>
        <v>Метод упрощающего значения</v>
      </c>
      <c r="AD17" s="1">
        <f>IFERROR(__xludf.DUMMYFUNCTION("""COMPUTED_VALUE"""),1516.0)</f>
        <v>1516</v>
      </c>
      <c r="AE17" s="1"/>
      <c r="AF17" s="1"/>
    </row>
    <row r="18">
      <c r="A18" s="1" t="str">
        <f>IFERROR(__xludf.DUMMYFUNCTION("""COMPUTED_VALUE"""),"Деление обыкновенной дроби и целого числа")</f>
        <v>Деление обыкновенной дроби и целого числа</v>
      </c>
      <c r="B18" s="1">
        <f>IFERROR(__xludf.DUMMYFUNCTION("""COMPUTED_VALUE"""),17.0)</f>
        <v>17</v>
      </c>
      <c r="C18" s="1" t="str">
        <f>IFERROR(__xludf.DUMMYFUNCTION("""COMPUTED_VALUE"""),"Деление квадратных корней")</f>
        <v>Деление квадратных корней</v>
      </c>
      <c r="D18" s="1">
        <f>IFERROR(__xludf.DUMMYFUNCTION("""COMPUTED_VALUE"""),117.0)</f>
        <v>117</v>
      </c>
      <c r="E18" s="1" t="str">
        <f>IFERROR(__xludf.DUMMYFUNCTION("""COMPUTED_VALUE"""),"Метод введения новых переменных")</f>
        <v>Метод введения новых переменных</v>
      </c>
      <c r="F18" s="1">
        <f>IFERROR(__xludf.DUMMYFUNCTION("""COMPUTED_VALUE"""),217.0)</f>
        <v>217</v>
      </c>
      <c r="G18" s="1" t="str">
        <f>IFERROR(__xludf.DUMMYFUNCTION("""COMPUTED_VALUE"""),"Четность, нечетность функции")</f>
        <v>Четность, нечетность функции</v>
      </c>
      <c r="H18" s="1">
        <f>IFERROR(__xludf.DUMMYFUNCTION("""COMPUTED_VALUE"""),317.0)</f>
        <v>317</v>
      </c>
      <c r="I18" s="1"/>
      <c r="J18" s="1"/>
      <c r="K18" s="1" t="str">
        <f>IFERROR(__xludf.DUMMYFUNCTION("""COMPUTED_VALUE"""),"Однородные тригонометрические уравнения первой и второй степени")</f>
        <v>Однородные тригонометрические уравнения первой и второй степени</v>
      </c>
      <c r="L18" s="1">
        <f>IFERROR(__xludf.DUMMYFUNCTION("""COMPUTED_VALUE"""),522.0)</f>
        <v>522</v>
      </c>
      <c r="M18" s="1" t="str">
        <f>IFERROR(__xludf.DUMMYFUNCTION("""COMPUTED_VALUE"""),"Окружность")</f>
        <v>Окружность</v>
      </c>
      <c r="N18" s="1">
        <f>IFERROR(__xludf.DUMMYFUNCTION("""COMPUTED_VALUE"""),619.0)</f>
        <v>619</v>
      </c>
      <c r="O18" s="1"/>
      <c r="P18" s="1"/>
      <c r="Q18" s="1" t="str">
        <f>IFERROR(__xludf.DUMMYFUNCTION("""COMPUTED_VALUE"""),"Понятие параллелепипеда")</f>
        <v>Понятие параллелепипеда</v>
      </c>
      <c r="R18" s="1">
        <f>IFERROR(__xludf.DUMMYFUNCTION("""COMPUTED_VALUE"""),817.0)</f>
        <v>817</v>
      </c>
      <c r="S18" s="1" t="str">
        <f>IFERROR(__xludf.DUMMYFUNCTION("""COMPUTED_VALUE"""),"Среднее")</f>
        <v>Среднее</v>
      </c>
      <c r="T18" s="1">
        <f>IFERROR(__xludf.DUMMYFUNCTION("""COMPUTED_VALUE"""),918.0)</f>
        <v>918</v>
      </c>
      <c r="U18" s="1"/>
      <c r="V18" s="1"/>
      <c r="W18" s="1" t="str">
        <f>IFERROR(__xludf.DUMMYFUNCTION("""COMPUTED_VALUE"""),"Числовая последовательность")</f>
        <v>Числовая последовательность</v>
      </c>
      <c r="X18" s="1">
        <f>IFERROR(__xludf.DUMMYFUNCTION("""COMPUTED_VALUE"""),1157.0)</f>
        <v>1157</v>
      </c>
      <c r="Y18" s="1" t="str">
        <f>IFERROR(__xludf.DUMMYFUNCTION("""COMPUTED_VALUE"""),"Уметь вычислять производные и первообразные элементарных функций")</f>
        <v>Уметь вычислять производные и первообразные элементарных функций</v>
      </c>
      <c r="Z18" s="1">
        <f>IFERROR(__xludf.DUMMYFUNCTION("""COMPUTED_VALUE"""),1217.0)</f>
        <v>1217</v>
      </c>
      <c r="AA18" s="1"/>
      <c r="AB18" s="1"/>
      <c r="AC18" s="1" t="str">
        <f>IFERROR(__xludf.DUMMYFUNCTION("""COMPUTED_VALUE"""),"Параметр как переменная")</f>
        <v>Параметр как переменная</v>
      </c>
      <c r="AD18" s="1">
        <f>IFERROR(__xludf.DUMMYFUNCTION("""COMPUTED_VALUE"""),1517.0)</f>
        <v>1517</v>
      </c>
      <c r="AE18" s="1"/>
      <c r="AF18" s="1"/>
    </row>
    <row r="19">
      <c r="A19" s="1" t="str">
        <f>IFERROR(__xludf.DUMMYFUNCTION("""COMPUTED_VALUE"""),"Деление обыкновенной дроби и смешанного числа")</f>
        <v>Деление обыкновенной дроби и смешанного числа</v>
      </c>
      <c r="B19" s="1">
        <f>IFERROR(__xludf.DUMMYFUNCTION("""COMPUTED_VALUE"""),18.0)</f>
        <v>18</v>
      </c>
      <c r="C19" s="1" t="str">
        <f>IFERROR(__xludf.DUMMYFUNCTION("""COMPUTED_VALUE"""),"Сложение/вычитание квадратных корней")</f>
        <v>Сложение/вычитание квадратных корней</v>
      </c>
      <c r="D19" s="1">
        <f>IFERROR(__xludf.DUMMYFUNCTION("""COMPUTED_VALUE"""),118.0)</f>
        <v>118</v>
      </c>
      <c r="E19" s="1" t="str">
        <f>IFERROR(__xludf.DUMMYFUNCTION("""COMPUTED_VALUE"""),"Однородные уравнения")</f>
        <v>Однородные уравнения</v>
      </c>
      <c r="F19" s="1">
        <f>IFERROR(__xludf.DUMMYFUNCTION("""COMPUTED_VALUE"""),218.0)</f>
        <v>218</v>
      </c>
      <c r="G19" s="1" t="str">
        <f>IFERROR(__xludf.DUMMYFUNCTION("""COMPUTED_VALUE"""),"Монотонность функции")</f>
        <v>Монотонность функции</v>
      </c>
      <c r="H19" s="1">
        <f>IFERROR(__xludf.DUMMYFUNCTION("""COMPUTED_VALUE"""),318.0)</f>
        <v>318</v>
      </c>
      <c r="I19" s="1"/>
      <c r="J19" s="1"/>
      <c r="K19" s="1" t="str">
        <f>IFERROR(__xludf.DUMMYFUNCTION("""COMPUTED_VALUE"""),"Тригонометрические уравнения с разложением на множители")</f>
        <v>Тригонометрические уравнения с разложением на множители</v>
      </c>
      <c r="L19" s="1">
        <f>IFERROR(__xludf.DUMMYFUNCTION("""COMPUTED_VALUE"""),523.0)</f>
        <v>523</v>
      </c>
      <c r="M19" s="1" t="str">
        <f>IFERROR(__xludf.DUMMYFUNCTION("""COMPUTED_VALUE"""),"Определение параллельных прямых")</f>
        <v>Определение параллельных прямых</v>
      </c>
      <c r="N19" s="1">
        <f>IFERROR(__xludf.DUMMYFUNCTION("""COMPUTED_VALUE"""),620.0)</f>
        <v>620</v>
      </c>
      <c r="O19" s="1"/>
      <c r="P19" s="1"/>
      <c r="Q19" s="1" t="str">
        <f>IFERROR(__xludf.DUMMYFUNCTION("""COMPUTED_VALUE"""),"Свойства параллелепипеда")</f>
        <v>Свойства параллелепипеда</v>
      </c>
      <c r="R19" s="1">
        <f>IFERROR(__xludf.DUMMYFUNCTION("""COMPUTED_VALUE"""),818.0)</f>
        <v>818</v>
      </c>
      <c r="S19" s="1" t="str">
        <f>IFERROR(__xludf.DUMMYFUNCTION("""COMPUTED_VALUE"""),"Наибольшее и наименьшее значение")</f>
        <v>Наибольшее и наименьшее значение</v>
      </c>
      <c r="T19" s="1">
        <f>IFERROR(__xludf.DUMMYFUNCTION("""COMPUTED_VALUE"""),919.0)</f>
        <v>919</v>
      </c>
      <c r="U19" s="1"/>
      <c r="V19" s="1"/>
      <c r="W19" s="1" t="str">
        <f>IFERROR(__xludf.DUMMYFUNCTION("""COMPUTED_VALUE"""),"Арифметическая прогрессия")</f>
        <v>Арифметическая прогрессия</v>
      </c>
      <c r="X19" s="1">
        <f>IFERROR(__xludf.DUMMYFUNCTION("""COMPUTED_VALUE"""),1158.0)</f>
        <v>1158</v>
      </c>
      <c r="Y19" s="1" t="str">
        <f>IFERROR(__xludf.DUMMYFUNCTION("""COMPUTED_VALUE"""),"Уметь исследовать в простейших случаях функции на монотонность, находить наибольшее и наименьшее значения функции")</f>
        <v>Уметь исследовать в простейших случаях функции на монотонность, находить наибольшее и наименьшее значения функции</v>
      </c>
      <c r="Z19" s="1">
        <f>IFERROR(__xludf.DUMMYFUNCTION("""COMPUTED_VALUE"""),1218.0)</f>
        <v>1218</v>
      </c>
      <c r="AA19" s="1"/>
      <c r="AB19" s="1"/>
      <c r="AC19" s="1" t="str">
        <f>IFERROR(__xludf.DUMMYFUNCTION("""COMPUTED_VALUE"""),"Уравнения, сводящиеся к исследованию квадратного уравнения")</f>
        <v>Уравнения, сводящиеся к исследованию квадратного уравнения</v>
      </c>
      <c r="AD19" s="1">
        <f>IFERROR(__xludf.DUMMYFUNCTION("""COMPUTED_VALUE"""),1518.0)</f>
        <v>1518</v>
      </c>
      <c r="AE19" s="1"/>
      <c r="AF19" s="1"/>
    </row>
    <row r="20">
      <c r="A20" s="1" t="str">
        <f>IFERROR(__xludf.DUMMYFUNCTION("""COMPUTED_VALUE"""),"Деление смешанных чисел")</f>
        <v>Деление смешанных чисел</v>
      </c>
      <c r="B20" s="1">
        <f>IFERROR(__xludf.DUMMYFUNCTION("""COMPUTED_VALUE"""),19.0)</f>
        <v>19</v>
      </c>
      <c r="C20" s="1" t="str">
        <f>IFERROR(__xludf.DUMMYFUNCTION("""COMPUTED_VALUE"""),"Применение формул сокращенного умножения к иррациональным выражениям")</f>
        <v>Применение формул сокращенного умножения к иррациональным выражениям</v>
      </c>
      <c r="D20" s="1">
        <f>IFERROR(__xludf.DUMMYFUNCTION("""COMPUTED_VALUE"""),119.0)</f>
        <v>119</v>
      </c>
      <c r="E20" s="1" t="str">
        <f>IFERROR(__xludf.DUMMYFUNCTION("""COMPUTED_VALUE"""),"Свойство коэффициентов квадратного уравнения")</f>
        <v>Свойство коэффициентов квадратного уравнения</v>
      </c>
      <c r="F20" s="1">
        <f>IFERROR(__xludf.DUMMYFUNCTION("""COMPUTED_VALUE"""),219.0)</f>
        <v>219</v>
      </c>
      <c r="G20" s="1" t="str">
        <f>IFERROR(__xludf.DUMMYFUNCTION("""COMPUTED_VALUE"""),"Промежутки возрастания и убывания")</f>
        <v>Промежутки возрастания и убывания</v>
      </c>
      <c r="H20" s="1">
        <f>IFERROR(__xludf.DUMMYFUNCTION("""COMPUTED_VALUE"""),319.0)</f>
        <v>319</v>
      </c>
      <c r="I20" s="1"/>
      <c r="J20" s="1"/>
      <c r="K20" s="1" t="str">
        <f>IFERROR(__xludf.DUMMYFUNCTION("""COMPUTED_VALUE"""),"Нахождение ОДЗ в тригонометрических уравнениях")</f>
        <v>Нахождение ОДЗ в тригонометрических уравнениях</v>
      </c>
      <c r="L20" s="1">
        <f>IFERROR(__xludf.DUMMYFUNCTION("""COMPUTED_VALUE"""),524.0)</f>
        <v>524</v>
      </c>
      <c r="M20" s="1" t="str">
        <f>IFERROR(__xludf.DUMMYFUNCTION("""COMPUTED_VALUE"""),"Признаки параллельности двух прямых")</f>
        <v>Признаки параллельности двух прямых</v>
      </c>
      <c r="N20" s="1">
        <f>IFERROR(__xludf.DUMMYFUNCTION("""COMPUTED_VALUE"""),621.0)</f>
        <v>621</v>
      </c>
      <c r="O20" s="1"/>
      <c r="P20" s="1"/>
      <c r="Q20" s="1" t="str">
        <f>IFERROR(__xludf.DUMMYFUNCTION("""COMPUTED_VALUE"""),"Объем параллелепипеда")</f>
        <v>Объем параллелепипеда</v>
      </c>
      <c r="R20" s="1">
        <f>IFERROR(__xludf.DUMMYFUNCTION("""COMPUTED_VALUE"""),819.0)</f>
        <v>819</v>
      </c>
      <c r="S20" s="1" t="str">
        <f>IFERROR(__xludf.DUMMYFUNCTION("""COMPUTED_VALUE"""),"Размах")</f>
        <v>Размах</v>
      </c>
      <c r="T20" s="1">
        <f>IFERROR(__xludf.DUMMYFUNCTION("""COMPUTED_VALUE"""),920.0)</f>
        <v>920</v>
      </c>
      <c r="U20" s="1"/>
      <c r="V20" s="1"/>
      <c r="W20" s="1" t="str">
        <f>IFERROR(__xludf.DUMMYFUNCTION("""COMPUTED_VALUE"""),"Свойства арифметической прогрессии")</f>
        <v>Свойства арифметической прогрессии</v>
      </c>
      <c r="X20" s="1">
        <f>IFERROR(__xludf.DUMMYFUNCTION("""COMPUTED_VALUE"""),1159.0)</f>
        <v>1159</v>
      </c>
      <c r="Y20" s="1" t="str">
        <f>IFERROR(__xludf.DUMMYFUNCTION("""COMPUTED_VALUE"""),"Уметь решать планиметрические задачи на нахождение геометрических величин (длин, углов,площадей)")</f>
        <v>Уметь решать планиметрические задачи на нахождение геометрических величин (длин, углов,площадей)</v>
      </c>
      <c r="Z20" s="1">
        <f>IFERROR(__xludf.DUMMYFUNCTION("""COMPUTED_VALUE"""),1219.0)</f>
        <v>1219</v>
      </c>
      <c r="AA20" s="1"/>
      <c r="AB20" s="1"/>
      <c r="AC20" s="1" t="str">
        <f>IFERROR(__xludf.DUMMYFUNCTION("""COMPUTED_VALUE"""),"Выделение полных квадратов и неотрицательных выражений")</f>
        <v>Выделение полных квадратов и неотрицательных выражений</v>
      </c>
      <c r="AD20" s="1">
        <f>IFERROR(__xludf.DUMMYFUNCTION("""COMPUTED_VALUE"""),1519.0)</f>
        <v>1519</v>
      </c>
      <c r="AE20" s="1"/>
      <c r="AF20" s="1"/>
    </row>
    <row r="21">
      <c r="A21" s="1" t="str">
        <f>IFERROR(__xludf.DUMMYFUNCTION("""COMPUTED_VALUE"""),"Сравнение десятичных дробей")</f>
        <v>Сравнение десятичных дробей</v>
      </c>
      <c r="B21" s="1">
        <f>IFERROR(__xludf.DUMMYFUNCTION("""COMPUTED_VALUE"""),20.0)</f>
        <v>20</v>
      </c>
      <c r="C21" s="1" t="str">
        <f>IFERROR(__xludf.DUMMYFUNCTION("""COMPUTED_VALUE"""),"Преобразование выражений, содержащих операцию извлечения квадратного корня")</f>
        <v>Преобразование выражений, содержащих операцию извлечения квадратного корня</v>
      </c>
      <c r="D21" s="1">
        <f>IFERROR(__xludf.DUMMYFUNCTION("""COMPUTED_VALUE"""),120.0)</f>
        <v>120</v>
      </c>
      <c r="E21" s="1" t="str">
        <f>IFERROR(__xludf.DUMMYFUNCTION("""COMPUTED_VALUE"""),"Обобщенная теорема Виета")</f>
        <v>Обобщенная теорема Виета</v>
      </c>
      <c r="F21" s="1">
        <f>IFERROR(__xludf.DUMMYFUNCTION("""COMPUTED_VALUE"""),220.0)</f>
        <v>220</v>
      </c>
      <c r="G21" s="1" t="str">
        <f>IFERROR(__xludf.DUMMYFUNCTION("""COMPUTED_VALUE"""),"Множество значений функций")</f>
        <v>Множество значений функций</v>
      </c>
      <c r="H21" s="1">
        <f>IFERROR(__xludf.DUMMYFUNCTION("""COMPUTED_VALUE"""),320.0)</f>
        <v>320</v>
      </c>
      <c r="I21" s="1"/>
      <c r="J21" s="1"/>
      <c r="K21" s="1" t="str">
        <f>IFERROR(__xludf.DUMMYFUNCTION("""COMPUTED_VALUE"""),"Комбинированные тригонометрические уравнения")</f>
        <v>Комбинированные тригонометрические уравнения</v>
      </c>
      <c r="L21" s="1">
        <f>IFERROR(__xludf.DUMMYFUNCTION("""COMPUTED_VALUE"""),525.0)</f>
        <v>525</v>
      </c>
      <c r="M21" s="1" t="str">
        <f>IFERROR(__xludf.DUMMYFUNCTION("""COMPUTED_VALUE"""),"Аксиома параллельных прямых")</f>
        <v>Аксиома параллельных прямых</v>
      </c>
      <c r="N21" s="1">
        <f>IFERROR(__xludf.DUMMYFUNCTION("""COMPUTED_VALUE"""),622.0)</f>
        <v>622</v>
      </c>
      <c r="O21" s="1"/>
      <c r="P21" s="1"/>
      <c r="Q21" s="1" t="str">
        <f>IFERROR(__xludf.DUMMYFUNCTION("""COMPUTED_VALUE"""),"Площадь элементов параллелепипеда")</f>
        <v>Площадь элементов параллелепипеда</v>
      </c>
      <c r="R21" s="1">
        <f>IFERROR(__xludf.DUMMYFUNCTION("""COMPUTED_VALUE"""),820.0)</f>
        <v>820</v>
      </c>
      <c r="S21" s="1" t="str">
        <f>IFERROR(__xludf.DUMMYFUNCTION("""COMPUTED_VALUE"""),"Дисперсия")</f>
        <v>Дисперсия</v>
      </c>
      <c r="T21" s="1">
        <f>IFERROR(__xludf.DUMMYFUNCTION("""COMPUTED_VALUE"""),921.0)</f>
        <v>921</v>
      </c>
      <c r="U21" s="1"/>
      <c r="V21" s="1"/>
      <c r="W21" s="1" t="str">
        <f>IFERROR(__xludf.DUMMYFUNCTION("""COMPUTED_VALUE"""),"Геометрическая прогрессия")</f>
        <v>Геометрическая прогрессия</v>
      </c>
      <c r="X21" s="1">
        <f>IFERROR(__xludf.DUMMYFUNCTION("""COMPUTED_VALUE"""),1160.0)</f>
        <v>1160</v>
      </c>
      <c r="Y21" s="1" t="str">
        <f>IFERROR(__xludf.DUMMYFUNCTION("""COMPUTED_VALUE"""),"Уметь решать простейшие стереометрические задачи на нахождение геометрических величин (длин, углов, площадей, объёмов)")</f>
        <v>Уметь решать простейшие стереометрические задачи на нахождение геометрических величин (длин, углов, площадей, объёмов)</v>
      </c>
      <c r="Z21" s="1">
        <f>IFERROR(__xludf.DUMMYFUNCTION("""COMPUTED_VALUE"""),1220.0)</f>
        <v>1220</v>
      </c>
      <c r="AA21" s="1"/>
      <c r="AB21" s="1"/>
      <c r="AC21" s="1" t="str">
        <f>IFERROR(__xludf.DUMMYFUNCTION("""COMPUTED_VALUE"""),"Разложение на множители")</f>
        <v>Разложение на множители</v>
      </c>
      <c r="AD21" s="1">
        <f>IFERROR(__xludf.DUMMYFUNCTION("""COMPUTED_VALUE"""),1520.0)</f>
        <v>1520</v>
      </c>
      <c r="AE21" s="1"/>
      <c r="AF21" s="1"/>
    </row>
    <row r="22">
      <c r="A22" s="1" t="str">
        <f>IFERROR(__xludf.DUMMYFUNCTION("""COMPUTED_VALUE"""),"Сложение/вычитание десятичных дробей")</f>
        <v>Сложение/вычитание десятичных дробей</v>
      </c>
      <c r="B22" s="1">
        <f>IFERROR(__xludf.DUMMYFUNCTION("""COMPUTED_VALUE"""),21.0)</f>
        <v>21</v>
      </c>
      <c r="C22" s="1" t="str">
        <f>IFERROR(__xludf.DUMMYFUNCTION("""COMPUTED_VALUE"""),"Свойство корня чётной степени (модуль)")</f>
        <v>Свойство корня чётной степени (модуль)</v>
      </c>
      <c r="D22" s="1">
        <f>IFERROR(__xludf.DUMMYFUNCTION("""COMPUTED_VALUE"""),121.0)</f>
        <v>121</v>
      </c>
      <c r="E22" s="1" t="str">
        <f>IFERROR(__xludf.DUMMYFUNCTION("""COMPUTED_VALUE"""),"Теорема Безу")</f>
        <v>Теорема Безу</v>
      </c>
      <c r="F22" s="1">
        <f>IFERROR(__xludf.DUMMYFUNCTION("""COMPUTED_VALUE"""),221.0)</f>
        <v>221</v>
      </c>
      <c r="G22" s="1" t="str">
        <f>IFERROR(__xludf.DUMMYFUNCTION("""COMPUTED_VALUE"""),"График функции")</f>
        <v>График функции</v>
      </c>
      <c r="H22" s="1">
        <f>IFERROR(__xludf.DUMMYFUNCTION("""COMPUTED_VALUE"""),321.0)</f>
        <v>321</v>
      </c>
      <c r="I22" s="1"/>
      <c r="J22" s="1"/>
      <c r="K22" s="1" t="str">
        <f>IFERROR(__xludf.DUMMYFUNCTION("""COMPUTED_VALUE"""),"Отбор корней (с помощью окружности, метод перебора)")</f>
        <v>Отбор корней (с помощью окружности, метод перебора)</v>
      </c>
      <c r="L22" s="1">
        <f>IFERROR(__xludf.DUMMYFUNCTION("""COMPUTED_VALUE"""),526.0)</f>
        <v>526</v>
      </c>
      <c r="M22" s="1" t="str">
        <f>IFERROR(__xludf.DUMMYFUNCTION("""COMPUTED_VALUE"""),"Теоремы об углах, образованных двумя параллельными прямыми и секущей")</f>
        <v>Теоремы об углах, образованных двумя параллельными прямыми и секущей</v>
      </c>
      <c r="N22" s="1">
        <f>IFERROR(__xludf.DUMMYFUNCTION("""COMPUTED_VALUE"""),623.0)</f>
        <v>623</v>
      </c>
      <c r="O22" s="1"/>
      <c r="P22" s="1"/>
      <c r="Q22" s="1" t="str">
        <f>IFERROR(__xludf.DUMMYFUNCTION("""COMPUTED_VALUE"""),"Понятие призмы")</f>
        <v>Понятие призмы</v>
      </c>
      <c r="R22" s="1">
        <f>IFERROR(__xludf.DUMMYFUNCTION("""COMPUTED_VALUE"""),821.0)</f>
        <v>821</v>
      </c>
      <c r="S22" s="1" t="str">
        <f>IFERROR(__xludf.DUMMYFUNCTION("""COMPUTED_VALUE"""),"Стандарнное отклонение")</f>
        <v>Стандарнное отклонение</v>
      </c>
      <c r="T22" s="1">
        <f>IFERROR(__xludf.DUMMYFUNCTION("""COMPUTED_VALUE"""),922.0)</f>
        <v>922</v>
      </c>
      <c r="U22" s="1"/>
      <c r="V22" s="1"/>
      <c r="W22" s="1" t="str">
        <f>IFERROR(__xludf.DUMMYFUNCTION("""COMPUTED_VALUE"""),"Свойство геометрической прогрессии")</f>
        <v>Свойство геометрической прогрессии</v>
      </c>
      <c r="X22" s="1">
        <f>IFERROR(__xludf.DUMMYFUNCTION("""COMPUTED_VALUE"""),1161.0)</f>
        <v>1161</v>
      </c>
      <c r="Y22" s="1" t="str">
        <f>IFERROR(__xludf.DUMMYFUNCTION("""COMPUTED_VALUE"""),"Уметь использовать при решении стереометрических задач планиметрические факты и методы")</f>
        <v>Уметь использовать при решении стереометрических задач планиметрические факты и методы</v>
      </c>
      <c r="Z22" s="1">
        <f>IFERROR(__xludf.DUMMYFUNCTION("""COMPUTED_VALUE"""),1221.0)</f>
        <v>1221</v>
      </c>
      <c r="AA22" s="1"/>
      <c r="AB22" s="1"/>
      <c r="AC22" s="1" t="str">
        <f>IFERROR(__xludf.DUMMYFUNCTION("""COMPUTED_VALUE"""),"Задачи на единственность и количество решений")</f>
        <v>Задачи на единственность и количество решений</v>
      </c>
      <c r="AD22" s="1">
        <f>IFERROR(__xludf.DUMMYFUNCTION("""COMPUTED_VALUE"""),1521.0)</f>
        <v>1521</v>
      </c>
      <c r="AE22" s="1"/>
      <c r="AF22" s="1"/>
    </row>
    <row r="23">
      <c r="A23" s="1" t="str">
        <f>IFERROR(__xludf.DUMMYFUNCTION("""COMPUTED_VALUE"""),"Умножение десятичных дробей")</f>
        <v>Умножение десятичных дробей</v>
      </c>
      <c r="B23" s="1">
        <f>IFERROR(__xludf.DUMMYFUNCTION("""COMPUTED_VALUE"""),22.0)</f>
        <v>22</v>
      </c>
      <c r="C23" s="1" t="str">
        <f>IFERROR(__xludf.DUMMYFUNCTION("""COMPUTED_VALUE"""),"Корень n-й степени")</f>
        <v>Корень n-й степени</v>
      </c>
      <c r="D23" s="1">
        <f>IFERROR(__xludf.DUMMYFUNCTION("""COMPUTED_VALUE"""),122.0)</f>
        <v>122</v>
      </c>
      <c r="E23" s="1" t="str">
        <f>IFERROR(__xludf.DUMMYFUNCTION("""COMPUTED_VALUE"""),"Линейные неравенства")</f>
        <v>Линейные неравенства</v>
      </c>
      <c r="F23" s="1">
        <f>IFERROR(__xludf.DUMMYFUNCTION("""COMPUTED_VALUE"""),222.0)</f>
        <v>222</v>
      </c>
      <c r="G23" s="1" t="str">
        <f>IFERROR(__xludf.DUMMYFUNCTION("""COMPUTED_VALUE"""),"Обратная функция")</f>
        <v>Обратная функция</v>
      </c>
      <c r="H23" s="1">
        <f>IFERROR(__xludf.DUMMYFUNCTION("""COMPUTED_VALUE"""),322.0)</f>
        <v>322</v>
      </c>
      <c r="I23" s="1"/>
      <c r="J23" s="1"/>
      <c r="K23" s="1" t="str">
        <f>IFERROR(__xludf.DUMMYFUNCTION("""COMPUTED_VALUE"""),"Определение значений углов на тригонометрической окружности")</f>
        <v>Определение значений углов на тригонометрической окружности</v>
      </c>
      <c r="L23" s="1">
        <f>IFERROR(__xludf.DUMMYFUNCTION("""COMPUTED_VALUE"""),529.0)</f>
        <v>529</v>
      </c>
      <c r="M23" s="1" t="str">
        <f>IFERROR(__xludf.DUMMYFUNCTION("""COMPUTED_VALUE"""),"Теорема о сумме углов треугольника")</f>
        <v>Теорема о сумме углов треугольника</v>
      </c>
      <c r="N23" s="1">
        <f>IFERROR(__xludf.DUMMYFUNCTION("""COMPUTED_VALUE"""),625.0)</f>
        <v>625</v>
      </c>
      <c r="O23" s="1"/>
      <c r="P23" s="1"/>
      <c r="Q23" s="1" t="str">
        <f>IFERROR(__xludf.DUMMYFUNCTION("""COMPUTED_VALUE"""),"Элементы призмы")</f>
        <v>Элементы призмы</v>
      </c>
      <c r="R23" s="1">
        <f>IFERROR(__xludf.DUMMYFUNCTION("""COMPUTED_VALUE"""),822.0)</f>
        <v>822</v>
      </c>
      <c r="S23" s="1" t="str">
        <f>IFERROR(__xludf.DUMMYFUNCTION("""COMPUTED_VALUE"""),"Вычисление частот")</f>
        <v>Вычисление частот</v>
      </c>
      <c r="T23" s="1">
        <f>IFERROR(__xludf.DUMMYFUNCTION("""COMPUTED_VALUE"""),924.0)</f>
        <v>924</v>
      </c>
      <c r="U23" s="1"/>
      <c r="V23" s="1"/>
      <c r="W23" s="1" t="str">
        <f>IFERROR(__xludf.DUMMYFUNCTION("""COMPUTED_VALUE"""),"НОД")</f>
        <v>НОД</v>
      </c>
      <c r="X23" s="1">
        <f>IFERROR(__xludf.DUMMYFUNCTION("""COMPUTED_VALUE"""),1162.0)</f>
        <v>1162</v>
      </c>
      <c r="Y23" s="1" t="str">
        <f>IFERROR(__xludf.DUMMYFUNCTION("""COMPUTED_VALUE"""),"Уметь определять координаты точки;")</f>
        <v>Уметь определять координаты точки;</v>
      </c>
      <c r="Z23" s="1">
        <f>IFERROR(__xludf.DUMMYFUNCTION("""COMPUTED_VALUE"""),1222.0)</f>
        <v>1222</v>
      </c>
      <c r="AA23" s="1"/>
      <c r="AB23" s="1"/>
      <c r="AC23" s="1" t="str">
        <f>IFERROR(__xludf.DUMMYFUNCTION("""COMPUTED_VALUE"""),"Задачи, решаемые с использованием симметрий")</f>
        <v>Задачи, решаемые с использованием симметрий</v>
      </c>
      <c r="AD23" s="1">
        <f>IFERROR(__xludf.DUMMYFUNCTION("""COMPUTED_VALUE"""),1522.0)</f>
        <v>1522</v>
      </c>
      <c r="AE23" s="1"/>
      <c r="AF23" s="1"/>
    </row>
    <row r="24">
      <c r="A24" s="1" t="str">
        <f>IFERROR(__xludf.DUMMYFUNCTION("""COMPUTED_VALUE"""),"Деление десятичной дроби на целое число")</f>
        <v>Деление десятичной дроби на целое число</v>
      </c>
      <c r="B24" s="1">
        <f>IFERROR(__xludf.DUMMYFUNCTION("""COMPUTED_VALUE"""),23.0)</f>
        <v>23</v>
      </c>
      <c r="C24" s="1" t="str">
        <f>IFERROR(__xludf.DUMMYFUNCTION("""COMPUTED_VALUE"""),"Метод рационализации")</f>
        <v>Метод рационализации</v>
      </c>
      <c r="D24" s="1">
        <f>IFERROR(__xludf.DUMMYFUNCTION("""COMPUTED_VALUE"""),123.0)</f>
        <v>123</v>
      </c>
      <c r="E24" s="1" t="str">
        <f>IFERROR(__xludf.DUMMYFUNCTION("""COMPUTED_VALUE"""),"Квадратные неравенства")</f>
        <v>Квадратные неравенства</v>
      </c>
      <c r="F24" s="1">
        <f>IFERROR(__xludf.DUMMYFUNCTION("""COMPUTED_VALUE"""),223.0)</f>
        <v>223</v>
      </c>
      <c r="G24" s="1" t="str">
        <f>IFERROR(__xludf.DUMMYFUNCTION("""COMPUTED_VALUE"""),"Определение производной")</f>
        <v>Определение производной</v>
      </c>
      <c r="H24" s="1">
        <f>IFERROR(__xludf.DUMMYFUNCTION("""COMPUTED_VALUE"""),323.0)</f>
        <v>323</v>
      </c>
      <c r="I24" s="1"/>
      <c r="J24" s="1"/>
      <c r="K24" s="1" t="str">
        <f>IFERROR(__xludf.DUMMYFUNCTION("""COMPUTED_VALUE"""),"Определение значений синуса и косинуса на тригонометрической окружности")</f>
        <v>Определение значений синуса и косинуса на тригонометрической окружности</v>
      </c>
      <c r="L24" s="1">
        <f>IFERROR(__xludf.DUMMYFUNCTION("""COMPUTED_VALUE"""),530.0)</f>
        <v>530</v>
      </c>
      <c r="M24" s="1" t="str">
        <f>IFERROR(__xludf.DUMMYFUNCTION("""COMPUTED_VALUE"""),"Остроугольный, прямоугольный и тупоугольный треугольники")</f>
        <v>Остроугольный, прямоугольный и тупоугольный треугольники</v>
      </c>
      <c r="N24" s="1">
        <f>IFERROR(__xludf.DUMMYFUNCTION("""COMPUTED_VALUE"""),626.0)</f>
        <v>626</v>
      </c>
      <c r="O24" s="1"/>
      <c r="P24" s="1"/>
      <c r="Q24" s="1" t="str">
        <f>IFERROR(__xludf.DUMMYFUNCTION("""COMPUTED_VALUE"""),"Свойства призмы")</f>
        <v>Свойства призмы</v>
      </c>
      <c r="R24" s="1">
        <f>IFERROR(__xludf.DUMMYFUNCTION("""COMPUTED_VALUE"""),823.0)</f>
        <v>823</v>
      </c>
      <c r="S24" s="1" t="str">
        <f>IFERROR(__xludf.DUMMYFUNCTION("""COMPUTED_VALUE"""),"Вычисление вероятностей независимых событий")</f>
        <v>Вычисление вероятностей независимых событий</v>
      </c>
      <c r="T24" s="1">
        <f>IFERROR(__xludf.DUMMYFUNCTION("""COMPUTED_VALUE"""),926.0)</f>
        <v>926</v>
      </c>
      <c r="U24" s="1"/>
      <c r="V24" s="1"/>
      <c r="W24" s="1" t="str">
        <f>IFERROR(__xludf.DUMMYFUNCTION("""COMPUTED_VALUE"""),"НОК")</f>
        <v>НОК</v>
      </c>
      <c r="X24" s="1">
        <f>IFERROR(__xludf.DUMMYFUNCTION("""COMPUTED_VALUE"""),1163.0)</f>
        <v>1163</v>
      </c>
      <c r="Y24" s="1" t="str">
        <f>IFERROR(__xludf.DUMMYFUNCTION("""COMPUTED_VALUE"""),"Уметь проводить операции над векторами, вычислять длину и координаты вектора, угол между векторами")</f>
        <v>Уметь проводить операции над векторами, вычислять длину и координаты вектора, угол между векторами</v>
      </c>
      <c r="Z24" s="1">
        <f>IFERROR(__xludf.DUMMYFUNCTION("""COMPUTED_VALUE"""),1223.0)</f>
        <v>1223</v>
      </c>
      <c r="AA24" s="1"/>
      <c r="AB24" s="1"/>
      <c r="AC24" s="1"/>
      <c r="AD24" s="1"/>
      <c r="AE24" s="1"/>
      <c r="AF24" s="1"/>
    </row>
    <row r="25">
      <c r="A25" s="1" t="str">
        <f>IFERROR(__xludf.DUMMYFUNCTION("""COMPUTED_VALUE"""),"Деление десятичной дроби на десятичную")</f>
        <v>Деление десятичной дроби на десятичную</v>
      </c>
      <c r="B25" s="1">
        <f>IFERROR(__xludf.DUMMYFUNCTION("""COMPUTED_VALUE"""),24.0)</f>
        <v>24</v>
      </c>
      <c r="C25" s="1" t="str">
        <f>IFERROR(__xludf.DUMMYFUNCTION("""COMPUTED_VALUE"""),"Обобщенный метод интервалов")</f>
        <v>Обобщенный метод интервалов</v>
      </c>
      <c r="D25" s="1">
        <f>IFERROR(__xludf.DUMMYFUNCTION("""COMPUTED_VALUE"""),124.0)</f>
        <v>124</v>
      </c>
      <c r="E25" s="1" t="str">
        <f>IFERROR(__xludf.DUMMYFUNCTION("""COMPUTED_VALUE"""),"Дробно-рациональные неравенства")</f>
        <v>Дробно-рациональные неравенства</v>
      </c>
      <c r="F25" s="1">
        <f>IFERROR(__xludf.DUMMYFUNCTION("""COMPUTED_VALUE"""),224.0)</f>
        <v>224</v>
      </c>
      <c r="G25" s="1" t="str">
        <f>IFERROR(__xludf.DUMMYFUNCTION("""COMPUTED_VALUE"""),"Правила дифференцирования, основные формулы производной")</f>
        <v>Правила дифференцирования, основные формулы производной</v>
      </c>
      <c r="H25" s="1">
        <f>IFERROR(__xludf.DUMMYFUNCTION("""COMPUTED_VALUE"""),324.0)</f>
        <v>324</v>
      </c>
      <c r="I25" s="1"/>
      <c r="J25" s="1"/>
      <c r="K25" s="1" t="str">
        <f>IFERROR(__xludf.DUMMYFUNCTION("""COMPUTED_VALUE"""),"Обратные тригонометрические функции: определение")</f>
        <v>Обратные тригонометрические функции: определение</v>
      </c>
      <c r="L25" s="1">
        <f>IFERROR(__xludf.DUMMYFUNCTION("""COMPUTED_VALUE"""),531.0)</f>
        <v>531</v>
      </c>
      <c r="M25" s="1" t="str">
        <f>IFERROR(__xludf.DUMMYFUNCTION("""COMPUTED_VALUE"""),"Прямоугольные треугольники")</f>
        <v>Прямоугольные треугольники</v>
      </c>
      <c r="N25" s="1">
        <f>IFERROR(__xludf.DUMMYFUNCTION("""COMPUTED_VALUE"""),629.0)</f>
        <v>629</v>
      </c>
      <c r="O25" s="1"/>
      <c r="P25" s="1"/>
      <c r="Q25" s="1" t="str">
        <f>IFERROR(__xludf.DUMMYFUNCTION("""COMPUTED_VALUE"""),"Виды призм")</f>
        <v>Виды призм</v>
      </c>
      <c r="R25" s="1">
        <f>IFERROR(__xludf.DUMMYFUNCTION("""COMPUTED_VALUE"""),824.0)</f>
        <v>824</v>
      </c>
      <c r="S25" s="1" t="str">
        <f>IFERROR(__xludf.DUMMYFUNCTION("""COMPUTED_VALUE"""),"Использование формулы сложения вероятностей")</f>
        <v>Использование формулы сложения вероятностей</v>
      </c>
      <c r="T25" s="1">
        <f>IFERROR(__xludf.DUMMYFUNCTION("""COMPUTED_VALUE"""),927.0)</f>
        <v>927</v>
      </c>
      <c r="U25" s="1"/>
      <c r="V25" s="1"/>
      <c r="W25" s="1" t="str">
        <f>IFERROR(__xludf.DUMMYFUNCTION("""COMPUTED_VALUE"""),"Разложение числа на десятки, сотни и т.д.")</f>
        <v>Разложение числа на десятки, сотни и т.д.</v>
      </c>
      <c r="X25" s="1">
        <f>IFERROR(__xludf.DUMMYFUNCTION("""COMPUTED_VALUE"""),1164.0)</f>
        <v>1164</v>
      </c>
      <c r="Y25" s="1" t="str">
        <f>IFERROR(__xludf.DUMMYFUNCTION("""COMPUTED_VALUE"""),"Уметь моделировать реальные ситуации на языке алгебры,")</f>
        <v>Уметь моделировать реальные ситуации на языке алгебры,</v>
      </c>
      <c r="Z25" s="1">
        <f>IFERROR(__xludf.DUMMYFUNCTION("""COMPUTED_VALUE"""),1224.0)</f>
        <v>1224</v>
      </c>
      <c r="AA25" s="1"/>
      <c r="AB25" s="1"/>
      <c r="AC25" s="1"/>
      <c r="AD25" s="1"/>
      <c r="AE25" s="1"/>
      <c r="AF25" s="1"/>
    </row>
    <row r="26">
      <c r="A26" s="1" t="str">
        <f>IFERROR(__xludf.DUMMYFUNCTION("""COMPUTED_VALUE"""),"Умножение десятичной дроби на 10, 100, 1000 и т.д.")</f>
        <v>Умножение десятичной дроби на 10, 100, 1000 и т.д.</v>
      </c>
      <c r="B26" s="1">
        <f>IFERROR(__xludf.DUMMYFUNCTION("""COMPUTED_VALUE"""),25.0)</f>
        <v>25</v>
      </c>
      <c r="C26" s="1" t="str">
        <f>IFERROR(__xludf.DUMMYFUNCTION("""COMPUTED_VALUE"""),"Метод интервалов")</f>
        <v>Метод интервалов</v>
      </c>
      <c r="D26" s="1">
        <f>IFERROR(__xludf.DUMMYFUNCTION("""COMPUTED_VALUE"""),125.0)</f>
        <v>125</v>
      </c>
      <c r="E26" s="1" t="str">
        <f>IFERROR(__xludf.DUMMYFUNCTION("""COMPUTED_VALUE"""),"Иррациональные неравенства")</f>
        <v>Иррациональные неравенства</v>
      </c>
      <c r="F26" s="1">
        <f>IFERROR(__xludf.DUMMYFUNCTION("""COMPUTED_VALUE"""),225.0)</f>
        <v>225</v>
      </c>
      <c r="G26" s="1" t="str">
        <f>IFERROR(__xludf.DUMMYFUNCTION("""COMPUTED_VALUE"""),"Сложная производная")</f>
        <v>Сложная производная</v>
      </c>
      <c r="H26" s="1">
        <f>IFERROR(__xludf.DUMMYFUNCTION("""COMPUTED_VALUE"""),325.0)</f>
        <v>325</v>
      </c>
      <c r="I26" s="1"/>
      <c r="J26" s="1"/>
      <c r="K26" s="1"/>
      <c r="L26" s="1"/>
      <c r="M26" s="1" t="str">
        <f>IFERROR(__xludf.DUMMYFUNCTION("""COMPUTED_VALUE"""),"Некоторые свойства прямоугольных треугольников")</f>
        <v>Некоторые свойства прямоугольных треугольников</v>
      </c>
      <c r="N26" s="1">
        <f>IFERROR(__xludf.DUMMYFUNCTION("""COMPUTED_VALUE"""),630.0)</f>
        <v>630</v>
      </c>
      <c r="O26" s="1"/>
      <c r="P26" s="1"/>
      <c r="Q26" s="1" t="str">
        <f>IFERROR(__xludf.DUMMYFUNCTION("""COMPUTED_VALUE"""),"Объем призмы")</f>
        <v>Объем призмы</v>
      </c>
      <c r="R26" s="1">
        <f>IFERROR(__xludf.DUMMYFUNCTION("""COMPUTED_VALUE"""),825.0)</f>
        <v>825</v>
      </c>
      <c r="S26" s="1" t="str">
        <f>IFERROR(__xludf.DUMMYFUNCTION("""COMPUTED_VALUE"""),"Использование диаграмм Эйлера")</f>
        <v>Использование диаграмм Эйлера</v>
      </c>
      <c r="T26" s="1">
        <f>IFERROR(__xludf.DUMMYFUNCTION("""COMPUTED_VALUE"""),928.0)</f>
        <v>928</v>
      </c>
      <c r="U26" s="1"/>
      <c r="V26" s="1"/>
      <c r="W26" s="1"/>
      <c r="X26" s="1"/>
      <c r="Y26" s="1" t="str">
        <f>IFERROR(__xludf.DUMMYFUNCTION("""COMPUTED_VALUE"""),"Уметь составлять уравнения и неравенства по условию задачи")</f>
        <v>Уметь составлять уравнения и неравенства по условию задачи</v>
      </c>
      <c r="Z26" s="1">
        <f>IFERROR(__xludf.DUMMYFUNCTION("""COMPUTED_VALUE"""),1225.0)</f>
        <v>1225</v>
      </c>
      <c r="AA26" s="1"/>
      <c r="AB26" s="1"/>
      <c r="AC26" s="1"/>
      <c r="AD26" s="1"/>
      <c r="AE26" s="1"/>
      <c r="AF26" s="1"/>
    </row>
    <row r="27">
      <c r="A27" s="1" t="str">
        <f>IFERROR(__xludf.DUMMYFUNCTION("""COMPUTED_VALUE"""),"Перевод десятичной дроби в обыкновенную")</f>
        <v>Перевод десятичной дроби в обыкновенную</v>
      </c>
      <c r="B27" s="1">
        <f>IFERROR(__xludf.DUMMYFUNCTION("""COMPUTED_VALUE"""),27.0)</f>
        <v>27</v>
      </c>
      <c r="C27" s="1"/>
      <c r="D27" s="1"/>
      <c r="E27" s="1" t="str">
        <f>IFERROR(__xludf.DUMMYFUNCTION("""COMPUTED_VALUE"""),"Неравенства с модулем")</f>
        <v>Неравенства с модулем</v>
      </c>
      <c r="F27" s="1">
        <f>IFERROR(__xludf.DUMMYFUNCTION("""COMPUTED_VALUE"""),226.0)</f>
        <v>226</v>
      </c>
      <c r="G27" s="1" t="str">
        <f>IFERROR(__xludf.DUMMYFUNCTION("""COMPUTED_VALUE"""),"Геометрический смысл производной (тангенс угла наклона касательной, коэффициент в уравнении прямой)")</f>
        <v>Геометрический смысл производной (тангенс угла наклона касательной, коэффициент в уравнении прямой)</v>
      </c>
      <c r="H27" s="1">
        <f>IFERROR(__xludf.DUMMYFUNCTION("""COMPUTED_VALUE"""),326.0)</f>
        <v>326</v>
      </c>
      <c r="I27" s="1"/>
      <c r="J27" s="1"/>
      <c r="K27" s="1"/>
      <c r="L27" s="1"/>
      <c r="M27" s="1" t="str">
        <f>IFERROR(__xludf.DUMMYFUNCTION("""COMPUTED_VALUE"""),"Признаки равенства прямоугольных треугольников")</f>
        <v>Признаки равенства прямоугольных треугольников</v>
      </c>
      <c r="N27" s="1">
        <f>IFERROR(__xludf.DUMMYFUNCTION("""COMPUTED_VALUE"""),631.0)</f>
        <v>631</v>
      </c>
      <c r="O27" s="1"/>
      <c r="P27" s="1"/>
      <c r="Q27" s="1" t="str">
        <f>IFERROR(__xludf.DUMMYFUNCTION("""COMPUTED_VALUE"""),"Площади элементов призмы")</f>
        <v>Площади элементов призмы</v>
      </c>
      <c r="R27" s="1">
        <f>IFERROR(__xludf.DUMMYFUNCTION("""COMPUTED_VALUE"""),826.0)</f>
        <v>826</v>
      </c>
      <c r="S27" s="1" t="str">
        <f>IFERROR(__xludf.DUMMYFUNCTION("""COMPUTED_VALUE"""),"Использование дерева вероятностей")</f>
        <v>Использование дерева вероятностей</v>
      </c>
      <c r="T27" s="1">
        <f>IFERROR(__xludf.DUMMYFUNCTION("""COMPUTED_VALUE"""),929.0)</f>
        <v>929</v>
      </c>
      <c r="U27" s="1"/>
      <c r="V27" s="1"/>
      <c r="W27" s="1"/>
      <c r="X27" s="1"/>
      <c r="Y27" s="1" t="str">
        <f>IFERROR(__xludf.DUMMYFUNCTION("""COMPUTED_VALUE"""),"Уметь исследовать построенные модели с использованием аппарата алгебры")</f>
        <v>Уметь исследовать построенные модели с использованием аппарата алгебры</v>
      </c>
      <c r="Z27" s="1">
        <f>IFERROR(__xludf.DUMMYFUNCTION("""COMPUTED_VALUE"""),1226.0)</f>
        <v>1226</v>
      </c>
      <c r="AA27" s="1"/>
      <c r="AB27" s="1"/>
      <c r="AC27" s="1"/>
      <c r="AD27" s="1"/>
      <c r="AE27" s="1"/>
      <c r="AF27" s="1"/>
    </row>
    <row r="28">
      <c r="A28" s="1" t="str">
        <f>IFERROR(__xludf.DUMMYFUNCTION("""COMPUTED_VALUE"""),"Перевод обыкновенной дроби в десятичную")</f>
        <v>Перевод обыкновенной дроби в десятичную</v>
      </c>
      <c r="B28" s="1">
        <f>IFERROR(__xludf.DUMMYFUNCTION("""COMPUTED_VALUE"""),28.0)</f>
        <v>28</v>
      </c>
      <c r="C28" s="1"/>
      <c r="D28" s="1"/>
      <c r="E28" s="1" t="str">
        <f>IFERROR(__xludf.DUMMYFUNCTION("""COMPUTED_VALUE"""),"Смешанные неравенства")</f>
        <v>Смешанные неравенства</v>
      </c>
      <c r="F28" s="1">
        <f>IFERROR(__xludf.DUMMYFUNCTION("""COMPUTED_VALUE"""),228.0)</f>
        <v>228</v>
      </c>
      <c r="G28" s="1" t="str">
        <f>IFERROR(__xludf.DUMMYFUNCTION("""COMPUTED_VALUE"""),"Физический смысл производной")</f>
        <v>Физический смысл производной</v>
      </c>
      <c r="H28" s="1">
        <f>IFERROR(__xludf.DUMMYFUNCTION("""COMPUTED_VALUE"""),327.0)</f>
        <v>327</v>
      </c>
      <c r="I28" s="1"/>
      <c r="J28" s="1"/>
      <c r="K28" s="1"/>
      <c r="L28" s="1"/>
      <c r="M28" s="1" t="str">
        <f>IFERROR(__xludf.DUMMYFUNCTION("""COMPUTED_VALUE"""),"Расстояние от точки до прямой")</f>
        <v>Расстояние от точки до прямой</v>
      </c>
      <c r="N28" s="1">
        <f>IFERROR(__xludf.DUMMYFUNCTION("""COMPUTED_VALUE"""),633.0)</f>
        <v>633</v>
      </c>
      <c r="O28" s="1"/>
      <c r="P28" s="1"/>
      <c r="Q28" s="1" t="str">
        <f>IFERROR(__xludf.DUMMYFUNCTION("""COMPUTED_VALUE"""),"Понятие пирамиды")</f>
        <v>Понятие пирамиды</v>
      </c>
      <c r="R28" s="1">
        <f>IFERROR(__xludf.DUMMYFUNCTION("""COMPUTED_VALUE"""),827.0)</f>
        <v>827</v>
      </c>
      <c r="S28" s="1" t="str">
        <f>IFERROR(__xludf.DUMMYFUNCTION("""COMPUTED_VALUE"""),"Использование формулы Бернулли")</f>
        <v>Использование формулы Бернулли</v>
      </c>
      <c r="T28" s="1">
        <f>IFERROR(__xludf.DUMMYFUNCTION("""COMPUTED_VALUE"""),930.0)</f>
        <v>930</v>
      </c>
      <c r="U28" s="1"/>
      <c r="V28" s="1"/>
      <c r="W28" s="1"/>
      <c r="X28" s="1"/>
      <c r="Y28" s="1" t="str">
        <f>IFERROR(__xludf.DUMMYFUNCTION("""COMPUTED_VALUE"""),"Уметь моделировать реальные ситуации на языке геометрии,")</f>
        <v>Уметь моделировать реальные ситуации на языке геометрии,</v>
      </c>
      <c r="Z28" s="1">
        <f>IFERROR(__xludf.DUMMYFUNCTION("""COMPUTED_VALUE"""),1227.0)</f>
        <v>1227</v>
      </c>
      <c r="AA28" s="1"/>
      <c r="AB28" s="1"/>
      <c r="AC28" s="1"/>
      <c r="AD28" s="1"/>
      <c r="AE28" s="1"/>
      <c r="AF28" s="1"/>
    </row>
    <row r="29">
      <c r="A29" s="1" t="str">
        <f>IFERROR(__xludf.DUMMYFUNCTION("""COMPUTED_VALUE"""),"Перевод смешанного числа в десятичную дробь")</f>
        <v>Перевод смешанного числа в десятичную дробь</v>
      </c>
      <c r="B29" s="1">
        <f>IFERROR(__xludf.DUMMYFUNCTION("""COMPUTED_VALUE"""),29.0)</f>
        <v>29</v>
      </c>
      <c r="C29" s="1"/>
      <c r="D29" s="1"/>
      <c r="E29" s="1" t="str">
        <f>IFERROR(__xludf.DUMMYFUNCTION("""COMPUTED_VALUE"""),"Разложение квадратного трёхчлена на множители")</f>
        <v>Разложение квадратного трёхчлена на множители</v>
      </c>
      <c r="F29" s="1">
        <f>IFERROR(__xludf.DUMMYFUNCTION("""COMPUTED_VALUE"""),229.0)</f>
        <v>229</v>
      </c>
      <c r="G29" s="1" t="str">
        <f>IFERROR(__xludf.DUMMYFUNCTION("""COMPUTED_VALUE"""),"Производная по графику")</f>
        <v>Производная по графику</v>
      </c>
      <c r="H29" s="1">
        <f>IFERROR(__xludf.DUMMYFUNCTION("""COMPUTED_VALUE"""),328.0)</f>
        <v>328</v>
      </c>
      <c r="I29" s="1"/>
      <c r="J29" s="1"/>
      <c r="K29" s="1"/>
      <c r="L29" s="1"/>
      <c r="M29" s="1" t="str">
        <f>IFERROR(__xludf.DUMMYFUNCTION("""COMPUTED_VALUE"""),"Расстояние между параллельными прямыми")</f>
        <v>Расстояние между параллельными прямыми</v>
      </c>
      <c r="N29" s="1">
        <f>IFERROR(__xludf.DUMMYFUNCTION("""COMPUTED_VALUE"""),634.0)</f>
        <v>634</v>
      </c>
      <c r="O29" s="1"/>
      <c r="P29" s="1"/>
      <c r="Q29" s="1" t="str">
        <f>IFERROR(__xludf.DUMMYFUNCTION("""COMPUTED_VALUE"""),"Свойства пирамиды")</f>
        <v>Свойства пирамиды</v>
      </c>
      <c r="R29" s="1">
        <f>IFERROR(__xludf.DUMMYFUNCTION("""COMPUTED_VALUE"""),828.0)</f>
        <v>828</v>
      </c>
      <c r="S29" s="1" t="str">
        <f>IFERROR(__xludf.DUMMYFUNCTION("""COMPUTED_VALUE"""),"Геометрический смысл вероятностей")</f>
        <v>Геометрический смысл вероятностей</v>
      </c>
      <c r="T29" s="1">
        <f>IFERROR(__xludf.DUMMYFUNCTION("""COMPUTED_VALUE"""),931.0)</f>
        <v>931</v>
      </c>
      <c r="U29" s="1"/>
      <c r="V29" s="1"/>
      <c r="W29" s="1"/>
      <c r="X29" s="1"/>
      <c r="Y29" s="1" t="str">
        <f>IFERROR(__xludf.DUMMYFUNCTION("""COMPUTED_VALUE"""),"Уметь исследовать построенные модели с использованием геометрических понятий и теорем, аппарата алгебры;")</f>
        <v>Уметь исследовать построенные модели с использованием геометрических понятий и теорем, аппарата алгебры;</v>
      </c>
      <c r="Z29" s="1">
        <f>IFERROR(__xludf.DUMMYFUNCTION("""COMPUTED_VALUE"""),1228.0)</f>
        <v>1228</v>
      </c>
      <c r="AA29" s="1"/>
      <c r="AB29" s="1"/>
      <c r="AC29" s="1"/>
      <c r="AD29" s="1"/>
      <c r="AE29" s="1"/>
      <c r="AF29" s="1"/>
    </row>
    <row r="30">
      <c r="A30" s="1" t="str">
        <f>IFERROR(__xludf.DUMMYFUNCTION("""COMPUTED_VALUE"""),"Порядок выполнения действий")</f>
        <v>Порядок выполнения действий</v>
      </c>
      <c r="B30" s="1">
        <f>IFERROR(__xludf.DUMMYFUNCTION("""COMPUTED_VALUE"""),30.0)</f>
        <v>30</v>
      </c>
      <c r="C30" s="1"/>
      <c r="D30" s="1"/>
      <c r="E30" s="1" t="str">
        <f>IFERROR(__xludf.DUMMYFUNCTION("""COMPUTED_VALUE"""),"Обобщенный метод интервалов")</f>
        <v>Обобщенный метод интервалов</v>
      </c>
      <c r="F30" s="1">
        <f>IFERROR(__xludf.DUMMYFUNCTION("""COMPUTED_VALUE"""),230.0)</f>
        <v>230</v>
      </c>
      <c r="G30" s="1" t="str">
        <f>IFERROR(__xludf.DUMMYFUNCTION("""COMPUTED_VALUE"""),"Касательная к графику функции. Угловой коэффициент касательной")</f>
        <v>Касательная к графику функции. Угловой коэффициент касательной</v>
      </c>
      <c r="H30" s="1">
        <f>IFERROR(__xludf.DUMMYFUNCTION("""COMPUTED_VALUE"""),330.0)</f>
        <v>330</v>
      </c>
      <c r="I30" s="1"/>
      <c r="J30" s="1"/>
      <c r="K30" s="1"/>
      <c r="L30" s="1"/>
      <c r="M30" s="1" t="str">
        <f>IFERROR(__xludf.DUMMYFUNCTION("""COMPUTED_VALUE"""),"Четырёхугольник")</f>
        <v>Четырёхугольник</v>
      </c>
      <c r="N30" s="1">
        <f>IFERROR(__xludf.DUMMYFUNCTION("""COMPUTED_VALUE"""),638.0)</f>
        <v>638</v>
      </c>
      <c r="O30" s="1"/>
      <c r="P30" s="1"/>
      <c r="Q30" s="1" t="str">
        <f>IFERROR(__xludf.DUMMYFUNCTION("""COMPUTED_VALUE"""),"Виды пирамид")</f>
        <v>Виды пирамид</v>
      </c>
      <c r="R30" s="1">
        <f>IFERROR(__xludf.DUMMYFUNCTION("""COMPUTED_VALUE"""),829.0)</f>
        <v>829</v>
      </c>
      <c r="S30" s="1"/>
      <c r="T30" s="1"/>
      <c r="U30" s="1"/>
      <c r="V30" s="1"/>
      <c r="W30" s="1"/>
      <c r="X30" s="1"/>
      <c r="Y30" s="1" t="str">
        <f>IFERROR(__xludf.DUMMYFUNCTION("""COMPUTED_VALUE"""),"Уметь решать практические задачи, связанные с нахождением геометрических величин")</f>
        <v>Уметь решать практические задачи, связанные с нахождением геометрических величин</v>
      </c>
      <c r="Z30" s="1">
        <f>IFERROR(__xludf.DUMMYFUNCTION("""COMPUTED_VALUE"""),1229.0)</f>
        <v>1229</v>
      </c>
      <c r="AA30" s="1"/>
      <c r="AB30" s="1"/>
      <c r="AC30" s="1"/>
      <c r="AD30" s="1"/>
      <c r="AE30" s="1"/>
      <c r="AF30" s="1"/>
    </row>
    <row r="31">
      <c r="A31" s="1" t="str">
        <f>IFERROR(__xludf.DUMMYFUNCTION("""COMPUTED_VALUE"""),"Действия с числами разных знаков (отрицательные, положительные, сложение, вычитание, умножение, деление)")</f>
        <v>Действия с числами разных знаков (отрицательные, положительные, сложение, вычитание, умножение, деление)</v>
      </c>
      <c r="B31" s="1">
        <f>IFERROR(__xludf.DUMMYFUNCTION("""COMPUTED_VALUE"""),31.0)</f>
        <v>31</v>
      </c>
      <c r="C31" s="1"/>
      <c r="D31" s="1"/>
      <c r="E31" s="1" t="str">
        <f>IFERROR(__xludf.DUMMYFUNCTION("""COMPUTED_VALUE"""),"Метод рационализации")</f>
        <v>Метод рационализации</v>
      </c>
      <c r="F31" s="1">
        <f>IFERROR(__xludf.DUMMYFUNCTION("""COMPUTED_VALUE"""),231.0)</f>
        <v>231</v>
      </c>
      <c r="G31" s="1" t="str">
        <f>IFERROR(__xludf.DUMMYFUNCTION("""COMPUTED_VALUE"""),"График функции и её производной")</f>
        <v>График функции и её производной</v>
      </c>
      <c r="H31" s="1">
        <f>IFERROR(__xludf.DUMMYFUNCTION("""COMPUTED_VALUE"""),331.0)</f>
        <v>331</v>
      </c>
      <c r="I31" s="1"/>
      <c r="J31" s="1"/>
      <c r="K31" s="1"/>
      <c r="L31" s="1"/>
      <c r="M31" s="1" t="str">
        <f>IFERROR(__xludf.DUMMYFUNCTION("""COMPUTED_VALUE"""),"Параллелограмм")</f>
        <v>Параллелограмм</v>
      </c>
      <c r="N31" s="1">
        <f>IFERROR(__xludf.DUMMYFUNCTION("""COMPUTED_VALUE"""),639.0)</f>
        <v>639</v>
      </c>
      <c r="O31" s="1"/>
      <c r="P31" s="1"/>
      <c r="Q31" s="1" t="str">
        <f>IFERROR(__xludf.DUMMYFUNCTION("""COMPUTED_VALUE"""),"Объем пирамиды")</f>
        <v>Объем пирамиды</v>
      </c>
      <c r="R31" s="1">
        <f>IFERROR(__xludf.DUMMYFUNCTION("""COMPUTED_VALUE"""),830.0)</f>
        <v>830</v>
      </c>
      <c r="S31" s="1"/>
      <c r="T31" s="1"/>
      <c r="U31" s="1"/>
      <c r="V31" s="1"/>
      <c r="W31" s="1"/>
      <c r="X31" s="1"/>
      <c r="Y31" s="1" t="str">
        <f>IFERROR(__xludf.DUMMYFUNCTION("""COMPUTED_VALUE"""),"Уметь проводить доказательные рассуждения при решении задач,")</f>
        <v>Уметь проводить доказательные рассуждения при решении задач,</v>
      </c>
      <c r="Z31" s="1">
        <f>IFERROR(__xludf.DUMMYFUNCTION("""COMPUTED_VALUE"""),1230.0)</f>
        <v>1230</v>
      </c>
      <c r="AA31" s="1"/>
      <c r="AB31" s="1"/>
      <c r="AC31" s="1"/>
      <c r="AD31" s="1"/>
      <c r="AE31" s="1"/>
      <c r="AF31" s="1"/>
    </row>
    <row r="32">
      <c r="A32" s="1" t="str">
        <f>IFERROR(__xludf.DUMMYFUNCTION("""COMPUTED_VALUE"""),"Округление до целого, десятых, сотых и т.д.")</f>
        <v>Округление до целого, десятых, сотых и т.д.</v>
      </c>
      <c r="B32" s="1">
        <f>IFERROR(__xludf.DUMMYFUNCTION("""COMPUTED_VALUE"""),32.0)</f>
        <v>32</v>
      </c>
      <c r="C32" s="1"/>
      <c r="D32" s="1"/>
      <c r="E32" s="1" t="str">
        <f>IFERROR(__xludf.DUMMYFUNCTION("""COMPUTED_VALUE"""),"Метод интервалов")</f>
        <v>Метод интервалов</v>
      </c>
      <c r="F32" s="1">
        <f>IFERROR(__xludf.DUMMYFUNCTION("""COMPUTED_VALUE"""),232.0)</f>
        <v>232</v>
      </c>
      <c r="G32" s="1" t="str">
        <f>IFERROR(__xludf.DUMMYFUNCTION("""COMPUTED_VALUE"""),"Нахождение скорости для процесса, заданного формулой или графиком")</f>
        <v>Нахождение скорости для процесса, заданного формулой или графиком</v>
      </c>
      <c r="H32" s="1">
        <f>IFERROR(__xludf.DUMMYFUNCTION("""COMPUTED_VALUE"""),332.0)</f>
        <v>332</v>
      </c>
      <c r="I32" s="1"/>
      <c r="J32" s="1"/>
      <c r="K32" s="1"/>
      <c r="L32" s="1"/>
      <c r="M32" s="1" t="str">
        <f>IFERROR(__xludf.DUMMYFUNCTION("""COMPUTED_VALUE"""),"Трапеция")</f>
        <v>Трапеция</v>
      </c>
      <c r="N32" s="1">
        <f>IFERROR(__xludf.DUMMYFUNCTION("""COMPUTED_VALUE"""),640.0)</f>
        <v>640</v>
      </c>
      <c r="O32" s="1"/>
      <c r="P32" s="1"/>
      <c r="Q32" s="1" t="str">
        <f>IFERROR(__xludf.DUMMYFUNCTION("""COMPUTED_VALUE"""),"Площадь элементов пирамиды")</f>
        <v>Площадь элементов пирамиды</v>
      </c>
      <c r="R32" s="1">
        <f>IFERROR(__xludf.DUMMYFUNCTION("""COMPUTED_VALUE"""),831.0)</f>
        <v>831</v>
      </c>
      <c r="S32" s="1"/>
      <c r="T32" s="1"/>
      <c r="U32" s="1"/>
      <c r="V32" s="1"/>
      <c r="W32" s="1"/>
      <c r="X32" s="1"/>
      <c r="Y32" s="1" t="str">
        <f>IFERROR(__xludf.DUMMYFUNCTION("""COMPUTED_VALUE"""),"Уметь оценивать логическую правильность рассуждений,")</f>
        <v>Уметь оценивать логическую правильность рассуждений,</v>
      </c>
      <c r="Z32" s="1">
        <f>IFERROR(__xludf.DUMMYFUNCTION("""COMPUTED_VALUE"""),1231.0)</f>
        <v>1231</v>
      </c>
      <c r="AA32" s="1"/>
      <c r="AB32" s="1"/>
      <c r="AC32" s="1"/>
      <c r="AD32" s="1"/>
      <c r="AE32" s="1"/>
      <c r="AF32" s="1"/>
    </row>
    <row r="33">
      <c r="A33" s="1" t="str">
        <f>IFERROR(__xludf.DUMMYFUNCTION("""COMPUTED_VALUE"""),"Округление с недостатком")</f>
        <v>Округление с недостатком</v>
      </c>
      <c r="B33" s="1">
        <f>IFERROR(__xludf.DUMMYFUNCTION("""COMPUTED_VALUE"""),33.0)</f>
        <v>33</v>
      </c>
      <c r="C33" s="1"/>
      <c r="D33" s="1"/>
      <c r="E33" s="1"/>
      <c r="F33" s="1"/>
      <c r="G33" s="1" t="str">
        <f>IFERROR(__xludf.DUMMYFUNCTION("""COMPUTED_VALUE"""),"Вторая производная и ее физический смысл")</f>
        <v>Вторая производная и ее физический смысл</v>
      </c>
      <c r="H33" s="1">
        <f>IFERROR(__xludf.DUMMYFUNCTION("""COMPUTED_VALUE"""),333.0)</f>
        <v>333</v>
      </c>
      <c r="I33" s="1"/>
      <c r="J33" s="1"/>
      <c r="K33" s="1"/>
      <c r="L33" s="1"/>
      <c r="M33" s="1" t="str">
        <f>IFERROR(__xludf.DUMMYFUNCTION("""COMPUTED_VALUE"""),"Прямоугольник")</f>
        <v>Прямоугольник</v>
      </c>
      <c r="N33" s="1">
        <f>IFERROR(__xludf.DUMMYFUNCTION("""COMPUTED_VALUE"""),641.0)</f>
        <v>641</v>
      </c>
      <c r="O33" s="1"/>
      <c r="P33" s="1"/>
      <c r="Q33" s="1" t="str">
        <f>IFERROR(__xludf.DUMMYFUNCTION("""COMPUTED_VALUE"""),"Тетраэдр")</f>
        <v>Тетраэдр</v>
      </c>
      <c r="R33" s="1">
        <f>IFERROR(__xludf.DUMMYFUNCTION("""COMPUTED_VALUE"""),832.0)</f>
        <v>832</v>
      </c>
      <c r="S33" s="1"/>
      <c r="T33" s="1"/>
      <c r="U33" s="1"/>
      <c r="V33" s="1"/>
      <c r="W33" s="1"/>
      <c r="X33" s="1"/>
      <c r="Y33" s="1" t="str">
        <f>IFERROR(__xludf.DUMMYFUNCTION("""COMPUTED_VALUE"""),"Уметь распознавать логически некорректные рассуждения")</f>
        <v>Уметь распознавать логически некорректные рассуждения</v>
      </c>
      <c r="Z33" s="1">
        <f>IFERROR(__xludf.DUMMYFUNCTION("""COMPUTED_VALUE"""),1232.0)</f>
        <v>1232</v>
      </c>
      <c r="AA33" s="1"/>
      <c r="AB33" s="1"/>
      <c r="AC33" s="1"/>
      <c r="AD33" s="1"/>
      <c r="AE33" s="1"/>
      <c r="AF33" s="1"/>
    </row>
    <row r="34">
      <c r="A34" s="1" t="str">
        <f>IFERROR(__xludf.DUMMYFUNCTION("""COMPUTED_VALUE"""),"Округление с избытком")</f>
        <v>Округление с избытком</v>
      </c>
      <c r="B34" s="1">
        <f>IFERROR(__xludf.DUMMYFUNCTION("""COMPUTED_VALUE"""),34.0)</f>
        <v>34</v>
      </c>
      <c r="C34" s="1"/>
      <c r="D34" s="1"/>
      <c r="E34" s="1"/>
      <c r="F34" s="1"/>
      <c r="G34" s="1" t="str">
        <f>IFERROR(__xludf.DUMMYFUNCTION("""COMPUTED_VALUE"""),"Определение первообразной, интеграла")</f>
        <v>Определение первообразной, интеграла</v>
      </c>
      <c r="H34" s="1">
        <f>IFERROR(__xludf.DUMMYFUNCTION("""COMPUTED_VALUE"""),334.0)</f>
        <v>334</v>
      </c>
      <c r="I34" s="1"/>
      <c r="J34" s="1"/>
      <c r="K34" s="1"/>
      <c r="L34" s="1"/>
      <c r="M34" s="1" t="str">
        <f>IFERROR(__xludf.DUMMYFUNCTION("""COMPUTED_VALUE"""),"Ромб")</f>
        <v>Ромб</v>
      </c>
      <c r="N34" s="1">
        <f>IFERROR(__xludf.DUMMYFUNCTION("""COMPUTED_VALUE"""),642.0)</f>
        <v>642</v>
      </c>
      <c r="O34" s="1"/>
      <c r="P34" s="1"/>
      <c r="Q34" s="1" t="str">
        <f>IFERROR(__xludf.DUMMYFUNCTION("""COMPUTED_VALUE"""),"Правильная пирамида")</f>
        <v>Правильная пирамида</v>
      </c>
      <c r="R34" s="1">
        <f>IFERROR(__xludf.DUMMYFUNCTION("""COMPUTED_VALUE"""),833.0)</f>
        <v>833</v>
      </c>
      <c r="S34" s="1"/>
      <c r="T34" s="1"/>
      <c r="U34" s="1"/>
      <c r="V34" s="1"/>
      <c r="W34" s="1"/>
      <c r="X34" s="1"/>
      <c r="Y34" s="1" t="str">
        <f>IFERROR(__xludf.DUMMYFUNCTION("""COMPUTED_VALUE"""),"Уметь моделировать реальные ситуации на языке теории вероятностей и статистики,")</f>
        <v>Уметь моделировать реальные ситуации на языке теории вероятностей и статистики,</v>
      </c>
      <c r="Z34" s="1">
        <f>IFERROR(__xludf.DUMMYFUNCTION("""COMPUTED_VALUE"""),1233.0)</f>
        <v>1233</v>
      </c>
      <c r="AA34" s="1"/>
      <c r="AB34" s="1"/>
      <c r="AC34" s="1"/>
      <c r="AD34" s="1"/>
      <c r="AE34" s="1"/>
      <c r="AF34" s="1"/>
    </row>
    <row r="35">
      <c r="A35" s="1" t="str">
        <f>IFERROR(__xludf.DUMMYFUNCTION("""COMPUTED_VALUE"""),"Процент")</f>
        <v>Процент</v>
      </c>
      <c r="B35" s="1">
        <f>IFERROR(__xludf.DUMMYFUNCTION("""COMPUTED_VALUE"""),35.0)</f>
        <v>35</v>
      </c>
      <c r="C35" s="1"/>
      <c r="D35" s="1"/>
      <c r="E35" s="1"/>
      <c r="F35" s="1"/>
      <c r="G35" s="1" t="str">
        <f>IFERROR(__xludf.DUMMYFUNCTION("""COMPUTED_VALUE"""),"Связь между графиками функции и её первообразной;")</f>
        <v>Связь между графиками функции и её первообразной;</v>
      </c>
      <c r="H35" s="1">
        <f>IFERROR(__xludf.DUMMYFUNCTION("""COMPUTED_VALUE"""),339.0)</f>
        <v>339</v>
      </c>
      <c r="I35" s="1"/>
      <c r="J35" s="1"/>
      <c r="K35" s="1"/>
      <c r="L35" s="1"/>
      <c r="M35" s="1" t="str">
        <f>IFERROR(__xludf.DUMMYFUNCTION("""COMPUTED_VALUE"""),"Квадрат")</f>
        <v>Квадрат</v>
      </c>
      <c r="N35" s="1">
        <f>IFERROR(__xludf.DUMMYFUNCTION("""COMPUTED_VALUE"""),643.0)</f>
        <v>643</v>
      </c>
      <c r="O35" s="1"/>
      <c r="P35" s="1"/>
      <c r="Q35" s="1" t="str">
        <f>IFERROR(__xludf.DUMMYFUNCTION("""COMPUTED_VALUE"""),"Понятие конуса")</f>
        <v>Понятие конуса</v>
      </c>
      <c r="R35" s="1">
        <f>IFERROR(__xludf.DUMMYFUNCTION("""COMPUTED_VALUE"""),835.0)</f>
        <v>835</v>
      </c>
      <c r="S35" s="1"/>
      <c r="T35" s="1"/>
      <c r="U35" s="1"/>
      <c r="V35" s="1"/>
      <c r="W35" s="1"/>
      <c r="X35" s="1"/>
      <c r="Y35" s="1" t="str">
        <f>IFERROR(__xludf.DUMMYFUNCTION("""COMPUTED_VALUE"""),"Уметь вычислять в простейших случаях вероятности событий")</f>
        <v>Уметь вычислять в простейших случаях вероятности событий</v>
      </c>
      <c r="Z35" s="1">
        <f>IFERROR(__xludf.DUMMYFUNCTION("""COMPUTED_VALUE"""),1234.0)</f>
        <v>1234</v>
      </c>
      <c r="AA35" s="1"/>
      <c r="AB35" s="1"/>
      <c r="AC35" s="1"/>
      <c r="AD35" s="1"/>
      <c r="AE35" s="1"/>
      <c r="AF35" s="1"/>
    </row>
    <row r="36">
      <c r="A36" s="1" t="str">
        <f>IFERROR(__xludf.DUMMYFUNCTION("""COMPUTED_VALUE"""),"Увеличение числа на проценты")</f>
        <v>Увеличение числа на проценты</v>
      </c>
      <c r="B36" s="1">
        <f>IFERROR(__xludf.DUMMYFUNCTION("""COMPUTED_VALUE"""),36.0)</f>
        <v>36</v>
      </c>
      <c r="C36" s="1"/>
      <c r="D36" s="1"/>
      <c r="E36" s="1"/>
      <c r="F36" s="1"/>
      <c r="G36" s="1" t="str">
        <f>IFERROR(__xludf.DUMMYFUNCTION("""COMPUTED_VALUE"""),"Геометрический смысл первообразной")</f>
        <v>Геометрический смысл первообразной</v>
      </c>
      <c r="H36" s="1">
        <f>IFERROR(__xludf.DUMMYFUNCTION("""COMPUTED_VALUE"""),340.0)</f>
        <v>340</v>
      </c>
      <c r="I36" s="1"/>
      <c r="J36" s="1"/>
      <c r="K36" s="1"/>
      <c r="L36" s="1"/>
      <c r="M36" s="1" t="str">
        <f>IFERROR(__xludf.DUMMYFUNCTION("""COMPUTED_VALUE"""),"Площадь квадрата")</f>
        <v>Площадь квадрата</v>
      </c>
      <c r="N36" s="1">
        <f>IFERROR(__xludf.DUMMYFUNCTION("""COMPUTED_VALUE"""),646.0)</f>
        <v>646</v>
      </c>
      <c r="O36" s="1"/>
      <c r="P36" s="1"/>
      <c r="Q36" s="1" t="str">
        <f>IFERROR(__xludf.DUMMYFUNCTION("""COMPUTED_VALUE"""),"Элементы конуса")</f>
        <v>Элементы конуса</v>
      </c>
      <c r="R36" s="1">
        <f>IFERROR(__xludf.DUMMYFUNCTION("""COMPUTED_VALUE"""),836.0)</f>
        <v>836</v>
      </c>
      <c r="S36" s="1"/>
      <c r="T36" s="1"/>
      <c r="U36" s="1"/>
      <c r="V36" s="1"/>
      <c r="W36" s="1"/>
      <c r="X36" s="1"/>
      <c r="Y36" s="1" t="str">
        <f>IFERROR(__xludf.DUMMYFUNCTION("""COMPUTED_VALUE"""),"Уметь анализировать реальные числовые данные, информацию статистического характера")</f>
        <v>Уметь анализировать реальные числовые данные, информацию статистического характера</v>
      </c>
      <c r="Z36" s="1">
        <f>IFERROR(__xludf.DUMMYFUNCTION("""COMPUTED_VALUE"""),1235.0)</f>
        <v>1235</v>
      </c>
      <c r="AA36" s="1"/>
      <c r="AB36" s="1"/>
      <c r="AC36" s="1"/>
      <c r="AD36" s="1"/>
      <c r="AE36" s="1"/>
      <c r="AF36" s="1"/>
    </row>
    <row r="37">
      <c r="A37" s="1" t="str">
        <f>IFERROR(__xludf.DUMMYFUNCTION("""COMPUTED_VALUE"""),"Уменьшение числа на проценты")</f>
        <v>Уменьшение числа на проценты</v>
      </c>
      <c r="B37" s="1">
        <f>IFERROR(__xludf.DUMMYFUNCTION("""COMPUTED_VALUE"""),37.0)</f>
        <v>37</v>
      </c>
      <c r="C37" s="1"/>
      <c r="D37" s="1"/>
      <c r="E37" s="1"/>
      <c r="F37" s="1"/>
      <c r="G37" s="1" t="str">
        <f>IFERROR(__xludf.DUMMYFUNCTION("""COMPUTED_VALUE"""),"Дробно рациональная функция")</f>
        <v>Дробно рациональная функция</v>
      </c>
      <c r="H37" s="1">
        <f>IFERROR(__xludf.DUMMYFUNCTION("""COMPUTED_VALUE"""),341.0)</f>
        <v>341</v>
      </c>
      <c r="I37" s="1"/>
      <c r="J37" s="1"/>
      <c r="K37" s="1"/>
      <c r="L37" s="1"/>
      <c r="M37" s="1" t="str">
        <f>IFERROR(__xludf.DUMMYFUNCTION("""COMPUTED_VALUE"""),"Площадь прямоугольника")</f>
        <v>Площадь прямоугольника</v>
      </c>
      <c r="N37" s="1">
        <f>IFERROR(__xludf.DUMMYFUNCTION("""COMPUTED_VALUE"""),647.0)</f>
        <v>647</v>
      </c>
      <c r="O37" s="1"/>
      <c r="P37" s="1"/>
      <c r="Q37" s="1" t="str">
        <f>IFERROR(__xludf.DUMMYFUNCTION("""COMPUTED_VALUE"""),"Свойства конуса")</f>
        <v>Свойства конуса</v>
      </c>
      <c r="R37" s="1">
        <f>IFERROR(__xludf.DUMMYFUNCTION("""COMPUTED_VALUE"""),837.0)</f>
        <v>837</v>
      </c>
      <c r="S37" s="1"/>
      <c r="T37" s="1"/>
      <c r="U37" s="1"/>
      <c r="V37" s="1"/>
      <c r="W37" s="1"/>
      <c r="X37" s="1"/>
      <c r="Y37" s="1" t="str">
        <f>IFERROR(__xludf.DUMMYFUNCTION("""COMPUTED_VALUE"""),"Уметь осуществлять практические расчёты по формулам")</f>
        <v>Уметь осуществлять практические расчёты по формулам</v>
      </c>
      <c r="Z37" s="1">
        <f>IFERROR(__xludf.DUMMYFUNCTION("""COMPUTED_VALUE"""),1236.0)</f>
        <v>1236</v>
      </c>
      <c r="AA37" s="1"/>
      <c r="AB37" s="1"/>
      <c r="AC37" s="1"/>
      <c r="AD37" s="1"/>
      <c r="AE37" s="1"/>
      <c r="AF37" s="1"/>
    </row>
    <row r="38">
      <c r="A38" s="1" t="str">
        <f>IFERROR(__xludf.DUMMYFUNCTION("""COMPUTED_VALUE"""),"Задачи на скидку")</f>
        <v>Задачи на скидку</v>
      </c>
      <c r="B38" s="1">
        <f>IFERROR(__xludf.DUMMYFUNCTION("""COMPUTED_VALUE"""),39.0)</f>
        <v>39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 t="str">
        <f>IFERROR(__xludf.DUMMYFUNCTION("""COMPUTED_VALUE"""),"Площадь параллелограмма")</f>
        <v>Площадь параллелограмма</v>
      </c>
      <c r="N38" s="1">
        <f>IFERROR(__xludf.DUMMYFUNCTION("""COMPUTED_VALUE"""),648.0)</f>
        <v>648</v>
      </c>
      <c r="O38" s="1"/>
      <c r="P38" s="1"/>
      <c r="Q38" s="1" t="str">
        <f>IFERROR(__xludf.DUMMYFUNCTION("""COMPUTED_VALUE"""),"Объем конуса")</f>
        <v>Объем конуса</v>
      </c>
      <c r="R38" s="1">
        <f>IFERROR(__xludf.DUMMYFUNCTION("""COMPUTED_VALUE"""),838.0)</f>
        <v>838</v>
      </c>
      <c r="S38" s="1"/>
      <c r="T38" s="1"/>
      <c r="U38" s="1"/>
      <c r="V38" s="1"/>
      <c r="W38" s="1"/>
      <c r="X38" s="1"/>
      <c r="Y38" s="1" t="str">
        <f>IFERROR(__xludf.DUMMYFUNCTION("""COMPUTED_VALUE"""),"Уметь пользоваться оценкой и прикидкой при практических расчётах")</f>
        <v>Уметь пользоваться оценкой и прикидкой при практических расчётах</v>
      </c>
      <c r="Z38" s="1">
        <f>IFERROR(__xludf.DUMMYFUNCTION("""COMPUTED_VALUE"""),1237.0)</f>
        <v>1237</v>
      </c>
      <c r="AA38" s="1"/>
      <c r="AB38" s="1"/>
      <c r="AC38" s="1"/>
      <c r="AD38" s="1"/>
      <c r="AE38" s="1"/>
      <c r="AF38" s="1"/>
    </row>
    <row r="39">
      <c r="A39" s="1" t="str">
        <f>IFERROR(__xludf.DUMMYFUNCTION("""COMPUTED_VALUE"""),"Задача на увеличение цены")</f>
        <v>Задача на увеличение цены</v>
      </c>
      <c r="B39" s="1">
        <f>IFERROR(__xludf.DUMMYFUNCTION("""COMPUTED_VALUE"""),40.0)</f>
        <v>40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 t="str">
        <f>IFERROR(__xludf.DUMMYFUNCTION("""COMPUTED_VALUE"""),"Площадь треугольника")</f>
        <v>Площадь треугольника</v>
      </c>
      <c r="N39" s="1">
        <f>IFERROR(__xludf.DUMMYFUNCTION("""COMPUTED_VALUE"""),649.0)</f>
        <v>649</v>
      </c>
      <c r="O39" s="1"/>
      <c r="P39" s="1"/>
      <c r="Q39" s="1" t="str">
        <f>IFERROR(__xludf.DUMMYFUNCTION("""COMPUTED_VALUE"""),"Площадь элементов конуса")</f>
        <v>Площадь элементов конуса</v>
      </c>
      <c r="R39" s="1">
        <f>IFERROR(__xludf.DUMMYFUNCTION("""COMPUTED_VALUE"""),839.0)</f>
        <v>839</v>
      </c>
      <c r="S39" s="1"/>
      <c r="T39" s="1"/>
      <c r="U39" s="1"/>
      <c r="V39" s="1"/>
      <c r="W39" s="1"/>
      <c r="X39" s="1"/>
      <c r="Y39" s="1" t="str">
        <f>IFERROR(__xludf.DUMMYFUNCTION("""COMPUTED_VALUE"""),"Уметь описывать с помощью функций различные реальные зависимости между величинами и интерпретировать их графики")</f>
        <v>Уметь описывать с помощью функций различные реальные зависимости между величинами и интерпретировать их графики</v>
      </c>
      <c r="Z39" s="1">
        <f>IFERROR(__xludf.DUMMYFUNCTION("""COMPUTED_VALUE"""),1238.0)</f>
        <v>1238</v>
      </c>
      <c r="AA39" s="1"/>
      <c r="AB39" s="1"/>
      <c r="AC39" s="1"/>
      <c r="AD39" s="1"/>
      <c r="AE39" s="1"/>
      <c r="AF39" s="1"/>
    </row>
    <row r="40">
      <c r="A40" s="1" t="str">
        <f>IFERROR(__xludf.DUMMYFUNCTION("""COMPUTED_VALUE"""),"Формулы сокращенного умножения")</f>
        <v>Формулы сокращенного умножения</v>
      </c>
      <c r="B40" s="1">
        <f>IFERROR(__xludf.DUMMYFUNCTION("""COMPUTED_VALUE"""),41.0)</f>
        <v>41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 t="str">
        <f>IFERROR(__xludf.DUMMYFUNCTION("""COMPUTED_VALUE"""),"Площадь трапеции")</f>
        <v>Площадь трапеции</v>
      </c>
      <c r="N40" s="1">
        <f>IFERROR(__xludf.DUMMYFUNCTION("""COMPUTED_VALUE"""),650.0)</f>
        <v>650</v>
      </c>
      <c r="O40" s="1"/>
      <c r="P40" s="1"/>
      <c r="Q40" s="1" t="str">
        <f>IFERROR(__xludf.DUMMYFUNCTION("""COMPUTED_VALUE"""),"Понятие цилиндра")</f>
        <v>Понятие цилиндра</v>
      </c>
      <c r="R40" s="1">
        <f>IFERROR(__xludf.DUMMYFUNCTION("""COMPUTED_VALUE"""),841.0)</f>
        <v>841</v>
      </c>
      <c r="S40" s="1"/>
      <c r="T40" s="1"/>
      <c r="U40" s="1"/>
      <c r="V40" s="1"/>
      <c r="W40" s="1"/>
      <c r="X40" s="1"/>
      <c r="Y40" s="1" t="str">
        <f>IFERROR(__xludf.DUMMYFUNCTION("""COMPUTED_VALUE"""),"Уметь извлекать информацию, представленную в таблицах, на диаграммах, графиках")</f>
        <v>Уметь извлекать информацию, представленную в таблицах, на диаграммах, графиках</v>
      </c>
      <c r="Z40" s="1">
        <f>IFERROR(__xludf.DUMMYFUNCTION("""COMPUTED_VALUE"""),1239.0)</f>
        <v>1239</v>
      </c>
      <c r="AA40" s="1"/>
      <c r="AB40" s="1"/>
      <c r="AC40" s="1"/>
      <c r="AD40" s="1"/>
      <c r="AE40" s="1"/>
      <c r="AF40" s="1"/>
    </row>
    <row r="41">
      <c r="A41" s="1" t="str">
        <f>IFERROR(__xludf.DUMMYFUNCTION("""COMPUTED_VALUE"""),"Сложение и вычитание одночленов")</f>
        <v>Сложение и вычитание одночленов</v>
      </c>
      <c r="B41" s="1">
        <f>IFERROR(__xludf.DUMMYFUNCTION("""COMPUTED_VALUE"""),42.0)</f>
        <v>42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 t="str">
        <f>IFERROR(__xludf.DUMMYFUNCTION("""COMPUTED_VALUE"""),"Теорема Пифагора")</f>
        <v>Теорема Пифагора</v>
      </c>
      <c r="N41" s="1">
        <f>IFERROR(__xludf.DUMMYFUNCTION("""COMPUTED_VALUE"""),651.0)</f>
        <v>651</v>
      </c>
      <c r="O41" s="1"/>
      <c r="P41" s="1"/>
      <c r="Q41" s="1" t="str">
        <f>IFERROR(__xludf.DUMMYFUNCTION("""COMPUTED_VALUE"""),"Элементы цилиндра")</f>
        <v>Элементы цилиндра</v>
      </c>
      <c r="R41" s="1">
        <f>IFERROR(__xludf.DUMMYFUNCTION("""COMPUTED_VALUE"""),842.0)</f>
        <v>842</v>
      </c>
      <c r="S41" s="1"/>
      <c r="T41" s="1"/>
      <c r="U41" s="1"/>
      <c r="V41" s="1"/>
      <c r="W41" s="1"/>
      <c r="X41" s="1"/>
      <c r="Y41" s="1" t="str">
        <f>IFERROR(__xludf.DUMMYFUNCTION("""COMPUTED_VALUE"""),"Уметь решать прикладные задачи, в том числе социально-экономического и физического характера, на наибольшие и наименьшие значения, на нахождение скорости и ускорения")</f>
        <v>Уметь решать прикладные задачи, в том числе социально-экономического и физического характера, на наибольшие и наименьшие значения, на нахождение скорости и ускорения</v>
      </c>
      <c r="Z41" s="1">
        <f>IFERROR(__xludf.DUMMYFUNCTION("""COMPUTED_VALUE"""),1240.0)</f>
        <v>1240</v>
      </c>
      <c r="AA41" s="1"/>
      <c r="AB41" s="1"/>
      <c r="AC41" s="1"/>
      <c r="AD41" s="1"/>
      <c r="AE41" s="1"/>
      <c r="AF41" s="1"/>
    </row>
    <row r="42">
      <c r="A42" s="1" t="str">
        <f>IFERROR(__xludf.DUMMYFUNCTION("""COMPUTED_VALUE"""),"Умножение одночленов")</f>
        <v>Умножение одночленов</v>
      </c>
      <c r="B42" s="1">
        <f>IFERROR(__xludf.DUMMYFUNCTION("""COMPUTED_VALUE"""),43.0)</f>
        <v>43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 t="str">
        <f>IFERROR(__xludf.DUMMYFUNCTION("""COMPUTED_VALUE"""),"Теорема, обратная теореме Пифагора")</f>
        <v>Теорема, обратная теореме Пифагора</v>
      </c>
      <c r="N42" s="1">
        <f>IFERROR(__xludf.DUMMYFUNCTION("""COMPUTED_VALUE"""),652.0)</f>
        <v>652</v>
      </c>
      <c r="O42" s="1"/>
      <c r="P42" s="1"/>
      <c r="Q42" s="1" t="str">
        <f>IFERROR(__xludf.DUMMYFUNCTION("""COMPUTED_VALUE"""),"Свойства цилиндра")</f>
        <v>Свойства цилиндра</v>
      </c>
      <c r="R42" s="1">
        <f>IFERROR(__xludf.DUMMYFUNCTION("""COMPUTED_VALUE"""),843.0)</f>
        <v>843</v>
      </c>
      <c r="S42" s="1"/>
      <c r="T42" s="1"/>
      <c r="U42" s="1"/>
      <c r="V42" s="1"/>
      <c r="W42" s="1"/>
      <c r="X42" s="1"/>
      <c r="Y42" s="1" t="str">
        <f>IFERROR(__xludf.DUMMYFUNCTION("""COMPUTED_VALUE"""),"Умения связанные с приближенной оценкой площади по карте")</f>
        <v>Умения связанные с приближенной оценкой площади по карте</v>
      </c>
      <c r="Z42" s="1">
        <f>IFERROR(__xludf.DUMMYFUNCTION("""COMPUTED_VALUE"""),1241.0)</f>
        <v>1241</v>
      </c>
      <c r="AA42" s="1"/>
      <c r="AB42" s="1"/>
      <c r="AC42" s="1"/>
      <c r="AD42" s="1"/>
      <c r="AE42" s="1"/>
      <c r="AF42" s="1"/>
    </row>
    <row r="43">
      <c r="A43" s="1" t="str">
        <f>IFERROR(__xludf.DUMMYFUNCTION("""COMPUTED_VALUE"""),"Возведение одночленов в степень")</f>
        <v>Возведение одночленов в степень</v>
      </c>
      <c r="B43" s="1">
        <f>IFERROR(__xludf.DUMMYFUNCTION("""COMPUTED_VALUE"""),44.0)</f>
        <v>44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 t="str">
        <f>IFERROR(__xludf.DUMMYFUNCTION("""COMPUTED_VALUE"""),"Формула Герона")</f>
        <v>Формула Герона</v>
      </c>
      <c r="N43" s="1">
        <f>IFERROR(__xludf.DUMMYFUNCTION("""COMPUTED_VALUE"""),653.0)</f>
        <v>653</v>
      </c>
      <c r="O43" s="1"/>
      <c r="P43" s="1"/>
      <c r="Q43" s="1" t="str">
        <f>IFERROR(__xludf.DUMMYFUNCTION("""COMPUTED_VALUE"""),"Объем цилиндра")</f>
        <v>Объем цилиндра</v>
      </c>
      <c r="R43" s="1">
        <f>IFERROR(__xludf.DUMMYFUNCTION("""COMPUTED_VALUE"""),844.0)</f>
        <v>844</v>
      </c>
      <c r="S43" s="1"/>
      <c r="T43" s="1"/>
      <c r="U43" s="1"/>
      <c r="V43" s="1"/>
      <c r="W43" s="1"/>
      <c r="X43" s="1"/>
      <c r="Y43" s="1" t="str">
        <f>IFERROR(__xludf.DUMMYFUNCTION("""COMPUTED_VALUE"""),"Умения связанные с единицами измерения массы")</f>
        <v>Умения связанные с единицами измерения массы</v>
      </c>
      <c r="Z43" s="1">
        <f>IFERROR(__xludf.DUMMYFUNCTION("""COMPUTED_VALUE"""),1242.0)</f>
        <v>1242</v>
      </c>
      <c r="AA43" s="1"/>
      <c r="AB43" s="1"/>
      <c r="AC43" s="1"/>
      <c r="AD43" s="1"/>
      <c r="AE43" s="1"/>
      <c r="AF43" s="1"/>
    </row>
    <row r="44">
      <c r="A44" s="1" t="str">
        <f>IFERROR(__xludf.DUMMYFUNCTION("""COMPUTED_VALUE"""),"Сложение и вычитание многочленов")</f>
        <v>Сложение и вычитание многочленов</v>
      </c>
      <c r="B44" s="1">
        <f>IFERROR(__xludf.DUMMYFUNCTION("""COMPUTED_VALUE"""),45.0)</f>
        <v>45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 t="str">
        <f>IFERROR(__xludf.DUMMYFUNCTION("""COMPUTED_VALUE"""),"Определение подобных треугольников")</f>
        <v>Определение подобных треугольников</v>
      </c>
      <c r="N44" s="1">
        <f>IFERROR(__xludf.DUMMYFUNCTION("""COMPUTED_VALUE"""),654.0)</f>
        <v>654</v>
      </c>
      <c r="O44" s="1"/>
      <c r="P44" s="1"/>
      <c r="Q44" s="1" t="str">
        <f>IFERROR(__xludf.DUMMYFUNCTION("""COMPUTED_VALUE"""),"Площадь элементов цилиндра")</f>
        <v>Площадь элементов цилиндра</v>
      </c>
      <c r="R44" s="1">
        <f>IFERROR(__xludf.DUMMYFUNCTION("""COMPUTED_VALUE"""),845.0)</f>
        <v>845</v>
      </c>
      <c r="S44" s="1"/>
      <c r="T44" s="1"/>
      <c r="U44" s="1"/>
      <c r="V44" s="1"/>
      <c r="W44" s="1"/>
      <c r="X44" s="1"/>
      <c r="Y44" s="1" t="str">
        <f>IFERROR(__xludf.DUMMYFUNCTION("""COMPUTED_VALUE"""),"Умения связанные с единицами измерения времени")</f>
        <v>Умения связанные с единицами измерения времени</v>
      </c>
      <c r="Z44" s="1">
        <f>IFERROR(__xludf.DUMMYFUNCTION("""COMPUTED_VALUE"""),1243.0)</f>
        <v>1243</v>
      </c>
      <c r="AA44" s="1"/>
      <c r="AB44" s="1"/>
      <c r="AC44" s="1"/>
      <c r="AD44" s="1"/>
      <c r="AE44" s="1"/>
      <c r="AF44" s="1"/>
    </row>
    <row r="45">
      <c r="A45" s="1" t="str">
        <f>IFERROR(__xludf.DUMMYFUNCTION("""COMPUTED_VALUE"""),"Умножение многочлена на одночлен")</f>
        <v>Умножение многочлена на одночлен</v>
      </c>
      <c r="B45" s="1">
        <f>IFERROR(__xludf.DUMMYFUNCTION("""COMPUTED_VALUE"""),46.0)</f>
        <v>46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 t="str">
        <f>IFERROR(__xludf.DUMMYFUNCTION("""COMPUTED_VALUE"""),"Пропорциональные отрезки")</f>
        <v>Пропорциональные отрезки</v>
      </c>
      <c r="N45" s="1">
        <f>IFERROR(__xludf.DUMMYFUNCTION("""COMPUTED_VALUE"""),655.0)</f>
        <v>655</v>
      </c>
      <c r="O45" s="1"/>
      <c r="P45" s="1"/>
      <c r="Q45" s="1" t="str">
        <f>IFERROR(__xludf.DUMMYFUNCTION("""COMPUTED_VALUE"""),"Понятие сферы")</f>
        <v>Понятие сферы</v>
      </c>
      <c r="R45" s="1">
        <f>IFERROR(__xludf.DUMMYFUNCTION("""COMPUTED_VALUE"""),846.0)</f>
        <v>846</v>
      </c>
      <c r="S45" s="1"/>
      <c r="T45" s="1"/>
      <c r="U45" s="1"/>
      <c r="V45" s="1"/>
      <c r="W45" s="1"/>
      <c r="X45" s="1"/>
      <c r="Y45" s="1" t="str">
        <f>IFERROR(__xludf.DUMMYFUNCTION("""COMPUTED_VALUE"""),"Умения связанные с единицами измерения длины ")</f>
        <v>Умения связанные с единицами измерения длины </v>
      </c>
      <c r="Z45" s="1">
        <f>IFERROR(__xludf.DUMMYFUNCTION("""COMPUTED_VALUE"""),1244.0)</f>
        <v>1244</v>
      </c>
      <c r="AA45" s="1"/>
      <c r="AB45" s="1"/>
      <c r="AC45" s="1"/>
      <c r="AD45" s="1"/>
      <c r="AE45" s="1"/>
      <c r="AF45" s="1"/>
    </row>
    <row r="46">
      <c r="A46" s="1" t="str">
        <f>IFERROR(__xludf.DUMMYFUNCTION("""COMPUTED_VALUE"""),"Умножение многочлена на многочлен")</f>
        <v>Умножение многочлена на многочлен</v>
      </c>
      <c r="B46" s="1">
        <f>IFERROR(__xludf.DUMMYFUNCTION("""COMPUTED_VALUE"""),47.0)</f>
        <v>47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 t="str">
        <f>IFERROR(__xludf.DUMMYFUNCTION("""COMPUTED_VALUE"""),"Отношение площадей подобных треугольников")</f>
        <v>Отношение площадей подобных треугольников</v>
      </c>
      <c r="N46" s="1">
        <f>IFERROR(__xludf.DUMMYFUNCTION("""COMPUTED_VALUE"""),656.0)</f>
        <v>656</v>
      </c>
      <c r="O46" s="1"/>
      <c r="P46" s="1"/>
      <c r="Q46" s="1" t="str">
        <f>IFERROR(__xludf.DUMMYFUNCTION("""COMPUTED_VALUE"""),"Понятие шара")</f>
        <v>Понятие шара</v>
      </c>
      <c r="R46" s="1">
        <f>IFERROR(__xludf.DUMMYFUNCTION("""COMPUTED_VALUE"""),847.0)</f>
        <v>847</v>
      </c>
      <c r="S46" s="1"/>
      <c r="T46" s="1"/>
      <c r="U46" s="1"/>
      <c r="V46" s="1"/>
      <c r="W46" s="1"/>
      <c r="X46" s="1"/>
      <c r="Y46" s="1" t="str">
        <f>IFERROR(__xludf.DUMMYFUNCTION("""COMPUTED_VALUE"""),"Умения связанные с единицами измерения площади")</f>
        <v>Умения связанные с единицами измерения площади</v>
      </c>
      <c r="Z46" s="1">
        <f>IFERROR(__xludf.DUMMYFUNCTION("""COMPUTED_VALUE"""),1245.0)</f>
        <v>1245</v>
      </c>
      <c r="AA46" s="1"/>
      <c r="AB46" s="1"/>
      <c r="AC46" s="1"/>
      <c r="AD46" s="1"/>
      <c r="AE46" s="1"/>
      <c r="AF46" s="1"/>
    </row>
    <row r="47">
      <c r="A47" s="1" t="str">
        <f>IFERROR(__xludf.DUMMYFUNCTION("""COMPUTED_VALUE"""),"Деление многочлена на одночлен")</f>
        <v>Деление многочлена на одночлен</v>
      </c>
      <c r="B47" s="1">
        <f>IFERROR(__xludf.DUMMYFUNCTION("""COMPUTED_VALUE"""),48.0)</f>
        <v>48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 t="str">
        <f>IFERROR(__xludf.DUMMYFUNCTION("""COMPUTED_VALUE"""),"Признаки подобия треугольников")</f>
        <v>Признаки подобия треугольников</v>
      </c>
      <c r="N47" s="1">
        <f>IFERROR(__xludf.DUMMYFUNCTION("""COMPUTED_VALUE"""),657.0)</f>
        <v>657</v>
      </c>
      <c r="O47" s="1"/>
      <c r="P47" s="1"/>
      <c r="Q47" s="1" t="str">
        <f>IFERROR(__xludf.DUMMYFUNCTION("""COMPUTED_VALUE"""),"Площадь сферы")</f>
        <v>Площадь сферы</v>
      </c>
      <c r="R47" s="1">
        <f>IFERROR(__xludf.DUMMYFUNCTION("""COMPUTED_VALUE"""),848.0)</f>
        <v>848</v>
      </c>
      <c r="S47" s="1"/>
      <c r="T47" s="1"/>
      <c r="U47" s="1"/>
      <c r="V47" s="1"/>
      <c r="W47" s="1"/>
      <c r="X47" s="1"/>
      <c r="Y47" s="1" t="str">
        <f>IFERROR(__xludf.DUMMYFUNCTION("""COMPUTED_VALUE"""),"Умения связанные с единицами измерения объема")</f>
        <v>Умения связанные с единицами измерения объема</v>
      </c>
      <c r="Z47" s="1">
        <f>IFERROR(__xludf.DUMMYFUNCTION("""COMPUTED_VALUE"""),1246.0)</f>
        <v>1246</v>
      </c>
      <c r="AA47" s="1"/>
      <c r="AB47" s="1"/>
      <c r="AC47" s="1"/>
      <c r="AD47" s="1"/>
      <c r="AE47" s="1"/>
      <c r="AF47" s="1"/>
    </row>
    <row r="48">
      <c r="A48" s="1" t="str">
        <f>IFERROR(__xludf.DUMMYFUNCTION("""COMPUTED_VALUE"""),"Вынесение общего множителя за скобки")</f>
        <v>Вынесение общего множителя за скобки</v>
      </c>
      <c r="B48" s="1">
        <f>IFERROR(__xludf.DUMMYFUNCTION("""COMPUTED_VALUE"""),49.0)</f>
        <v>49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 t="str">
        <f>IFERROR(__xludf.DUMMYFUNCTION("""COMPUTED_VALUE"""),"Средняя линия треугольника")</f>
        <v>Средняя линия треугольника</v>
      </c>
      <c r="N48" s="1">
        <f>IFERROR(__xludf.DUMMYFUNCTION("""COMPUTED_VALUE"""),658.0)</f>
        <v>658</v>
      </c>
      <c r="O48" s="1"/>
      <c r="P48" s="1"/>
      <c r="Q48" s="1" t="str">
        <f>IFERROR(__xludf.DUMMYFUNCTION("""COMPUTED_VALUE"""),"Объем шара")</f>
        <v>Объем шара</v>
      </c>
      <c r="R48" s="1">
        <f>IFERROR(__xludf.DUMMYFUNCTION("""COMPUTED_VALUE"""),849.0)</f>
        <v>849</v>
      </c>
      <c r="S48" s="1"/>
      <c r="T48" s="1"/>
      <c r="U48" s="1"/>
      <c r="V48" s="1"/>
      <c r="W48" s="1"/>
      <c r="X48" s="1"/>
      <c r="Y48" s="1" t="str">
        <f>IFERROR(__xludf.DUMMYFUNCTION("""COMPUTED_VALUE"""),"Умения связанные с единицами измерения скорости")</f>
        <v>Умения связанные с единицами измерения скорости</v>
      </c>
      <c r="Z48" s="1">
        <f>IFERROR(__xludf.DUMMYFUNCTION("""COMPUTED_VALUE"""),1247.0)</f>
        <v>1247</v>
      </c>
      <c r="AA48" s="1"/>
      <c r="AB48" s="1"/>
      <c r="AC48" s="1"/>
      <c r="AD48" s="1"/>
      <c r="AE48" s="1"/>
      <c r="AF48" s="1"/>
    </row>
    <row r="49">
      <c r="A49" s="1" t="str">
        <f>IFERROR(__xludf.DUMMYFUNCTION("""COMPUTED_VALUE"""),"Способ группировки")</f>
        <v>Способ группировки</v>
      </c>
      <c r="B49" s="1">
        <f>IFERROR(__xludf.DUMMYFUNCTION("""COMPUTED_VALUE"""),50.0)</f>
        <v>50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 t="str">
        <f>IFERROR(__xludf.DUMMYFUNCTION("""COMPUTED_VALUE"""),"Пропорциональные отрезки в прямоугольном треугольнике")</f>
        <v>Пропорциональные отрезки в прямоугольном треугольнике</v>
      </c>
      <c r="N49" s="1">
        <f>IFERROR(__xludf.DUMMYFUNCTION("""COMPUTED_VALUE"""),659.0)</f>
        <v>659</v>
      </c>
      <c r="O49" s="1"/>
      <c r="P49" s="1"/>
      <c r="Q49" s="1" t="str">
        <f>IFERROR(__xludf.DUMMYFUNCTION("""COMPUTED_VALUE"""),"Составные многогранники")</f>
        <v>Составные многогранники</v>
      </c>
      <c r="R49" s="1">
        <f>IFERROR(__xludf.DUMMYFUNCTION("""COMPUTED_VALUE"""),853.0)</f>
        <v>853</v>
      </c>
      <c r="S49" s="1"/>
      <c r="T49" s="1"/>
      <c r="U49" s="1"/>
      <c r="V49" s="1"/>
      <c r="W49" s="1"/>
      <c r="X49" s="1"/>
      <c r="Y49" s="1" t="str">
        <f>IFERROR(__xludf.DUMMYFUNCTION("""COMPUTED_VALUE"""),"Умение переводить величины из одних единиц измерения в другие")</f>
        <v>Умение переводить величины из одних единиц измерения в другие</v>
      </c>
      <c r="Z49" s="1">
        <f>IFERROR(__xludf.DUMMYFUNCTION("""COMPUTED_VALUE"""),1248.0)</f>
        <v>1248</v>
      </c>
      <c r="AA49" s="1"/>
      <c r="AB49" s="1"/>
      <c r="AC49" s="1"/>
      <c r="AD49" s="1"/>
      <c r="AE49" s="1"/>
      <c r="AF49" s="1"/>
    </row>
    <row r="50">
      <c r="A50" s="1" t="str">
        <f>IFERROR(__xludf.DUMMYFUNCTION("""COMPUTED_VALUE"""),"Разложение многочленов на множители с помощью формул сокращенного умножения")</f>
        <v>Разложение многочленов на множители с помощью формул сокращенного умножения</v>
      </c>
      <c r="B50" s="1">
        <f>IFERROR(__xludf.DUMMYFUNCTION("""COMPUTED_VALUE"""),51.0)</f>
        <v>51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 t="str">
        <f>IFERROR(__xludf.DUMMYFUNCTION("""COMPUTED_VALUE"""),"Соотношения между сторонами и углами прямоугольного треугольника")</f>
        <v>Соотношения между сторонами и углами прямоугольного треугольника</v>
      </c>
      <c r="N50" s="1">
        <f>IFERROR(__xludf.DUMMYFUNCTION("""COMPUTED_VALUE"""),660.0)</f>
        <v>660</v>
      </c>
      <c r="O50" s="1"/>
      <c r="P50" s="1"/>
      <c r="Q50" s="1" t="str">
        <f>IFERROR(__xludf.DUMMYFUNCTION("""COMPUTED_VALUE"""),"Сечения")</f>
        <v>Сечения</v>
      </c>
      <c r="R50" s="1">
        <f>IFERROR(__xludf.DUMMYFUNCTION("""COMPUTED_VALUE"""),854.0)</f>
        <v>854</v>
      </c>
      <c r="S50" s="1"/>
      <c r="T50" s="1"/>
      <c r="U50" s="1"/>
      <c r="V50" s="1"/>
      <c r="W50" s="1"/>
      <c r="X50" s="1"/>
      <c r="Y50" s="1" t="str">
        <f>IFERROR(__xludf.DUMMYFUNCTION("""COMPUTED_VALUE"""),"Умение решать простейшие текстовые задачи")</f>
        <v>Умение решать простейшие текстовые задачи</v>
      </c>
      <c r="Z50" s="1">
        <f>IFERROR(__xludf.DUMMYFUNCTION("""COMPUTED_VALUE"""),1249.0)</f>
        <v>1249</v>
      </c>
      <c r="AA50" s="1"/>
      <c r="AB50" s="1"/>
      <c r="AC50" s="1"/>
      <c r="AD50" s="1"/>
      <c r="AE50" s="1"/>
      <c r="AF50" s="1"/>
    </row>
    <row r="51">
      <c r="A51" s="1" t="str">
        <f>IFERROR(__xludf.DUMMYFUNCTION("""COMPUTED_VALUE"""),"Разложение многочленов на множители с помощью комбинации различных приемов")</f>
        <v>Разложение многочленов на множители с помощью комбинации различных приемов</v>
      </c>
      <c r="B51" s="1">
        <f>IFERROR(__xludf.DUMMYFUNCTION("""COMPUTED_VALUE"""),52.0)</f>
        <v>52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 t="str">
        <f>IFERROR(__xludf.DUMMYFUNCTION("""COMPUTED_VALUE"""),"Синус, косинус, тангенс, котангенс острого угла прямоугольного треугольника")</f>
        <v>Синус, косинус, тангенс, котангенс острого угла прямоугольного треугольника</v>
      </c>
      <c r="N51" s="1">
        <f>IFERROR(__xludf.DUMMYFUNCTION("""COMPUTED_VALUE"""),661.0)</f>
        <v>661</v>
      </c>
      <c r="O51" s="1"/>
      <c r="P51" s="1"/>
      <c r="Q51" s="1" t="str">
        <f>IFERROR(__xludf.DUMMYFUNCTION("""COMPUTED_VALUE"""),"Методы построения сечений: метод следов")</f>
        <v>Методы построения сечений: метод следов</v>
      </c>
      <c r="R51" s="1">
        <f>IFERROR(__xludf.DUMMYFUNCTION("""COMPUTED_VALUE"""),855.0)</f>
        <v>855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>
      <c r="A52" s="1" t="str">
        <f>IFERROR(__xludf.DUMMYFUNCTION("""COMPUTED_VALUE"""),"Сокращение алгебраических дробей")</f>
        <v>Сокращение алгебраических дробей</v>
      </c>
      <c r="B52" s="1">
        <f>IFERROR(__xludf.DUMMYFUNCTION("""COMPUTED_VALUE"""),53.0)</f>
        <v>53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 t="str">
        <f>IFERROR(__xludf.DUMMYFUNCTION("""COMPUTED_VALUE"""),"Взаимное расположение прямой и окружности")</f>
        <v>Взаимное расположение прямой и окружности</v>
      </c>
      <c r="N52" s="1">
        <f>IFERROR(__xludf.DUMMYFUNCTION("""COMPUTED_VALUE"""),662.0)</f>
        <v>662</v>
      </c>
      <c r="O52" s="1"/>
      <c r="P52" s="1"/>
      <c r="Q52" s="1" t="str">
        <f>IFERROR(__xludf.DUMMYFUNCTION("""COMPUTED_VALUE"""),"Подобные тела")</f>
        <v>Подобные тела</v>
      </c>
      <c r="R52" s="1">
        <f>IFERROR(__xludf.DUMMYFUNCTION("""COMPUTED_VALUE"""),862.0)</f>
        <v>862</v>
      </c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>
      <c r="A53" s="1" t="str">
        <f>IFERROR(__xludf.DUMMYFUNCTION("""COMPUTED_VALUE"""),"Основное свойство алгебраической дроби")</f>
        <v>Основное свойство алгебраической дроби</v>
      </c>
      <c r="B53" s="1">
        <f>IFERROR(__xludf.DUMMYFUNCTION("""COMPUTED_VALUE"""),54.0)</f>
        <v>54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 t="str">
        <f>IFERROR(__xludf.DUMMYFUNCTION("""COMPUTED_VALUE"""),"Центральные и вписанные углы")</f>
        <v>Центральные и вписанные углы</v>
      </c>
      <c r="N53" s="1">
        <f>IFERROR(__xludf.DUMMYFUNCTION("""COMPUTED_VALUE"""),664.0)</f>
        <v>664</v>
      </c>
      <c r="O53" s="1"/>
      <c r="P53" s="1"/>
      <c r="Q53" s="1" t="str">
        <f>IFERROR(__xludf.DUMMYFUNCTION("""COMPUTED_VALUE"""),"Отношение объёмов подобных тел")</f>
        <v>Отношение объёмов подобных тел</v>
      </c>
      <c r="R53" s="1">
        <f>IFERROR(__xludf.DUMMYFUNCTION("""COMPUTED_VALUE"""),863.0)</f>
        <v>863</v>
      </c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>
      <c r="A54" s="1" t="str">
        <f>IFERROR(__xludf.DUMMYFUNCTION("""COMPUTED_VALUE"""),"Сложение и вычитание алгебраических дробей с одинаковыми знаменателями")</f>
        <v>Сложение и вычитание алгебраических дробей с одинаковыми знаменателями</v>
      </c>
      <c r="B54" s="1">
        <f>IFERROR(__xludf.DUMMYFUNCTION("""COMPUTED_VALUE"""),55.0)</f>
        <v>55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 t="str">
        <f>IFERROR(__xludf.DUMMYFUNCTION("""COMPUTED_VALUE"""),"Градусная мера дуги окружности")</f>
        <v>Градусная мера дуги окружности</v>
      </c>
      <c r="N54" s="1">
        <f>IFERROR(__xludf.DUMMYFUNCTION("""COMPUTED_VALUE"""),665.0)</f>
        <v>665</v>
      </c>
      <c r="O54" s="1"/>
      <c r="P54" s="1"/>
      <c r="Q54" s="1" t="str">
        <f>IFERROR(__xludf.DUMMYFUNCTION("""COMPUTED_VALUE"""),"Отношение площадей поверхностей подобных тел")</f>
        <v>Отношение площадей поверхностей подобных тел</v>
      </c>
      <c r="R54" s="1">
        <f>IFERROR(__xludf.DUMMYFUNCTION("""COMPUTED_VALUE"""),864.0)</f>
        <v>864</v>
      </c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>
      <c r="A55" s="1" t="str">
        <f>IFERROR(__xludf.DUMMYFUNCTION("""COMPUTED_VALUE"""),"Сложение и вычитание алгебраических дробей с разными знаменателями")</f>
        <v>Сложение и вычитание алгебраических дробей с разными знаменателями</v>
      </c>
      <c r="B55" s="1">
        <f>IFERROR(__xludf.DUMMYFUNCTION("""COMPUTED_VALUE"""),56.0)</f>
        <v>56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 t="str">
        <f>IFERROR(__xludf.DUMMYFUNCTION("""COMPUTED_VALUE"""),"Теорема о вписанном угле")</f>
        <v>Теорема о вписанном угле</v>
      </c>
      <c r="N55" s="1">
        <f>IFERROR(__xludf.DUMMYFUNCTION("""COMPUTED_VALUE"""),666.0)</f>
        <v>666</v>
      </c>
      <c r="O55" s="1"/>
      <c r="P55" s="1"/>
      <c r="Q55" s="1" t="str">
        <f>IFERROR(__xludf.DUMMYFUNCTION("""COMPUTED_VALUE"""),"Метод объёмов")</f>
        <v>Метод объёмов</v>
      </c>
      <c r="R55" s="1">
        <f>IFERROR(__xludf.DUMMYFUNCTION("""COMPUTED_VALUE"""),865.0)</f>
        <v>865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>
      <c r="A56" s="1" t="str">
        <f>IFERROR(__xludf.DUMMYFUNCTION("""COMPUTED_VALUE"""),"Умножение и деление алгебраических дробей")</f>
        <v>Умножение и деление алгебраических дробей</v>
      </c>
      <c r="B56" s="1">
        <f>IFERROR(__xludf.DUMMYFUNCTION("""COMPUTED_VALUE"""),57.0)</f>
        <v>57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 t="str">
        <f>IFERROR(__xludf.DUMMYFUNCTION("""COMPUTED_VALUE"""),"Свойства биссектрисы угла")</f>
        <v>Свойства биссектрисы угла</v>
      </c>
      <c r="N56" s="1">
        <f>IFERROR(__xludf.DUMMYFUNCTION("""COMPUTED_VALUE"""),668.0)</f>
        <v>668</v>
      </c>
      <c r="O56" s="1"/>
      <c r="P56" s="1"/>
      <c r="Q56" s="1" t="str">
        <f>IFERROR(__xludf.DUMMYFUNCTION("""COMPUTED_VALUE"""),"Поверхности второго порядка")</f>
        <v>Поверхности второго порядка</v>
      </c>
      <c r="R56" s="1">
        <f>IFERROR(__xludf.DUMMYFUNCTION("""COMPUTED_VALUE"""),866.0)</f>
        <v>866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>
      <c r="A57" s="1" t="str">
        <f>IFERROR(__xludf.DUMMYFUNCTION("""COMPUTED_VALUE"""),"Возведение алгебраической дроби в степень")</f>
        <v>Возведение алгебраической дроби в степень</v>
      </c>
      <c r="B57" s="1">
        <f>IFERROR(__xludf.DUMMYFUNCTION("""COMPUTED_VALUE"""),58.0)</f>
        <v>58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 t="str">
        <f>IFERROR(__xludf.DUMMYFUNCTION("""COMPUTED_VALUE"""),"Свойства серединного перпендикуляра к отрезку")</f>
        <v>Свойства серединного перпендикуляра к отрезку</v>
      </c>
      <c r="N57" s="1">
        <f>IFERROR(__xludf.DUMMYFUNCTION("""COMPUTED_VALUE"""),669.0)</f>
        <v>669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>
      <c r="A58" s="1" t="str">
        <f>IFERROR(__xludf.DUMMYFUNCTION("""COMPUTED_VALUE"""),"Преобразование рациональных выражений")</f>
        <v>Преобразование рациональных выражений</v>
      </c>
      <c r="B58" s="1">
        <f>IFERROR(__xludf.DUMMYFUNCTION("""COMPUTED_VALUE"""),59.0)</f>
        <v>59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 t="str">
        <f>IFERROR(__xludf.DUMMYFUNCTION("""COMPUTED_VALUE"""),"Теорема о пересечении высот треугольника")</f>
        <v>Теорема о пересечении высот треугольника</v>
      </c>
      <c r="N58" s="1">
        <f>IFERROR(__xludf.DUMMYFUNCTION("""COMPUTED_VALUE"""),670.0)</f>
        <v>670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>
      <c r="A59" s="1" t="str">
        <f>IFERROR(__xludf.DUMMYFUNCTION("""COMPUTED_VALUE"""),"Пропорции")</f>
        <v>Пропорции</v>
      </c>
      <c r="B59" s="1">
        <f>IFERROR(__xludf.DUMMYFUNCTION("""COMPUTED_VALUE"""),60.0)</f>
        <v>60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 t="str">
        <f>IFERROR(__xludf.DUMMYFUNCTION("""COMPUTED_VALUE"""),"Вписанная окружность")</f>
        <v>Вписанная окружность</v>
      </c>
      <c r="N59" s="1">
        <f>IFERROR(__xludf.DUMMYFUNCTION("""COMPUTED_VALUE"""),671.0)</f>
        <v>671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>
      <c r="A60" s="1" t="str">
        <f>IFERROR(__xludf.DUMMYFUNCTION("""COMPUTED_VALUE"""),"Среднее арифметическое ")</f>
        <v>Среднее арифметическое </v>
      </c>
      <c r="B60" s="1">
        <f>IFERROR(__xludf.DUMMYFUNCTION("""COMPUTED_VALUE"""),61.0)</f>
        <v>61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 t="str">
        <f>IFERROR(__xludf.DUMMYFUNCTION("""COMPUTED_VALUE"""),"Описанная окружность")</f>
        <v>Описанная окружность</v>
      </c>
      <c r="N60" s="1">
        <f>IFERROR(__xludf.DUMMYFUNCTION("""COMPUTED_VALUE"""),672.0)</f>
        <v>672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 t="str">
        <f>IFERROR(__xludf.DUMMYFUNCTION("""COMPUTED_VALUE"""),"Средняя линия трапеции")</f>
        <v>Средняя линия трапеции</v>
      </c>
      <c r="N61" s="1">
        <f>IFERROR(__xludf.DUMMYFUNCTION("""COMPUTED_VALUE"""),673.0)</f>
        <v>673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 t="str">
        <f>IFERROR(__xludf.DUMMYFUNCTION("""COMPUTED_VALUE"""),"Уравнение окружности")</f>
        <v>Уравнение окружности</v>
      </c>
      <c r="N62" s="1">
        <f>IFERROR(__xludf.DUMMYFUNCTION("""COMPUTED_VALUE"""),675.0)</f>
        <v>675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 t="str">
        <f>IFERROR(__xludf.DUMMYFUNCTION("""COMPUTED_VALUE"""),"Взаимное расположение двух окружностей")</f>
        <v>Взаимное расположение двух окружностей</v>
      </c>
      <c r="N63" s="1">
        <f>IFERROR(__xludf.DUMMYFUNCTION("""COMPUTED_VALUE"""),677.0)</f>
        <v>677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 t="str">
        <f>IFERROR(__xludf.DUMMYFUNCTION("""COMPUTED_VALUE"""),"Теорема о площади треугольника")</f>
        <v>Теорема о площади треугольника</v>
      </c>
      <c r="N64" s="1">
        <f>IFERROR(__xludf.DUMMYFUNCTION("""COMPUTED_VALUE"""),678.0)</f>
        <v>678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 t="str">
        <f>IFERROR(__xludf.DUMMYFUNCTION("""COMPUTED_VALUE"""),"Теорема синусов")</f>
        <v>Теорема синусов</v>
      </c>
      <c r="N65" s="1">
        <f>IFERROR(__xludf.DUMMYFUNCTION("""COMPUTED_VALUE"""),679.0)</f>
        <v>679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 t="str">
        <f>IFERROR(__xludf.DUMMYFUNCTION("""COMPUTED_VALUE"""),"Теорема косинусов")</f>
        <v>Теорема косинусов</v>
      </c>
      <c r="N66" s="1">
        <f>IFERROR(__xludf.DUMMYFUNCTION("""COMPUTED_VALUE"""),680.0)</f>
        <v>680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 t="str">
        <f>IFERROR(__xludf.DUMMYFUNCTION("""COMPUTED_VALUE"""),"Окружность, описанная около правильного многоугольника")</f>
        <v>Окружность, описанная около правильного многоугольника</v>
      </c>
      <c r="N67" s="1">
        <f>IFERROR(__xludf.DUMMYFUNCTION("""COMPUTED_VALUE"""),682.0)</f>
        <v>682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 t="str">
        <f>IFERROR(__xludf.DUMMYFUNCTION("""COMPUTED_VALUE"""),"Окружность, вписанная в правильный многоугольник")</f>
        <v>Окружность, вписанная в правильный многоугольник</v>
      </c>
      <c r="N68" s="1">
        <f>IFERROR(__xludf.DUMMYFUNCTION("""COMPUTED_VALUE"""),683.0)</f>
        <v>683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 t="str">
        <f>IFERROR(__xludf.DUMMYFUNCTION("""COMPUTED_VALUE"""),"Формулы для вычисления площади правильного многоугольника, его стороны и радиуса вписанной окружности")</f>
        <v>Формулы для вычисления площади правильного многоугольника, его стороны и радиуса вписанной окружности</v>
      </c>
      <c r="N69" s="1">
        <f>IFERROR(__xludf.DUMMYFUNCTION("""COMPUTED_VALUE"""),684.0)</f>
        <v>684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 t="str">
        <f>IFERROR(__xludf.DUMMYFUNCTION("""COMPUTED_VALUE"""),"Длина окружности")</f>
        <v>Длина окружности</v>
      </c>
      <c r="N70" s="1">
        <f>IFERROR(__xludf.DUMMYFUNCTION("""COMPUTED_VALUE"""),686.0)</f>
        <v>686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 t="str">
        <f>IFERROR(__xludf.DUMMYFUNCTION("""COMPUTED_VALUE"""),"Площадь круга")</f>
        <v>Площадь круга</v>
      </c>
      <c r="N71" s="1">
        <f>IFERROR(__xludf.DUMMYFUNCTION("""COMPUTED_VALUE"""),687.0)</f>
        <v>687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 t="str">
        <f>IFERROR(__xludf.DUMMYFUNCTION("""COMPUTED_VALUE"""),"Площадь кругового сектора, кольца")</f>
        <v>Площадь кругового сектора, кольца</v>
      </c>
      <c r="N72" s="1">
        <f>IFERROR(__xludf.DUMMYFUNCTION("""COMPUTED_VALUE"""),688.0)</f>
        <v>688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 t="str">
        <f>IFERROR(__xludf.DUMMYFUNCTION("""COMPUTED_VALUE"""),"Описанная и вписанная окружность для четырехугольника")</f>
        <v>Описанная и вписанная окружность для четырехугольника</v>
      </c>
      <c r="N73" s="1">
        <f>IFERROR(__xludf.DUMMYFUNCTION("""COMPUTED_VALUE"""),689.0)</f>
        <v>689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 t="str">
        <f>IFERROR(__xludf.DUMMYFUNCTION("""COMPUTED_VALUE"""),"Секущая, касательная для окружности")</f>
        <v>Секущая, касательная для окружности</v>
      </c>
      <c r="N74" s="1">
        <f>IFERROR(__xludf.DUMMYFUNCTION("""COMPUTED_VALUE"""),690.0)</f>
        <v>690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 t="str">
        <f>IFERROR(__xludf.DUMMYFUNCTION("""COMPUTED_VALUE"""),"Площадь треугольника через вписанную окружность")</f>
        <v>Площадь треугольника через вписанную окружность</v>
      </c>
      <c r="N75" s="1">
        <f>IFERROR(__xludf.DUMMYFUNCTION("""COMPUTED_VALUE"""),691.0)</f>
        <v>691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 t="str">
        <f>IFERROR(__xludf.DUMMYFUNCTION("""COMPUTED_VALUE"""),"Углы между секущими и хордами в окружности")</f>
        <v>Углы между секущими и хордами в окружности</v>
      </c>
      <c r="N76" s="1">
        <f>IFERROR(__xludf.DUMMYFUNCTION("""COMPUTED_VALUE"""),692.0)</f>
        <v>692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 t="str">
        <f>IFERROR(__xludf.DUMMYFUNCTION("""COMPUTED_VALUE"""),"Теорема Менелая")</f>
        <v>Теорема Менелая</v>
      </c>
      <c r="N77" s="1">
        <f>IFERROR(__xludf.DUMMYFUNCTION("""COMPUTED_VALUE"""),693.0)</f>
        <v>693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 t="str">
        <f>IFERROR(__xludf.DUMMYFUNCTION("""COMPUTED_VALUE"""),"Теорема Чевы")</f>
        <v>Теорема Чевы</v>
      </c>
      <c r="N78" s="1">
        <f>IFERROR(__xludf.DUMMYFUNCTION("""COMPUTED_VALUE"""),694.0)</f>
        <v>694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 t="str">
        <f>IFERROR(__xludf.DUMMYFUNCTION("""COMPUTED_VALUE"""),"Теорема Фалеса")</f>
        <v>Теорема Фалеса</v>
      </c>
      <c r="N79" s="1">
        <f>IFERROR(__xludf.DUMMYFUNCTION("""COMPUTED_VALUE"""),695.0)</f>
        <v>695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 t="str">
        <f>IFERROR(__xludf.DUMMYFUNCTION("""COMPUTED_VALUE"""),"Теорема о пропорциональных отрезках")</f>
        <v>Теорема о пропорциональных отрезках</v>
      </c>
      <c r="N80" s="1">
        <f>IFERROR(__xludf.DUMMYFUNCTION("""COMPUTED_VALUE"""),696.0)</f>
        <v>696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 t="str">
        <f>IFERROR(__xludf.DUMMYFUNCTION("""COMPUTED_VALUE"""),"Периметр")</f>
        <v>Периметр</v>
      </c>
      <c r="N81" s="1">
        <f>IFERROR(__xludf.DUMMYFUNCTION("""COMPUTED_VALUE"""),697.0)</f>
        <v>697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 t="str">
        <f>IFERROR(__xludf.DUMMYFUNCTION("""COMPUTED_VALUE"""),"Правильный треугольник")</f>
        <v>Правильный треугольник</v>
      </c>
      <c r="N82" s="1">
        <f>IFERROR(__xludf.DUMMYFUNCTION("""COMPUTED_VALUE"""),698.0)</f>
        <v>698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 t="str">
        <f>IFERROR(__xludf.DUMMYFUNCTION("""COMPUTED_VALUE"""),"Правильный шестиугольник")</f>
        <v>Правильный шестиугольник</v>
      </c>
      <c r="N83" s="1">
        <f>IFERROR(__xludf.DUMMYFUNCTION("""COMPUTED_VALUE"""),699.0)</f>
        <v>699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 t="str">
        <f>IFERROR(__xludf.DUMMYFUNCTION("""COMPUTED_VALUE"""),"Метод площадей")</f>
        <v>Метод площадей</v>
      </c>
      <c r="N84" s="1">
        <f>IFERROR(__xludf.DUMMYFUNCTION("""COMPUTED_VALUE"""),1301.0)</f>
        <v>1301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</sheetData>
  <drawing r:id="rId1"/>
</worksheet>
</file>