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IFERROR(__xludf.DUMMYFUNCTION("IMPORTRANGE(""https://docs.google.com/spreadsheets/d/1bUmHaCdpKlvdGgsZqsqaAzUx1Nx5oPjtAQ9EkvrO_q8/edit"",""УМИТЫ!A:Z"")"),"Ботаника")</f>
        <v>Ботаника</v>
      </c>
      <c r="B1" s="1"/>
      <c r="C1" s="1" t="str">
        <f>IFERROR(__xludf.DUMMYFUNCTION("""COMPUTED_VALUE"""),"Зоология")</f>
        <v>Зоология</v>
      </c>
      <c r="D1" s="1"/>
      <c r="E1" s="1" t="str">
        <f>IFERROR(__xludf.DUMMYFUNCTION("""COMPUTED_VALUE"""),"Анатомия")</f>
        <v>Анатомия</v>
      </c>
      <c r="F1" s="1"/>
      <c r="G1" s="1" t="str">
        <f>IFERROR(__xludf.DUMMYFUNCTION("""COMPUTED_VALUE"""),"Цитология и биохимия")</f>
        <v>Цитология и биохимия</v>
      </c>
      <c r="H1" s="1"/>
      <c r="I1" s="1" t="str">
        <f>IFERROR(__xludf.DUMMYFUNCTION("""COMPUTED_VALUE"""),"Экология и эволюция")</f>
        <v>Экология и эволюция</v>
      </c>
      <c r="J1" s="1"/>
      <c r="K1" s="1" t="str">
        <f>IFERROR(__xludf.DUMMYFUNCTION("""COMPUTED_VALUE"""),"Навыки и умения")</f>
        <v>Навыки и умения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IFERROR(__xludf.DUMMYFUNCTION("""COMPUTED_VALUE"""),"Особенности прокариот")</f>
        <v>Особенности прокариот</v>
      </c>
      <c r="B2" s="1">
        <f>IFERROR(__xludf.DUMMYFUNCTION("""COMPUTED_VALUE"""),1.0)</f>
        <v>1</v>
      </c>
      <c r="C2" s="1" t="str">
        <f>IFERROR(__xludf.DUMMYFUNCTION("""COMPUTED_VALUE"""),"Признаки царства животных")</f>
        <v>Признаки царства животных</v>
      </c>
      <c r="D2" s="1">
        <f>IFERROR(__xludf.DUMMYFUNCTION("""COMPUTED_VALUE"""),101.0)</f>
        <v>101</v>
      </c>
      <c r="E2" s="1" t="str">
        <f>IFERROR(__xludf.DUMMYFUNCTION("""COMPUTED_VALUE"""),"Отличия человека от обезьян")</f>
        <v>Отличия человека от обезьян</v>
      </c>
      <c r="F2" s="1">
        <f>IFERROR(__xludf.DUMMYFUNCTION("""COMPUTED_VALUE"""),201.0)</f>
        <v>201</v>
      </c>
      <c r="G2" s="1" t="str">
        <f>IFERROR(__xludf.DUMMYFUNCTION("""COMPUTED_VALUE"""),"Разделы биологии")</f>
        <v>Разделы биологии</v>
      </c>
      <c r="H2" s="1">
        <f>IFERROR(__xludf.DUMMYFUNCTION("""COMPUTED_VALUE"""),301.0)</f>
        <v>301</v>
      </c>
      <c r="I2" s="1" t="str">
        <f>IFERROR(__xludf.DUMMYFUNCTION("""COMPUTED_VALUE"""),"Факторы среды")</f>
        <v>Факторы среды</v>
      </c>
      <c r="J2" s="1">
        <f>IFERROR(__xludf.DUMMYFUNCTION("""COMPUTED_VALUE"""),401.0)</f>
        <v>401</v>
      </c>
      <c r="K2" s="1" t="str">
        <f>IFERROR(__xludf.DUMMYFUNCTION("""COMPUTED_VALUE"""),"Знать биологические термины")</f>
        <v>Знать биологические термины</v>
      </c>
      <c r="L2" s="1">
        <f>IFERROR(__xludf.DUMMYFUNCTION("""COMPUTED_VALUE"""),501.0)</f>
        <v>501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IFERROR(__xludf.DUMMYFUNCTION("""COMPUTED_VALUE"""),"Формы бактерий")</f>
        <v>Формы бактерий</v>
      </c>
      <c r="B3" s="1">
        <f>IFERROR(__xludf.DUMMYFUNCTION("""COMPUTED_VALUE"""),2.0)</f>
        <v>2</v>
      </c>
      <c r="C3" s="1" t="str">
        <f>IFERROR(__xludf.DUMMYFUNCTION("""COMPUTED_VALUE"""),"Систематика животных")</f>
        <v>Систематика животных</v>
      </c>
      <c r="D3" s="1">
        <f>IFERROR(__xludf.DUMMYFUNCTION("""COMPUTED_VALUE"""),102.0)</f>
        <v>102</v>
      </c>
      <c r="E3" s="1" t="str">
        <f>IFERROR(__xludf.DUMMYFUNCTION("""COMPUTED_VALUE"""),"Признаки человекообразных обезьян")</f>
        <v>Признаки человекообразных обезьян</v>
      </c>
      <c r="F3" s="1">
        <f>IFERROR(__xludf.DUMMYFUNCTION("""COMPUTED_VALUE"""),202.0)</f>
        <v>202</v>
      </c>
      <c r="G3" s="1" t="str">
        <f>IFERROR(__xludf.DUMMYFUNCTION("""COMPUTED_VALUE"""),"Уровни организации")</f>
        <v>Уровни организации</v>
      </c>
      <c r="H3" s="1">
        <f>IFERROR(__xludf.DUMMYFUNCTION("""COMPUTED_VALUE"""),302.0)</f>
        <v>302</v>
      </c>
      <c r="I3" s="1" t="str">
        <f>IFERROR(__xludf.DUMMYFUNCTION("""COMPUTED_VALUE"""),"Закон лимитирующего фактора")</f>
        <v>Закон лимитирующего фактора</v>
      </c>
      <c r="J3" s="1">
        <f>IFERROR(__xludf.DUMMYFUNCTION("""COMPUTED_VALUE"""),402.0)</f>
        <v>402</v>
      </c>
      <c r="K3" s="1" t="str">
        <f>IFERROR(__xludf.DUMMYFUNCTION("""COMPUTED_VALUE"""),"Знать положения биологических теорий")</f>
        <v>Знать положения биологических теорий</v>
      </c>
      <c r="L3" s="1">
        <f>IFERROR(__xludf.DUMMYFUNCTION("""COMPUTED_VALUE"""),502.0)</f>
        <v>502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IFERROR(__xludf.DUMMYFUNCTION("""COMPUTED_VALUE"""),"Значение бактерий")</f>
        <v>Значение бактерий</v>
      </c>
      <c r="B4" s="1">
        <f>IFERROR(__xludf.DUMMYFUNCTION("""COMPUTED_VALUE"""),3.0)</f>
        <v>3</v>
      </c>
      <c r="C4" s="1" t="str">
        <f>IFERROR(__xludf.DUMMYFUNCTION("""COMPUTED_VALUE"""),"Подцарство простейшие")</f>
        <v>Подцарство простейшие</v>
      </c>
      <c r="D4" s="1">
        <f>IFERROR(__xludf.DUMMYFUNCTION("""COMPUTED_VALUE"""),103.0)</f>
        <v>103</v>
      </c>
      <c r="E4" s="1" t="str">
        <f>IFERROR(__xludf.DUMMYFUNCTION("""COMPUTED_VALUE"""),"Антропогенез (предки людей и расы)")</f>
        <v>Антропогенез (предки людей и расы)</v>
      </c>
      <c r="F4" s="1">
        <f>IFERROR(__xludf.DUMMYFUNCTION("""COMPUTED_VALUE"""),203.0)</f>
        <v>203</v>
      </c>
      <c r="G4" s="1" t="str">
        <f>IFERROR(__xludf.DUMMYFUNCTION("""COMPUTED_VALUE"""),"Методы биологии")</f>
        <v>Методы биологии</v>
      </c>
      <c r="H4" s="1">
        <f>IFERROR(__xludf.DUMMYFUNCTION("""COMPUTED_VALUE"""),303.0)</f>
        <v>303</v>
      </c>
      <c r="I4" s="1" t="str">
        <f>IFERROR(__xludf.DUMMYFUNCTION("""COMPUTED_VALUE"""),"Группы организмов по факторам среды")</f>
        <v>Группы организмов по факторам среды</v>
      </c>
      <c r="J4" s="1">
        <f>IFERROR(__xludf.DUMMYFUNCTION("""COMPUTED_VALUE"""),403.0)</f>
        <v>403</v>
      </c>
      <c r="K4" s="1" t="str">
        <f>IFERROR(__xludf.DUMMYFUNCTION("""COMPUTED_VALUE"""),"Знать методы исследований")</f>
        <v>Знать методы исследований</v>
      </c>
      <c r="L4" s="1">
        <f>IFERROR(__xludf.DUMMYFUNCTION("""COMPUTED_VALUE"""),503.0)</f>
        <v>503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IFERROR(__xludf.DUMMYFUNCTION("""COMPUTED_VALUE"""),"Методы борьбы с бактериями")</f>
        <v>Методы борьбы с бактериями</v>
      </c>
      <c r="B5" s="1">
        <f>IFERROR(__xludf.DUMMYFUNCTION("""COMPUTED_VALUE"""),4.0)</f>
        <v>4</v>
      </c>
      <c r="C5" s="1" t="str">
        <f>IFERROR(__xludf.DUMMYFUNCTION("""COMPUTED_VALUE"""),"Амеба")</f>
        <v>Амеба</v>
      </c>
      <c r="D5" s="1">
        <f>IFERROR(__xludf.DUMMYFUNCTION("""COMPUTED_VALUE"""),104.0)</f>
        <v>104</v>
      </c>
      <c r="E5" s="1" t="str">
        <f>IFERROR(__xludf.DUMMYFUNCTION("""COMPUTED_VALUE"""),"Факторы антропогенеза")</f>
        <v>Факторы антропогенеза</v>
      </c>
      <c r="F5" s="1">
        <f>IFERROR(__xludf.DUMMYFUNCTION("""COMPUTED_VALUE"""),204.0)</f>
        <v>204</v>
      </c>
      <c r="G5" s="1" t="str">
        <f>IFERROR(__xludf.DUMMYFUNCTION("""COMPUTED_VALUE"""),"Методы генетики")</f>
        <v>Методы генетики</v>
      </c>
      <c r="H5" s="1">
        <f>IFERROR(__xludf.DUMMYFUNCTION("""COMPUTED_VALUE"""),304.0)</f>
        <v>304</v>
      </c>
      <c r="I5" s="1" t="str">
        <f>IFERROR(__xludf.DUMMYFUNCTION("""COMPUTED_VALUE"""),"Приспособление организмов к факторам среды")</f>
        <v>Приспособление организмов к факторам среды</v>
      </c>
      <c r="J5" s="1">
        <f>IFERROR(__xludf.DUMMYFUNCTION("""COMPUTED_VALUE"""),404.0)</f>
        <v>404</v>
      </c>
      <c r="K5" s="1" t="str">
        <f>IFERROR(__xludf.DUMMYFUNCTION("""COMPUTED_VALUE"""),"Уметь решать математические задачи")</f>
        <v>Уметь решать математические задачи</v>
      </c>
      <c r="L5" s="1">
        <f>IFERROR(__xludf.DUMMYFUNCTION("""COMPUTED_VALUE"""),504.0)</f>
        <v>504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IFERROR(__xludf.DUMMYFUNCTION("""COMPUTED_VALUE"""),"Вирусы и их строение")</f>
        <v>Вирусы и их строение</v>
      </c>
      <c r="B6" s="1">
        <f>IFERROR(__xludf.DUMMYFUNCTION("""COMPUTED_VALUE"""),5.0)</f>
        <v>5</v>
      </c>
      <c r="C6" s="1" t="str">
        <f>IFERROR(__xludf.DUMMYFUNCTION("""COMPUTED_VALUE"""),"Инфузория")</f>
        <v>Инфузория</v>
      </c>
      <c r="D6" s="1">
        <f>IFERROR(__xludf.DUMMYFUNCTION("""COMPUTED_VALUE"""),105.0)</f>
        <v>105</v>
      </c>
      <c r="E6" s="1" t="str">
        <f>IFERROR(__xludf.DUMMYFUNCTION("""COMPUTED_VALUE"""),"Эпителиальная ткань")</f>
        <v>Эпителиальная ткань</v>
      </c>
      <c r="F6" s="1">
        <f>IFERROR(__xludf.DUMMYFUNCTION("""COMPUTED_VALUE"""),205.0)</f>
        <v>205</v>
      </c>
      <c r="G6" s="1" t="str">
        <f>IFERROR(__xludf.DUMMYFUNCTION("""COMPUTED_VALUE"""),"Биотехнология")</f>
        <v>Биотехнология</v>
      </c>
      <c r="H6" s="1">
        <f>IFERROR(__xludf.DUMMYFUNCTION("""COMPUTED_VALUE"""),305.0)</f>
        <v>305</v>
      </c>
      <c r="I6" s="1" t="str">
        <f>IFERROR(__xludf.DUMMYFUNCTION("""COMPUTED_VALUE"""),"Типы питания")</f>
        <v>Типы питания</v>
      </c>
      <c r="J6" s="1">
        <f>IFERROR(__xludf.DUMMYFUNCTION("""COMPUTED_VALUE"""),405.0)</f>
        <v>405</v>
      </c>
      <c r="K6" s="1" t="str">
        <f>IFERROR(__xludf.DUMMYFUNCTION("""COMPUTED_VALUE"""),"Уметь составлять логические связи")</f>
        <v>Уметь составлять логические связи</v>
      </c>
      <c r="L6" s="1">
        <f>IFERROR(__xludf.DUMMYFUNCTION("""COMPUTED_VALUE"""),505.0)</f>
        <v>505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IFERROR(__xludf.DUMMYFUNCTION("""COMPUTED_VALUE"""),"Бактериофаги")</f>
        <v>Бактериофаги</v>
      </c>
      <c r="B7" s="1">
        <f>IFERROR(__xludf.DUMMYFUNCTION("""COMPUTED_VALUE"""),6.0)</f>
        <v>6</v>
      </c>
      <c r="C7" s="1" t="str">
        <f>IFERROR(__xludf.DUMMYFUNCTION("""COMPUTED_VALUE"""),"Эвглена")</f>
        <v>Эвглена</v>
      </c>
      <c r="D7" s="1">
        <f>IFERROR(__xludf.DUMMYFUNCTION("""COMPUTED_VALUE"""),106.0)</f>
        <v>106</v>
      </c>
      <c r="E7" s="1" t="str">
        <f>IFERROR(__xludf.DUMMYFUNCTION("""COMPUTED_VALUE"""),"Соединительная ткань")</f>
        <v>Соединительная ткань</v>
      </c>
      <c r="F7" s="1">
        <f>IFERROR(__xludf.DUMMYFUNCTION("""COMPUTED_VALUE"""),206.0)</f>
        <v>206</v>
      </c>
      <c r="G7" s="1" t="str">
        <f>IFERROR(__xludf.DUMMYFUNCTION("""COMPUTED_VALUE"""),"Признаки живого")</f>
        <v>Признаки живого</v>
      </c>
      <c r="H7" s="1">
        <f>IFERROR(__xludf.DUMMYFUNCTION("""COMPUTED_VALUE"""),306.0)</f>
        <v>306</v>
      </c>
      <c r="I7" s="1" t="str">
        <f>IFERROR(__xludf.DUMMYFUNCTION("""COMPUTED_VALUE"""),"Пищевые цепи")</f>
        <v>Пищевые цепи</v>
      </c>
      <c r="J7" s="1">
        <f>IFERROR(__xludf.DUMMYFUNCTION("""COMPUTED_VALUE"""),406.0)</f>
        <v>406</v>
      </c>
      <c r="K7" s="1" t="str">
        <f>IFERROR(__xludf.DUMMYFUNCTION("""COMPUTED_VALUE"""),"Уметь решать генетические задачи")</f>
        <v>Уметь решать генетические задачи</v>
      </c>
      <c r="L7" s="1">
        <f>IFERROR(__xludf.DUMMYFUNCTION("""COMPUTED_VALUE"""),506.0)</f>
        <v>506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IFERROR(__xludf.DUMMYFUNCTION("""COMPUTED_VALUE"""),"Вирусные заболевания")</f>
        <v>Вирусные заболевания</v>
      </c>
      <c r="B8" s="1">
        <f>IFERROR(__xludf.DUMMYFUNCTION("""COMPUTED_VALUE"""),7.0)</f>
        <v>7</v>
      </c>
      <c r="C8" s="1" t="str">
        <f>IFERROR(__xludf.DUMMYFUNCTION("""COMPUTED_VALUE"""),"Малярийный плазмодий")</f>
        <v>Малярийный плазмодий</v>
      </c>
      <c r="D8" s="1">
        <f>IFERROR(__xludf.DUMMYFUNCTION("""COMPUTED_VALUE"""),107.0)</f>
        <v>107</v>
      </c>
      <c r="E8" s="1" t="str">
        <f>IFERROR(__xludf.DUMMYFUNCTION("""COMPUTED_VALUE"""),"Нервная ткань")</f>
        <v>Нервная ткань</v>
      </c>
      <c r="F8" s="1">
        <f>IFERROR(__xludf.DUMMYFUNCTION("""COMPUTED_VALUE"""),207.0)</f>
        <v>207</v>
      </c>
      <c r="G8" s="1" t="str">
        <f>IFERROR(__xludf.DUMMYFUNCTION("""COMPUTED_VALUE"""),"Клеточная теория")</f>
        <v>Клеточная теория</v>
      </c>
      <c r="H8" s="1">
        <f>IFERROR(__xludf.DUMMYFUNCTION("""COMPUTED_VALUE"""),307.0)</f>
        <v>307</v>
      </c>
      <c r="I8" s="1" t="str">
        <f>IFERROR(__xludf.DUMMYFUNCTION("""COMPUTED_VALUE"""),"Закон пищевой пирамиды")</f>
        <v>Закон пищевой пирамиды</v>
      </c>
      <c r="J8" s="1">
        <f>IFERROR(__xludf.DUMMYFUNCTION("""COMPUTED_VALUE"""),407.0)</f>
        <v>407</v>
      </c>
      <c r="K8" s="1" t="str">
        <f>IFERROR(__xludf.DUMMYFUNCTION("""COMPUTED_VALUE"""),"Уметь выявлять закономерности")</f>
        <v>Уметь выявлять закономерности</v>
      </c>
      <c r="L8" s="1">
        <f>IFERROR(__xludf.DUMMYFUNCTION("""COMPUTED_VALUE"""),507.0)</f>
        <v>507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IFERROR(__xludf.DUMMYFUNCTION("""COMPUTED_VALUE"""),"Строение и разможение грибов")</f>
        <v>Строение и разможение грибов</v>
      </c>
      <c r="B9" s="1">
        <f>IFERROR(__xludf.DUMMYFUNCTION("""COMPUTED_VALUE"""),8.0)</f>
        <v>8</v>
      </c>
      <c r="C9" s="1" t="str">
        <f>IFERROR(__xludf.DUMMYFUNCTION("""COMPUTED_VALUE"""),"Значение простейших")</f>
        <v>Значение простейших</v>
      </c>
      <c r="D9" s="1">
        <f>IFERROR(__xludf.DUMMYFUNCTION("""COMPUTED_VALUE"""),108.0)</f>
        <v>108</v>
      </c>
      <c r="E9" s="1" t="str">
        <f>IFERROR(__xludf.DUMMYFUNCTION("""COMPUTED_VALUE"""),"Мышечная ткань")</f>
        <v>Мышечная ткань</v>
      </c>
      <c r="F9" s="1">
        <f>IFERROR(__xludf.DUMMYFUNCTION("""COMPUTED_VALUE"""),208.0)</f>
        <v>208</v>
      </c>
      <c r="G9" s="1" t="str">
        <f>IFERROR(__xludf.DUMMYFUNCTION("""COMPUTED_VALUE"""),"Строение клетки прокариот")</f>
        <v>Строение клетки прокариот</v>
      </c>
      <c r="H9" s="1">
        <f>IFERROR(__xludf.DUMMYFUNCTION("""COMPUTED_VALUE"""),308.0)</f>
        <v>308</v>
      </c>
      <c r="I9" s="1" t="str">
        <f>IFERROR(__xludf.DUMMYFUNCTION("""COMPUTED_VALUE"""),"Типы экологических  взаимодействий ")</f>
        <v>Типы экологических  взаимодействий </v>
      </c>
      <c r="J9" s="1">
        <f>IFERROR(__xludf.DUMMYFUNCTION("""COMPUTED_VALUE"""),408.0)</f>
        <v>408</v>
      </c>
      <c r="K9" s="1" t="str">
        <f>IFERROR(__xludf.DUMMYFUNCTION("""COMPUTED_VALUE"""),"Уметь объяснять сущность методов")</f>
        <v>Уметь объяснять сущность методов</v>
      </c>
      <c r="L9" s="1">
        <f>IFERROR(__xludf.DUMMYFUNCTION("""COMPUTED_VALUE"""),508.0)</f>
        <v>508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IFERROR(__xludf.DUMMYFUNCTION("""COMPUTED_VALUE"""),"Дрожжи")</f>
        <v>Дрожжи</v>
      </c>
      <c r="B10" s="1">
        <f>IFERROR(__xludf.DUMMYFUNCTION("""COMPUTED_VALUE"""),9.0)</f>
        <v>9</v>
      </c>
      <c r="C10" s="1" t="str">
        <f>IFERROR(__xludf.DUMMYFUNCTION("""COMPUTED_VALUE"""),"Строение кишечнополостных")</f>
        <v>Строение кишечнополостных</v>
      </c>
      <c r="D10" s="1">
        <f>IFERROR(__xludf.DUMMYFUNCTION("""COMPUTED_VALUE"""),109.0)</f>
        <v>109</v>
      </c>
      <c r="E10" s="1" t="str">
        <f>IFERROR(__xludf.DUMMYFUNCTION("""COMPUTED_VALUE"""),"Строение костной ткани")</f>
        <v>Строение костной ткани</v>
      </c>
      <c r="F10" s="1">
        <f>IFERROR(__xludf.DUMMYFUNCTION("""COMPUTED_VALUE"""),209.0)</f>
        <v>209</v>
      </c>
      <c r="G10" s="1" t="str">
        <f>IFERROR(__xludf.DUMMYFUNCTION("""COMPUTED_VALUE"""),"Строение клетки эукариот")</f>
        <v>Строение клетки эукариот</v>
      </c>
      <c r="H10" s="1">
        <f>IFERROR(__xludf.DUMMYFUNCTION("""COMPUTED_VALUE"""),309.0)</f>
        <v>309</v>
      </c>
      <c r="I10" s="1" t="str">
        <f>IFERROR(__xludf.DUMMYFUNCTION("""COMPUTED_VALUE"""),"Биоценоз и агроценоз, экосистемы")</f>
        <v>Биоценоз и агроценоз, экосистемы</v>
      </c>
      <c r="J10" s="1">
        <f>IFERROR(__xludf.DUMMYFUNCTION("""COMPUTED_VALUE"""),409.0)</f>
        <v>409</v>
      </c>
      <c r="K10" s="1" t="str">
        <f>IFERROR(__xludf.DUMMYFUNCTION("""COMPUTED_VALUE"""),"Уметь сопоставлять факты")</f>
        <v>Уметь сопоставлять факты</v>
      </c>
      <c r="L10" s="1">
        <f>IFERROR(__xludf.DUMMYFUNCTION("""COMPUTED_VALUE"""),509.0)</f>
        <v>509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IFERROR(__xludf.DUMMYFUNCTION("""COMPUTED_VALUE"""),"Оомицеты (фитофтора)")</f>
        <v>Оомицеты (фитофтора)</v>
      </c>
      <c r="B11" s="1">
        <f>IFERROR(__xludf.DUMMYFUNCTION("""COMPUTED_VALUE"""),10.0)</f>
        <v>10</v>
      </c>
      <c r="C11" s="1" t="str">
        <f>IFERROR(__xludf.DUMMYFUNCTION("""COMPUTED_VALUE"""),"Гидра (особенности и экология)")</f>
        <v>Гидра (особенности и экология)</v>
      </c>
      <c r="D11" s="1">
        <f>IFERROR(__xludf.DUMMYFUNCTION("""COMPUTED_VALUE"""),110.0)</f>
        <v>110</v>
      </c>
      <c r="E11" s="1" t="str">
        <f>IFERROR(__xludf.DUMMYFUNCTION("""COMPUTED_VALUE"""),"Строение кости")</f>
        <v>Строение кости</v>
      </c>
      <c r="F11" s="1">
        <f>IFERROR(__xludf.DUMMYFUNCTION("""COMPUTED_VALUE"""),210.0)</f>
        <v>210</v>
      </c>
      <c r="G11" s="1" t="str">
        <f>IFERROR(__xludf.DUMMYFUNCTION("""COMPUTED_VALUE"""),"Оболочки клетки")</f>
        <v>Оболочки клетки</v>
      </c>
      <c r="H11" s="1">
        <f>IFERROR(__xludf.DUMMYFUNCTION("""COMPUTED_VALUE"""),310.0)</f>
        <v>310</v>
      </c>
      <c r="I11" s="1" t="str">
        <f>IFERROR(__xludf.DUMMYFUNCTION("""COMPUTED_VALUE"""),"Сукцессии")</f>
        <v>Сукцессии</v>
      </c>
      <c r="J11" s="1">
        <f>IFERROR(__xludf.DUMMYFUNCTION("""COMPUTED_VALUE"""),410.0)</f>
        <v>410</v>
      </c>
      <c r="K11" s="1" t="str">
        <f>IFERROR(__xludf.DUMMYFUNCTION("""COMPUTED_VALUE"""),"Уметь составлять последовательности и цепочки")</f>
        <v>Уметь составлять последовательности и цепочки</v>
      </c>
      <c r="L11" s="1">
        <f>IFERROR(__xludf.DUMMYFUNCTION("""COMPUTED_VALUE"""),510.0)</f>
        <v>510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IFERROR(__xludf.DUMMYFUNCTION("""COMPUTED_VALUE"""),"Плесневые грибы")</f>
        <v>Плесневые грибы</v>
      </c>
      <c r="B12" s="1">
        <f>IFERROR(__xludf.DUMMYFUNCTION("""COMPUTED_VALUE"""),11.0)</f>
        <v>11</v>
      </c>
      <c r="C12" s="1" t="str">
        <f>IFERROR(__xludf.DUMMYFUNCTION("""COMPUTED_VALUE"""),"Медузы (строение и жизненный цикл)")</f>
        <v>Медузы (строение и жизненный цикл)</v>
      </c>
      <c r="D12" s="1">
        <f>IFERROR(__xludf.DUMMYFUNCTION("""COMPUTED_VALUE"""),111.0)</f>
        <v>111</v>
      </c>
      <c r="E12" s="1" t="str">
        <f>IFERROR(__xludf.DUMMYFUNCTION("""COMPUTED_VALUE"""),"Виды костей")</f>
        <v>Виды костей</v>
      </c>
      <c r="F12" s="1">
        <f>IFERROR(__xludf.DUMMYFUNCTION("""COMPUTED_VALUE"""),211.0)</f>
        <v>211</v>
      </c>
      <c r="G12" s="1" t="str">
        <f>IFERROR(__xludf.DUMMYFUNCTION("""COMPUTED_VALUE"""),"Транспорт в клетку")</f>
        <v>Транспорт в клетку</v>
      </c>
      <c r="H12" s="1">
        <f>IFERROR(__xludf.DUMMYFUNCTION("""COMPUTED_VALUE"""),311.0)</f>
        <v>311</v>
      </c>
      <c r="I12" s="1" t="str">
        <f>IFERROR(__xludf.DUMMYFUNCTION("""COMPUTED_VALUE"""),"Биосфера и классификация веществ по Вернадскому")</f>
        <v>Биосфера и классификация веществ по Вернадскому</v>
      </c>
      <c r="J12" s="1">
        <f>IFERROR(__xludf.DUMMYFUNCTION("""COMPUTED_VALUE"""),411.0)</f>
        <v>411</v>
      </c>
      <c r="K12" s="1" t="str">
        <f>IFERROR(__xludf.DUMMYFUNCTION("""COMPUTED_VALUE"""),"Уметь распознавать клетки разных царств")</f>
        <v>Уметь распознавать клетки разных царств</v>
      </c>
      <c r="L12" s="1">
        <f>IFERROR(__xludf.DUMMYFUNCTION("""COMPUTED_VALUE"""),511.0)</f>
        <v>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IFERROR(__xludf.DUMMYFUNCTION("""COMPUTED_VALUE"""),"Антибиотики (работы А.Флеминга)")</f>
        <v>Антибиотики (работы А.Флеминга)</v>
      </c>
      <c r="B13" s="1">
        <f>IFERROR(__xludf.DUMMYFUNCTION("""COMPUTED_VALUE"""),12.0)</f>
        <v>12</v>
      </c>
      <c r="C13" s="1" t="str">
        <f>IFERROR(__xludf.DUMMYFUNCTION("""COMPUTED_VALUE"""),"Кораллы")</f>
        <v>Кораллы</v>
      </c>
      <c r="D13" s="1">
        <f>IFERROR(__xludf.DUMMYFUNCTION("""COMPUTED_VALUE"""),112.0)</f>
        <v>112</v>
      </c>
      <c r="E13" s="1" t="str">
        <f>IFERROR(__xludf.DUMMYFUNCTION("""COMPUTED_VALUE"""),"Виды соединения костей")</f>
        <v>Виды соединения костей</v>
      </c>
      <c r="F13" s="1">
        <f>IFERROR(__xludf.DUMMYFUNCTION("""COMPUTED_VALUE"""),212.0)</f>
        <v>212</v>
      </c>
      <c r="G13" s="1" t="str">
        <f>IFERROR(__xludf.DUMMYFUNCTION("""COMPUTED_VALUE"""),"Ядро и его содержимое")</f>
        <v>Ядро и его содержимое</v>
      </c>
      <c r="H13" s="1">
        <f>IFERROR(__xludf.DUMMYFUNCTION("""COMPUTED_VALUE"""),312.0)</f>
        <v>312</v>
      </c>
      <c r="I13" s="1" t="str">
        <f>IFERROR(__xludf.DUMMYFUNCTION("""COMPUTED_VALUE"""),"Круговорот углерода")</f>
        <v>Круговорот углерода</v>
      </c>
      <c r="J13" s="1">
        <f>IFERROR(__xludf.DUMMYFUNCTION("""COMPUTED_VALUE"""),412.0)</f>
        <v>412</v>
      </c>
      <c r="K13" s="1" t="str">
        <f>IFERROR(__xludf.DUMMYFUNCTION("""COMPUTED_VALUE"""),"Уметь распознавать биологические объекты")</f>
        <v>Уметь распознавать биологические объекты</v>
      </c>
      <c r="L13" s="1">
        <f>IFERROR(__xludf.DUMMYFUNCTION("""COMPUTED_VALUE"""),512.0)</f>
        <v>512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IFERROR(__xludf.DUMMYFUNCTION("""COMPUTED_VALUE"""),"Экологические группы грибов")</f>
        <v>Экологические группы грибов</v>
      </c>
      <c r="B14" s="1">
        <f>IFERROR(__xludf.DUMMYFUNCTION("""COMPUTED_VALUE"""),13.0)</f>
        <v>13</v>
      </c>
      <c r="C14" s="1" t="str">
        <f>IFERROR(__xludf.DUMMYFUNCTION("""COMPUTED_VALUE"""),"Плоские черви, общая характеристика")</f>
        <v>Плоские черви, общая характеристика</v>
      </c>
      <c r="D14" s="1">
        <f>IFERROR(__xludf.DUMMYFUNCTION("""COMPUTED_VALUE"""),113.0)</f>
        <v>113</v>
      </c>
      <c r="E14" s="1" t="str">
        <f>IFERROR(__xludf.DUMMYFUNCTION("""COMPUTED_VALUE"""),"Строение сустава")</f>
        <v>Строение сустава</v>
      </c>
      <c r="F14" s="1">
        <f>IFERROR(__xludf.DUMMYFUNCTION("""COMPUTED_VALUE"""),213.0)</f>
        <v>213</v>
      </c>
      <c r="G14" s="1" t="str">
        <f>IFERROR(__xludf.DUMMYFUNCTION("""COMPUTED_VALUE"""),"Рибосома")</f>
        <v>Рибосома</v>
      </c>
      <c r="H14" s="1">
        <f>IFERROR(__xludf.DUMMYFUNCTION("""COMPUTED_VALUE"""),313.0)</f>
        <v>313</v>
      </c>
      <c r="I14" s="1" t="str">
        <f>IFERROR(__xludf.DUMMYFUNCTION("""COMPUTED_VALUE"""),"Круговорот азота")</f>
        <v>Круговорот азота</v>
      </c>
      <c r="J14" s="1">
        <f>IFERROR(__xludf.DUMMYFUNCTION("""COMPUTED_VALUE"""),413.0)</f>
        <v>413</v>
      </c>
      <c r="K14" s="1" t="str">
        <f>IFERROR(__xludf.DUMMYFUNCTION("""COMPUTED_VALUE"""),"Ориентироваться в жизненных циклах растений")</f>
        <v>Ориентироваться в жизненных циклах растений</v>
      </c>
      <c r="L14" s="1">
        <f>IFERROR(__xludf.DUMMYFUNCTION("""COMPUTED_VALUE"""),513.0)</f>
        <v>513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IFERROR(__xludf.DUMMYFUNCTION("""COMPUTED_VALUE"""),"Лишайники")</f>
        <v>Лишайники</v>
      </c>
      <c r="B15" s="1">
        <f>IFERROR(__xludf.DUMMYFUNCTION("""COMPUTED_VALUE"""),14.0)</f>
        <v>14</v>
      </c>
      <c r="C15" s="1" t="str">
        <f>IFERROR(__xludf.DUMMYFUNCTION("""COMPUTED_VALUE"""),"Планария (строение)")</f>
        <v>Планария (строение)</v>
      </c>
      <c r="D15" s="1">
        <f>IFERROR(__xludf.DUMMYFUNCTION("""COMPUTED_VALUE"""),114.0)</f>
        <v>114</v>
      </c>
      <c r="E15" s="1" t="str">
        <f>IFERROR(__xludf.DUMMYFUNCTION("""COMPUTED_VALUE"""),"Отделы скелета человека")</f>
        <v>Отделы скелета человека</v>
      </c>
      <c r="F15" s="1">
        <f>IFERROR(__xludf.DUMMYFUNCTION("""COMPUTED_VALUE"""),214.0)</f>
        <v>214</v>
      </c>
      <c r="G15" s="1" t="str">
        <f>IFERROR(__xludf.DUMMYFUNCTION("""COMPUTED_VALUE"""),"Эндоплазматическая сеть")</f>
        <v>Эндоплазматическая сеть</v>
      </c>
      <c r="H15" s="1">
        <f>IFERROR(__xludf.DUMMYFUNCTION("""COMPUTED_VALUE"""),314.0)</f>
        <v>314</v>
      </c>
      <c r="I15" s="1" t="str">
        <f>IFERROR(__xludf.DUMMYFUNCTION("""COMPUTED_VALUE"""),"Круговорот воды")</f>
        <v>Круговорот воды</v>
      </c>
      <c r="J15" s="1">
        <f>IFERROR(__xludf.DUMMYFUNCTION("""COMPUTED_VALUE"""),414.0)</f>
        <v>414</v>
      </c>
      <c r="K15" s="1" t="str">
        <f>IFERROR(__xludf.DUMMYFUNCTION("""COMPUTED_VALUE"""),"Уметь решать задачи на биосинтез белка")</f>
        <v>Уметь решать задачи на биосинтез белка</v>
      </c>
      <c r="L15" s="1">
        <f>IFERROR(__xludf.DUMMYFUNCTION("""COMPUTED_VALUE"""),514.0)</f>
        <v>514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IFERROR(__xludf.DUMMYFUNCTION("""COMPUTED_VALUE"""),"Значение лишайников")</f>
        <v>Значение лишайников</v>
      </c>
      <c r="B16" s="1">
        <f>IFERROR(__xludf.DUMMYFUNCTION("""COMPUTED_VALUE"""),15.0)</f>
        <v>15</v>
      </c>
      <c r="C16" s="1" t="str">
        <f>IFERROR(__xludf.DUMMYFUNCTION("""COMPUTED_VALUE"""),"Сосальщик (особенности и жизненный цикл)")</f>
        <v>Сосальщик (особенности и жизненный цикл)</v>
      </c>
      <c r="D16" s="1">
        <f>IFERROR(__xludf.DUMMYFUNCTION("""COMPUTED_VALUE"""),115.0)</f>
        <v>115</v>
      </c>
      <c r="E16" s="1" t="str">
        <f>IFERROR(__xludf.DUMMYFUNCTION("""COMPUTED_VALUE"""),"Строение черепа")</f>
        <v>Строение черепа</v>
      </c>
      <c r="F16" s="1">
        <f>IFERROR(__xludf.DUMMYFUNCTION("""COMPUTED_VALUE"""),215.0)</f>
        <v>215</v>
      </c>
      <c r="G16" s="1" t="str">
        <f>IFERROR(__xludf.DUMMYFUNCTION("""COMPUTED_VALUE"""),"Лизосома")</f>
        <v>Лизосома</v>
      </c>
      <c r="H16" s="1">
        <f>IFERROR(__xludf.DUMMYFUNCTION("""COMPUTED_VALUE"""),315.0)</f>
        <v>315</v>
      </c>
      <c r="I16" s="1" t="str">
        <f>IFERROR(__xludf.DUMMYFUNCTION("""COMPUTED_VALUE"""),"Глобальное потепление")</f>
        <v>Глобальное потепление</v>
      </c>
      <c r="J16" s="1">
        <f>IFERROR(__xludf.DUMMYFUNCTION("""COMPUTED_VALUE"""),415.0)</f>
        <v>415</v>
      </c>
      <c r="K16" s="1" t="str">
        <f>IFERROR(__xludf.DUMMYFUNCTION("""COMPUTED_VALUE"""),"Ориентироваться в современных методах биологии")</f>
        <v>Ориентироваться в современных методах биологии</v>
      </c>
      <c r="L16" s="1">
        <f>IFERROR(__xludf.DUMMYFUNCTION("""COMPUTED_VALUE"""),515.0)</f>
        <v>515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IFERROR(__xludf.DUMMYFUNCTION("""COMPUTED_VALUE"""),"Спорынья и Головня")</f>
        <v>Спорынья и Головня</v>
      </c>
      <c r="B17" s="1">
        <f>IFERROR(__xludf.DUMMYFUNCTION("""COMPUTED_VALUE"""),16.0)</f>
        <v>16</v>
      </c>
      <c r="C17" s="1" t="str">
        <f>IFERROR(__xludf.DUMMYFUNCTION("""COMPUTED_VALUE"""),"Ленточные черви (особенности и жизненный цикл)")</f>
        <v>Ленточные черви (особенности и жизненный цикл)</v>
      </c>
      <c r="D17" s="1">
        <f>IFERROR(__xludf.DUMMYFUNCTION("""COMPUTED_VALUE"""),116.0)</f>
        <v>116</v>
      </c>
      <c r="E17" s="1" t="str">
        <f>IFERROR(__xludf.DUMMYFUNCTION("""COMPUTED_VALUE"""),"Нарушение осанки, плоскостопие, роднички")</f>
        <v>Нарушение осанки, плоскостопие, роднички</v>
      </c>
      <c r="F17" s="1">
        <f>IFERROR(__xludf.DUMMYFUNCTION("""COMPUTED_VALUE"""),216.0)</f>
        <v>216</v>
      </c>
      <c r="G17" s="1" t="str">
        <f>IFERROR(__xludf.DUMMYFUNCTION("""COMPUTED_VALUE"""),"Пероксисома")</f>
        <v>Пероксисома</v>
      </c>
      <c r="H17" s="1">
        <f>IFERROR(__xludf.DUMMYFUNCTION("""COMPUTED_VALUE"""),316.0)</f>
        <v>316</v>
      </c>
      <c r="I17" s="1" t="str">
        <f>IFERROR(__xludf.DUMMYFUNCTION("""COMPUTED_VALUE"""),"Озоновые дыры")</f>
        <v>Озоновые дыры</v>
      </c>
      <c r="J17" s="1">
        <f>IFERROR(__xludf.DUMMYFUNCTION("""COMPUTED_VALUE"""),416.0)</f>
        <v>416</v>
      </c>
      <c r="K17" s="1" t="str">
        <f>IFERROR(__xludf.DUMMYFUNCTION("""COMPUTED_VALUE"""),"Ориентироваться в экологических проблемах")</f>
        <v>Ориентироваться в экологических проблемах</v>
      </c>
      <c r="L17" s="1">
        <f>IFERROR(__xludf.DUMMYFUNCTION("""COMPUTED_VALUE"""),516.0)</f>
        <v>516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IFERROR(__xludf.DUMMYFUNCTION("""COMPUTED_VALUE"""),"Базидиомицеты")</f>
        <v>Базидиомицеты</v>
      </c>
      <c r="B18" s="1">
        <f>IFERROR(__xludf.DUMMYFUNCTION("""COMPUTED_VALUE"""),17.0)</f>
        <v>17</v>
      </c>
      <c r="C18" s="1" t="str">
        <f>IFERROR(__xludf.DUMMYFUNCTION("""COMPUTED_VALUE"""),"Круглые черви, общая характеристика")</f>
        <v>Круглые черви, общая характеристика</v>
      </c>
      <c r="D18" s="1">
        <f>IFERROR(__xludf.DUMMYFUNCTION("""COMPUTED_VALUE"""),117.0)</f>
        <v>117</v>
      </c>
      <c r="E18" s="1" t="str">
        <f>IFERROR(__xludf.DUMMYFUNCTION("""COMPUTED_VALUE"""),"Травмы")</f>
        <v>Травмы</v>
      </c>
      <c r="F18" s="1">
        <f>IFERROR(__xludf.DUMMYFUNCTION("""COMPUTED_VALUE"""),217.0)</f>
        <v>217</v>
      </c>
      <c r="G18" s="1" t="str">
        <f>IFERROR(__xludf.DUMMYFUNCTION("""COMPUTED_VALUE"""),"Вакуоль")</f>
        <v>Вакуоль</v>
      </c>
      <c r="H18" s="1">
        <f>IFERROR(__xludf.DUMMYFUNCTION("""COMPUTED_VALUE"""),317.0)</f>
        <v>317</v>
      </c>
      <c r="I18" s="1" t="str">
        <f>IFERROR(__xludf.DUMMYFUNCTION("""COMPUTED_VALUE"""),"Смог ")</f>
        <v>Смог </v>
      </c>
      <c r="J18" s="1">
        <f>IFERROR(__xludf.DUMMYFUNCTION("""COMPUTED_VALUE"""),417.0)</f>
        <v>417</v>
      </c>
      <c r="K18" s="1" t="str">
        <f>IFERROR(__xludf.DUMMYFUNCTION("""COMPUTED_VALUE"""),"Описывать и объяснять
результаты эксперимента
и данные таблицы")</f>
        <v>Описывать и объяснять
результаты эксперимента
и данные таблицы</v>
      </c>
      <c r="L18" s="1">
        <f>IFERROR(__xludf.DUMMYFUNCTION("""COMPUTED_VALUE"""),517.0)</f>
        <v>517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IFERROR(__xludf.DUMMYFUNCTION("""COMPUTED_VALUE"""),"Трубчатые и пластинчатые грибы")</f>
        <v>Трубчатые и пластинчатые грибы</v>
      </c>
      <c r="B19" s="1">
        <f>IFERROR(__xludf.DUMMYFUNCTION("""COMPUTED_VALUE"""),18.0)</f>
        <v>18</v>
      </c>
      <c r="C19" s="1" t="str">
        <f>IFERROR(__xludf.DUMMYFUNCTION("""COMPUTED_VALUE"""),"Жизненный цикл аскариды")</f>
        <v>Жизненный цикл аскариды</v>
      </c>
      <c r="D19" s="1">
        <f>IFERROR(__xludf.DUMMYFUNCTION("""COMPUTED_VALUE"""),118.0)</f>
        <v>118</v>
      </c>
      <c r="E19" s="1" t="str">
        <f>IFERROR(__xludf.DUMMYFUNCTION("""COMPUTED_VALUE"""),"Строение мышцы")</f>
        <v>Строение мышцы</v>
      </c>
      <c r="F19" s="1">
        <f>IFERROR(__xludf.DUMMYFUNCTION("""COMPUTED_VALUE"""),218.0)</f>
        <v>218</v>
      </c>
      <c r="G19" s="1" t="str">
        <f>IFERROR(__xludf.DUMMYFUNCTION("""COMPUTED_VALUE"""),"Аппарат Гольджи")</f>
        <v>Аппарат Гольджи</v>
      </c>
      <c r="H19" s="1">
        <f>IFERROR(__xludf.DUMMYFUNCTION("""COMPUTED_VALUE"""),318.0)</f>
        <v>318</v>
      </c>
      <c r="I19" s="1" t="str">
        <f>IFERROR(__xludf.DUMMYFUNCTION("""COMPUTED_VALUE"""),"Парниковый эффект")</f>
        <v>Парниковый эффект</v>
      </c>
      <c r="J19" s="1">
        <f>IFERROR(__xludf.DUMMYFUNCTION("""COMPUTED_VALUE"""),418.0)</f>
        <v>418</v>
      </c>
      <c r="K19" s="1" t="str">
        <f>IFERROR(__xludf.DUMMYFUNCTION("""COMPUTED_VALUE"""),"Проводить самостоятельный поиск биологической информации")</f>
        <v>Проводить самостоятельный поиск биологической информации</v>
      </c>
      <c r="L19" s="1">
        <f>IFERROR(__xludf.DUMMYFUNCTION("""COMPUTED_VALUE"""),518.0)</f>
        <v>518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IFERROR(__xludf.DUMMYFUNCTION("""COMPUTED_VALUE"""),"Значение грибов")</f>
        <v>Значение грибов</v>
      </c>
      <c r="B20" s="1">
        <f>IFERROR(__xludf.DUMMYFUNCTION("""COMPUTED_VALUE"""),19.0)</f>
        <v>19</v>
      </c>
      <c r="C20" s="1" t="str">
        <f>IFERROR(__xludf.DUMMYFUNCTION("""COMPUTED_VALUE"""),"Кольчатые черви")</f>
        <v>Кольчатые черви</v>
      </c>
      <c r="D20" s="1">
        <f>IFERROR(__xludf.DUMMYFUNCTION("""COMPUTED_VALUE"""),119.0)</f>
        <v>119</v>
      </c>
      <c r="E20" s="1" t="str">
        <f>IFERROR(__xludf.DUMMYFUNCTION("""COMPUTED_VALUE"""),"Основные мышцы человека")</f>
        <v>Основные мышцы человека</v>
      </c>
      <c r="F20" s="1">
        <f>IFERROR(__xludf.DUMMYFUNCTION("""COMPUTED_VALUE"""),219.0)</f>
        <v>219</v>
      </c>
      <c r="G20" s="1" t="str">
        <f>IFERROR(__xludf.DUMMYFUNCTION("""COMPUTED_VALUE"""),"Хлоропласты и пластиды")</f>
        <v>Хлоропласты и пластиды</v>
      </c>
      <c r="H20" s="1">
        <f>IFERROR(__xludf.DUMMYFUNCTION("""COMPUTED_VALUE"""),319.0)</f>
        <v>319</v>
      </c>
      <c r="I20" s="1" t="str">
        <f>IFERROR(__xludf.DUMMYFUNCTION("""COMPUTED_VALUE"""),"Эрозия и опустынивание")</f>
        <v>Эрозия и опустынивание</v>
      </c>
      <c r="J20" s="1">
        <f>IFERROR(__xludf.DUMMYFUNCTION("""COMPUTED_VALUE"""),419.0)</f>
        <v>419</v>
      </c>
      <c r="K20" s="1" t="str">
        <f>IFERROR(__xludf.DUMMYFUNCTION("""COMPUTED_VALUE"""),"Уметь выявлять лишнюю информацию")</f>
        <v>Уметь выявлять лишнюю информацию</v>
      </c>
      <c r="L20" s="1">
        <f>IFERROR(__xludf.DUMMYFUNCTION("""COMPUTED_VALUE"""),519.0)</f>
        <v>519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IFERROR(__xludf.DUMMYFUNCTION("""COMPUTED_VALUE"""),"Систематика растений")</f>
        <v>Систематика растений</v>
      </c>
      <c r="B21" s="1">
        <f>IFERROR(__xludf.DUMMYFUNCTION("""COMPUTED_VALUE"""),20.0)</f>
        <v>20</v>
      </c>
      <c r="C21" s="1" t="str">
        <f>IFERROR(__xludf.DUMMYFUNCTION("""COMPUTED_VALUE"""),"Строение дождевого червя")</f>
        <v>Строение дождевого червя</v>
      </c>
      <c r="D21" s="1">
        <f>IFERROR(__xludf.DUMMYFUNCTION("""COMPUTED_VALUE"""),120.0)</f>
        <v>120</v>
      </c>
      <c r="E21" s="1" t="str">
        <f>IFERROR(__xludf.DUMMYFUNCTION("""COMPUTED_VALUE"""),"Лимфатическая система, лимфа")</f>
        <v>Лимфатическая система, лимфа</v>
      </c>
      <c r="F21" s="1">
        <f>IFERROR(__xludf.DUMMYFUNCTION("""COMPUTED_VALUE"""),220.0)</f>
        <v>220</v>
      </c>
      <c r="G21" s="1" t="str">
        <f>IFERROR(__xludf.DUMMYFUNCTION("""COMPUTED_VALUE"""),"Митохондрии")</f>
        <v>Митохондрии</v>
      </c>
      <c r="H21" s="1">
        <f>IFERROR(__xludf.DUMMYFUNCTION("""COMPUTED_VALUE"""),320.0)</f>
        <v>320</v>
      </c>
      <c r="I21" s="1" t="str">
        <f>IFERROR(__xludf.DUMMYFUNCTION("""COMPUTED_VALUE"""),"Загрязняющие вещества")</f>
        <v>Загрязняющие вещества</v>
      </c>
      <c r="J21" s="1">
        <f>IFERROR(__xludf.DUMMYFUNCTION("""COMPUTED_VALUE"""),420.0)</f>
        <v>420</v>
      </c>
      <c r="K21" s="1" t="str">
        <f>IFERROR(__xludf.DUMMYFUNCTION("""COMPUTED_VALUE"""),"Анализировать текстовую информацию")</f>
        <v>Анализировать текстовую информацию</v>
      </c>
      <c r="L21" s="1">
        <f>IFERROR(__xludf.DUMMYFUNCTION("""COMPUTED_VALUE"""),520.0)</f>
        <v>520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IFERROR(__xludf.DUMMYFUNCTION("""COMPUTED_VALUE"""),"Зеленые водоросли")</f>
        <v>Зеленые водоросли</v>
      </c>
      <c r="B22" s="1">
        <f>IFERROR(__xludf.DUMMYFUNCTION("""COMPUTED_VALUE"""),21.0)</f>
        <v>21</v>
      </c>
      <c r="C22" s="1" t="str">
        <f>IFERROR(__xludf.DUMMYFUNCTION("""COMPUTED_VALUE"""),"Полихеты, нереисы")</f>
        <v>Полихеты, нереисы</v>
      </c>
      <c r="D22" s="1">
        <f>IFERROR(__xludf.DUMMYFUNCTION("""COMPUTED_VALUE"""),121.0)</f>
        <v>121</v>
      </c>
      <c r="E22" s="1" t="str">
        <f>IFERROR(__xludf.DUMMYFUNCTION("""COMPUTED_VALUE"""),"Состав и функции крови")</f>
        <v>Состав и функции крови</v>
      </c>
      <c r="F22" s="1">
        <f>IFERROR(__xludf.DUMMYFUNCTION("""COMPUTED_VALUE"""),221.0)</f>
        <v>221</v>
      </c>
      <c r="G22" s="1" t="str">
        <f>IFERROR(__xludf.DUMMYFUNCTION("""COMPUTED_VALUE"""),"Другие клеточные структуры")</f>
        <v>Другие клеточные структуры</v>
      </c>
      <c r="H22" s="1">
        <f>IFERROR(__xludf.DUMMYFUNCTION("""COMPUTED_VALUE"""),321.0)</f>
        <v>321</v>
      </c>
      <c r="I22" s="1" t="str">
        <f>IFERROR(__xludf.DUMMYFUNCTION("""COMPUTED_VALUE"""),"Селекция")</f>
        <v>Селекция</v>
      </c>
      <c r="J22" s="1">
        <f>IFERROR(__xludf.DUMMYFUNCTION("""COMPUTED_VALUE"""),421.0)</f>
        <v>421</v>
      </c>
      <c r="K22" s="1" t="str">
        <f>IFERROR(__xludf.DUMMYFUNCTION("""COMPUTED_VALUE"""),"Уметь объяснять биологические закономерности")</f>
        <v>Уметь объяснять биологические закономерности</v>
      </c>
      <c r="L22" s="1">
        <f>IFERROR(__xludf.DUMMYFUNCTION("""COMPUTED_VALUE"""),521.0)</f>
        <v>521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IFERROR(__xludf.DUMMYFUNCTION("""COMPUTED_VALUE"""),"Строение хламидомонады")</f>
        <v>Строение хламидомонады</v>
      </c>
      <c r="B23" s="1">
        <f>IFERROR(__xludf.DUMMYFUNCTION("""COMPUTED_VALUE"""),22.0)</f>
        <v>22</v>
      </c>
      <c r="C23" s="1" t="str">
        <f>IFERROR(__xludf.DUMMYFUNCTION("""COMPUTED_VALUE"""),"Пиявки")</f>
        <v>Пиявки</v>
      </c>
      <c r="D23" s="1">
        <f>IFERROR(__xludf.DUMMYFUNCTION("""COMPUTED_VALUE"""),122.0)</f>
        <v>122</v>
      </c>
      <c r="E23" s="1" t="str">
        <f>IFERROR(__xludf.DUMMYFUNCTION("""COMPUTED_VALUE"""),"Виды клеток крови")</f>
        <v>Виды клеток крови</v>
      </c>
      <c r="F23" s="1">
        <f>IFERROR(__xludf.DUMMYFUNCTION("""COMPUTED_VALUE"""),222.0)</f>
        <v>222</v>
      </c>
      <c r="G23" s="1" t="str">
        <f>IFERROR(__xludf.DUMMYFUNCTION("""COMPUTED_VALUE"""),"Фаго- и пиноцитоз")</f>
        <v>Фаго- и пиноцитоз</v>
      </c>
      <c r="H23" s="1">
        <f>IFERROR(__xludf.DUMMYFUNCTION("""COMPUTED_VALUE"""),322.0)</f>
        <v>322</v>
      </c>
      <c r="I23" s="1" t="str">
        <f>IFERROR(__xludf.DUMMYFUNCTION("""COMPUTED_VALUE"""),"Инбридинг и аутбридинг")</f>
        <v>Инбридинг и аутбридинг</v>
      </c>
      <c r="J23" s="1">
        <f>IFERROR(__xludf.DUMMYFUNCTION("""COMPUTED_VALUE"""),422.0)</f>
        <v>422</v>
      </c>
      <c r="K23" s="1" t="str">
        <f>IFERROR(__xludf.DUMMYFUNCTION("""COMPUTED_VALUE"""),"Знать представителей живой природы")</f>
        <v>Знать представителей живой природы</v>
      </c>
      <c r="L23" s="1">
        <f>IFERROR(__xludf.DUMMYFUNCTION("""COMPUTED_VALUE"""),522.0)</f>
        <v>522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IFERROR(__xludf.DUMMYFUNCTION("""COMPUTED_VALUE"""),"Жизненный цикл хламидомонады")</f>
        <v>Жизненный цикл хламидомонады</v>
      </c>
      <c r="B24" s="1">
        <f>IFERROR(__xludf.DUMMYFUNCTION("""COMPUTED_VALUE"""),23.0)</f>
        <v>23</v>
      </c>
      <c r="C24" s="1" t="str">
        <f>IFERROR(__xludf.DUMMYFUNCTION("""COMPUTED_VALUE"""),"Моллюски (общая характеристика)")</f>
        <v>Моллюски (общая характеристика)</v>
      </c>
      <c r="D24" s="1">
        <f>IFERROR(__xludf.DUMMYFUNCTION("""COMPUTED_VALUE"""),123.0)</f>
        <v>123</v>
      </c>
      <c r="E24" s="1" t="str">
        <f>IFERROR(__xludf.DUMMYFUNCTION("""COMPUTED_VALUE"""),"Иммунитет")</f>
        <v>Иммунитет</v>
      </c>
      <c r="F24" s="1">
        <f>IFERROR(__xludf.DUMMYFUNCTION("""COMPUTED_VALUE"""),223.0)</f>
        <v>223</v>
      </c>
      <c r="G24" s="1" t="str">
        <f>IFERROR(__xludf.DUMMYFUNCTION("""COMPUTED_VALUE"""),"Отличия клеток разных царств")</f>
        <v>Отличия клеток разных царств</v>
      </c>
      <c r="H24" s="1">
        <f>IFERROR(__xludf.DUMMYFUNCTION("""COMPUTED_VALUE"""),323.0)</f>
        <v>323</v>
      </c>
      <c r="I24" s="1" t="str">
        <f>IFERROR(__xludf.DUMMYFUNCTION("""COMPUTED_VALUE"""),"Искусственный отбор")</f>
        <v>Искусственный отбор</v>
      </c>
      <c r="J24" s="1">
        <f>IFERROR(__xludf.DUMMYFUNCTION("""COMPUTED_VALUE"""),423.0)</f>
        <v>423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IFERROR(__xludf.DUMMYFUNCTION("""COMPUTED_VALUE"""),"Хлорелла")</f>
        <v>Хлорелла</v>
      </c>
      <c r="B25" s="1">
        <f>IFERROR(__xludf.DUMMYFUNCTION("""COMPUTED_VALUE"""),24.0)</f>
        <v>24</v>
      </c>
      <c r="C25" s="1" t="str">
        <f>IFERROR(__xludf.DUMMYFUNCTION("""COMPUTED_VALUE"""),"Брюхоногие")</f>
        <v>Брюхоногие</v>
      </c>
      <c r="D25" s="1">
        <f>IFERROR(__xludf.DUMMYFUNCTION("""COMPUTED_VALUE"""),124.0)</f>
        <v>124</v>
      </c>
      <c r="E25" s="1" t="str">
        <f>IFERROR(__xludf.DUMMYFUNCTION("""COMPUTED_VALUE"""),"Лечебная сыворотка и вакцина")</f>
        <v>Лечебная сыворотка и вакцина</v>
      </c>
      <c r="F25" s="1">
        <f>IFERROR(__xludf.DUMMYFUNCTION("""COMPUTED_VALUE"""),224.0)</f>
        <v>224</v>
      </c>
      <c r="G25" s="1" t="str">
        <f>IFERROR(__xludf.DUMMYFUNCTION("""COMPUTED_VALUE"""),"Микро и макроэлементы")</f>
        <v>Микро и макроэлементы</v>
      </c>
      <c r="H25" s="1">
        <f>IFERROR(__xludf.DUMMYFUNCTION("""COMPUTED_VALUE"""),324.0)</f>
        <v>324</v>
      </c>
      <c r="I25" s="1" t="str">
        <f>IFERROR(__xludf.DUMMYFUNCTION("""COMPUTED_VALUE"""),"Преодоление стерильности")</f>
        <v>Преодоление стерильности</v>
      </c>
      <c r="J25" s="1">
        <f>IFERROR(__xludf.DUMMYFUNCTION("""COMPUTED_VALUE"""),424.0)</f>
        <v>424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IFERROR(__xludf.DUMMYFUNCTION("""COMPUTED_VALUE"""),"Спирогира и улотрикс")</f>
        <v>Спирогира и улотрикс</v>
      </c>
      <c r="B26" s="1">
        <f>IFERROR(__xludf.DUMMYFUNCTION("""COMPUTED_VALUE"""),25.0)</f>
        <v>25</v>
      </c>
      <c r="C26" s="1" t="str">
        <f>IFERROR(__xludf.DUMMYFUNCTION("""COMPUTED_VALUE"""),"Двустворчатые")</f>
        <v>Двустворчатые</v>
      </c>
      <c r="D26" s="1">
        <f>IFERROR(__xludf.DUMMYFUNCTION("""COMPUTED_VALUE"""),125.0)</f>
        <v>125</v>
      </c>
      <c r="E26" s="1" t="str">
        <f>IFERROR(__xludf.DUMMYFUNCTION("""COMPUTED_VALUE"""),"Свертываемость крови")</f>
        <v>Свертываемость крови</v>
      </c>
      <c r="F26" s="1">
        <f>IFERROR(__xludf.DUMMYFUNCTION("""COMPUTED_VALUE"""),225.0)</f>
        <v>225</v>
      </c>
      <c r="G26" s="1" t="str">
        <f>IFERROR(__xludf.DUMMYFUNCTION("""COMPUTED_VALUE"""),"Свойства воды")</f>
        <v>Свойства воды</v>
      </c>
      <c r="H26" s="1">
        <f>IFERROR(__xludf.DUMMYFUNCTION("""COMPUTED_VALUE"""),325.0)</f>
        <v>325</v>
      </c>
      <c r="I26" s="1" t="str">
        <f>IFERROR(__xludf.DUMMYFUNCTION("""COMPUTED_VALUE"""),"Центры происхождения культурных растений")</f>
        <v>Центры происхождения культурных растений</v>
      </c>
      <c r="J26" s="1">
        <f>IFERROR(__xludf.DUMMYFUNCTION("""COMPUTED_VALUE"""),425.0)</f>
        <v>425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 Красные водоросли")</f>
        <v> Красные водоросли</v>
      </c>
      <c r="B27" s="1">
        <f>IFERROR(__xludf.DUMMYFUNCTION("""COMPUTED_VALUE"""),26.0)</f>
        <v>26</v>
      </c>
      <c r="C27" s="1" t="str">
        <f>IFERROR(__xludf.DUMMYFUNCTION("""COMPUTED_VALUE"""),"Головоногие")</f>
        <v>Головоногие</v>
      </c>
      <c r="D27" s="1">
        <f>IFERROR(__xludf.DUMMYFUNCTION("""COMPUTED_VALUE"""),126.0)</f>
        <v>126</v>
      </c>
      <c r="E27" s="1" t="str">
        <f>IFERROR(__xludf.DUMMYFUNCTION("""COMPUTED_VALUE"""),"Группы крови")</f>
        <v>Группы крови</v>
      </c>
      <c r="F27" s="1">
        <f>IFERROR(__xludf.DUMMYFUNCTION("""COMPUTED_VALUE"""),226.0)</f>
        <v>226</v>
      </c>
      <c r="G27" s="1" t="str">
        <f>IFERROR(__xludf.DUMMYFUNCTION("""COMPUTED_VALUE"""),"Углеводы")</f>
        <v>Углеводы</v>
      </c>
      <c r="H27" s="1">
        <f>IFERROR(__xludf.DUMMYFUNCTION("""COMPUTED_VALUE"""),326.0)</f>
        <v>326</v>
      </c>
      <c r="I27" s="1" t="str">
        <f>IFERROR(__xludf.DUMMYFUNCTION("""COMPUTED_VALUE"""),"Закон гомологических рядов наследственной изменчивости")</f>
        <v>Закон гомологических рядов наследственной изменчивости</v>
      </c>
      <c r="J27" s="1">
        <f>IFERROR(__xludf.DUMMYFUNCTION("""COMPUTED_VALUE"""),426.0)</f>
        <v>426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IFERROR(__xludf.DUMMYFUNCTION("""COMPUTED_VALUE"""),"Бурые водоросли")</f>
        <v>Бурые водоросли</v>
      </c>
      <c r="B28" s="1">
        <f>IFERROR(__xludf.DUMMYFUNCTION("""COMPUTED_VALUE"""),27.0)</f>
        <v>27</v>
      </c>
      <c r="C28" s="1" t="str">
        <f>IFERROR(__xludf.DUMMYFUNCTION("""COMPUTED_VALUE"""),"Значение моллюсков")</f>
        <v>Значение моллюсков</v>
      </c>
      <c r="D28" s="1">
        <f>IFERROR(__xludf.DUMMYFUNCTION("""COMPUTED_VALUE"""),127.0)</f>
        <v>127</v>
      </c>
      <c r="E28" s="1" t="str">
        <f>IFERROR(__xludf.DUMMYFUNCTION("""COMPUTED_VALUE"""),"Виды кровеносных сосудов")</f>
        <v>Виды кровеносных сосудов</v>
      </c>
      <c r="F28" s="1">
        <f>IFERROR(__xludf.DUMMYFUNCTION("""COMPUTED_VALUE"""),227.0)</f>
        <v>227</v>
      </c>
      <c r="G28" s="1" t="str">
        <f>IFERROR(__xludf.DUMMYFUNCTION("""COMPUTED_VALUE"""),"Липиды и жиры")</f>
        <v>Липиды и жиры</v>
      </c>
      <c r="H28" s="1">
        <f>IFERROR(__xludf.DUMMYFUNCTION("""COMPUTED_VALUE"""),327.0)</f>
        <v>327</v>
      </c>
      <c r="I28" s="1" t="str">
        <f>IFERROR(__xludf.DUMMYFUNCTION("""COMPUTED_VALUE"""),"Теория катастроф")</f>
        <v>Теория катастроф</v>
      </c>
      <c r="J28" s="1">
        <f>IFERROR(__xludf.DUMMYFUNCTION("""COMPUTED_VALUE"""),427.0)</f>
        <v>427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IFERROR(__xludf.DUMMYFUNCTION("""COMPUTED_VALUE"""),"Ламинария")</f>
        <v>Ламинария</v>
      </c>
      <c r="B29" s="1">
        <f>IFERROR(__xludf.DUMMYFUNCTION("""COMPUTED_VALUE"""),28.0)</f>
        <v>28</v>
      </c>
      <c r="C29" s="1" t="str">
        <f>IFERROR(__xludf.DUMMYFUNCTION("""COMPUTED_VALUE"""),"Членистоногие (общая характеристика)")</f>
        <v>Членистоногие (общая характеристика)</v>
      </c>
      <c r="D29" s="1">
        <f>IFERROR(__xludf.DUMMYFUNCTION("""COMPUTED_VALUE"""),128.0)</f>
        <v>128</v>
      </c>
      <c r="E29" s="1" t="str">
        <f>IFERROR(__xludf.DUMMYFUNCTION("""COMPUTED_VALUE"""),"Строение сердца")</f>
        <v>Строение сердца</v>
      </c>
      <c r="F29" s="1">
        <f>IFERROR(__xludf.DUMMYFUNCTION("""COMPUTED_VALUE"""),228.0)</f>
        <v>228</v>
      </c>
      <c r="G29" s="1" t="str">
        <f>IFERROR(__xludf.DUMMYFUNCTION("""COMPUTED_VALUE"""),"Строение мембраны")</f>
        <v>Строение мембраны</v>
      </c>
      <c r="H29" s="1">
        <f>IFERROR(__xludf.DUMMYFUNCTION("""COMPUTED_VALUE"""),328.0)</f>
        <v>328</v>
      </c>
      <c r="I29" s="1" t="str">
        <f>IFERROR(__xludf.DUMMYFUNCTION("""COMPUTED_VALUE"""),"Линней и его систематика")</f>
        <v>Линней и его систематика</v>
      </c>
      <c r="J29" s="1">
        <f>IFERROR(__xludf.DUMMYFUNCTION("""COMPUTED_VALUE"""),428.0)</f>
        <v>428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IFERROR(__xludf.DUMMYFUNCTION("""COMPUTED_VALUE"""),"Значение водорослей")</f>
        <v>Значение водорослей</v>
      </c>
      <c r="B30" s="1">
        <f>IFERROR(__xludf.DUMMYFUNCTION("""COMPUTED_VALUE"""),29.0)</f>
        <v>29</v>
      </c>
      <c r="C30" s="1" t="str">
        <f>IFERROR(__xludf.DUMMYFUNCTION("""COMPUTED_VALUE"""),"Трилобиты")</f>
        <v>Трилобиты</v>
      </c>
      <c r="D30" s="1">
        <f>IFERROR(__xludf.DUMMYFUNCTION("""COMPUTED_VALUE"""),129.0)</f>
        <v>129</v>
      </c>
      <c r="E30" s="1" t="str">
        <f>IFERROR(__xludf.DUMMYFUNCTION("""COMPUTED_VALUE"""),"Сердечный цикл")</f>
        <v>Сердечный цикл</v>
      </c>
      <c r="F30" s="1">
        <f>IFERROR(__xludf.DUMMYFUNCTION("""COMPUTED_VALUE"""),229.0)</f>
        <v>229</v>
      </c>
      <c r="G30" s="1" t="str">
        <f>IFERROR(__xludf.DUMMYFUNCTION("""COMPUTED_VALUE"""),"Белки и аминокислоты")</f>
        <v>Белки и аминокислоты</v>
      </c>
      <c r="H30" s="1">
        <f>IFERROR(__xludf.DUMMYFUNCTION("""COMPUTED_VALUE"""),329.0)</f>
        <v>329</v>
      </c>
      <c r="I30" s="1" t="str">
        <f>IFERROR(__xludf.DUMMYFUNCTION("""COMPUTED_VALUE"""),"Доказательства эволюции")</f>
        <v>Доказательства эволюции</v>
      </c>
      <c r="J30" s="1">
        <f>IFERROR(__xludf.DUMMYFUNCTION("""COMPUTED_VALUE"""),429.0)</f>
        <v>429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IFERROR(__xludf.DUMMYFUNCTION("""COMPUTED_VALUE"""),"Строение мха")</f>
        <v>Строение мха</v>
      </c>
      <c r="B31" s="1">
        <f>IFERROR(__xludf.DUMMYFUNCTION("""COMPUTED_VALUE"""),30.0)</f>
        <v>30</v>
      </c>
      <c r="C31" s="1" t="str">
        <f>IFERROR(__xludf.DUMMYFUNCTION("""COMPUTED_VALUE"""),"Внешнее строение ракообразных")</f>
        <v>Внешнее строение ракообразных</v>
      </c>
      <c r="D31" s="1">
        <f>IFERROR(__xludf.DUMMYFUNCTION("""COMPUTED_VALUE"""),130.0)</f>
        <v>130</v>
      </c>
      <c r="E31" s="1" t="str">
        <f>IFERROR(__xludf.DUMMYFUNCTION("""COMPUTED_VALUE"""),"Круги кровообращения")</f>
        <v>Круги кровообращения</v>
      </c>
      <c r="F31" s="1">
        <f>IFERROR(__xludf.DUMMYFUNCTION("""COMPUTED_VALUE"""),230.0)</f>
        <v>230</v>
      </c>
      <c r="G31" s="1" t="str">
        <f>IFERROR(__xludf.DUMMYFUNCTION("""COMPUTED_VALUE"""),"Ферменты, разнообразие белков")</f>
        <v>Ферменты, разнообразие белков</v>
      </c>
      <c r="H31" s="1">
        <f>IFERROR(__xludf.DUMMYFUNCTION("""COMPUTED_VALUE"""),330.0)</f>
        <v>330</v>
      </c>
      <c r="I31" s="1" t="str">
        <f>IFERROR(__xludf.DUMMYFUNCTION("""COMPUTED_VALUE"""),"Теория Ламарка")</f>
        <v>Теория Ламарка</v>
      </c>
      <c r="J31" s="1">
        <f>IFERROR(__xludf.DUMMYFUNCTION("""COMPUTED_VALUE"""),430.0)</f>
        <v>430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IFERROR(__xludf.DUMMYFUNCTION("""COMPUTED_VALUE"""),"Жизненный цикл мха")</f>
        <v>Жизненный цикл мха</v>
      </c>
      <c r="B32" s="1">
        <f>IFERROR(__xludf.DUMMYFUNCTION("""COMPUTED_VALUE"""),31.0)</f>
        <v>31</v>
      </c>
      <c r="C32" s="1" t="str">
        <f>IFERROR(__xludf.DUMMYFUNCTION("""COMPUTED_VALUE"""),"Внутреннее строение ракообразных")</f>
        <v>Внутреннее строение ракообразных</v>
      </c>
      <c r="D32" s="1">
        <f>IFERROR(__xludf.DUMMYFUNCTION("""COMPUTED_VALUE"""),131.0)</f>
        <v>131</v>
      </c>
      <c r="E32" s="1" t="str">
        <f>IFERROR(__xludf.DUMMYFUNCTION("""COMPUTED_VALUE"""),"Давление и скорость крови")</f>
        <v>Давление и скорость крови</v>
      </c>
      <c r="F32" s="1">
        <f>IFERROR(__xludf.DUMMYFUNCTION("""COMPUTED_VALUE"""),231.0)</f>
        <v>231</v>
      </c>
      <c r="G32" s="1" t="str">
        <f>IFERROR(__xludf.DUMMYFUNCTION("""COMPUTED_VALUE"""),"Строение нуклеотида и АТФ")</f>
        <v>Строение нуклеотида и АТФ</v>
      </c>
      <c r="H32" s="1">
        <f>IFERROR(__xludf.DUMMYFUNCTION("""COMPUTED_VALUE"""),331.0)</f>
        <v>331</v>
      </c>
      <c r="I32" s="1" t="str">
        <f>IFERROR(__xludf.DUMMYFUNCTION("""COMPUTED_VALUE"""),"Теория Дарвина")</f>
        <v>Теория Дарвина</v>
      </c>
      <c r="J32" s="1">
        <f>IFERROR(__xludf.DUMMYFUNCTION("""COMPUTED_VALUE"""),431.0)</f>
        <v>431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IFERROR(__xludf.DUMMYFUNCTION("""COMPUTED_VALUE"""),"Кукушкин лен (характеристика)")</f>
        <v>Кукушкин лен (характеристика)</v>
      </c>
      <c r="B33" s="1">
        <f>IFERROR(__xludf.DUMMYFUNCTION("""COMPUTED_VALUE"""),32.0)</f>
        <v>32</v>
      </c>
      <c r="C33" s="1" t="str">
        <f>IFERROR(__xludf.DUMMYFUNCTION("""COMPUTED_VALUE"""),"Разнообразие ракообразных (систематика)")</f>
        <v>Разнообразие ракообразных (систематика)</v>
      </c>
      <c r="D33" s="1">
        <f>IFERROR(__xludf.DUMMYFUNCTION("""COMPUTED_VALUE"""),132.0)</f>
        <v>132</v>
      </c>
      <c r="E33" s="1" t="str">
        <f>IFERROR(__xludf.DUMMYFUNCTION("""COMPUTED_VALUE"""),"Сердечно-сосудистые заболевания")</f>
        <v>Сердечно-сосудистые заболевания</v>
      </c>
      <c r="F33" s="1">
        <f>IFERROR(__xludf.DUMMYFUNCTION("""COMPUTED_VALUE"""),232.0)</f>
        <v>232</v>
      </c>
      <c r="G33" s="1" t="str">
        <f>IFERROR(__xludf.DUMMYFUNCTION("""COMPUTED_VALUE"""),"Строение ДНК, штрих концы")</f>
        <v>Строение ДНК, штрих концы</v>
      </c>
      <c r="H33" s="1">
        <f>IFERROR(__xludf.DUMMYFUNCTION("""COMPUTED_VALUE"""),332.0)</f>
        <v>332</v>
      </c>
      <c r="I33" s="1" t="str">
        <f>IFERROR(__xludf.DUMMYFUNCTION("""COMPUTED_VALUE"""),"Синтетическая теория эволюции")</f>
        <v>Синтетическая теория эволюции</v>
      </c>
      <c r="J33" s="1">
        <f>IFERROR(__xludf.DUMMYFUNCTION("""COMPUTED_VALUE"""),432.0)</f>
        <v>432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 Сфагнум (характеристика)")</f>
        <v> Сфагнум (характеристика)</v>
      </c>
      <c r="B34" s="1">
        <f>IFERROR(__xludf.DUMMYFUNCTION("""COMPUTED_VALUE"""),33.0)</f>
        <v>33</v>
      </c>
      <c r="C34" s="1" t="str">
        <f>IFERROR(__xludf.DUMMYFUNCTION("""COMPUTED_VALUE"""),"Паукообразные")</f>
        <v>Паукообразные</v>
      </c>
      <c r="D34" s="1">
        <f>IFERROR(__xludf.DUMMYFUNCTION("""COMPUTED_VALUE"""),133.0)</f>
        <v>133</v>
      </c>
      <c r="E34" s="1" t="str">
        <f>IFERROR(__xludf.DUMMYFUNCTION("""COMPUTED_VALUE"""),"Регуляция кровообращения (нервная, гуморальная)")</f>
        <v>Регуляция кровообращения (нервная, гуморальная)</v>
      </c>
      <c r="F34" s="1">
        <f>IFERROR(__xludf.DUMMYFUNCTION("""COMPUTED_VALUE"""),233.0)</f>
        <v>233</v>
      </c>
      <c r="G34" s="1" t="str">
        <f>IFERROR(__xludf.DUMMYFUNCTION("""COMPUTED_VALUE"""),"Комплементарность")</f>
        <v>Комплементарность</v>
      </c>
      <c r="H34" s="1">
        <f>IFERROR(__xludf.DUMMYFUNCTION("""COMPUTED_VALUE"""),333.0)</f>
        <v>333</v>
      </c>
      <c r="I34" s="1" t="str">
        <f>IFERROR(__xludf.DUMMYFUNCTION("""COMPUTED_VALUE"""),"Формы естественного отбора")</f>
        <v>Формы естественного отбора</v>
      </c>
      <c r="J34" s="1">
        <f>IFERROR(__xludf.DUMMYFUNCTION("""COMPUTED_VALUE"""),433.0)</f>
        <v>433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IFERROR(__xludf.DUMMYFUNCTION("""COMPUTED_VALUE"""),"Риниофиты")</f>
        <v>Риниофиты</v>
      </c>
      <c r="B35" s="1">
        <f>IFERROR(__xludf.DUMMYFUNCTION("""COMPUTED_VALUE"""),34.0)</f>
        <v>34</v>
      </c>
      <c r="C35" s="1" t="str">
        <f>IFERROR(__xludf.DUMMYFUNCTION("""COMPUTED_VALUE"""),"Внешнее строение паукообразных")</f>
        <v>Внешнее строение паукообразных</v>
      </c>
      <c r="D35" s="1">
        <f>IFERROR(__xludf.DUMMYFUNCTION("""COMPUTED_VALUE"""),134.0)</f>
        <v>134</v>
      </c>
      <c r="E35" s="1" t="str">
        <f>IFERROR(__xludf.DUMMYFUNCTION("""COMPUTED_VALUE"""),"Строение легких")</f>
        <v>Строение легких</v>
      </c>
      <c r="F35" s="1">
        <f>IFERROR(__xludf.DUMMYFUNCTION("""COMPUTED_VALUE"""),234.0)</f>
        <v>234</v>
      </c>
      <c r="G35" s="1" t="str">
        <f>IFERROR(__xludf.DUMMYFUNCTION("""COMPUTED_VALUE"""),"Количество хромосом")</f>
        <v>Количество хромосом</v>
      </c>
      <c r="H35" s="1">
        <f>IFERROR(__xludf.DUMMYFUNCTION("""COMPUTED_VALUE"""),334.0)</f>
        <v>334</v>
      </c>
      <c r="I35" s="1" t="str">
        <f>IFERROR(__xludf.DUMMYFUNCTION("""COMPUTED_VALUE"""),"Виды борьбы за существование")</f>
        <v>Виды борьбы за существование</v>
      </c>
      <c r="J35" s="1">
        <f>IFERROR(__xludf.DUMMYFUNCTION("""COMPUTED_VALUE"""),434.0)</f>
        <v>434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IFERROR(__xludf.DUMMYFUNCTION("""COMPUTED_VALUE"""),"Жизненный цикл споровых")</f>
        <v>Жизненный цикл споровых</v>
      </c>
      <c r="B36" s="1">
        <f>IFERROR(__xludf.DUMMYFUNCTION("""COMPUTED_VALUE"""),35.0)</f>
        <v>35</v>
      </c>
      <c r="C36" s="1" t="str">
        <f>IFERROR(__xludf.DUMMYFUNCTION("""COMPUTED_VALUE"""),"Внутреннее строение паукообразных")</f>
        <v>Внутреннее строение паукообразных</v>
      </c>
      <c r="D36" s="1">
        <f>IFERROR(__xludf.DUMMYFUNCTION("""COMPUTED_VALUE"""),135.0)</f>
        <v>135</v>
      </c>
      <c r="E36" s="1" t="str">
        <f>IFERROR(__xludf.DUMMYFUNCTION("""COMPUTED_VALUE"""),"Строение дыхательных путей")</f>
        <v>Строение дыхательных путей</v>
      </c>
      <c r="F36" s="1">
        <f>IFERROR(__xludf.DUMMYFUNCTION("""COMPUTED_VALUE"""),235.0)</f>
        <v>235</v>
      </c>
      <c r="G36" s="1" t="str">
        <f>IFERROR(__xludf.DUMMYFUNCTION("""COMPUTED_VALUE"""),"Виды РНК")</f>
        <v>Виды РНК</v>
      </c>
      <c r="H36" s="1">
        <f>IFERROR(__xludf.DUMMYFUNCTION("""COMPUTED_VALUE"""),335.0)</f>
        <v>335</v>
      </c>
      <c r="I36" s="1" t="str">
        <f>IFERROR(__xludf.DUMMYFUNCTION("""COMPUTED_VALUE"""),"Модификационная изменчивость")</f>
        <v>Модификационная изменчивость</v>
      </c>
      <c r="J36" s="1">
        <f>IFERROR(__xludf.DUMMYFUNCTION("""COMPUTED_VALUE"""),435.0)</f>
        <v>435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IFERROR(__xludf.DUMMYFUNCTION("""COMPUTED_VALUE"""),"Отдел плауновидные")</f>
        <v>Отдел плауновидные</v>
      </c>
      <c r="B37" s="1">
        <f>IFERROR(__xludf.DUMMYFUNCTION("""COMPUTED_VALUE"""),36.0)</f>
        <v>36</v>
      </c>
      <c r="C37" s="1" t="str">
        <f>IFERROR(__xludf.DUMMYFUNCTION("""COMPUTED_VALUE"""),"Разнообразие паукообразных")</f>
        <v>Разнообразие паукообразных</v>
      </c>
      <c r="D37" s="1">
        <f>IFERROR(__xludf.DUMMYFUNCTION("""COMPUTED_VALUE"""),136.0)</f>
        <v>136</v>
      </c>
      <c r="E37" s="1" t="str">
        <f>IFERROR(__xludf.DUMMYFUNCTION("""COMPUTED_VALUE"""),"Цикл вдоха и выдоха")</f>
        <v>Цикл вдоха и выдоха</v>
      </c>
      <c r="F37" s="1">
        <f>IFERROR(__xludf.DUMMYFUNCTION("""COMPUTED_VALUE"""),236.0)</f>
        <v>236</v>
      </c>
      <c r="G37" s="1" t="str">
        <f>IFERROR(__xludf.DUMMYFUNCTION("""COMPUTED_VALUE"""),"Репликая ДНК")</f>
        <v>Репликая ДНК</v>
      </c>
      <c r="H37" s="1">
        <f>IFERROR(__xludf.DUMMYFUNCTION("""COMPUTED_VALUE"""),336.0)</f>
        <v>336</v>
      </c>
      <c r="I37" s="1" t="str">
        <f>IFERROR(__xludf.DUMMYFUNCTION("""COMPUTED_VALUE"""),"Комбинативная изменчивость")</f>
        <v>Комбинативная изменчивость</v>
      </c>
      <c r="J37" s="1">
        <f>IFERROR(__xludf.DUMMYFUNCTION("""COMPUTED_VALUE"""),436.0)</f>
        <v>436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IFERROR(__xludf.DUMMYFUNCTION("""COMPUTED_VALUE"""),"Отдел хвощевидные")</f>
        <v>Отдел хвощевидные</v>
      </c>
      <c r="B38" s="1">
        <f>IFERROR(__xludf.DUMMYFUNCTION("""COMPUTED_VALUE"""),37.0)</f>
        <v>37</v>
      </c>
      <c r="C38" s="1" t="str">
        <f>IFERROR(__xludf.DUMMYFUNCTION("""COMPUTED_VALUE"""),"Паутина")</f>
        <v>Паутина</v>
      </c>
      <c r="D38" s="1">
        <f>IFERROR(__xludf.DUMMYFUNCTION("""COMPUTED_VALUE"""),137.0)</f>
        <v>137</v>
      </c>
      <c r="E38" s="1" t="str">
        <f>IFERROR(__xludf.DUMMYFUNCTION("""COMPUTED_VALUE"""),"Регуляция дыхания (нервная, гуморальная)")</f>
        <v>Регуляция дыхания (нервная, гуморальная)</v>
      </c>
      <c r="F38" s="1">
        <f>IFERROR(__xludf.DUMMYFUNCTION("""COMPUTED_VALUE"""),238.0)</f>
        <v>238</v>
      </c>
      <c r="G38" s="1" t="str">
        <f>IFERROR(__xludf.DUMMYFUNCTION("""COMPUTED_VALUE"""),"Транскрипция")</f>
        <v>Транскрипция</v>
      </c>
      <c r="H38" s="1">
        <f>IFERROR(__xludf.DUMMYFUNCTION("""COMPUTED_VALUE"""),337.0)</f>
        <v>337</v>
      </c>
      <c r="I38" s="1" t="str">
        <f>IFERROR(__xludf.DUMMYFUNCTION("""COMPUTED_VALUE"""),"Мутационная изменчивость")</f>
        <v>Мутационная изменчивость</v>
      </c>
      <c r="J38" s="1">
        <f>IFERROR(__xludf.DUMMYFUNCTION("""COMPUTED_VALUE"""),437.0)</f>
        <v>437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IFERROR(__xludf.DUMMYFUNCTION("""COMPUTED_VALUE"""),"Отдел папоротниковидные")</f>
        <v>Отдел папоротниковидные</v>
      </c>
      <c r="B39" s="1">
        <f>IFERROR(__xludf.DUMMYFUNCTION("""COMPUTED_VALUE"""),38.0)</f>
        <v>38</v>
      </c>
      <c r="C39" s="1" t="str">
        <f>IFERROR(__xludf.DUMMYFUNCTION("""COMPUTED_VALUE"""),"Внешнее строение насекомых")</f>
        <v>Внешнее строение насекомых</v>
      </c>
      <c r="D39" s="1">
        <f>IFERROR(__xludf.DUMMYFUNCTION("""COMPUTED_VALUE"""),138.0)</f>
        <v>138</v>
      </c>
      <c r="E39" s="1" t="str">
        <f>IFERROR(__xludf.DUMMYFUNCTION("""COMPUTED_VALUE"""),"Легочные объемы")</f>
        <v>Легочные объемы</v>
      </c>
      <c r="F39" s="1">
        <f>IFERROR(__xludf.DUMMYFUNCTION("""COMPUTED_VALUE"""),239.0)</f>
        <v>239</v>
      </c>
      <c r="G39" s="1" t="str">
        <f>IFERROR(__xludf.DUMMYFUNCTION("""COMPUTED_VALUE"""),"Трансляция")</f>
        <v>Трансляция</v>
      </c>
      <c r="H39" s="1">
        <f>IFERROR(__xludf.DUMMYFUNCTION("""COMPUTED_VALUE"""),338.0)</f>
        <v>338</v>
      </c>
      <c r="I39" s="1" t="str">
        <f>IFERROR(__xludf.DUMMYFUNCTION("""COMPUTED_VALUE"""),"Популяция и вид")</f>
        <v>Популяция и вид</v>
      </c>
      <c r="J39" s="1">
        <f>IFERROR(__xludf.DUMMYFUNCTION("""COMPUTED_VALUE"""),438.0)</f>
        <v>438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IFERROR(__xludf.DUMMYFUNCTION("""COMPUTED_VALUE"""),"Семенные папоротники")</f>
        <v>Семенные папоротники</v>
      </c>
      <c r="B40" s="1">
        <f>IFERROR(__xludf.DUMMYFUNCTION("""COMPUTED_VALUE"""),39.0)</f>
        <v>39</v>
      </c>
      <c r="C40" s="1" t="str">
        <f>IFERROR(__xludf.DUMMYFUNCTION("""COMPUTED_VALUE"""),"Внутреннее строение насекомых")</f>
        <v>Внутреннее строение насекомых</v>
      </c>
      <c r="D40" s="1">
        <f>IFERROR(__xludf.DUMMYFUNCTION("""COMPUTED_VALUE"""),139.0)</f>
        <v>139</v>
      </c>
      <c r="E40" s="1" t="str">
        <f>IFERROR(__xludf.DUMMYFUNCTION("""COMPUTED_VALUE"""),"Органы выделительной системы")</f>
        <v>Органы выделительной системы</v>
      </c>
      <c r="F40" s="1">
        <f>IFERROR(__xludf.DUMMYFUNCTION("""COMPUTED_VALUE"""),240.0)</f>
        <v>240</v>
      </c>
      <c r="G40" s="1" t="str">
        <f>IFERROR(__xludf.DUMMYFUNCTION("""COMPUTED_VALUE"""),"Метаболизм клетки")</f>
        <v>Метаболизм клетки</v>
      </c>
      <c r="H40" s="1">
        <f>IFERROR(__xludf.DUMMYFUNCTION("""COMPUTED_VALUE"""),339.0)</f>
        <v>339</v>
      </c>
      <c r="I40" s="1" t="str">
        <f>IFERROR(__xludf.DUMMYFUNCTION("""COMPUTED_VALUE"""),"Критерии вида")</f>
        <v>Критерии вида</v>
      </c>
      <c r="J40" s="1">
        <f>IFERROR(__xludf.DUMMYFUNCTION("""COMPUTED_VALUE"""),439.0)</f>
        <v>439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IFERROR(__xludf.DUMMYFUNCTION("""COMPUTED_VALUE"""),"Значение споровых")</f>
        <v>Значение споровых</v>
      </c>
      <c r="B41" s="1">
        <f>IFERROR(__xludf.DUMMYFUNCTION("""COMPUTED_VALUE"""),40.0)</f>
        <v>40</v>
      </c>
      <c r="C41" s="1" t="str">
        <f>IFERROR(__xludf.DUMMYFUNCTION("""COMPUTED_VALUE"""),"Отряды насекомых")</f>
        <v>Отряды насекомых</v>
      </c>
      <c r="D41" s="1">
        <f>IFERROR(__xludf.DUMMYFUNCTION("""COMPUTED_VALUE"""),140.0)</f>
        <v>140</v>
      </c>
      <c r="E41" s="1" t="str">
        <f>IFERROR(__xludf.DUMMYFUNCTION("""COMPUTED_VALUE"""),"Строение почки")</f>
        <v>Строение почки</v>
      </c>
      <c r="F41" s="1">
        <f>IFERROR(__xludf.DUMMYFUNCTION("""COMPUTED_VALUE"""),241.0)</f>
        <v>241</v>
      </c>
      <c r="G41" s="1" t="str">
        <f>IFERROR(__xludf.DUMMYFUNCTION("""COMPUTED_VALUE"""),"Хемосинтез")</f>
        <v>Хемосинтез</v>
      </c>
      <c r="H41" s="1">
        <f>IFERROR(__xludf.DUMMYFUNCTION("""COMPUTED_VALUE"""),340.0)</f>
        <v>340</v>
      </c>
      <c r="I41" s="1" t="str">
        <f>IFERROR(__xludf.DUMMYFUNCTION("""COMPUTED_VALUE"""),"Географическое видообразовние")</f>
        <v>Географическое видообразовние</v>
      </c>
      <c r="J41" s="1">
        <f>IFERROR(__xludf.DUMMYFUNCTION("""COMPUTED_VALUE"""),440.0)</f>
        <v>440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IFERROR(__xludf.DUMMYFUNCTION("""COMPUTED_VALUE"""),"Общая характеристика голосеменных")</f>
        <v>Общая характеристика голосеменных</v>
      </c>
      <c r="B42" s="1">
        <f>IFERROR(__xludf.DUMMYFUNCTION("""COMPUTED_VALUE"""),41.0)</f>
        <v>41</v>
      </c>
      <c r="C42" s="1" t="str">
        <f>IFERROR(__xludf.DUMMYFUNCTION("""COMPUTED_VALUE"""),"Насекомые-вредители")</f>
        <v>Насекомые-вредители</v>
      </c>
      <c r="D42" s="1">
        <f>IFERROR(__xludf.DUMMYFUNCTION("""COMPUTED_VALUE"""),141.0)</f>
        <v>141</v>
      </c>
      <c r="E42" s="1" t="str">
        <f>IFERROR(__xludf.DUMMYFUNCTION("""COMPUTED_VALUE"""),"Строение нефрона")</f>
        <v>Строение нефрона</v>
      </c>
      <c r="F42" s="1">
        <f>IFERROR(__xludf.DUMMYFUNCTION("""COMPUTED_VALUE"""),242.0)</f>
        <v>242</v>
      </c>
      <c r="G42" s="1" t="str">
        <f>IFERROR(__xludf.DUMMYFUNCTION("""COMPUTED_VALUE"""),"Классификация организмов по способу питания")</f>
        <v>Классификация организмов по способу питания</v>
      </c>
      <c r="H42" s="1">
        <f>IFERROR(__xludf.DUMMYFUNCTION("""COMPUTED_VALUE"""),341.0)</f>
        <v>341</v>
      </c>
      <c r="I42" s="1" t="str">
        <f>IFERROR(__xludf.DUMMYFUNCTION("""COMPUTED_VALUE"""),"Экологическое видообразование")</f>
        <v>Экологическое видообразование</v>
      </c>
      <c r="J42" s="1">
        <f>IFERROR(__xludf.DUMMYFUNCTION("""COMPUTED_VALUE"""),441.0)</f>
        <v>441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IFERROR(__xludf.DUMMYFUNCTION("""COMPUTED_VALUE"""),"Жизненный цикл голосеменных")</f>
        <v>Жизненный цикл голосеменных</v>
      </c>
      <c r="B43" s="1">
        <f>IFERROR(__xludf.DUMMYFUNCTION("""COMPUTED_VALUE"""),42.0)</f>
        <v>42</v>
      </c>
      <c r="C43" s="1" t="str">
        <f>IFERROR(__xludf.DUMMYFUNCTION("""COMPUTED_VALUE"""),"Полезные насекомые")</f>
        <v>Полезные насекомые</v>
      </c>
      <c r="D43" s="1">
        <f>IFERROR(__xludf.DUMMYFUNCTION("""COMPUTED_VALUE"""),142.0)</f>
        <v>142</v>
      </c>
      <c r="E43" s="1" t="str">
        <f>IFERROR(__xludf.DUMMYFUNCTION("""COMPUTED_VALUE"""),"Образование мочи")</f>
        <v>Образование мочи</v>
      </c>
      <c r="F43" s="1">
        <f>IFERROR(__xludf.DUMMYFUNCTION("""COMPUTED_VALUE"""),243.0)</f>
        <v>243</v>
      </c>
      <c r="G43" s="1" t="str">
        <f>IFERROR(__xludf.DUMMYFUNCTION("""COMPUTED_VALUE"""),"Анаэробы и аэробы")</f>
        <v>Анаэробы и аэробы</v>
      </c>
      <c r="H43" s="1">
        <f>IFERROR(__xludf.DUMMYFUNCTION("""COMPUTED_VALUE"""),342.0)</f>
        <v>342</v>
      </c>
      <c r="I43" s="1" t="str">
        <f>IFERROR(__xludf.DUMMYFUNCTION("""COMPUTED_VALUE"""),"Конвергенция и дивергенция")</f>
        <v>Конвергенция и дивергенция</v>
      </c>
      <c r="J43" s="1">
        <f>IFERROR(__xludf.DUMMYFUNCTION("""COMPUTED_VALUE"""),442.0)</f>
        <v>442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IFERROR(__xludf.DUMMYFUNCTION("""COMPUTED_VALUE"""),"Разнообразие голосеменных")</f>
        <v>Разнообразие голосеменных</v>
      </c>
      <c r="B44" s="1">
        <f>IFERROR(__xludf.DUMMYFUNCTION("""COMPUTED_VALUE"""),43.0)</f>
        <v>43</v>
      </c>
      <c r="C44" s="1" t="str">
        <f>IFERROR(__xludf.DUMMYFUNCTION("""COMPUTED_VALUE"""),"Хордовые (общая характеристика)")</f>
        <v>Хордовые (общая характеристика)</v>
      </c>
      <c r="D44" s="1">
        <f>IFERROR(__xludf.DUMMYFUNCTION("""COMPUTED_VALUE"""),143.0)</f>
        <v>143</v>
      </c>
      <c r="E44" s="1" t="str">
        <f>IFERROR(__xludf.DUMMYFUNCTION("""COMPUTED_VALUE"""),"Регуляция выделения (нервная, гуморальная)")</f>
        <v>Регуляция выделения (нервная, гуморальная)</v>
      </c>
      <c r="F44" s="1">
        <f>IFERROR(__xludf.DUMMYFUNCTION("""COMPUTED_VALUE"""),245.0)</f>
        <v>245</v>
      </c>
      <c r="G44" s="1" t="str">
        <f>IFERROR(__xludf.DUMMYFUNCTION("""COMPUTED_VALUE"""),"Гликолиз и брожение")</f>
        <v>Гликолиз и брожение</v>
      </c>
      <c r="H44" s="1">
        <f>IFERROR(__xludf.DUMMYFUNCTION("""COMPUTED_VALUE"""),343.0)</f>
        <v>343</v>
      </c>
      <c r="I44" s="1" t="str">
        <f>IFERROR(__xludf.DUMMYFUNCTION("""COMPUTED_VALUE"""),"Органы-аналоги и органы-голомологи")</f>
        <v>Органы-аналоги и органы-голомологи</v>
      </c>
      <c r="J44" s="1">
        <f>IFERROR(__xludf.DUMMYFUNCTION("""COMPUTED_VALUE"""),443.0)</f>
        <v>443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IFERROR(__xludf.DUMMYFUNCTION("""COMPUTED_VALUE"""),"Общая характеристика цветковых")</f>
        <v>Общая характеристика цветковых</v>
      </c>
      <c r="B45" s="1">
        <f>IFERROR(__xludf.DUMMYFUNCTION("""COMPUTED_VALUE"""),44.0)</f>
        <v>44</v>
      </c>
      <c r="C45" s="1" t="str">
        <f>IFERROR(__xludf.DUMMYFUNCTION("""COMPUTED_VALUE"""),"Ланцетник (строение)")</f>
        <v>Ланцетник (строение)</v>
      </c>
      <c r="D45" s="1">
        <f>IFERROR(__xludf.DUMMYFUNCTION("""COMPUTED_VALUE"""),144.0)</f>
        <v>144</v>
      </c>
      <c r="E45" s="1" t="str">
        <f>IFERROR(__xludf.DUMMYFUNCTION("""COMPUTED_VALUE"""),"Строение кожи")</f>
        <v>Строение кожи</v>
      </c>
      <c r="F45" s="1">
        <f>IFERROR(__xludf.DUMMYFUNCTION("""COMPUTED_VALUE"""),246.0)</f>
        <v>246</v>
      </c>
      <c r="G45" s="1" t="str">
        <f>IFERROR(__xludf.DUMMYFUNCTION("""COMPUTED_VALUE"""),"Кислородное дыхание, цикл Кребса")</f>
        <v>Кислородное дыхание, цикл Кребса</v>
      </c>
      <c r="H45" s="1">
        <f>IFERROR(__xludf.DUMMYFUNCTION("""COMPUTED_VALUE"""),344.0)</f>
        <v>344</v>
      </c>
      <c r="I45" s="1" t="str">
        <f>IFERROR(__xludf.DUMMYFUNCTION("""COMPUTED_VALUE"""),"Биологический прогресс и регресс")</f>
        <v>Биологический прогресс и регресс</v>
      </c>
      <c r="J45" s="1">
        <f>IFERROR(__xludf.DUMMYFUNCTION("""COMPUTED_VALUE"""),444.0)</f>
        <v>444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IFERROR(__xludf.DUMMYFUNCTION("""COMPUTED_VALUE"""),"Жизненный цикл покрытосеменных")</f>
        <v>Жизненный цикл покрытосеменных</v>
      </c>
      <c r="B46" s="1">
        <f>IFERROR(__xludf.DUMMYFUNCTION("""COMPUTED_VALUE"""),45.0)</f>
        <v>45</v>
      </c>
      <c r="C46" s="1" t="str">
        <f>IFERROR(__xludf.DUMMYFUNCTION("""COMPUTED_VALUE"""),"Рыбы (общая характеристика)")</f>
        <v>Рыбы (общая характеристика)</v>
      </c>
      <c r="D46" s="1">
        <f>IFERROR(__xludf.DUMMYFUNCTION("""COMPUTED_VALUE"""),146.0)</f>
        <v>146</v>
      </c>
      <c r="E46" s="1" t="str">
        <f>IFERROR(__xludf.DUMMYFUNCTION("""COMPUTED_VALUE"""),"Функции кожи")</f>
        <v>Функции кожи</v>
      </c>
      <c r="F46" s="1">
        <f>IFERROR(__xludf.DUMMYFUNCTION("""COMPUTED_VALUE"""),247.0)</f>
        <v>247</v>
      </c>
      <c r="G46" s="1" t="str">
        <f>IFERROR(__xludf.DUMMYFUNCTION("""COMPUTED_VALUE"""),"Световая стадия фотосинтеза")</f>
        <v>Световая стадия фотосинтеза</v>
      </c>
      <c r="H46" s="1">
        <f>IFERROR(__xludf.DUMMYFUNCTION("""COMPUTED_VALUE"""),345.0)</f>
        <v>345</v>
      </c>
      <c r="I46" s="1" t="str">
        <f>IFERROR(__xludf.DUMMYFUNCTION("""COMPUTED_VALUE"""),"Ароморфоз")</f>
        <v>Ароморфоз</v>
      </c>
      <c r="J46" s="1">
        <f>IFERROR(__xludf.DUMMYFUNCTION("""COMPUTED_VALUE"""),445.0)</f>
        <v>445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IFERROR(__xludf.DUMMYFUNCTION("""COMPUTED_VALUE"""),"Двойное оплодотворение")</f>
        <v>Двойное оплодотворение</v>
      </c>
      <c r="B47" s="1">
        <f>IFERROR(__xludf.DUMMYFUNCTION("""COMPUTED_VALUE"""),46.0)</f>
        <v>46</v>
      </c>
      <c r="C47" s="1" t="str">
        <f>IFERROR(__xludf.DUMMYFUNCTION("""COMPUTED_VALUE"""),"Внутреннее строение рыб")</f>
        <v>Внутреннее строение рыб</v>
      </c>
      <c r="D47" s="1">
        <f>IFERROR(__xludf.DUMMYFUNCTION("""COMPUTED_VALUE"""),147.0)</f>
        <v>147</v>
      </c>
      <c r="E47" s="1" t="str">
        <f>IFERROR(__xludf.DUMMYFUNCTION("""COMPUTED_VALUE"""),"Строение зубов человека")</f>
        <v>Строение зубов человека</v>
      </c>
      <c r="F47" s="1">
        <f>IFERROR(__xludf.DUMMYFUNCTION("""COMPUTED_VALUE"""),248.0)</f>
        <v>248</v>
      </c>
      <c r="G47" s="1" t="str">
        <f>IFERROR(__xludf.DUMMYFUNCTION("""COMPUTED_VALUE"""),"Темновая стадия фотосинтеза")</f>
        <v>Темновая стадия фотосинтеза</v>
      </c>
      <c r="H47" s="1">
        <f>IFERROR(__xludf.DUMMYFUNCTION("""COMPUTED_VALUE"""),346.0)</f>
        <v>346</v>
      </c>
      <c r="I47" s="1" t="str">
        <f>IFERROR(__xludf.DUMMYFUNCTION("""COMPUTED_VALUE"""),"Дегенерация")</f>
        <v>Дегенерация</v>
      </c>
      <c r="J47" s="1">
        <f>IFERROR(__xludf.DUMMYFUNCTION("""COMPUTED_VALUE"""),446.0)</f>
        <v>446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IFERROR(__xludf.DUMMYFUNCTION("""COMPUTED_VALUE"""),"Виды опыления")</f>
        <v>Виды опыления</v>
      </c>
      <c r="B48" s="1">
        <f>IFERROR(__xludf.DUMMYFUNCTION("""COMPUTED_VALUE"""),47.0)</f>
        <v>47</v>
      </c>
      <c r="C48" s="1" t="str">
        <f>IFERROR(__xludf.DUMMYFUNCTION("""COMPUTED_VALUE"""),"Особенности хрящевых рыб")</f>
        <v>Особенности хрящевых рыб</v>
      </c>
      <c r="D48" s="1">
        <f>IFERROR(__xludf.DUMMYFUNCTION("""COMPUTED_VALUE"""),148.0)</f>
        <v>148</v>
      </c>
      <c r="E48" s="1" t="str">
        <f>IFERROR(__xludf.DUMMYFUNCTION("""COMPUTED_VALUE"""),"Пищеварение в ротовой полости")</f>
        <v>Пищеварение в ротовой полости</v>
      </c>
      <c r="F48" s="1">
        <f>IFERROR(__xludf.DUMMYFUNCTION("""COMPUTED_VALUE"""),249.0)</f>
        <v>249</v>
      </c>
      <c r="G48" s="1" t="str">
        <f>IFERROR(__xludf.DUMMYFUNCTION("""COMPUTED_VALUE"""),"Типы размножения")</f>
        <v>Типы размножения</v>
      </c>
      <c r="H48" s="1">
        <f>IFERROR(__xludf.DUMMYFUNCTION("""COMPUTED_VALUE"""),347.0)</f>
        <v>347</v>
      </c>
      <c r="I48" s="1" t="str">
        <f>IFERROR(__xludf.DUMMYFUNCTION("""COMPUTED_VALUE"""),"Идиоадаптация")</f>
        <v>Идиоадаптация</v>
      </c>
      <c r="J48" s="1">
        <f>IFERROR(__xludf.DUMMYFUNCTION("""COMPUTED_VALUE"""),447.0)</f>
        <v>447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IFERROR(__xludf.DUMMYFUNCTION("""COMPUTED_VALUE"""),"Виды распространения семян")</f>
        <v>Виды распространения семян</v>
      </c>
      <c r="B49" s="1">
        <f>IFERROR(__xludf.DUMMYFUNCTION("""COMPUTED_VALUE"""),48.0)</f>
        <v>48</v>
      </c>
      <c r="C49" s="1" t="str">
        <f>IFERROR(__xludf.DUMMYFUNCTION("""COMPUTED_VALUE"""),"Особенности костных рыб")</f>
        <v>Особенности костных рыб</v>
      </c>
      <c r="D49" s="1">
        <f>IFERROR(__xludf.DUMMYFUNCTION("""COMPUTED_VALUE"""),149.0)</f>
        <v>149</v>
      </c>
      <c r="E49" s="1" t="str">
        <f>IFERROR(__xludf.DUMMYFUNCTION("""COMPUTED_VALUE"""),"Пищевод и желудок")</f>
        <v>Пищевод и желудок</v>
      </c>
      <c r="F49" s="1">
        <f>IFERROR(__xludf.DUMMYFUNCTION("""COMPUTED_VALUE"""),250.0)</f>
        <v>250</v>
      </c>
      <c r="G49" s="1" t="str">
        <f>IFERROR(__xludf.DUMMYFUNCTION("""COMPUTED_VALUE"""),"Митоз")</f>
        <v>Митоз</v>
      </c>
      <c r="H49" s="1">
        <f>IFERROR(__xludf.DUMMYFUNCTION("""COMPUTED_VALUE"""),348.0)</f>
        <v>348</v>
      </c>
      <c r="I49" s="1" t="str">
        <f>IFERROR(__xludf.DUMMYFUNCTION("""COMPUTED_VALUE"""),"Законы эволюции")</f>
        <v>Законы эволюции</v>
      </c>
      <c r="J49" s="1">
        <f>IFERROR(__xludf.DUMMYFUNCTION("""COMPUTED_VALUE"""),448.0)</f>
        <v>448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IFERROR(__xludf.DUMMYFUNCTION("""COMPUTED_VALUE"""),"Виды плодов")</f>
        <v>Виды плодов</v>
      </c>
      <c r="B50" s="1">
        <f>IFERROR(__xludf.DUMMYFUNCTION("""COMPUTED_VALUE"""),49.0)</f>
        <v>49</v>
      </c>
      <c r="C50" s="1" t="str">
        <f>IFERROR(__xludf.DUMMYFUNCTION("""COMPUTED_VALUE"""),"Разнообразие костных рыб")</f>
        <v>Разнообразие костных рыб</v>
      </c>
      <c r="D50" s="1">
        <f>IFERROR(__xludf.DUMMYFUNCTION("""COMPUTED_VALUE"""),150.0)</f>
        <v>150</v>
      </c>
      <c r="E50" s="1" t="str">
        <f>IFERROR(__xludf.DUMMYFUNCTION("""COMPUTED_VALUE"""),"Тонкая кишка")</f>
        <v>Тонкая кишка</v>
      </c>
      <c r="F50" s="1">
        <f>IFERROR(__xludf.DUMMYFUNCTION("""COMPUTED_VALUE"""),251.0)</f>
        <v>251</v>
      </c>
      <c r="G50" s="1" t="str">
        <f>IFERROR(__xludf.DUMMYFUNCTION("""COMPUTED_VALUE"""),"Мейоз")</f>
        <v>Мейоз</v>
      </c>
      <c r="H50" s="1">
        <f>IFERROR(__xludf.DUMMYFUNCTION("""COMPUTED_VALUE"""),350.0)</f>
        <v>350</v>
      </c>
      <c r="I50" s="1" t="str">
        <f>IFERROR(__xludf.DUMMYFUNCTION("""COMPUTED_VALUE"""),"Теории биогенеза")</f>
        <v>Теории биогенеза</v>
      </c>
      <c r="J50" s="1">
        <f>IFERROR(__xludf.DUMMYFUNCTION("""COMPUTED_VALUE"""),449.0)</f>
        <v>449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IFERROR(__xludf.DUMMYFUNCTION("""COMPUTED_VALUE"""),"Цветок и плод (строение)")</f>
        <v>Цветок и плод (строение)</v>
      </c>
      <c r="B51" s="1">
        <f>IFERROR(__xludf.DUMMYFUNCTION("""COMPUTED_VALUE"""),50.0)</f>
        <v>50</v>
      </c>
      <c r="C51" s="1" t="str">
        <f>IFERROR(__xludf.DUMMYFUNCTION("""COMPUTED_VALUE"""),"Приспособление к среде у рыб")</f>
        <v>Приспособление к среде у рыб</v>
      </c>
      <c r="D51" s="1">
        <f>IFERROR(__xludf.DUMMYFUNCTION("""COMPUTED_VALUE"""),151.0)</f>
        <v>151</v>
      </c>
      <c r="E51" s="1" t="str">
        <f>IFERROR(__xludf.DUMMYFUNCTION("""COMPUTED_VALUE"""),"Толстая кишка")</f>
        <v>Толстая кишка</v>
      </c>
      <c r="F51" s="1">
        <f>IFERROR(__xludf.DUMMYFUNCTION("""COMPUTED_VALUE"""),252.0)</f>
        <v>252</v>
      </c>
      <c r="G51" s="1" t="str">
        <f>IFERROR(__xludf.DUMMYFUNCTION("""COMPUTED_VALUE"""),"Жизненный цикл клетки")</f>
        <v>Жизненный цикл клетки</v>
      </c>
      <c r="H51" s="1">
        <f>IFERROR(__xludf.DUMMYFUNCTION("""COMPUTED_VALUE"""),351.0)</f>
        <v>351</v>
      </c>
      <c r="I51" s="1" t="str">
        <f>IFERROR(__xludf.DUMMYFUNCTION("""COMPUTED_VALUE"""),"Теории абиогенеза")</f>
        <v>Теории абиогенеза</v>
      </c>
      <c r="J51" s="1">
        <f>IFERROR(__xludf.DUMMYFUNCTION("""COMPUTED_VALUE"""),450.0)</f>
        <v>450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IFERROR(__xludf.DUMMYFUNCTION("""COMPUTED_VALUE"""),"Классы покрытосеменных")</f>
        <v>Классы покрытосеменных</v>
      </c>
      <c r="B52" s="1">
        <f>IFERROR(__xludf.DUMMYFUNCTION("""COMPUTED_VALUE"""),51.0)</f>
        <v>51</v>
      </c>
      <c r="C52" s="1" t="str">
        <f>IFERROR(__xludf.DUMMYFUNCTION("""COMPUTED_VALUE"""),"Кистеперые рыбы, ихтиостеги")</f>
        <v>Кистеперые рыбы, ихтиостеги</v>
      </c>
      <c r="D52" s="1">
        <f>IFERROR(__xludf.DUMMYFUNCTION("""COMPUTED_VALUE"""),152.0)</f>
        <v>152</v>
      </c>
      <c r="E52" s="1" t="str">
        <f>IFERROR(__xludf.DUMMYFUNCTION("""COMPUTED_VALUE"""),"Печень и желчный пузырь")</f>
        <v>Печень и желчный пузырь</v>
      </c>
      <c r="F52" s="1">
        <f>IFERROR(__xludf.DUMMYFUNCTION("""COMPUTED_VALUE"""),253.0)</f>
        <v>253</v>
      </c>
      <c r="G52" s="1" t="str">
        <f>IFERROR(__xludf.DUMMYFUNCTION("""COMPUTED_VALUE"""),"Гаметогенез")</f>
        <v>Гаметогенез</v>
      </c>
      <c r="H52" s="1">
        <f>IFERROR(__xludf.DUMMYFUNCTION("""COMPUTED_VALUE"""),352.0)</f>
        <v>352</v>
      </c>
      <c r="I52" s="1" t="str">
        <f>IFERROR(__xludf.DUMMYFUNCTION("""COMPUTED_VALUE"""),"Происхождение жизни")</f>
        <v>Происхождение жизни</v>
      </c>
      <c r="J52" s="1">
        <f>IFERROR(__xludf.DUMMYFUNCTION("""COMPUTED_VALUE"""),451.0)</f>
        <v>451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IFERROR(__xludf.DUMMYFUNCTION("""COMPUTED_VALUE"""),"Семейства покрытосеменных")</f>
        <v>Семейства покрытосеменных</v>
      </c>
      <c r="B53" s="1">
        <f>IFERROR(__xludf.DUMMYFUNCTION("""COMPUTED_VALUE"""),52.0)</f>
        <v>52</v>
      </c>
      <c r="C53" s="1" t="str">
        <f>IFERROR(__xludf.DUMMYFUNCTION("""COMPUTED_VALUE"""),"Внешнее строение земноводных")</f>
        <v>Внешнее строение земноводных</v>
      </c>
      <c r="D53" s="1">
        <f>IFERROR(__xludf.DUMMYFUNCTION("""COMPUTED_VALUE"""),153.0)</f>
        <v>153</v>
      </c>
      <c r="E53" s="1" t="str">
        <f>IFERROR(__xludf.DUMMYFUNCTION("""COMPUTED_VALUE"""),"Поджелудочная железа")</f>
        <v>Поджелудочная железа</v>
      </c>
      <c r="F53" s="1">
        <f>IFERROR(__xludf.DUMMYFUNCTION("""COMPUTED_VALUE"""),254.0)</f>
        <v>254</v>
      </c>
      <c r="G53" s="1" t="str">
        <f>IFERROR(__xludf.DUMMYFUNCTION("""COMPUTED_VALUE"""),"Строение гамет")</f>
        <v>Строение гамет</v>
      </c>
      <c r="H53" s="1">
        <f>IFERROR(__xludf.DUMMYFUNCTION("""COMPUTED_VALUE"""),353.0)</f>
        <v>353</v>
      </c>
      <c r="I53" s="1" t="str">
        <f>IFERROR(__xludf.DUMMYFUNCTION("""COMPUTED_VALUE"""),"Абиогенез, эксперимент Юри-Миллера")</f>
        <v>Абиогенез, эксперимент Юри-Миллера</v>
      </c>
      <c r="J53" s="1">
        <f>IFERROR(__xludf.DUMMYFUNCTION("""COMPUTED_VALUE"""),452.0)</f>
        <v>452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IFERROR(__xludf.DUMMYFUNCTION("""COMPUTED_VALUE"""),"Строение семени")</f>
        <v>Строение семени</v>
      </c>
      <c r="B54" s="1">
        <f>IFERROR(__xludf.DUMMYFUNCTION("""COMPUTED_VALUE"""),53.0)</f>
        <v>53</v>
      </c>
      <c r="C54" s="1" t="str">
        <f>IFERROR(__xludf.DUMMYFUNCTION("""COMPUTED_VALUE"""),"Внутренние строение земноводных")</f>
        <v>Внутренние строение земноводных</v>
      </c>
      <c r="D54" s="1">
        <f>IFERROR(__xludf.DUMMYFUNCTION("""COMPUTED_VALUE"""),154.0)</f>
        <v>154</v>
      </c>
      <c r="E54" s="1" t="str">
        <f>IFERROR(__xludf.DUMMYFUNCTION("""COMPUTED_VALUE"""),"Регуляция пищеварения (нервная, гуморальная)")</f>
        <v>Регуляция пищеварения (нервная, гуморальная)</v>
      </c>
      <c r="F54" s="1">
        <f>IFERROR(__xludf.DUMMYFUNCTION("""COMPUTED_VALUE"""),255.0)</f>
        <v>255</v>
      </c>
      <c r="G54" s="1" t="str">
        <f>IFERROR(__xludf.DUMMYFUNCTION("""COMPUTED_VALUE"""),"Эмбриогенез")</f>
        <v>Эмбриогенез</v>
      </c>
      <c r="H54" s="1">
        <f>IFERROR(__xludf.DUMMYFUNCTION("""COMPUTED_VALUE"""),354.0)</f>
        <v>354</v>
      </c>
      <c r="I54" s="1" t="str">
        <f>IFERROR(__xludf.DUMMYFUNCTION("""COMPUTED_VALUE"""),"Порядок усложнения живых систем")</f>
        <v>Порядок усложнения живых систем</v>
      </c>
      <c r="J54" s="1">
        <f>IFERROR(__xludf.DUMMYFUNCTION("""COMPUTED_VALUE"""),453.0)</f>
        <v>453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IFERROR(__xludf.DUMMYFUNCTION("""COMPUTED_VALUE"""),"Корень")</f>
        <v>Корень</v>
      </c>
      <c r="B55" s="1">
        <f>IFERROR(__xludf.DUMMYFUNCTION("""COMPUTED_VALUE"""),54.0)</f>
        <v>54</v>
      </c>
      <c r="C55" s="1" t="str">
        <f>IFERROR(__xludf.DUMMYFUNCTION("""COMPUTED_VALUE"""),"Разнообразие земноводных")</f>
        <v>Разнообразие земноводных</v>
      </c>
      <c r="D55" s="1">
        <f>IFERROR(__xludf.DUMMYFUNCTION("""COMPUTED_VALUE"""),155.0)</f>
        <v>155</v>
      </c>
      <c r="E55" s="1" t="str">
        <f>IFERROR(__xludf.DUMMYFUNCTION("""COMPUTED_VALUE"""),"Опыты Павлова")</f>
        <v>Опыты Павлова</v>
      </c>
      <c r="F55" s="1">
        <f>IFERROR(__xludf.DUMMYFUNCTION("""COMPUTED_VALUE"""),256.0)</f>
        <v>256</v>
      </c>
      <c r="G55" s="1" t="str">
        <f>IFERROR(__xludf.DUMMYFUNCTION("""COMPUTED_VALUE"""),"Бластула, Гаструла, Нейрула")</f>
        <v>Бластула, Гаструла, Нейрула</v>
      </c>
      <c r="H55" s="1">
        <f>IFERROR(__xludf.DUMMYFUNCTION("""COMPUTED_VALUE"""),355.0)</f>
        <v>355</v>
      </c>
      <c r="I55" s="1" t="str">
        <f>IFERROR(__xludf.DUMMYFUNCTION("""COMPUTED_VALUE"""),"Геохронология")</f>
        <v>Геохронология</v>
      </c>
      <c r="J55" s="1">
        <f>IFERROR(__xludf.DUMMYFUNCTION("""COMPUTED_VALUE"""),454.0)</f>
        <v>454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IFERROR(__xludf.DUMMYFUNCTION("""COMPUTED_VALUE"""),"Видоизменения корней")</f>
        <v>Видоизменения корней</v>
      </c>
      <c r="B56" s="1">
        <f>IFERROR(__xludf.DUMMYFUNCTION("""COMPUTED_VALUE"""),55.0)</f>
        <v>55</v>
      </c>
      <c r="C56" s="1" t="str">
        <f>IFERROR(__xludf.DUMMYFUNCTION("""COMPUTED_VALUE"""),"Приспособление к среде у амфибий")</f>
        <v>Приспособление к среде у амфибий</v>
      </c>
      <c r="D56" s="1">
        <f>IFERROR(__xludf.DUMMYFUNCTION("""COMPUTED_VALUE"""),156.0)</f>
        <v>156</v>
      </c>
      <c r="E56" s="1" t="str">
        <f>IFERROR(__xludf.DUMMYFUNCTION("""COMPUTED_VALUE"""),"Витамины")</f>
        <v>Витамины</v>
      </c>
      <c r="F56" s="1">
        <f>IFERROR(__xludf.DUMMYFUNCTION("""COMPUTED_VALUE"""),257.0)</f>
        <v>257</v>
      </c>
      <c r="G56" s="1" t="str">
        <f>IFERROR(__xludf.DUMMYFUNCTION("""COMPUTED_VALUE"""),"Органогенез")</f>
        <v>Органогенез</v>
      </c>
      <c r="H56" s="1">
        <f>IFERROR(__xludf.DUMMYFUNCTION("""COMPUTED_VALUE"""),356.0)</f>
        <v>356</v>
      </c>
      <c r="I56" s="1" t="str">
        <f>IFERROR(__xludf.DUMMYFUNCTION("""COMPUTED_VALUE"""),"Методы селекции и биотехнологии")</f>
        <v>Методы селекции и биотехнологии</v>
      </c>
      <c r="J56" s="1">
        <f>IFERROR(__xludf.DUMMYFUNCTION("""COMPUTED_VALUE"""),455.0)</f>
        <v>455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IFERROR(__xludf.DUMMYFUNCTION("""COMPUTED_VALUE"""),"Побег")</f>
        <v>Побег</v>
      </c>
      <c r="B57" s="1">
        <f>IFERROR(__xludf.DUMMYFUNCTION("""COMPUTED_VALUE"""),56.0)</f>
        <v>56</v>
      </c>
      <c r="C57" s="1" t="str">
        <f>IFERROR(__xludf.DUMMYFUNCTION("""COMPUTED_VALUE"""),"Стегоцефалы")</f>
        <v>Стегоцефалы</v>
      </c>
      <c r="D57" s="1">
        <f>IFERROR(__xludf.DUMMYFUNCTION("""COMPUTED_VALUE"""),157.0)</f>
        <v>157</v>
      </c>
      <c r="E57" s="1" t="str">
        <f>IFERROR(__xludf.DUMMYFUNCTION("""COMPUTED_VALUE"""),"Белки, жиры, углеводы")</f>
        <v>Белки, жиры, углеводы</v>
      </c>
      <c r="F57" s="1">
        <f>IFERROR(__xludf.DUMMYFUNCTION("""COMPUTED_VALUE"""),258.0)</f>
        <v>258</v>
      </c>
      <c r="G57" s="1" t="str">
        <f>IFERROR(__xludf.DUMMYFUNCTION("""COMPUTED_VALUE"""),"Онтогенез и филогенез")</f>
        <v>Онтогенез и филогенез</v>
      </c>
      <c r="H57" s="1">
        <f>IFERROR(__xludf.DUMMYFUNCTION("""COMPUTED_VALUE"""),357.0)</f>
        <v>357</v>
      </c>
      <c r="I57" s="1" t="str">
        <f>IFERROR(__xludf.DUMMYFUNCTION("""COMPUTED_VALUE"""),"Антипараллельность")</f>
        <v>Антипараллельность</v>
      </c>
      <c r="J57" s="1">
        <f>IFERROR(__xludf.DUMMYFUNCTION("""COMPUTED_VALUE"""),456.0)</f>
        <v>456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IFERROR(__xludf.DUMMYFUNCTION("""COMPUTED_VALUE"""),"Видоизменения побега")</f>
        <v>Видоизменения побега</v>
      </c>
      <c r="B58" s="1">
        <f>IFERROR(__xludf.DUMMYFUNCTION("""COMPUTED_VALUE"""),57.0)</f>
        <v>57</v>
      </c>
      <c r="C58" s="1" t="str">
        <f>IFERROR(__xludf.DUMMYFUNCTION("""COMPUTED_VALUE"""),"Внешнее строение пресмыкающихся")</f>
        <v>Внешнее строение пресмыкающихся</v>
      </c>
      <c r="D58" s="1">
        <f>IFERROR(__xludf.DUMMYFUNCTION("""COMPUTED_VALUE"""),158.0)</f>
        <v>158</v>
      </c>
      <c r="E58" s="1" t="str">
        <f>IFERROR(__xludf.DUMMYFUNCTION("""COMPUTED_VALUE"""),"Гормоны")</f>
        <v>Гормоны</v>
      </c>
      <c r="F58" s="1">
        <f>IFERROR(__xludf.DUMMYFUNCTION("""COMPUTED_VALUE"""),259.0)</f>
        <v>259</v>
      </c>
      <c r="G58" s="1" t="str">
        <f>IFERROR(__xludf.DUMMYFUNCTION("""COMPUTED_VALUE"""),"Генетический код, его свойства")</f>
        <v>Генетический код, его свойства</v>
      </c>
      <c r="H58" s="1">
        <f>IFERROR(__xludf.DUMMYFUNCTION("""COMPUTED_VALUE"""),358.0)</f>
        <v>358</v>
      </c>
      <c r="I58" s="1" t="str">
        <f>IFERROR(__xludf.DUMMYFUNCTION("""COMPUTED_VALUE"""),"Бинарное деление клетки")</f>
        <v>Бинарное деление клетки</v>
      </c>
      <c r="J58" s="1">
        <f>IFERROR(__xludf.DUMMYFUNCTION("""COMPUTED_VALUE"""),457.0)</f>
        <v>457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IFERROR(__xludf.DUMMYFUNCTION("""COMPUTED_VALUE"""),"Строение и виды почек")</f>
        <v>Строение и виды почек</v>
      </c>
      <c r="B59" s="1">
        <f>IFERROR(__xludf.DUMMYFUNCTION("""COMPUTED_VALUE"""),58.0)</f>
        <v>58</v>
      </c>
      <c r="C59" s="1" t="str">
        <f>IFERROR(__xludf.DUMMYFUNCTION("""COMPUTED_VALUE"""),"Внутреннее строение пресмыкающихся")</f>
        <v>Внутреннее строение пресмыкающихся</v>
      </c>
      <c r="D59" s="1">
        <f>IFERROR(__xludf.DUMMYFUNCTION("""COMPUTED_VALUE"""),159.0)</f>
        <v>159</v>
      </c>
      <c r="E59" s="1" t="str">
        <f>IFERROR(__xludf.DUMMYFUNCTION("""COMPUTED_VALUE"""),"Эндокринные железы")</f>
        <v>Эндокринные железы</v>
      </c>
      <c r="F59" s="1">
        <f>IFERROR(__xludf.DUMMYFUNCTION("""COMPUTED_VALUE"""),260.0)</f>
        <v>260</v>
      </c>
      <c r="G59" s="1" t="str">
        <f>IFERROR(__xludf.DUMMYFUNCTION("""COMPUTED_VALUE"""),"Основные понятия генетики")</f>
        <v>Основные понятия генетики</v>
      </c>
      <c r="H59" s="1">
        <f>IFERROR(__xludf.DUMMYFUNCTION("""COMPUTED_VALUE"""),359.0)</f>
        <v>359</v>
      </c>
      <c r="I59" s="1" t="str">
        <f>IFERROR(__xludf.DUMMYFUNCTION("""COMPUTED_VALUE"""),"Функции плавательного пузыря у рыб")</f>
        <v>Функции плавательного пузыря у рыб</v>
      </c>
      <c r="J59" s="1">
        <f>IFERROR(__xludf.DUMMYFUNCTION("""COMPUTED_VALUE"""),458.0)</f>
        <v>458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IFERROR(__xludf.DUMMYFUNCTION("""COMPUTED_VALUE"""),"Образовательные ткани")</f>
        <v>Образовательные ткани</v>
      </c>
      <c r="B60" s="1">
        <f>IFERROR(__xludf.DUMMYFUNCTION("""COMPUTED_VALUE"""),59.0)</f>
        <v>59</v>
      </c>
      <c r="C60" s="1" t="str">
        <f>IFERROR(__xludf.DUMMYFUNCTION("""COMPUTED_VALUE"""),"Разнообразие пресмыкающихся")</f>
        <v>Разнообразие пресмыкающихся</v>
      </c>
      <c r="D60" s="1">
        <f>IFERROR(__xludf.DUMMYFUNCTION("""COMPUTED_VALUE"""),160.0)</f>
        <v>160</v>
      </c>
      <c r="E60" s="1" t="str">
        <f>IFERROR(__xludf.DUMMYFUNCTION("""COMPUTED_VALUE"""),"Железы смешанной секреции")</f>
        <v>Железы смешанной секреции</v>
      </c>
      <c r="F60" s="1">
        <f>IFERROR(__xludf.DUMMYFUNCTION("""COMPUTED_VALUE"""),261.0)</f>
        <v>261</v>
      </c>
      <c r="G60" s="1" t="str">
        <f>IFERROR(__xludf.DUMMYFUNCTION("""COMPUTED_VALUE"""),"Законы Менделя")</f>
        <v>Законы Менделя</v>
      </c>
      <c r="H60" s="1">
        <f>IFERROR(__xludf.DUMMYFUNCTION("""COMPUTED_VALUE"""),360.0)</f>
        <v>360</v>
      </c>
      <c r="I60" s="1" t="str">
        <f>IFERROR(__xludf.DUMMYFUNCTION("""COMPUTED_VALUE"""),"Эволюция нервной системы")</f>
        <v>Эволюция нервной системы</v>
      </c>
      <c r="J60" s="1">
        <f>IFERROR(__xludf.DUMMYFUNCTION("""COMPUTED_VALUE"""),459.0)</f>
        <v>459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IFERROR(__xludf.DUMMYFUNCTION("""COMPUTED_VALUE"""),"Проводящие ткани")</f>
        <v>Проводящие ткани</v>
      </c>
      <c r="B61" s="1">
        <f>IFERROR(__xludf.DUMMYFUNCTION("""COMPUTED_VALUE"""),60.0)</f>
        <v>60</v>
      </c>
      <c r="C61" s="1" t="str">
        <f>IFERROR(__xludf.DUMMYFUNCTION("""COMPUTED_VALUE"""),"Приспособление к среде у рептилий")</f>
        <v>Приспособление к среде у рептилий</v>
      </c>
      <c r="D61" s="1">
        <f>IFERROR(__xludf.DUMMYFUNCTION("""COMPUTED_VALUE"""),161.0)</f>
        <v>161</v>
      </c>
      <c r="E61" s="1" t="str">
        <f>IFERROR(__xludf.DUMMYFUNCTION("""COMPUTED_VALUE"""),"Строение и виды нейронов")</f>
        <v>Строение и виды нейронов</v>
      </c>
      <c r="F61" s="1">
        <f>IFERROR(__xludf.DUMMYFUNCTION("""COMPUTED_VALUE"""),262.0)</f>
        <v>262</v>
      </c>
      <c r="G61" s="1" t="str">
        <f>IFERROR(__xludf.DUMMYFUNCTION("""COMPUTED_VALUE"""),"Полное и неполное сцепление")</f>
        <v>Полное и неполное сцепление</v>
      </c>
      <c r="H61" s="1">
        <f>IFERROR(__xludf.DUMMYFUNCTION("""COMPUTED_VALUE"""),361.0)</f>
        <v>361</v>
      </c>
      <c r="I61" s="1" t="str">
        <f>IFERROR(__xludf.DUMMYFUNCTION("""COMPUTED_VALUE"""),"Эволюция кровеносной системы")</f>
        <v>Эволюция кровеносной системы</v>
      </c>
      <c r="J61" s="1">
        <f>IFERROR(__xludf.DUMMYFUNCTION("""COMPUTED_VALUE"""),460.0)</f>
        <v>460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IFERROR(__xludf.DUMMYFUNCTION("""COMPUTED_VALUE"""),"Покровные ткани")</f>
        <v>Покровные ткани</v>
      </c>
      <c r="B62" s="1">
        <f>IFERROR(__xludf.DUMMYFUNCTION("""COMPUTED_VALUE"""),61.0)</f>
        <v>61</v>
      </c>
      <c r="C62" s="1" t="str">
        <f>IFERROR(__xludf.DUMMYFUNCTION("""COMPUTED_VALUE"""),"Археоптерикс")</f>
        <v>Археоптерикс</v>
      </c>
      <c r="D62" s="1">
        <f>IFERROR(__xludf.DUMMYFUNCTION("""COMPUTED_VALUE"""),162.0)</f>
        <v>162</v>
      </c>
      <c r="E62" s="1" t="str">
        <f>IFERROR(__xludf.DUMMYFUNCTION("""COMPUTED_VALUE"""),"Классификация нервной системы")</f>
        <v>Классификация нервной системы</v>
      </c>
      <c r="F62" s="1">
        <f>IFERROR(__xludf.DUMMYFUNCTION("""COMPUTED_VALUE"""),263.0)</f>
        <v>263</v>
      </c>
      <c r="G62" s="1" t="str">
        <f>IFERROR(__xludf.DUMMYFUNCTION("""COMPUTED_VALUE"""),"Теория Моргана")</f>
        <v>Теория Моргана</v>
      </c>
      <c r="H62" s="1">
        <f>IFERROR(__xludf.DUMMYFUNCTION("""COMPUTED_VALUE"""),362.0)</f>
        <v>362</v>
      </c>
      <c r="I62" s="1" t="str">
        <f>IFERROR(__xludf.DUMMYFUNCTION("""COMPUTED_VALUE"""),"Эволюция опорно-двигательного аппарата")</f>
        <v>Эволюция опорно-двигательного аппарата</v>
      </c>
      <c r="J62" s="1">
        <f>IFERROR(__xludf.DUMMYFUNCTION("""COMPUTED_VALUE"""),461.0)</f>
        <v>461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IFERROR(__xludf.DUMMYFUNCTION("""COMPUTED_VALUE"""),"Механические ткани")</f>
        <v>Механические ткани</v>
      </c>
      <c r="B63" s="1">
        <f>IFERROR(__xludf.DUMMYFUNCTION("""COMPUTED_VALUE"""),62.0)</f>
        <v>62</v>
      </c>
      <c r="C63" s="1" t="str">
        <f>IFERROR(__xludf.DUMMYFUNCTION("""COMPUTED_VALUE"""),"Внешнее строение птиц")</f>
        <v>Внешнее строение птиц</v>
      </c>
      <c r="D63" s="1">
        <f>IFERROR(__xludf.DUMMYFUNCTION("""COMPUTED_VALUE"""),163.0)</f>
        <v>163</v>
      </c>
      <c r="E63" s="1" t="str">
        <f>IFERROR(__xludf.DUMMYFUNCTION("""COMPUTED_VALUE"""),"Строение спинного мозга")</f>
        <v>Строение спинного мозга</v>
      </c>
      <c r="F63" s="1">
        <f>IFERROR(__xludf.DUMMYFUNCTION("""COMPUTED_VALUE"""),264.0)</f>
        <v>264</v>
      </c>
      <c r="G63" s="1" t="str">
        <f>IFERROR(__xludf.DUMMYFUNCTION("""COMPUTED_VALUE"""),"Морганиды")</f>
        <v>Морганиды</v>
      </c>
      <c r="H63" s="1">
        <f>IFERROR(__xludf.DUMMYFUNCTION("""COMPUTED_VALUE"""),363.0)</f>
        <v>363</v>
      </c>
      <c r="I63" s="1" t="str">
        <f>IFERROR(__xludf.DUMMYFUNCTION("""COMPUTED_VALUE"""),"Эволюция дыхательной системы")</f>
        <v>Эволюция дыхательной системы</v>
      </c>
      <c r="J63" s="1">
        <f>IFERROR(__xludf.DUMMYFUNCTION("""COMPUTED_VALUE"""),462.0)</f>
        <v>462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IFERROR(__xludf.DUMMYFUNCTION("""COMPUTED_VALUE"""),"Основные ткани")</f>
        <v>Основные ткани</v>
      </c>
      <c r="B64" s="1">
        <f>IFERROR(__xludf.DUMMYFUNCTION("""COMPUTED_VALUE"""),63.0)</f>
        <v>63</v>
      </c>
      <c r="C64" s="1" t="str">
        <f>IFERROR(__xludf.DUMMYFUNCTION("""COMPUTED_VALUE"""),"Внутренние строение птиц")</f>
        <v>Внутренние строение птиц</v>
      </c>
      <c r="D64" s="1">
        <f>IFERROR(__xludf.DUMMYFUNCTION("""COMPUTED_VALUE"""),164.0)</f>
        <v>164</v>
      </c>
      <c r="E64" s="1" t="str">
        <f>IFERROR(__xludf.DUMMYFUNCTION("""COMPUTED_VALUE"""),"Строение головного мозга")</f>
        <v>Строение головного мозга</v>
      </c>
      <c r="F64" s="1">
        <f>IFERROR(__xludf.DUMMYFUNCTION("""COMPUTED_VALUE"""),265.0)</f>
        <v>265</v>
      </c>
      <c r="G64" s="1" t="str">
        <f>IFERROR(__xludf.DUMMYFUNCTION("""COMPUTED_VALUE"""),"Кодоминирование, группы крови")</f>
        <v>Кодоминирование, группы крови</v>
      </c>
      <c r="H64" s="1">
        <f>IFERROR(__xludf.DUMMYFUNCTION("""COMPUTED_VALUE"""),364.0)</f>
        <v>364</v>
      </c>
      <c r="I64" s="1" t="str">
        <f>IFERROR(__xludf.DUMMYFUNCTION("""COMPUTED_VALUE"""),"Эволюция выделительной системы")</f>
        <v>Эволюция выделительной системы</v>
      </c>
      <c r="J64" s="1">
        <f>IFERROR(__xludf.DUMMYFUNCTION("""COMPUTED_VALUE"""),463.0)</f>
        <v>463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IFERROR(__xludf.DUMMYFUNCTION("""COMPUTED_VALUE"""),"Строение листа")</f>
        <v>Строение листа</v>
      </c>
      <c r="B65" s="1">
        <f>IFERROR(__xludf.DUMMYFUNCTION("""COMPUTED_VALUE"""),64.0)</f>
        <v>64</v>
      </c>
      <c r="C65" s="1" t="str">
        <f>IFERROR(__xludf.DUMMYFUNCTION("""COMPUTED_VALUE"""),"Разнообразие птиц")</f>
        <v>Разнообразие птиц</v>
      </c>
      <c r="D65" s="1">
        <f>IFERROR(__xludf.DUMMYFUNCTION("""COMPUTED_VALUE"""),165.0)</f>
        <v>165</v>
      </c>
      <c r="E65" s="1" t="str">
        <f>IFERROR(__xludf.DUMMYFUNCTION("""COMPUTED_VALUE"""),"Рефлекторная дуга")</f>
        <v>Рефлекторная дуга</v>
      </c>
      <c r="F65" s="1">
        <f>IFERROR(__xludf.DUMMYFUNCTION("""COMPUTED_VALUE"""),266.0)</f>
        <v>266</v>
      </c>
      <c r="G65" s="1" t="str">
        <f>IFERROR(__xludf.DUMMYFUNCTION("""COMPUTED_VALUE"""),"Неполное доминирование")</f>
        <v>Неполное доминирование</v>
      </c>
      <c r="H65" s="1">
        <f>IFERROR(__xludf.DUMMYFUNCTION("""COMPUTED_VALUE"""),365.0)</f>
        <v>365</v>
      </c>
      <c r="I65" s="1" t="str">
        <f>IFERROR(__xludf.DUMMYFUNCTION("""COMPUTED_VALUE"""),"Эволюция пищеварительной системы")</f>
        <v>Эволюция пищеварительной системы</v>
      </c>
      <c r="J65" s="1">
        <f>IFERROR(__xludf.DUMMYFUNCTION("""COMPUTED_VALUE"""),464.0)</f>
        <v>464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IFERROR(__xludf.DUMMYFUNCTION("""COMPUTED_VALUE"""),"Расположение и жилкование листьев")</f>
        <v>Расположение и жилкование листьев</v>
      </c>
      <c r="B66" s="1">
        <f>IFERROR(__xludf.DUMMYFUNCTION("""COMPUTED_VALUE"""),65.0)</f>
        <v>65</v>
      </c>
      <c r="C66" s="1" t="str">
        <f>IFERROR(__xludf.DUMMYFUNCTION("""COMPUTED_VALUE"""),"Экологические группы птиц")</f>
        <v>Экологические группы птиц</v>
      </c>
      <c r="D66" s="1">
        <f>IFERROR(__xludf.DUMMYFUNCTION("""COMPUTED_VALUE"""),166.0)</f>
        <v>166</v>
      </c>
      <c r="E66" s="1" t="str">
        <f>IFERROR(__xludf.DUMMYFUNCTION("""COMPUTED_VALUE"""),"Симпатический и парасимпатический отделы нервной системы")</f>
        <v>Симпатический и парасимпатический отделы нервной системы</v>
      </c>
      <c r="F66" s="1">
        <f>IFERROR(__xludf.DUMMYFUNCTION("""COMPUTED_VALUE"""),267.0)</f>
        <v>267</v>
      </c>
      <c r="G66" s="1" t="str">
        <f>IFERROR(__xludf.DUMMYFUNCTION("""COMPUTED_VALUE"""),"Кроссинговер")</f>
        <v>Кроссинговер</v>
      </c>
      <c r="H66" s="1">
        <f>IFERROR(__xludf.DUMMYFUNCTION("""COMPUTED_VALUE"""),366.0)</f>
        <v>366</v>
      </c>
      <c r="I66" s="1" t="str">
        <f>IFERROR(__xludf.DUMMYFUNCTION("""COMPUTED_VALUE"""),"Жизненный цикл беззубки")</f>
        <v>Жизненный цикл беззубки</v>
      </c>
      <c r="J66" s="1">
        <f>IFERROR(__xludf.DUMMYFUNCTION("""COMPUTED_VALUE"""),465.0)</f>
        <v>465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IFERROR(__xludf.DUMMYFUNCTION("""COMPUTED_VALUE"""),"Видоизменения листьев")</f>
        <v>Видоизменения листьев</v>
      </c>
      <c r="B67" s="1">
        <f>IFERROR(__xludf.DUMMYFUNCTION("""COMPUTED_VALUE"""),66.0)</f>
        <v>66</v>
      </c>
      <c r="C67" s="1" t="str">
        <f>IFERROR(__xludf.DUMMYFUNCTION("""COMPUTED_VALUE"""),"Строение яйца")</f>
        <v>Строение яйца</v>
      </c>
      <c r="D67" s="1">
        <f>IFERROR(__xludf.DUMMYFUNCTION("""COMPUTED_VALUE"""),167.0)</f>
        <v>167</v>
      </c>
      <c r="E67" s="1" t="str">
        <f>IFERROR(__xludf.DUMMYFUNCTION("""COMPUTED_VALUE"""),"Рефлексы")</f>
        <v>Рефлексы</v>
      </c>
      <c r="F67" s="1">
        <f>IFERROR(__xludf.DUMMYFUNCTION("""COMPUTED_VALUE"""),268.0)</f>
        <v>268</v>
      </c>
      <c r="G67" s="1" t="str">
        <f>IFERROR(__xludf.DUMMYFUNCTION("""COMPUTED_VALUE"""),"Сцепление с полом")</f>
        <v>Сцепление с полом</v>
      </c>
      <c r="H67" s="1">
        <f>IFERROR(__xludf.DUMMYFUNCTION("""COMPUTED_VALUE"""),367.0)</f>
        <v>367</v>
      </c>
      <c r="I67" s="1" t="str">
        <f>IFERROR(__xludf.DUMMYFUNCTION("""COMPUTED_VALUE"""),"Жизненный цикл ришты")</f>
        <v>Жизненный цикл ришты</v>
      </c>
      <c r="J67" s="1">
        <f>IFERROR(__xludf.DUMMYFUNCTION("""COMPUTED_VALUE"""),466.0)</f>
        <v>466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IFERROR(__xludf.DUMMYFUNCTION("""COMPUTED_VALUE"""),"Устьице")</f>
        <v>Устьице</v>
      </c>
      <c r="B68" s="1">
        <f>IFERROR(__xludf.DUMMYFUNCTION("""COMPUTED_VALUE"""),67.0)</f>
        <v>67</v>
      </c>
      <c r="C68" s="1" t="str">
        <f>IFERROR(__xludf.DUMMYFUNCTION("""COMPUTED_VALUE"""),"Приспособление к среде у птиц")</f>
        <v>Приспособление к среде у птиц</v>
      </c>
      <c r="D68" s="1">
        <f>IFERROR(__xludf.DUMMYFUNCTION("""COMPUTED_VALUE"""),168.0)</f>
        <v>168</v>
      </c>
      <c r="E68" s="1" t="str">
        <f>IFERROR(__xludf.DUMMYFUNCTION("""COMPUTED_VALUE"""),"Торможение")</f>
        <v>Торможение</v>
      </c>
      <c r="F68" s="1">
        <f>IFERROR(__xludf.DUMMYFUNCTION("""COMPUTED_VALUE"""),269.0)</f>
        <v>269</v>
      </c>
      <c r="G68" s="1" t="str">
        <f>IFERROR(__xludf.DUMMYFUNCTION("""COMPUTED_VALUE"""),"Взаимодейсвия генов")</f>
        <v>Взаимодейсвия генов</v>
      </c>
      <c r="H68" s="1">
        <f>IFERROR(__xludf.DUMMYFUNCTION("""COMPUTED_VALUE"""),368.0)</f>
        <v>368</v>
      </c>
      <c r="I68" s="1" t="str">
        <f>IFERROR(__xludf.DUMMYFUNCTION("""COMPUTED_VALUE"""),"Жизненный цикл острицы")</f>
        <v>Жизненный цикл острицы</v>
      </c>
      <c r="J68" s="1">
        <f>IFERROR(__xludf.DUMMYFUNCTION("""COMPUTED_VALUE"""),467.0)</f>
        <v>467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IFERROR(__xludf.DUMMYFUNCTION("""COMPUTED_VALUE"""),"Строение стебля, ствола")</f>
        <v>Строение стебля, ствола</v>
      </c>
      <c r="B69" s="1">
        <f>IFERROR(__xludf.DUMMYFUNCTION("""COMPUTED_VALUE"""),68.0)</f>
        <v>68</v>
      </c>
      <c r="C69" s="1" t="str">
        <f>IFERROR(__xludf.DUMMYFUNCTION("""COMPUTED_VALUE"""),"Перья")</f>
        <v>Перья</v>
      </c>
      <c r="D69" s="1">
        <f>IFERROR(__xludf.DUMMYFUNCTION("""COMPUTED_VALUE"""),169.0)</f>
        <v>169</v>
      </c>
      <c r="E69" s="1" t="str">
        <f>IFERROR(__xludf.DUMMYFUNCTION("""COMPUTED_VALUE"""),"Высшая нервная деятельность")</f>
        <v>Высшая нервная деятельность</v>
      </c>
      <c r="F69" s="1">
        <f>IFERROR(__xludf.DUMMYFUNCTION("""COMPUTED_VALUE"""),270.0)</f>
        <v>270</v>
      </c>
      <c r="G69" s="1" t="str">
        <f>IFERROR(__xludf.DUMMYFUNCTION("""COMPUTED_VALUE"""),"Родословные")</f>
        <v>Родословные</v>
      </c>
      <c r="H69" s="1">
        <f>IFERROR(__xludf.DUMMYFUNCTION("""COMPUTED_VALUE"""),369.0)</f>
        <v>369</v>
      </c>
      <c r="I69" s="1" t="str">
        <f>IFERROR(__xludf.DUMMYFUNCTION("""COMPUTED_VALUE"""),"Множественный аллелизм")</f>
        <v>Множественный аллелизм</v>
      </c>
      <c r="J69" s="1">
        <f>IFERROR(__xludf.DUMMYFUNCTION("""COMPUTED_VALUE"""),468.0)</f>
        <v>468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IFERROR(__xludf.DUMMYFUNCTION("""COMPUTED_VALUE"""),"Транспирация")</f>
        <v>Транспирация</v>
      </c>
      <c r="B70" s="1">
        <f>IFERROR(__xludf.DUMMYFUNCTION("""COMPUTED_VALUE"""),69.0)</f>
        <v>69</v>
      </c>
      <c r="C70" s="1" t="str">
        <f>IFERROR(__xludf.DUMMYFUNCTION("""COMPUTED_VALUE"""),"Внешнее строение млекопитающих")</f>
        <v>Внешнее строение млекопитающих</v>
      </c>
      <c r="D70" s="1">
        <f>IFERROR(__xludf.DUMMYFUNCTION("""COMPUTED_VALUE"""),170.0)</f>
        <v>170</v>
      </c>
      <c r="E70" s="1" t="str">
        <f>IFERROR(__xludf.DUMMYFUNCTION("""COMPUTED_VALUE"""),"Строение анализатора")</f>
        <v>Строение анализатора</v>
      </c>
      <c r="F70" s="1">
        <f>IFERROR(__xludf.DUMMYFUNCTION("""COMPUTED_VALUE"""),271.0)</f>
        <v>271</v>
      </c>
      <c r="G70" s="1" t="str">
        <f>IFERROR(__xludf.DUMMYFUNCTION("""COMPUTED_VALUE"""),"Методы селекции и биотехнологии")</f>
        <v>Методы селекции и биотехнологии</v>
      </c>
      <c r="H70" s="1">
        <f>IFERROR(__xludf.DUMMYFUNCTION("""COMPUTED_VALUE"""),370.0)</f>
        <v>370</v>
      </c>
      <c r="I70" s="1" t="str">
        <f>IFERROR(__xludf.DUMMYFUNCTION("""COMPUTED_VALUE"""),"Первичноротые и вторичноротые")</f>
        <v>Первичноротые и вторичноротые</v>
      </c>
      <c r="J70" s="1">
        <f>IFERROR(__xludf.DUMMYFUNCTION("""COMPUTED_VALUE"""),469.0)</f>
        <v>469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IFERROR(__xludf.DUMMYFUNCTION("""COMPUTED_VALUE"""),"Агроприемы")</f>
        <v>Агроприемы</v>
      </c>
      <c r="B71" s="1">
        <f>IFERROR(__xludf.DUMMYFUNCTION("""COMPUTED_VALUE"""),70.0)</f>
        <v>70</v>
      </c>
      <c r="C71" s="1" t="str">
        <f>IFERROR(__xludf.DUMMYFUNCTION("""COMPUTED_VALUE"""),"Внутренние строение млекопитающих")</f>
        <v>Внутренние строение млекопитающих</v>
      </c>
      <c r="D71" s="1">
        <f>IFERROR(__xludf.DUMMYFUNCTION("""COMPUTED_VALUE"""),171.0)</f>
        <v>171</v>
      </c>
      <c r="E71" s="1" t="str">
        <f>IFERROR(__xludf.DUMMYFUNCTION("""COMPUTED_VALUE"""),"Строение глаза")</f>
        <v>Строение глаза</v>
      </c>
      <c r="F71" s="1">
        <f>IFERROR(__xludf.DUMMYFUNCTION("""COMPUTED_VALUE"""),272.0)</f>
        <v>272</v>
      </c>
      <c r="G71" s="1" t="str">
        <f>IFERROR(__xludf.DUMMYFUNCTION("""COMPUTED_VALUE"""),"Плазматическая мембрана")</f>
        <v>Плазматическая мембрана</v>
      </c>
      <c r="H71" s="1">
        <f>IFERROR(__xludf.DUMMYFUNCTION("""COMPUTED_VALUE"""),371.0)</f>
        <v>371</v>
      </c>
      <c r="I71" s="1" t="str">
        <f>IFERROR(__xludf.DUMMYFUNCTION("""COMPUTED_VALUE"""),"Прямое и непрямое развитие")</f>
        <v>Прямое и непрямое развитие</v>
      </c>
      <c r="J71" s="1">
        <f>IFERROR(__xludf.DUMMYFUNCTION("""COMPUTED_VALUE"""),470.0)</f>
        <v>470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IFERROR(__xludf.DUMMYFUNCTION("""COMPUTED_VALUE"""),"Удобрения")</f>
        <v>Удобрения</v>
      </c>
      <c r="B72" s="1">
        <f>IFERROR(__xludf.DUMMYFUNCTION("""COMPUTED_VALUE"""),71.0)</f>
        <v>71</v>
      </c>
      <c r="C72" s="1" t="str">
        <f>IFERROR(__xludf.DUMMYFUNCTION("""COMPUTED_VALUE"""),"Разнообразие млекопитающих (отряды, классификация)")</f>
        <v>Разнообразие млекопитающих (отряды, классификация)</v>
      </c>
      <c r="D72" s="1">
        <f>IFERROR(__xludf.DUMMYFUNCTION("""COMPUTED_VALUE"""),172.0)</f>
        <v>172</v>
      </c>
      <c r="E72" s="1" t="str">
        <f>IFERROR(__xludf.DUMMYFUNCTION("""COMPUTED_VALUE"""),"Строение уха, органа равновесия")</f>
        <v>Строение уха, органа равновесия</v>
      </c>
      <c r="F72" s="1">
        <f>IFERROR(__xludf.DUMMYFUNCTION("""COMPUTED_VALUE"""),273.0)</f>
        <v>273</v>
      </c>
      <c r="G72" s="1" t="str">
        <f>IFERROR(__xludf.DUMMYFUNCTION("""COMPUTED_VALUE"""),"Клеточная стенка ")</f>
        <v>Клеточная стенка </v>
      </c>
      <c r="H72" s="1">
        <f>IFERROR(__xludf.DUMMYFUNCTION("""COMPUTED_VALUE"""),372.0)</f>
        <v>372</v>
      </c>
      <c r="I72" s="1" t="str">
        <f>IFERROR(__xludf.DUMMYFUNCTION("""COMPUTED_VALUE"""),"Бактериальные заболевания")</f>
        <v>Бактериальные заболевания</v>
      </c>
      <c r="J72" s="1">
        <f>IFERROR(__xludf.DUMMYFUNCTION("""COMPUTED_VALUE"""),471.0)</f>
        <v>471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IFERROR(__xludf.DUMMYFUNCTION("""COMPUTED_VALUE"""),"Тропизмы")</f>
        <v>Тропизмы</v>
      </c>
      <c r="B73" s="1">
        <f>IFERROR(__xludf.DUMMYFUNCTION("""COMPUTED_VALUE"""),72.0)</f>
        <v>72</v>
      </c>
      <c r="C73" s="1" t="str">
        <f>IFERROR(__xludf.DUMMYFUNCTION("""COMPUTED_VALUE"""),"Экологические группы млекопитающих")</f>
        <v>Экологические группы млекопитающих</v>
      </c>
      <c r="D73" s="1">
        <f>IFERROR(__xludf.DUMMYFUNCTION("""COMPUTED_VALUE"""),173.0)</f>
        <v>173</v>
      </c>
      <c r="E73" s="1" t="str">
        <f>IFERROR(__xludf.DUMMYFUNCTION("""COMPUTED_VALUE"""),"Строение органа вкуса, обоняния")</f>
        <v>Строение органа вкуса, обоняния</v>
      </c>
      <c r="F73" s="1">
        <f>IFERROR(__xludf.DUMMYFUNCTION("""COMPUTED_VALUE"""),274.0)</f>
        <v>274</v>
      </c>
      <c r="G73" s="1" t="str">
        <f>IFERROR(__xludf.DUMMYFUNCTION("""COMPUTED_VALUE"""),"Антипараллельность")</f>
        <v>Антипараллельность</v>
      </c>
      <c r="H73" s="1">
        <f>IFERROR(__xludf.DUMMYFUNCTION("""COMPUTED_VALUE"""),373.0)</f>
        <v>373</v>
      </c>
      <c r="I73" s="1" t="str">
        <f>IFERROR(__xludf.DUMMYFUNCTION("""COMPUTED_VALUE"""),"Значение кишечнополостных")</f>
        <v>Значение кишечнополостных</v>
      </c>
      <c r="J73" s="1">
        <f>IFERROR(__xludf.DUMMYFUNCTION("""COMPUTED_VALUE"""),472.0)</f>
        <v>472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IFERROR(__xludf.DUMMYFUNCTION("""COMPUTED_VALUE"""),"Листопад")</f>
        <v>Листопад</v>
      </c>
      <c r="B74" s="1">
        <f>IFERROR(__xludf.DUMMYFUNCTION("""COMPUTED_VALUE"""),73.0)</f>
        <v>73</v>
      </c>
      <c r="C74" s="1" t="str">
        <f>IFERROR(__xludf.DUMMYFUNCTION("""COMPUTED_VALUE"""),"Эволюция систем животных")</f>
        <v>Эволюция систем животных</v>
      </c>
      <c r="D74" s="1">
        <f>IFERROR(__xludf.DUMMYFUNCTION("""COMPUTED_VALUE"""),174.0)</f>
        <v>174</v>
      </c>
      <c r="E74" s="1" t="str">
        <f>IFERROR(__xludf.DUMMYFUNCTION("""COMPUTED_VALUE"""),"Заболевания органов чувств")</f>
        <v>Заболевания органов чувств</v>
      </c>
      <c r="F74" s="1">
        <f>IFERROR(__xludf.DUMMYFUNCTION("""COMPUTED_VALUE"""),275.0)</f>
        <v>275</v>
      </c>
      <c r="G74" s="1" t="str">
        <f>IFERROR(__xludf.DUMMYFUNCTION("""COMPUTED_VALUE"""),"Бинарное деление клетки")</f>
        <v>Бинарное деление клетки</v>
      </c>
      <c r="H74" s="1">
        <f>IFERROR(__xludf.DUMMYFUNCTION("""COMPUTED_VALUE"""),374.0)</f>
        <v>374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IFERROR(__xludf.DUMMYFUNCTION("""COMPUTED_VALUE"""),"Физиология растений")</f>
        <v>Физиология растений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IFERROR(__xludf.DUMMYFUNCTION("""COMPUTED_VALUE"""),"Оказание первой помощи")</f>
        <v>Оказание первой помощи</v>
      </c>
      <c r="F75" s="1">
        <f>IFERROR(__xludf.DUMMYFUNCTION("""COMPUTED_VALUE"""),276.0)</f>
        <v>276</v>
      </c>
      <c r="G75" s="1" t="str">
        <f>IFERROR(__xludf.DUMMYFUNCTION("""COMPUTED_VALUE"""),"Кроссинговер между Х и У хромосомами")</f>
        <v>Кроссинговер между Х и У хромосомами</v>
      </c>
      <c r="H75" s="1">
        <f>IFERROR(__xludf.DUMMYFUNCTION("""COMPUTED_VALUE"""),375.0)</f>
        <v>375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IFERROR(__xludf.DUMMYFUNCTION("""COMPUTED_VALUE"""),"Виды вегетативного размножения растений")</f>
        <v>Виды вегетативного размножения растений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IFERROR(__xludf.DUMMYFUNCTION("""COMPUTED_VALUE"""),"Половая система")</f>
        <v>Половая система</v>
      </c>
      <c r="F76" s="1">
        <f>IFERROR(__xludf.DUMMYFUNCTION("""COMPUTED_VALUE"""),277.0)</f>
        <v>277</v>
      </c>
      <c r="G76" s="1" t="str">
        <f>IFERROR(__xludf.DUMMYFUNCTION("""COMPUTED_VALUE"""),"Лабораторные инструменты и посуда")</f>
        <v>Лабораторные инструменты и посуда</v>
      </c>
      <c r="H76" s="1">
        <f>IFERROR(__xludf.DUMMYFUNCTION("""COMPUTED_VALUE"""),376.0)</f>
        <v>376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IFERROR(__xludf.DUMMYFUNCTION("""COMPUTED_VALUE"""),"Гигиена здоровья")</f>
        <v>Гигиена здоровья</v>
      </c>
      <c r="F77" s="1">
        <f>IFERROR(__xludf.DUMMYFUNCTION("""COMPUTED_VALUE"""),278.0)</f>
        <v>278</v>
      </c>
      <c r="G77" s="1" t="str">
        <f>IFERROR(__xludf.DUMMYFUNCTION("""COMPUTED_VALUE"""),"Медицинские приборы")</f>
        <v>Медицинские приборы</v>
      </c>
      <c r="H77" s="1">
        <f>IFERROR(__xludf.DUMMYFUNCTION("""COMPUTED_VALUE"""),377.0)</f>
        <v>377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