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IFERROR(__xludf.DUMMYFUNCTION("IMPORTRANGE(""https://docs.google.com/spreadsheets/d/1vmw03XSjxxlz1EBW_EfdG0S23ixVPn57ffzYUoXOmUA/edit#gid=0"",""УМИТЫ!A:Z"")")," Кинематика")</f>
        <v> Кинематика</v>
      </c>
      <c r="B1" s="1"/>
      <c r="C1" s="1" t="str">
        <f>IFERROR(__xludf.DUMMYFUNCTION("""COMPUTED_VALUE"""),"Динамика")</f>
        <v>Динамика</v>
      </c>
      <c r="D1" s="1"/>
      <c r="E1" s="1" t="str">
        <f>IFERROR(__xludf.DUMMYFUNCTION("""COMPUTED_VALUE"""),"Статика, гидростатика")</f>
        <v>Статика, гидростатика</v>
      </c>
      <c r="F1" s="1"/>
      <c r="G1" s="1" t="str">
        <f>IFERROR(__xludf.DUMMYFUNCTION("""COMPUTED_VALUE"""),"Законы сохранения")</f>
        <v>Законы сохранения</v>
      </c>
      <c r="H1" s="1"/>
      <c r="I1" s="1" t="str">
        <f>IFERROR(__xludf.DUMMYFUNCTION("""COMPUTED_VALUE"""),"Механические колебания и волны")</f>
        <v>Механические колебания и волны</v>
      </c>
      <c r="J1" s="1"/>
      <c r="K1" s="1" t="str">
        <f>IFERROR(__xludf.DUMMYFUNCTION("""COMPUTED_VALUE"""),"Молекулярная физика и термодинамика")</f>
        <v>Молекулярная физика и термодинамика</v>
      </c>
      <c r="L1" s="1"/>
      <c r="M1" s="1" t="str">
        <f>IFERROR(__xludf.DUMMYFUNCTION("""COMPUTED_VALUE"""),"Электростатика")</f>
        <v>Электростатика</v>
      </c>
      <c r="N1" s="1"/>
      <c r="O1" s="1" t="str">
        <f>IFERROR(__xludf.DUMMYFUNCTION("""COMPUTED_VALUE"""),"Законы постоянного тока")</f>
        <v>Законы постоянного тока</v>
      </c>
      <c r="P1" s="1"/>
      <c r="Q1" s="1" t="str">
        <f>IFERROR(__xludf.DUMMYFUNCTION("""COMPUTED_VALUE"""),"Магнитное поле")</f>
        <v>Магнитное поле</v>
      </c>
      <c r="R1" s="1"/>
      <c r="S1" s="1" t="str">
        <f>IFERROR(__xludf.DUMMYFUNCTION("""COMPUTED_VALUE"""),"Электромагнитные колебания и волны")</f>
        <v>Электромагнитные колебания и волны</v>
      </c>
      <c r="T1" s="1"/>
      <c r="U1" s="1" t="str">
        <f>IFERROR(__xludf.DUMMYFUNCTION("""COMPUTED_VALUE"""),"Оптика")</f>
        <v>Оптика</v>
      </c>
      <c r="V1" s="1"/>
      <c r="W1" s="1" t="str">
        <f>IFERROR(__xludf.DUMMYFUNCTION("""COMPUTED_VALUE"""),"Квантовая физика, ядерная физика, СТО")</f>
        <v>Квантовая физика, ядерная физика, СТО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IFERROR(__xludf.DUMMYFUNCTION("""COMPUTED_VALUE"""),"Траектория, путь, перемещение тела")</f>
        <v>Траектория, путь, перемещение тела</v>
      </c>
      <c r="B2" s="1">
        <f>IFERROR(__xludf.DUMMYFUNCTION("""COMPUTED_VALUE"""),3.0)</f>
        <v>3</v>
      </c>
      <c r="C2" s="1" t="str">
        <f>IFERROR(__xludf.DUMMYFUNCTION("""COMPUTED_VALUE"""),"Масса. Инертность. Формула массы через плотность и объем")</f>
        <v>Масса. Инертность. Формула массы через плотность и объем</v>
      </c>
      <c r="D2" s="1">
        <f>IFERROR(__xludf.DUMMYFUNCTION("""COMPUTED_VALUE"""),101.0)</f>
        <v>101</v>
      </c>
      <c r="E2" s="1" t="str">
        <f>IFERROR(__xludf.DUMMYFUNCTION("""COMPUTED_VALUE"""),"Момент силы относительно  точки или оси вращения")</f>
        <v>Момент силы относительно  точки или оси вращения</v>
      </c>
      <c r="F2" s="1">
        <f>IFERROR(__xludf.DUMMYFUNCTION("""COMPUTED_VALUE"""),202.0)</f>
        <v>202</v>
      </c>
      <c r="G2" s="1" t="str">
        <f>IFERROR(__xludf.DUMMYFUNCTION("""COMPUTED_VALUE"""),"Импульс тела и системы тел по определению, изменение импульса")</f>
        <v>Импульс тела и системы тел по определению, изменение импульса</v>
      </c>
      <c r="H2" s="1">
        <f>IFERROR(__xludf.DUMMYFUNCTION("""COMPUTED_VALUE"""),301.0)</f>
        <v>301</v>
      </c>
      <c r="I2" s="1" t="str">
        <f>IFERROR(__xludf.DUMMYFUNCTION("""COMPUTED_VALUE"""),"Амплитуда, период, частота, циклическая частота, фаза колебаний, их связи")</f>
        <v>Амплитуда, период, частота, циклическая частота, фаза колебаний, их связи</v>
      </c>
      <c r="J2" s="1">
        <f>IFERROR(__xludf.DUMMYFUNCTION("""COMPUTED_VALUE"""),402.0)</f>
        <v>402</v>
      </c>
      <c r="K2" s="1" t="str">
        <f>IFERROR(__xludf.DUMMYFUNCTION("""COMPUTED_VALUE"""),"Агрегатные состояния вещества. Модели строения газов, жидкостей и твёрдых тел")</f>
        <v>Агрегатные состояния вещества. Модели строения газов, жидкостей и твёрдых тел</v>
      </c>
      <c r="L2" s="1">
        <f>IFERROR(__xludf.DUMMYFUNCTION("""COMPUTED_VALUE"""),501.0)</f>
        <v>501</v>
      </c>
      <c r="M2" s="1" t="str">
        <f>IFERROR(__xludf.DUMMYFUNCTION("""COMPUTED_VALUE"""),"Виды зарядов, элементарный заряд, закон сохранения заряда")</f>
        <v>Виды зарядов, элементарный заряд, закон сохранения заряда</v>
      </c>
      <c r="N2" s="1">
        <f>IFERROR(__xludf.DUMMYFUNCTION("""COMPUTED_VALUE"""),602.0)</f>
        <v>602</v>
      </c>
      <c r="O2" s="1" t="str">
        <f>IFERROR(__xludf.DUMMYFUNCTION("""COMPUTED_VALUE"""),"Постоянный электрический ток, сила тока по модулю и направлению")</f>
        <v>Постоянный электрический ток, сила тока по модулю и направлению</v>
      </c>
      <c r="P2" s="1">
        <f>IFERROR(__xludf.DUMMYFUNCTION("""COMPUTED_VALUE"""),703.0)</f>
        <v>703</v>
      </c>
      <c r="Q2" s="1" t="str">
        <f>IFERROR(__xludf.DUMMYFUNCTION("""COMPUTED_VALUE"""),"Магниты. Правило взаимодействия постоянных магнитов")</f>
        <v>Магниты. Правило взаимодействия постоянных магнитов</v>
      </c>
      <c r="R2" s="1">
        <f>IFERROR(__xludf.DUMMYFUNCTION("""COMPUTED_VALUE"""),801.0)</f>
        <v>801</v>
      </c>
      <c r="S2" s="1" t="str">
        <f>IFERROR(__xludf.DUMMYFUNCTION("""COMPUTED_VALUE"""),"Свободные электромагнитные колебания. Колебательный контур")</f>
        <v>Свободные электромагнитные колебания. Колебательный контур</v>
      </c>
      <c r="T2" s="1">
        <f>IFERROR(__xludf.DUMMYFUNCTION("""COMPUTED_VALUE"""),901.0)</f>
        <v>901</v>
      </c>
      <c r="U2" s="1" t="str">
        <f>IFERROR(__xludf.DUMMYFUNCTION("""COMPUTED_VALUE"""),"Тень. Полутень ")</f>
        <v>Тень. Полутень </v>
      </c>
      <c r="V2" s="1">
        <f>IFERROR(__xludf.DUMMYFUNCTION("""COMPUTED_VALUE"""),1002.0)</f>
        <v>1002</v>
      </c>
      <c r="W2" s="1" t="str">
        <f>IFERROR(__xludf.DUMMYFUNCTION("""COMPUTED_VALUE"""),"Характеристики фотона, его скорость, длина волны, частота, энергия, импульс")</f>
        <v>Характеристики фотона, его скорость, длина волны, частота, энергия, импульс</v>
      </c>
      <c r="X2" s="1">
        <f>IFERROR(__xludf.DUMMYFUNCTION("""COMPUTED_VALUE"""),1102.0)</f>
        <v>1102</v>
      </c>
      <c r="Y2" s="1" t="str">
        <f>IFERROR(__xludf.DUMMYFUNCTION("""COMPUTED_VALUE"""),"Перевод величин в СИ")</f>
        <v>Перевод величин в СИ</v>
      </c>
      <c r="Z2" s="1">
        <f>IFERROR(__xludf.DUMMYFUNCTION("""COMPUTED_VALUE"""),1201.0)</f>
        <v>1201</v>
      </c>
    </row>
    <row r="3">
      <c r="A3" s="1" t="str">
        <f>IFERROR(__xludf.DUMMYFUNCTION("""COMPUTED_VALUE"""),"Проекции векторных величин на заданные оси")</f>
        <v>Проекции векторных величин на заданные оси</v>
      </c>
      <c r="B3" s="1">
        <f>IFERROR(__xludf.DUMMYFUNCTION("""COMPUTED_VALUE"""),5.0)</f>
        <v>5</v>
      </c>
      <c r="C3" s="1" t="str">
        <f>IFERROR(__xludf.DUMMYFUNCTION("""COMPUTED_VALUE"""),"Равнодействующая сила. Принцип суперпозиции сил")</f>
        <v>Равнодействующая сила. Принцип суперпозиции сил</v>
      </c>
      <c r="D3" s="1">
        <f>IFERROR(__xludf.DUMMYFUNCTION("""COMPUTED_VALUE"""),103.0)</f>
        <v>103</v>
      </c>
      <c r="E3" s="1" t="str">
        <f>IFERROR(__xludf.DUMMYFUNCTION("""COMPUTED_VALUE"""),"Вращение тела вокруг оси, правило моментов")</f>
        <v>Вращение тела вокруг оси, правило моментов</v>
      </c>
      <c r="F3" s="1">
        <f>IFERROR(__xludf.DUMMYFUNCTION("""COMPUTED_VALUE"""),204.0)</f>
        <v>204</v>
      </c>
      <c r="G3" s="1" t="str">
        <f>IFERROR(__xludf.DUMMYFUNCTION("""COMPUTED_VALUE"""),"Закон сохранения импульса для тела или системы тел")</f>
        <v>Закон сохранения импульса для тела или системы тел</v>
      </c>
      <c r="H3" s="1">
        <f>IFERROR(__xludf.DUMMYFUNCTION("""COMPUTED_VALUE"""),303.0)</f>
        <v>303</v>
      </c>
      <c r="I3" s="1" t="str">
        <f>IFERROR(__xludf.DUMMYFUNCTION("""COMPUTED_VALUE"""),"Уравнения колебаний координаты, скорости, ускорения, связь через производные")</f>
        <v>Уравнения колебаний координаты, скорости, ускорения, связь через производные</v>
      </c>
      <c r="J3" s="1">
        <f>IFERROR(__xludf.DUMMYFUNCTION("""COMPUTED_VALUE"""),405.0)</f>
        <v>405</v>
      </c>
      <c r="K3" s="1" t="str">
        <f>IFERROR(__xludf.DUMMYFUNCTION("""COMPUTED_VALUE"""),"Взаимодействие молекул, броуновское движение, диффузия")</f>
        <v>Взаимодействие молекул, броуновское движение, диффузия</v>
      </c>
      <c r="L3" s="1">
        <f>IFERROR(__xludf.DUMMYFUNCTION("""COMPUTED_VALUE"""),503.0)</f>
        <v>503</v>
      </c>
      <c r="M3" s="1" t="str">
        <f>IFERROR(__xludf.DUMMYFUNCTION("""COMPUTED_VALUE"""),"Точечные заряды. Закон Кулона")</f>
        <v>Точечные заряды. Закон Кулона</v>
      </c>
      <c r="N3" s="1">
        <f>IFERROR(__xludf.DUMMYFUNCTION("""COMPUTED_VALUE"""),604.0)</f>
        <v>604</v>
      </c>
      <c r="O3" s="1" t="str">
        <f>IFERROR(__xludf.DUMMYFUNCTION("""COMPUTED_VALUE"""),"Электрическое сопротивление. Зависимость сопротивления однородного проводника от его длины и сечения. Удельное электрическое сопротивление")</f>
        <v>Электрическое сопротивление. Зависимость сопротивления однородного проводника от его длины и сечения. Удельное электрическое сопротивление</v>
      </c>
      <c r="P3" s="1">
        <f>IFERROR(__xludf.DUMMYFUNCTION("""COMPUTED_VALUE"""),706.0)</f>
        <v>706</v>
      </c>
      <c r="Q3" s="1" t="str">
        <f>IFERROR(__xludf.DUMMYFUNCTION("""COMPUTED_VALUE"""),"Магнитное поле, его силовые линии, магнитная индукция")</f>
        <v>Магнитное поле, его силовые линии, магнитная индукция</v>
      </c>
      <c r="R3" s="1">
        <f>IFERROR(__xludf.DUMMYFUNCTION("""COMPUTED_VALUE"""),803.0)</f>
        <v>803</v>
      </c>
      <c r="S3" s="1" t="str">
        <f>IFERROR(__xludf.DUMMYFUNCTION("""COMPUTED_VALUE"""),"Уравнения, описывающие колебания в колебательном контуре и их связь")</f>
        <v>Уравнения, описывающие колебания в колебательном контуре и их связь</v>
      </c>
      <c r="T3" s="1">
        <f>IFERROR(__xludf.DUMMYFUNCTION("""COMPUTED_VALUE"""),902.0)</f>
        <v>902</v>
      </c>
      <c r="U3" s="1" t="str">
        <f>IFERROR(__xludf.DUMMYFUNCTION("""COMPUTED_VALUE"""),"Закон отражения света")</f>
        <v>Закон отражения света</v>
      </c>
      <c r="V3" s="1">
        <f>IFERROR(__xludf.DUMMYFUNCTION("""COMPUTED_VALUE"""),1003.0)</f>
        <v>1003</v>
      </c>
      <c r="W3" s="1" t="str">
        <f>IFERROR(__xludf.DUMMYFUNCTION("""COMPUTED_VALUE"""),"Запирающее напряжение, формула связи с кинетической энергией")</f>
        <v>Запирающее напряжение, формула связи с кинетической энергией</v>
      </c>
      <c r="X3" s="1">
        <f>IFERROR(__xludf.DUMMYFUNCTION("""COMPUTED_VALUE"""),1104.0)</f>
        <v>1104</v>
      </c>
      <c r="Y3" s="1" t="str">
        <f>IFERROR(__xludf.DUMMYFUNCTION("""COMPUTED_VALUE"""),"Определять характер физического процесса по графику, таблице, формуле")</f>
        <v>Определять характер физического процесса по графику, таблице, формуле</v>
      </c>
      <c r="Z3" s="1">
        <f>IFERROR(__xludf.DUMMYFUNCTION("""COMPUTED_VALUE"""),1202.0)</f>
        <v>1202</v>
      </c>
    </row>
    <row r="4">
      <c r="A4" s="1" t="str">
        <f>IFERROR(__xludf.DUMMYFUNCTION("""COMPUTED_VALUE"""),"Относительность траектории, перемещения, скорости")</f>
        <v>Относительность траектории, перемещения, скорости</v>
      </c>
      <c r="B4" s="1">
        <f>IFERROR(__xludf.DUMMYFUNCTION("""COMPUTED_VALUE"""),7.0)</f>
        <v>7</v>
      </c>
      <c r="C4" s="1" t="str">
        <f>IFERROR(__xludf.DUMMYFUNCTION("""COMPUTED_VALUE"""),"Второй закон Ньютона.")</f>
        <v>Второй закон Ньютона.</v>
      </c>
      <c r="D4" s="1">
        <f>IFERROR(__xludf.DUMMYFUNCTION("""COMPUTED_VALUE"""),106.0)</f>
        <v>106</v>
      </c>
      <c r="E4" s="1" t="str">
        <f>IFERROR(__xludf.DUMMYFUNCTION("""COMPUTED_VALUE"""),"Погружение тела в среду, сила Архимеда")</f>
        <v>Погружение тела в среду, сила Архимеда</v>
      </c>
      <c r="F4" s="1">
        <f>IFERROR(__xludf.DUMMYFUNCTION("""COMPUTED_VALUE"""),207.0)</f>
        <v>207</v>
      </c>
      <c r="G4" s="1" t="str">
        <f>IFERROR(__xludf.DUMMYFUNCTION("""COMPUTED_VALUE"""),"Второй закон Ньютона в импульсном виде, импульс силы")</f>
        <v>Второй закон Ньютона в импульсном виде, импульс силы</v>
      </c>
      <c r="H4" s="1">
        <f>IFERROR(__xludf.DUMMYFUNCTION("""COMPUTED_VALUE"""),304.0)</f>
        <v>304</v>
      </c>
      <c r="I4" s="1" t="str">
        <f>IFERROR(__xludf.DUMMYFUNCTION("""COMPUTED_VALUE"""),"Динамическое описание колебаний")</f>
        <v>Динамическое описание колебаний</v>
      </c>
      <c r="J4" s="1">
        <f>IFERROR(__xludf.DUMMYFUNCTION("""COMPUTED_VALUE"""),407.0)</f>
        <v>407</v>
      </c>
      <c r="K4" s="1" t="str">
        <f>IFERROR(__xludf.DUMMYFUNCTION("""COMPUTED_VALUE"""),"Тепловое равновесие. Равенство температуры системы при тепловом равновесии")</f>
        <v>Тепловое равновесие. Равенство температуры системы при тепловом равновесии</v>
      </c>
      <c r="L4" s="1">
        <f>IFERROR(__xludf.DUMMYFUNCTION("""COMPUTED_VALUE"""),506.0)</f>
        <v>506</v>
      </c>
      <c r="M4" s="1" t="str">
        <f>IFERROR(__xludf.DUMMYFUNCTION("""COMPUTED_VALUE"""),"Электрическое поле. Его действие на электрические заряды.Электрическая сила")</f>
        <v>Электрическое поле. Его действие на электрические заряды.Электрическая сила</v>
      </c>
      <c r="N4" s="1">
        <f>IFERROR(__xludf.DUMMYFUNCTION("""COMPUTED_VALUE"""),605.0)</f>
        <v>605</v>
      </c>
      <c r="O4" s="1" t="str">
        <f>IFERROR(__xludf.DUMMYFUNCTION("""COMPUTED_VALUE"""),"Источники тока. Сторонние силы. ЭДС и внутреннее сопротивление источника тока")</f>
        <v>Источники тока. Сторонние силы. ЭДС и внутреннее сопротивление источника тока</v>
      </c>
      <c r="P4" s="1">
        <f>IFERROR(__xludf.DUMMYFUNCTION("""COMPUTED_VALUE"""),707.0)</f>
        <v>707</v>
      </c>
      <c r="Q4" s="1" t="str">
        <f>IFERROR(__xludf.DUMMYFUNCTION("""COMPUTED_VALUE"""),"Принцип суперпозиции магнитных полей")</f>
        <v>Принцип суперпозиции магнитных полей</v>
      </c>
      <c r="R4" s="1">
        <f>IFERROR(__xludf.DUMMYFUNCTION("""COMPUTED_VALUE"""),804.0)</f>
        <v>804</v>
      </c>
      <c r="S4" s="1" t="str">
        <f>IFERROR(__xludf.DUMMYFUNCTION("""COMPUTED_VALUE"""),"Графики колебаний заряда, тока, напряжения, энергий от времени")</f>
        <v>Графики колебаний заряда, тока, напряжения, энергий от времени</v>
      </c>
      <c r="T4" s="1">
        <f>IFERROR(__xludf.DUMMYFUNCTION("""COMPUTED_VALUE"""),903.0)</f>
        <v>903</v>
      </c>
      <c r="U4" s="1" t="str">
        <f>IFERROR(__xludf.DUMMYFUNCTION("""COMPUTED_VALUE"""),"Плоское зеркало. Построение изображений в плоском зеркале")</f>
        <v>Плоское зеркало. Построение изображений в плоском зеркале</v>
      </c>
      <c r="V4" s="1">
        <f>IFERROR(__xludf.DUMMYFUNCTION("""COMPUTED_VALUE"""),1004.0)</f>
        <v>1004</v>
      </c>
      <c r="W4" s="1" t="str">
        <f>IFERROR(__xludf.DUMMYFUNCTION("""COMPUTED_VALUE"""),"Сила тока насыщения. Ее зависимость от интенсивности света (1 закон Столетова). График зависимости I(U)")</f>
        <v>Сила тока насыщения. Ее зависимость от интенсивности света (1 закон Столетова). График зависимости I(U)</v>
      </c>
      <c r="X4" s="1">
        <f>IFERROR(__xludf.DUMMYFUNCTION("""COMPUTED_VALUE"""),1105.0)</f>
        <v>1105</v>
      </c>
      <c r="Y4" s="1" t="str">
        <f>IFERROR(__xludf.DUMMYFUNCTION("""COMPUTED_VALUE"""),"Оценивать по формуле, графику  пропорциональность величин")</f>
        <v>Оценивать по формуле, графику  пропорциональность величин</v>
      </c>
      <c r="Z4" s="1">
        <f>IFERROR(__xludf.DUMMYFUNCTION("""COMPUTED_VALUE"""),1203.0)</f>
        <v>1203</v>
      </c>
    </row>
    <row r="5">
      <c r="A5" s="1" t="str">
        <f>IFERROR(__xludf.DUMMYFUNCTION("""COMPUTED_VALUE"""),"Равномерное прямолинейное движение. Скорость равномерного движения. Уравнения перемещения и координаты.")</f>
        <v>Равномерное прямолинейное движение. Скорость равномерного движения. Уравнения перемещения и координаты.</v>
      </c>
      <c r="B5" s="1">
        <f>IFERROR(__xludf.DUMMYFUNCTION("""COMPUTED_VALUE"""),8.0)</f>
        <v>8</v>
      </c>
      <c r="C5" s="1" t="str">
        <f>IFERROR(__xludf.DUMMYFUNCTION("""COMPUTED_VALUE"""),"Взаимодействие тел. Третий закон Ньютона")</f>
        <v>Взаимодействие тел. Третий закон Ньютона</v>
      </c>
      <c r="D5" s="1">
        <f>IFERROR(__xludf.DUMMYFUNCTION("""COMPUTED_VALUE"""),108.0)</f>
        <v>108</v>
      </c>
      <c r="E5" s="1" t="str">
        <f>IFERROR(__xludf.DUMMYFUNCTION("""COMPUTED_VALUE"""),"Условие плавания тела")</f>
        <v>Условие плавания тела</v>
      </c>
      <c r="F5" s="1">
        <f>IFERROR(__xludf.DUMMYFUNCTION("""COMPUTED_VALUE"""),210.0)</f>
        <v>210</v>
      </c>
      <c r="G5" s="1" t="str">
        <f>IFERROR(__xludf.DUMMYFUNCTION("""COMPUTED_VALUE"""),"Работа силы ")</f>
        <v>Работа силы </v>
      </c>
      <c r="H5" s="1">
        <f>IFERROR(__xludf.DUMMYFUNCTION("""COMPUTED_VALUE"""),305.0)</f>
        <v>305</v>
      </c>
      <c r="I5" s="1" t="str">
        <f>IFERROR(__xludf.DUMMYFUNCTION("""COMPUTED_VALUE"""),"Превращение энергии при колебаниях. Энергетическое описание (закон сохранения полной механической энергии)")</f>
        <v>Превращение энергии при колебаниях. Энергетическое описание (закон сохранения полной механической энергии)</v>
      </c>
      <c r="J5" s="1">
        <f>IFERROR(__xludf.DUMMYFUNCTION("""COMPUTED_VALUE"""),408.0)</f>
        <v>408</v>
      </c>
      <c r="K5" s="1" t="str">
        <f>IFERROR(__xludf.DUMMYFUNCTION("""COMPUTED_VALUE"""),"Основное уравнение МКТ")</f>
        <v>Основное уравнение МКТ</v>
      </c>
      <c r="L5" s="1">
        <f>IFERROR(__xludf.DUMMYFUNCTION("""COMPUTED_VALUE"""),508.0)</f>
        <v>508</v>
      </c>
      <c r="M5" s="1" t="str">
        <f>IFERROR(__xludf.DUMMYFUNCTION("""COMPUTED_VALUE"""),"Напряжённость электрического поля")</f>
        <v>Напряжённость электрического поля</v>
      </c>
      <c r="N5" s="1">
        <f>IFERROR(__xludf.DUMMYFUNCTION("""COMPUTED_VALUE"""),606.0)</f>
        <v>606</v>
      </c>
      <c r="O5" s="1" t="str">
        <f>IFERROR(__xludf.DUMMYFUNCTION("""COMPUTED_VALUE"""),"Закон Ома для участка цепи")</f>
        <v>Закон Ома для участка цепи</v>
      </c>
      <c r="P5" s="1">
        <f>IFERROR(__xludf.DUMMYFUNCTION("""COMPUTED_VALUE"""),708.0)</f>
        <v>708</v>
      </c>
      <c r="Q5" s="1" t="str">
        <f>IFERROR(__xludf.DUMMYFUNCTION("""COMPUTED_VALUE""")," Магнитное поле проводника с током, правило правой руки")</f>
        <v> Магнитное поле проводника с током, правило правой руки</v>
      </c>
      <c r="R5" s="1">
        <f>IFERROR(__xludf.DUMMYFUNCTION("""COMPUTED_VALUE"""),807.0)</f>
        <v>807</v>
      </c>
      <c r="S5" s="1" t="str">
        <f>IFERROR(__xludf.DUMMYFUNCTION("""COMPUTED_VALUE"""),"Собственная частота колебательного контура. Формула Томсона")</f>
        <v>Собственная частота колебательного контура. Формула Томсона</v>
      </c>
      <c r="T5" s="1">
        <f>IFERROR(__xludf.DUMMYFUNCTION("""COMPUTED_VALUE"""),904.0)</f>
        <v>904</v>
      </c>
      <c r="U5" s="1" t="str">
        <f>IFERROR(__xludf.DUMMYFUNCTION("""COMPUTED_VALUE"""),"Законы преломления света (закон Снеллиуса)")</f>
        <v>Законы преломления света (закон Снеллиуса)</v>
      </c>
      <c r="V5" s="1">
        <f>IFERROR(__xludf.DUMMYFUNCTION("""COMPUTED_VALUE"""),1005.0)</f>
        <v>1005</v>
      </c>
      <c r="W5" s="1" t="str">
        <f>IFERROR(__xludf.DUMMYFUNCTION("""COMPUTED_VALUE"""),"Зависимость кинетической энергии от частоты падающего света (2 закон Столетова). График зависимости кинетической энергии от частоты")</f>
        <v>Зависимость кинетической энергии от частоты падающего света (2 закон Столетова). График зависимости кинетической энергии от частоты</v>
      </c>
      <c r="X5" s="1">
        <f>IFERROR(__xludf.DUMMYFUNCTION("""COMPUTED_VALUE"""),1106.0)</f>
        <v>1106</v>
      </c>
      <c r="Y5" s="1" t="str">
        <f>IFERROR(__xludf.DUMMYFUNCTION("""COMPUTED_VALUE"""),"Снимать показания со шкалы прибора, представлять результаты измерений с учётом их погрешностей")</f>
        <v>Снимать показания со шкалы прибора, представлять результаты измерений с учётом их погрешностей</v>
      </c>
      <c r="Z5" s="1">
        <f>IFERROR(__xludf.DUMMYFUNCTION("""COMPUTED_VALUE"""),1204.0)</f>
        <v>1204</v>
      </c>
    </row>
    <row r="6">
      <c r="A6" s="1" t="str">
        <f>IFERROR(__xludf.DUMMYFUNCTION("""COMPUTED_VALUE"""),"Средняя путевая скорость")</f>
        <v>Средняя путевая скорость</v>
      </c>
      <c r="B6" s="1">
        <f>IFERROR(__xludf.DUMMYFUNCTION("""COMPUTED_VALUE"""),9.0)</f>
        <v>9</v>
      </c>
      <c r="C6" s="1" t="str">
        <f>IFERROR(__xludf.DUMMYFUNCTION("""COMPUTED_VALUE"""),"Сила трения покоя и скольжения, закон Кулона-Амонтона")</f>
        <v>Сила трения покоя и скольжения, закон Кулона-Амонтона</v>
      </c>
      <c r="D6" s="1">
        <f>IFERROR(__xludf.DUMMYFUNCTION("""COMPUTED_VALUE"""),109.0)</f>
        <v>109</v>
      </c>
      <c r="E6" s="1" t="str">
        <f>IFERROR(__xludf.DUMMYFUNCTION("""COMPUTED_VALUE"""),"Сообщающиеся сосуды")</f>
        <v>Сообщающиеся сосуды</v>
      </c>
      <c r="F6" s="1">
        <f>IFERROR(__xludf.DUMMYFUNCTION("""COMPUTED_VALUE"""),213.0)</f>
        <v>213</v>
      </c>
      <c r="G6" s="1" t="str">
        <f>IFERROR(__xludf.DUMMYFUNCTION("""COMPUTED_VALUE"""),"Механическая мощность")</f>
        <v>Механическая мощность</v>
      </c>
      <c r="H6" s="1">
        <f>IFERROR(__xludf.DUMMYFUNCTION("""COMPUTED_VALUE"""),308.0)</f>
        <v>308</v>
      </c>
      <c r="I6" s="1" t="str">
        <f>IFERROR(__xludf.DUMMYFUNCTION("""COMPUTED_VALUE"""),"Связь амплитуд координат, скорости, ускорения друг с другом")</f>
        <v>Связь амплитуд координат, скорости, ускорения друг с другом</v>
      </c>
      <c r="J6" s="1">
        <f>IFERROR(__xludf.DUMMYFUNCTION("""COMPUTED_VALUE"""),409.0)</f>
        <v>409</v>
      </c>
      <c r="K6" s="1" t="str">
        <f>IFERROR(__xludf.DUMMYFUNCTION("""COMPUTED_VALUE"""),"Абсолютная температура. Связь шкал Кельвина и Цельсия")</f>
        <v>Абсолютная температура. Связь шкал Кельвина и Цельсия</v>
      </c>
      <c r="L6" s="1">
        <f>IFERROR(__xludf.DUMMYFUNCTION("""COMPUTED_VALUE"""),509.0)</f>
        <v>509</v>
      </c>
      <c r="M6" s="1" t="str">
        <f>IFERROR(__xludf.DUMMYFUNCTION("""COMPUTED_VALUE"""),"Однородное и неоднородное поле. Поле между заряженными пластинами. Картины линий этих полей")</f>
        <v>Однородное и неоднородное поле. Поле между заряженными пластинами. Картины линий этих полей</v>
      </c>
      <c r="N6" s="1">
        <f>IFERROR(__xludf.DUMMYFUNCTION("""COMPUTED_VALUE"""),609.0)</f>
        <v>609</v>
      </c>
      <c r="O6" s="1" t="str">
        <f>IFERROR(__xludf.DUMMYFUNCTION("""COMPUTED_VALUE"""),"Графики зависимости I(U), I(R), q(t), I(t), наклон графика, площадь под ним")</f>
        <v>Графики зависимости I(U), I(R), q(t), I(t), наклон графика, площадь под ним</v>
      </c>
      <c r="P6" s="1">
        <f>IFERROR(__xludf.DUMMYFUNCTION("""COMPUTED_VALUE"""),709.0)</f>
        <v>709</v>
      </c>
      <c r="Q6" s="1" t="str">
        <f>IFERROR(__xludf.DUMMYFUNCTION("""COMPUTED_VALUE"""),"Взаимодействие параллельных проводников")</f>
        <v>Взаимодействие параллельных проводников</v>
      </c>
      <c r="R6" s="1">
        <f>IFERROR(__xludf.DUMMYFUNCTION("""COMPUTED_VALUE"""),810.0)</f>
        <v>810</v>
      </c>
      <c r="S6" s="1" t="str">
        <f>IFERROR(__xludf.DUMMYFUNCTION("""COMPUTED_VALUE"""),"Связь периода колебаний энергий и периода колебаний колебательного контура")</f>
        <v>Связь периода колебаний энергий и периода колебаний колебательного контура</v>
      </c>
      <c r="T6" s="1">
        <f>IFERROR(__xludf.DUMMYFUNCTION("""COMPUTED_VALUE"""),905.0)</f>
        <v>905</v>
      </c>
      <c r="U6" s="1" t="str">
        <f>IFERROR(__xludf.DUMMYFUNCTION("""COMPUTED_VALUE"""),"Абсолютный и относительный показатель преломления")</f>
        <v>Абсолютный и относительный показатель преломления</v>
      </c>
      <c r="V6" s="1">
        <f>IFERROR(__xludf.DUMMYFUNCTION("""COMPUTED_VALUE"""),1006.0)</f>
        <v>1006</v>
      </c>
      <c r="W6" s="1" t="str">
        <f>IFERROR(__xludf.DUMMYFUNCTION("""COMPUTED_VALUE"""),"Красная граница фотоэффекта. Условие начала фотоэффекта")</f>
        <v>Красная граница фотоэффекта. Условие начала фотоэффекта</v>
      </c>
      <c r="X6" s="1">
        <f>IFERROR(__xludf.DUMMYFUNCTION("""COMPUTED_VALUE"""),1107.0)</f>
        <v>1107</v>
      </c>
      <c r="Y6" s="1" t="str">
        <f>IFERROR(__xludf.DUMMYFUNCTION("""COMPUTED_VALUE"""),"Уметь находить погрешности прямых и косвенных измерений величин. Записывать результат с учетом погрешности")</f>
        <v>Уметь находить погрешности прямых и косвенных измерений величин. Записывать результат с учетом погрешности</v>
      </c>
      <c r="Z6" s="1">
        <f>IFERROR(__xludf.DUMMYFUNCTION("""COMPUTED_VALUE"""),1205.0)</f>
        <v>1205</v>
      </c>
    </row>
    <row r="7">
      <c r="A7" s="1" t="str">
        <f>IFERROR(__xludf.DUMMYFUNCTION("""COMPUTED_VALUE"""),"Связь перемещения с координатами начальной и конечной точки ")</f>
        <v>Связь перемещения с координатами начальной и конечной точки </v>
      </c>
      <c r="B7" s="1">
        <f>IFERROR(__xludf.DUMMYFUNCTION("""COMPUTED_VALUE"""),10.0)</f>
        <v>10</v>
      </c>
      <c r="C7" s="1" t="str">
        <f>IFERROR(__xludf.DUMMYFUNCTION("""COMPUTED_VALUE"""),"Независимость силы трения от площади соприкасающихся поверхностей")</f>
        <v>Независимость силы трения от площади соприкасающихся поверхностей</v>
      </c>
      <c r="D7" s="1">
        <f>IFERROR(__xludf.DUMMYFUNCTION("""COMPUTED_VALUE"""),110.0)</f>
        <v>110</v>
      </c>
      <c r="E7" s="1" t="str">
        <f>IFERROR(__xludf.DUMMYFUNCTION("""COMPUTED_VALUE"""),"Неподвижный и подвижный блок, системы блоков")</f>
        <v>Неподвижный и подвижный блок, системы блоков</v>
      </c>
      <c r="F7" s="1">
        <f>IFERROR(__xludf.DUMMYFUNCTION("""COMPUTED_VALUE"""),214.0)</f>
        <v>214</v>
      </c>
      <c r="G7" s="1" t="str">
        <f>IFERROR(__xludf.DUMMYFUNCTION("""COMPUTED_VALUE"""),"Кинетическая энергия материальной точки")</f>
        <v>Кинетическая энергия материальной точки</v>
      </c>
      <c r="H7" s="1">
        <f>IFERROR(__xludf.DUMMYFUNCTION("""COMPUTED_VALUE"""),310.0)</f>
        <v>310</v>
      </c>
      <c r="I7" s="1" t="str">
        <f>IFERROR(__xludf.DUMMYFUNCTION("""COMPUTED_VALUE"""),"Графики гармонических колебаний координаты, скорости, ускорения, силы, энергии")</f>
        <v>Графики гармонических колебаний координаты, скорости, ускорения, силы, энергии</v>
      </c>
      <c r="J7" s="1">
        <f>IFERROR(__xludf.DUMMYFUNCTION("""COMPUTED_VALUE"""),411.0)</f>
        <v>411</v>
      </c>
      <c r="K7" s="1" t="str">
        <f>IFERROR(__xludf.DUMMYFUNCTION("""COMPUTED_VALUE"""),"Связь температуры газа со средней кинетической энергией поступательного теплового движения его частиц")</f>
        <v>Связь температуры газа со средней кинетической энергией поступательного теплового движения его частиц</v>
      </c>
      <c r="L7" s="1">
        <f>IFERROR(__xludf.DUMMYFUNCTION("""COMPUTED_VALUE"""),510.0)</f>
        <v>510</v>
      </c>
      <c r="M7" s="1" t="str">
        <f>IFERROR(__xludf.DUMMYFUNCTION("""COMPUTED_VALUE"""),"Напряжение (разность потенциалов) в однородном и неоднородном электрическом поле")</f>
        <v>Напряжение (разность потенциалов) в однородном и неоднородном электрическом поле</v>
      </c>
      <c r="N7" s="1">
        <f>IFERROR(__xludf.DUMMYFUNCTION("""COMPUTED_VALUE"""),611.0)</f>
        <v>611</v>
      </c>
      <c r="O7" s="1" t="str">
        <f>IFERROR(__xludf.DUMMYFUNCTION("""COMPUTED_VALUE"""),"Закон Ома для полной (замкнутой) электрической цепи")</f>
        <v>Закон Ома для полной (замкнутой) электрической цепи</v>
      </c>
      <c r="P7" s="1">
        <f>IFERROR(__xludf.DUMMYFUNCTION("""COMPUTED_VALUE"""),710.0)</f>
        <v>710</v>
      </c>
      <c r="Q7" s="1" t="str">
        <f>IFERROR(__xludf.DUMMYFUNCTION("""COMPUTED_VALUE"""),"Сила Лоренца для частицы и сила Ампера для проводника")</f>
        <v>Сила Лоренца для частицы и сила Ампера для проводника</v>
      </c>
      <c r="R7" s="1">
        <f>IFERROR(__xludf.DUMMYFUNCTION("""COMPUTED_VALUE"""),811.0)</f>
        <v>811</v>
      </c>
      <c r="S7" s="1" t="str">
        <f>IFERROR(__xludf.DUMMYFUNCTION("""COMPUTED_VALUE"""),"Связь амплитуды заряда конденсатора с амплитудой силы тока")</f>
        <v>Связь амплитуды заряда конденсатора с амплитудой силы тока</v>
      </c>
      <c r="T7" s="1">
        <f>IFERROR(__xludf.DUMMYFUNCTION("""COMPUTED_VALUE"""),906.0)</f>
        <v>906</v>
      </c>
      <c r="U7" s="1" t="str">
        <f>IFERROR(__xludf.DUMMYFUNCTION("""COMPUTED_VALUE"""),"Ход лучей в плоскопараллельной пластине")</f>
        <v>Ход лучей в плоскопараллельной пластине</v>
      </c>
      <c r="V7" s="1">
        <f>IFERROR(__xludf.DUMMYFUNCTION("""COMPUTED_VALUE"""),1008.0)</f>
        <v>1008</v>
      </c>
      <c r="W7" s="1" t="str">
        <f>IFERROR(__xludf.DUMMYFUNCTION("""COMPUTED_VALUE"""),"Уравнение Эйнштейна для фотоэффекта")</f>
        <v>Уравнение Эйнштейна для фотоэффекта</v>
      </c>
      <c r="X7" s="1">
        <f>IFERROR(__xludf.DUMMYFUNCTION("""COMPUTED_VALUE"""),1109.0)</f>
        <v>1109</v>
      </c>
      <c r="Y7" s="1" t="str">
        <f>IFERROR(__xludf.DUMMYFUNCTION("""COMPUTED_VALUE"""),"Снимать необходимые данные с графиков, таблиц, диаграмм")</f>
        <v>Снимать необходимые данные с графиков, таблиц, диаграмм</v>
      </c>
      <c r="Z7" s="1">
        <f>IFERROR(__xludf.DUMMYFUNCTION("""COMPUTED_VALUE"""),1206.0)</f>
        <v>1206</v>
      </c>
    </row>
    <row r="8">
      <c r="A8" s="1" t="str">
        <f>IFERROR(__xludf.DUMMYFUNCTION("""COMPUTED_VALUE"""),"Нахождение расстояния между телами по  разности координат")</f>
        <v>Нахождение расстояния между телами по  разности координат</v>
      </c>
      <c r="B8" s="1">
        <f>IFERROR(__xludf.DUMMYFUNCTION("""COMPUTED_VALUE"""),11.0)</f>
        <v>11</v>
      </c>
      <c r="C8" s="1" t="str">
        <f>IFERROR(__xludf.DUMMYFUNCTION("""COMPUTED_VALUE"""),"Деформация тела, сила упругости, закон Гука")</f>
        <v>Деформация тела, сила упругости, закон Гука</v>
      </c>
      <c r="D8" s="1">
        <f>IFERROR(__xludf.DUMMYFUNCTION("""COMPUTED_VALUE"""),114.0)</f>
        <v>114</v>
      </c>
      <c r="E8" s="1" t="str">
        <f>IFERROR(__xludf.DUMMYFUNCTION("""COMPUTED_VALUE"""),"Давление столба жидкости, атмосферное давление")</f>
        <v>Давление столба жидкости, атмосферное давление</v>
      </c>
      <c r="F8" s="1">
        <f>IFERROR(__xludf.DUMMYFUNCTION("""COMPUTED_VALUE"""),217.0)</f>
        <v>217</v>
      </c>
      <c r="G8" s="1" t="str">
        <f>IFERROR(__xludf.DUMMYFUNCTION("""COMPUTED_VALUE"""),"Теорема о кинетической энергии")</f>
        <v>Теорема о кинетической энергии</v>
      </c>
      <c r="H8" s="1">
        <f>IFERROR(__xludf.DUMMYFUNCTION("""COMPUTED_VALUE"""),311.0)</f>
        <v>311</v>
      </c>
      <c r="I8" s="1" t="str">
        <f>IFERROR(__xludf.DUMMYFUNCTION("""COMPUTED_VALUE"""),"Период колебаний нитяного и пружинного маятника")</f>
        <v>Период колебаний нитяного и пружинного маятника</v>
      </c>
      <c r="J8" s="1">
        <f>IFERROR(__xludf.DUMMYFUNCTION("""COMPUTED_VALUE"""),412.0)</f>
        <v>412</v>
      </c>
      <c r="K8" s="1" t="str">
        <f>IFERROR(__xludf.DUMMYFUNCTION("""COMPUTED_VALUE"""),"Микропараметры: количество вещества, концентрация, масса молекулы, молярная масса")</f>
        <v>Микропараметры: количество вещества, концентрация, масса молекулы, молярная масса</v>
      </c>
      <c r="L8" s="1">
        <f>IFERROR(__xludf.DUMMYFUNCTION("""COMPUTED_VALUE"""),511.0)</f>
        <v>511</v>
      </c>
      <c r="M8" s="1" t="str">
        <f>IFERROR(__xludf.DUMMYFUNCTION("""COMPUTED_VALUE"""),"Потенциал электростатического поля")</f>
        <v>Потенциал электростатического поля</v>
      </c>
      <c r="N8" s="1">
        <f>IFERROR(__xludf.DUMMYFUNCTION("""COMPUTED_VALUE"""),612.0)</f>
        <v>612</v>
      </c>
      <c r="O8" s="1" t="str">
        <f>IFERROR(__xludf.DUMMYFUNCTION("""COMPUTED_VALUE"""),"Короткое замыкание. Сила тока короткого замыкания")</f>
        <v>Короткое замыкание. Сила тока короткого замыкания</v>
      </c>
      <c r="P8" s="1">
        <f>IFERROR(__xludf.DUMMYFUNCTION("""COMPUTED_VALUE"""),711.0)</f>
        <v>711</v>
      </c>
      <c r="Q8" s="1" t="str">
        <f>IFERROR(__xludf.DUMMYFUNCTION("""COMPUTED_VALUE"""),"Правило левой руки для проводника с током в магнитном поле")</f>
        <v>Правило левой руки для проводника с током в магнитном поле</v>
      </c>
      <c r="R8" s="1">
        <f>IFERROR(__xludf.DUMMYFUNCTION("""COMPUTED_VALUE"""),812.0)</f>
        <v>812</v>
      </c>
      <c r="S8" s="1" t="str">
        <f>IFERROR(__xludf.DUMMYFUNCTION("""COMPUTED_VALUE"""),"Закон сохранения энергии в идеальном колебательном контуре")</f>
        <v>Закон сохранения энергии в идеальном колебательном контуре</v>
      </c>
      <c r="T8" s="1">
        <f>IFERROR(__xludf.DUMMYFUNCTION("""COMPUTED_VALUE"""),908.0)</f>
        <v>908</v>
      </c>
      <c r="U8" s="1" t="str">
        <f>IFERROR(__xludf.DUMMYFUNCTION("""COMPUTED_VALUE"""),"Полное внутреннее отражение. Предельный угол полного внутреннего отражения")</f>
        <v>Полное внутреннее отражение. Предельный угол полного внутреннего отражения</v>
      </c>
      <c r="V8" s="1">
        <f>IFERROR(__xludf.DUMMYFUNCTION("""COMPUTED_VALUE"""),1009.0)</f>
        <v>1009</v>
      </c>
      <c r="W8" s="1" t="str">
        <f>IFERROR(__xludf.DUMMYFUNCTION("""COMPUTED_VALUE"""),"Длина волны де Бройля движущейся частицы")</f>
        <v>Длина волны де Бройля движущейся частицы</v>
      </c>
      <c r="X8" s="1">
        <f>IFERROR(__xludf.DUMMYFUNCTION("""COMPUTED_VALUE"""),1111.0)</f>
        <v>1111</v>
      </c>
      <c r="Y8" s="1" t="str">
        <f>IFERROR(__xludf.DUMMYFUNCTION("""COMPUTED_VALUE"""),"Объяснять результаты экспериментов по картинке опыта")</f>
        <v>Объяснять результаты экспериментов по картинке опыта</v>
      </c>
      <c r="Z8" s="1">
        <f>IFERROR(__xludf.DUMMYFUNCTION("""COMPUTED_VALUE"""),1207.0)</f>
        <v>1207</v>
      </c>
    </row>
    <row r="9">
      <c r="A9" s="1" t="str">
        <f>IFERROR(__xludf.DUMMYFUNCTION("""COMPUTED_VALUE"""),"График скорости равномерного   движения и его геометрический смысл (нахождение пути по площади фигуры под графиком)")</f>
        <v>График скорости равномерного   движения и его геометрический смысл (нахождение пути по площади фигуры под графиком)</v>
      </c>
      <c r="B9" s="1">
        <f>IFERROR(__xludf.DUMMYFUNCTION("""COMPUTED_VALUE"""),12.0)</f>
        <v>12</v>
      </c>
      <c r="C9" s="1" t="str">
        <f>IFERROR(__xludf.DUMMYFUNCTION("""COMPUTED_VALUE"""),"Всемирное тяготение. Закон всемирного тяготения")</f>
        <v>Всемирное тяготение. Закон всемирного тяготения</v>
      </c>
      <c r="D9" s="1">
        <f>IFERROR(__xludf.DUMMYFUNCTION("""COMPUTED_VALUE"""),117.0)</f>
        <v>117</v>
      </c>
      <c r="E9" s="1" t="str">
        <f>IFERROR(__xludf.DUMMYFUNCTION("""COMPUTED_VALUE"""),"Центр тяжести однородного тела")</f>
        <v>Центр тяжести однородного тела</v>
      </c>
      <c r="F9" s="1">
        <f>IFERROR(__xludf.DUMMYFUNCTION("""COMPUTED_VALUE"""),220.0)</f>
        <v>220</v>
      </c>
      <c r="G9" s="1" t="str">
        <f>IFERROR(__xludf.DUMMYFUNCTION("""COMPUTED_VALUE"""),"Потенциальная энергия тела")</f>
        <v>Потенциальная энергия тела</v>
      </c>
      <c r="H9" s="1">
        <f>IFERROR(__xludf.DUMMYFUNCTION("""COMPUTED_VALUE"""),312.0)</f>
        <v>312</v>
      </c>
      <c r="I9" s="1" t="str">
        <f>IFERROR(__xludf.DUMMYFUNCTION("""COMPUTED_VALUE"""),"Связь частоты (периода) колебаний с частотой (периодом) потенциальной и кинетической энергии")</f>
        <v>Связь частоты (периода) колебаний с частотой (периодом) потенциальной и кинетической энергии</v>
      </c>
      <c r="J9" s="1">
        <f>IFERROR(__xludf.DUMMYFUNCTION("""COMPUTED_VALUE"""),414.0)</f>
        <v>414</v>
      </c>
      <c r="K9" s="1" t="str">
        <f>IFERROR(__xludf.DUMMYFUNCTION("""COMPUTED_VALUE"""),"Связь давления с концентрацией и температурой")</f>
        <v>Связь давления с концентрацией и температурой</v>
      </c>
      <c r="L9" s="1">
        <f>IFERROR(__xludf.DUMMYFUNCTION("""COMPUTED_VALUE"""),512.0)</f>
        <v>512</v>
      </c>
      <c r="M9" s="1" t="str">
        <f>IFERROR(__xludf.DUMMYFUNCTION("""COMPUTED_VALUE"""),"Принцип суперпозиции электрических полей")</f>
        <v>Принцип суперпозиции электрических полей</v>
      </c>
      <c r="N9" s="1">
        <f>IFERROR(__xludf.DUMMYFUNCTION("""COMPUTED_VALUE"""),614.0)</f>
        <v>614</v>
      </c>
      <c r="O9" s="1" t="str">
        <f>IFERROR(__xludf.DUMMYFUNCTION("""COMPUTED_VALUE"""),"Реостат. Принцип действия реостата")</f>
        <v>Реостат. Принцип действия реостата</v>
      </c>
      <c r="P9" s="1">
        <f>IFERROR(__xludf.DUMMYFUNCTION("""COMPUTED_VALUE"""),713.0)</f>
        <v>713</v>
      </c>
      <c r="Q9" s="1" t="str">
        <f>IFERROR(__xludf.DUMMYFUNCTION("""COMPUTED_VALUE"""),"Правило левой руки для движущейся заряженной частицы")</f>
        <v>Правило левой руки для движущейся заряженной частицы</v>
      </c>
      <c r="R9" s="1">
        <f>IFERROR(__xludf.DUMMYFUNCTION("""COMPUTED_VALUE"""),814.0)</f>
        <v>814</v>
      </c>
      <c r="S9" s="1" t="str">
        <f>IFERROR(__xludf.DUMMYFUNCTION("""COMPUTED_VALUE"""),"Вынужденные электромагнитные колебания, явление резонанса")</f>
        <v>Вынужденные электромагнитные колебания, явление резонанса</v>
      </c>
      <c r="T9" s="1">
        <f>IFERROR(__xludf.DUMMYFUNCTION("""COMPUTED_VALUE"""),909.0)</f>
        <v>909</v>
      </c>
      <c r="U9" s="1" t="str">
        <f>IFERROR(__xludf.DUMMYFUNCTION("""COMPUTED_VALUE"""),"Скорость, длина волны и частота света при переходе из одной среды в другую")</f>
        <v>Скорость, длина волны и частота света при переходе из одной среды в другую</v>
      </c>
      <c r="V9" s="1">
        <f>IFERROR(__xludf.DUMMYFUNCTION("""COMPUTED_VALUE"""),1010.0)</f>
        <v>1010</v>
      </c>
      <c r="W9" s="1" t="str">
        <f>IFERROR(__xludf.DUMMYFUNCTION("""COMPUTED_VALUE"""),"Опыты Лебедева. Давление света")</f>
        <v>Опыты Лебедева. Давление света</v>
      </c>
      <c r="X9" s="1">
        <f>IFERROR(__xludf.DUMMYFUNCTION("""COMPUTED_VALUE"""),1113.0)</f>
        <v>1113</v>
      </c>
      <c r="Y9" s="1" t="str">
        <f>IFERROR(__xludf.DUMMYFUNCTION("""COMPUTED_VALUE"""),"Работа с векторами. Правило параллелограмма (треугольника) при сложении (вычитании) векторов")</f>
        <v>Работа с векторами. Правило параллелограмма (треугольника) при сложении (вычитании) векторов</v>
      </c>
      <c r="Z9" s="1">
        <f>IFERROR(__xludf.DUMMYFUNCTION("""COMPUTED_VALUE"""),1208.0)</f>
        <v>1208</v>
      </c>
    </row>
    <row r="10">
      <c r="A10" s="1" t="str">
        <f>IFERROR(__xludf.DUMMYFUNCTION("""COMPUTED_VALUE"""),"График координаты, перемещения, пути, ускорения при равномерном движении")</f>
        <v>График координаты, перемещения, пути, ускорения при равномерном движении</v>
      </c>
      <c r="B10" s="1">
        <f>IFERROR(__xludf.DUMMYFUNCTION("""COMPUTED_VALUE"""),13.0)</f>
        <v>13</v>
      </c>
      <c r="C10" s="1" t="str">
        <f>IFERROR(__xludf.DUMMYFUNCTION("""COMPUTED_VALUE"""),"Сила тяжести")</f>
        <v>Сила тяжести</v>
      </c>
      <c r="D10" s="1">
        <f>IFERROR(__xludf.DUMMYFUNCTION("""COMPUTED_VALUE"""),118.0)</f>
        <v>118</v>
      </c>
      <c r="E10" s="1"/>
      <c r="F10" s="1"/>
      <c r="G10" s="1" t="str">
        <f>IFERROR(__xludf.DUMMYFUNCTION("""COMPUTED_VALUE"""),"Энергия. Полная механическая энергия: E = Eк + Eп")</f>
        <v>Энергия. Полная механическая энергия: E = Eк + Eп</v>
      </c>
      <c r="H10" s="1">
        <f>IFERROR(__xludf.DUMMYFUNCTION("""COMPUTED_VALUE"""),314.0)</f>
        <v>314</v>
      </c>
      <c r="I10" s="1" t="str">
        <f>IFERROR(__xludf.DUMMYFUNCTION("""COMPUTED_VALUE"""),"Вынужденные колебания, резонанс, график амплитуды от частоты")</f>
        <v>Вынужденные колебания, резонанс, график амплитуды от частоты</v>
      </c>
      <c r="J10" s="1">
        <f>IFERROR(__xludf.DUMMYFUNCTION("""COMPUTED_VALUE"""),415.0)</f>
        <v>415</v>
      </c>
      <c r="K10" s="1" t="str">
        <f>IFERROR(__xludf.DUMMYFUNCTION("""COMPUTED_VALUE"""),"Уравнение Менделеева-Клапейрона")</f>
        <v>Уравнение Менделеева-Клапейрона</v>
      </c>
      <c r="L10" s="1">
        <f>IFERROR(__xludf.DUMMYFUNCTION("""COMPUTED_VALUE"""),513.0)</f>
        <v>513</v>
      </c>
      <c r="M10" s="1" t="str">
        <f>IFERROR(__xludf.DUMMYFUNCTION("""COMPUTED_VALUE"""),"Проводники в электростатическом поле. Электростатическая индукция. Электростатическая защита")</f>
        <v>Проводники в электростатическом поле. Электростатическая индукция. Электростатическая защита</v>
      </c>
      <c r="N10" s="1">
        <f>IFERROR(__xludf.DUMMYFUNCTION("""COMPUTED_VALUE"""),616.0)</f>
        <v>616</v>
      </c>
      <c r="O10" s="1" t="str">
        <f>IFERROR(__xludf.DUMMYFUNCTION("""COMPUTED_VALUE"""),"Чтение электрических схем, знание разных приборов")</f>
        <v>Чтение электрических схем, знание разных приборов</v>
      </c>
      <c r="P10" s="1">
        <f>IFERROR(__xludf.DUMMYFUNCTION("""COMPUTED_VALUE"""),714.0)</f>
        <v>714</v>
      </c>
      <c r="Q10" s="1" t="str">
        <f>IFERROR(__xludf.DUMMYFUNCTION("""COMPUTED_VALUE"""),"Зависимость траектории движения частицы от направления вектора скорости по отношению к магнитным линиям")</f>
        <v>Зависимость траектории движения частицы от направления вектора скорости по отношению к магнитным линиям</v>
      </c>
      <c r="R10" s="1">
        <f>IFERROR(__xludf.DUMMYFUNCTION("""COMPUTED_VALUE"""),815.0)</f>
        <v>815</v>
      </c>
      <c r="S10" s="1" t="str">
        <f>IFERROR(__xludf.DUMMYFUNCTION("""COMPUTED_VALUE"""),"Передача и потребление электрической энергии. Трансформатор. Связь числа витков с напряжением (ЭДС) на концах обмоток трансформатора.")</f>
        <v>Передача и потребление электрической энергии. Трансформатор. Связь числа витков с напряжением (ЭДС) на концах обмоток трансформатора.</v>
      </c>
      <c r="T10" s="1">
        <f>IFERROR(__xludf.DUMMYFUNCTION("""COMPUTED_VALUE"""),911.0)</f>
        <v>911</v>
      </c>
      <c r="U10" s="1" t="str">
        <f>IFERROR(__xludf.DUMMYFUNCTION("""COMPUTED_VALUE"""),"Собирающие и рассеивающие линзы. Тонкая линза")</f>
        <v>Собирающие и рассеивающие линзы. Тонкая линза</v>
      </c>
      <c r="V10" s="1">
        <f>IFERROR(__xludf.DUMMYFUNCTION("""COMPUTED_VALUE"""),1011.0)</f>
        <v>1011</v>
      </c>
      <c r="W10" s="1" t="str">
        <f>IFERROR(__xludf.DUMMYFUNCTION("""COMPUTED_VALUE"""),"Постулаты Бора")</f>
        <v>Постулаты Бора</v>
      </c>
      <c r="X10" s="1">
        <f>IFERROR(__xludf.DUMMYFUNCTION("""COMPUTED_VALUE"""),1116.0)</f>
        <v>1116</v>
      </c>
      <c r="Y10" s="1" t="str">
        <f>IFERROR(__xludf.DUMMYFUNCTION("""COMPUTED_VALUE"""),"Цена деления и погрешность приборов. Снятие показаний. Двухшкальные приборы")</f>
        <v>Цена деления и погрешность приборов. Снятие показаний. Двухшкальные приборы</v>
      </c>
      <c r="Z10" s="1">
        <f>IFERROR(__xludf.DUMMYFUNCTION("""COMPUTED_VALUE"""),1209.0)</f>
        <v>1209</v>
      </c>
    </row>
    <row r="11">
      <c r="A11" s="1" t="str">
        <f>IFERROR(__xludf.DUMMYFUNCTION("""COMPUTED_VALUE"""),"Проекция (модуль) скорости по графику координаты")</f>
        <v>Проекция (модуль) скорости по графику координаты</v>
      </c>
      <c r="B11" s="1">
        <f>IFERROR(__xludf.DUMMYFUNCTION("""COMPUTED_VALUE"""),17.0)</f>
        <v>17</v>
      </c>
      <c r="C11" s="1" t="str">
        <f>IFERROR(__xludf.DUMMYFUNCTION("""COMPUTED_VALUE"""),"Ускорение свободного падения на небесных телах")</f>
        <v>Ускорение свободного падения на небесных телах</v>
      </c>
      <c r="D11" s="1">
        <f>IFERROR(__xludf.DUMMYFUNCTION("""COMPUTED_VALUE"""),119.0)</f>
        <v>119</v>
      </c>
      <c r="E11" s="1"/>
      <c r="F11" s="1"/>
      <c r="G11" s="1" t="str">
        <f>IFERROR(__xludf.DUMMYFUNCTION("""COMPUTED_VALUE"""),"Связь работы силы тяжести с изменением потенциальной энергии")</f>
        <v>Связь работы силы тяжести с изменением потенциальной энергии</v>
      </c>
      <c r="H11" s="1">
        <f>IFERROR(__xludf.DUMMYFUNCTION("""COMPUTED_VALUE"""),315.0)</f>
        <v>315</v>
      </c>
      <c r="I11" s="1" t="str">
        <f>IFERROR(__xludf.DUMMYFUNCTION("""COMPUTED_VALUE"""),"Амплитуда и период по таблицам и графикам х(t), V(t), a(t)")</f>
        <v>Амплитуда и период по таблицам и графикам х(t), V(t), a(t)</v>
      </c>
      <c r="J11" s="1">
        <f>IFERROR(__xludf.DUMMYFUNCTION("""COMPUTED_VALUE"""),418.0)</f>
        <v>418</v>
      </c>
      <c r="K11" s="1" t="str">
        <f>IFERROR(__xludf.DUMMYFUNCTION("""COMPUTED_VALUE"""),"Выражение для внутренней энергии одноатомного идеального газа")</f>
        <v>Выражение для внутренней энергии одноатомного идеального газа</v>
      </c>
      <c r="L11" s="1">
        <f>IFERROR(__xludf.DUMMYFUNCTION("""COMPUTED_VALUE"""),515.0)</f>
        <v>515</v>
      </c>
      <c r="M11" s="1" t="str">
        <f>IFERROR(__xludf.DUMMYFUNCTION("""COMPUTED_VALUE"""),"Диэлектрики в электростатическом поле. Поляризация диэлектриков")</f>
        <v>Диэлектрики в электростатическом поле. Поляризация диэлектриков</v>
      </c>
      <c r="N11" s="1">
        <f>IFERROR(__xludf.DUMMYFUNCTION("""COMPUTED_VALUE"""),618.0)</f>
        <v>618</v>
      </c>
      <c r="O11" s="1" t="str">
        <f>IFERROR(__xludf.DUMMYFUNCTION("""COMPUTED_VALUE"""),"Последовательное и параллельное соединение приборов с сопротивлением")</f>
        <v>Последовательное и параллельное соединение приборов с сопротивлением</v>
      </c>
      <c r="P11" s="1">
        <f>IFERROR(__xludf.DUMMYFUNCTION("""COMPUTED_VALUE"""),715.0)</f>
        <v>715</v>
      </c>
      <c r="Q11" s="1" t="str">
        <f>IFERROR(__xludf.DUMMYFUNCTION("""COMPUTED_VALUE"""),"Законы движения заряженной частицы в электромагнитном поле")</f>
        <v>Законы движения заряженной частицы в электромагнитном поле</v>
      </c>
      <c r="R11" s="1">
        <f>IFERROR(__xludf.DUMMYFUNCTION("""COMPUTED_VALUE"""),817.0)</f>
        <v>817</v>
      </c>
      <c r="S11" s="1" t="str">
        <f>IFERROR(__xludf.DUMMYFUNCTION("""COMPUTED_VALUE"""),"Определение характеристик цепи по таблицам I(t), для цепи постоянного тока содержащую катушку индуктивности (момент замыкания, размыкания цепи).")</f>
        <v>Определение характеристик цепи по таблицам I(t), для цепи постоянного тока содержащую катушку индуктивности (момент замыкания, размыкания цепи).</v>
      </c>
      <c r="T11" s="1">
        <f>IFERROR(__xludf.DUMMYFUNCTION("""COMPUTED_VALUE"""),912.0)</f>
        <v>912</v>
      </c>
      <c r="U11" s="1" t="str">
        <f>IFERROR(__xludf.DUMMYFUNCTION("""COMPUTED_VALUE"""),"Фокусное расстояние и оптическая сила тонкой линзы, ее строение")</f>
        <v>Фокусное расстояние и оптическая сила тонкой линзы, ее строение</v>
      </c>
      <c r="V11" s="1">
        <f>IFERROR(__xludf.DUMMYFUNCTION("""COMPUTED_VALUE"""),1012.0)</f>
        <v>1012</v>
      </c>
      <c r="W11" s="1" t="str">
        <f>IFERROR(__xludf.DUMMYFUNCTION("""COMPUTED_VALUE"""),"Излучение и поглощение фотонов при переходе атома с одного уровня энергии на другой. Энергетические диаграммы")</f>
        <v>Излучение и поглощение фотонов при переходе атома с одного уровня энергии на другой. Энергетические диаграммы</v>
      </c>
      <c r="X11" s="1">
        <f>IFERROR(__xludf.DUMMYFUNCTION("""COMPUTED_VALUE"""),1117.0)</f>
        <v>1117</v>
      </c>
      <c r="Y11" s="1" t="str">
        <f>IFERROR(__xludf.DUMMYFUNCTION("""COMPUTED_VALUE"""),"Понимание текстов физического содержания. Умение находить ответы на вопросы в тексте")</f>
        <v>Понимание текстов физического содержания. Умение находить ответы на вопросы в тексте</v>
      </c>
      <c r="Z11" s="1">
        <f>IFERROR(__xludf.DUMMYFUNCTION("""COMPUTED_VALUE"""),1210.0)</f>
        <v>1210</v>
      </c>
    </row>
    <row r="12">
      <c r="A12" s="1" t="str">
        <f>IFERROR(__xludf.DUMMYFUNCTION("""COMPUTED_VALUE"""),"Равноускоренное движение. Вектор ускорения.")</f>
        <v>Равноускоренное движение. Вектор ускорения.</v>
      </c>
      <c r="B12" s="1">
        <f>IFERROR(__xludf.DUMMYFUNCTION("""COMPUTED_VALUE"""),20.0)</f>
        <v>20</v>
      </c>
      <c r="C12" s="1" t="str">
        <f>IFERROR(__xludf.DUMMYFUNCTION("""COMPUTED_VALUE"""),"Движение небесных тел и их искусственных спутников")</f>
        <v>Движение небесных тел и их искусственных спутников</v>
      </c>
      <c r="D12" s="1">
        <f>IFERROR(__xludf.DUMMYFUNCTION("""COMPUTED_VALUE"""),121.0)</f>
        <v>121</v>
      </c>
      <c r="E12" s="1"/>
      <c r="F12" s="1"/>
      <c r="G12" s="1" t="str">
        <f>IFERROR(__xludf.DUMMYFUNCTION("""COMPUTED_VALUE"""),"Потенциальная энергия упруго деформированного тела")</f>
        <v>Потенциальная энергия упруго деформированного тела</v>
      </c>
      <c r="H12" s="1">
        <f>IFERROR(__xludf.DUMMYFUNCTION("""COMPUTED_VALUE"""),316.0)</f>
        <v>316</v>
      </c>
      <c r="I12" s="1" t="str">
        <f>IFERROR(__xludf.DUMMYFUNCTION("""COMPUTED_VALUE""")," Механические волны, длина волны, скорость, период, формула связи")</f>
        <v> Механические волны, длина волны, скорость, период, формула связи</v>
      </c>
      <c r="J12" s="1">
        <f>IFERROR(__xludf.DUMMYFUNCTION("""COMPUTED_VALUE"""),421.0)</f>
        <v>421</v>
      </c>
      <c r="K12" s="1" t="str">
        <f>IFERROR(__xludf.DUMMYFUNCTION("""COMPUTED_VALUE"""),"Закон Дальтона для давления смеси разреженных газов")</f>
        <v>Закон Дальтона для давления смеси разреженных газов</v>
      </c>
      <c r="L12" s="1">
        <f>IFERROR(__xludf.DUMMYFUNCTION("""COMPUTED_VALUE"""),516.0)</f>
        <v>516</v>
      </c>
      <c r="M12" s="1" t="str">
        <f>IFERROR(__xludf.DUMMYFUNCTION("""COMPUTED_VALUE"""),"Конденсатор. Электроёмкость конденсатора.")</f>
        <v>Конденсатор. Электроёмкость конденсатора.</v>
      </c>
      <c r="N12" s="1">
        <f>IFERROR(__xludf.DUMMYFUNCTION("""COMPUTED_VALUE"""),620.0)</f>
        <v>620</v>
      </c>
      <c r="O12" s="1" t="str">
        <f>IFERROR(__xludf.DUMMYFUNCTION("""COMPUTED_VALUE"""),"Работа и мощность электрического тока")</f>
        <v>Работа и мощность электрического тока</v>
      </c>
      <c r="P12" s="1">
        <f>IFERROR(__xludf.DUMMYFUNCTION("""COMPUTED_VALUE"""),718.0)</f>
        <v>718</v>
      </c>
      <c r="Q12" s="1" t="str">
        <f>IFERROR(__xludf.DUMMYFUNCTION("""COMPUTED_VALUE"""),"Поток вектора магнитной индукции")</f>
        <v>Поток вектора магнитной индукции</v>
      </c>
      <c r="R12" s="1">
        <f>IFERROR(__xludf.DUMMYFUNCTION("""COMPUTED_VALUE"""),820.0)</f>
        <v>820</v>
      </c>
      <c r="S12" s="1" t="str">
        <f>IFERROR(__xludf.DUMMYFUNCTION("""COMPUTED_VALUE"""),"Электромагнитные волны, связь длины волны, скорости, периода")</f>
        <v>Электромагнитные волны, связь длины волны, скорости, периода</v>
      </c>
      <c r="T12" s="1">
        <f>IFERROR(__xludf.DUMMYFUNCTION("""COMPUTED_VALUE"""),913.0)</f>
        <v>913</v>
      </c>
      <c r="U12" s="1" t="str">
        <f>IFERROR(__xludf.DUMMYFUNCTION("""COMPUTED_VALUE"""),"Формула тонкой линзы. Увеличение линзы")</f>
        <v>Формула тонкой линзы. Увеличение линзы</v>
      </c>
      <c r="V12" s="1">
        <f>IFERROR(__xludf.DUMMYFUNCTION("""COMPUTED_VALUE"""),1013.0)</f>
        <v>1013</v>
      </c>
      <c r="W12" s="1" t="str">
        <f>IFERROR(__xludf.DUMMYFUNCTION("""COMPUTED_VALUE"""),"Атом водорода по Бору. Линейчатый спектр атома водорода. Спектр уровней энергии атома водорода")</f>
        <v>Атом водорода по Бору. Линейчатый спектр атома водорода. Спектр уровней энергии атома водорода</v>
      </c>
      <c r="X12" s="1">
        <f>IFERROR(__xludf.DUMMYFUNCTION("""COMPUTED_VALUE"""),1119.0)</f>
        <v>1119</v>
      </c>
      <c r="Y12" s="1" t="str">
        <f>IFERROR(__xludf.DUMMYFUNCTION("""COMPUTED_VALUE"""),"Понимание физических основ и принципов действия (работы) машин и механизмов, средств передвижения и связи, бытовых приборов")</f>
        <v>Понимание физических основ и принципов действия (работы) машин и механизмов, средств передвижения и связи, бытовых приборов</v>
      </c>
      <c r="Z12" s="1">
        <f>IFERROR(__xludf.DUMMYFUNCTION("""COMPUTED_VALUE"""),1211.0)</f>
        <v>1211</v>
      </c>
    </row>
    <row r="13">
      <c r="A13" s="1" t="str">
        <f>IFERROR(__xludf.DUMMYFUNCTION("""COMPUTED_VALUE"""),"Формула для проекции ускорения при равноускоренном прямолинейном движении")</f>
        <v>Формула для проекции ускорения при равноускоренном прямолинейном движении</v>
      </c>
      <c r="B13" s="1">
        <f>IFERROR(__xludf.DUMMYFUNCTION("""COMPUTED_VALUE"""),21.0)</f>
        <v>21</v>
      </c>
      <c r="C13" s="1" t="str">
        <f>IFERROR(__xludf.DUMMYFUNCTION("""COMPUTED_VALUE"""),"Первая и вторая космическая скорость, их формулы")</f>
        <v>Первая и вторая космическая скорость, их формулы</v>
      </c>
      <c r="D13" s="1">
        <f>IFERROR(__xludf.DUMMYFUNCTION("""COMPUTED_VALUE"""),122.0)</f>
        <v>122</v>
      </c>
      <c r="E13" s="1"/>
      <c r="F13" s="1"/>
      <c r="G13" s="1" t="str">
        <f>IFERROR(__xludf.DUMMYFUNCTION("""COMPUTED_VALUE"""),"Замкнутая система. Закон  сохранения полной механической энергии")</f>
        <v>Замкнутая система. Закон  сохранения полной механической энергии</v>
      </c>
      <c r="H13" s="1">
        <f>IFERROR(__xludf.DUMMYFUNCTION("""COMPUTED_VALUE"""),317.0)</f>
        <v>317</v>
      </c>
      <c r="I13" s="1"/>
      <c r="J13" s="1"/>
      <c r="K13" s="1" t="str">
        <f>IFERROR(__xludf.DUMMYFUNCTION("""COMPUTED_VALUE"""),"Изопроцессы в разреженном газе с постоянным числом частиц N (газовые законы)")</f>
        <v>Изопроцессы в разреженном газе с постоянным числом частиц N (газовые законы)</v>
      </c>
      <c r="L13" s="1">
        <f>IFERROR(__xludf.DUMMYFUNCTION("""COMPUTED_VALUE"""),517.0)</f>
        <v>517</v>
      </c>
      <c r="M13" s="1" t="str">
        <f>IFERROR(__xludf.DUMMYFUNCTION("""COMPUTED_VALUE"""),"Чтение таблиц зависимости тока зарядки конденсатора от времени ")</f>
        <v>Чтение таблиц зависимости тока зарядки конденсатора от времени </v>
      </c>
      <c r="N13" s="1">
        <f>IFERROR(__xludf.DUMMYFUNCTION("""COMPUTED_VALUE"""),628.0)</f>
        <v>628</v>
      </c>
      <c r="O13" s="1" t="str">
        <f>IFERROR(__xludf.DUMMYFUNCTION("""COMPUTED_VALUE"""),"Закон Джоуля-Ленца")</f>
        <v>Закон Джоуля-Ленца</v>
      </c>
      <c r="P13" s="1">
        <f>IFERROR(__xludf.DUMMYFUNCTION("""COMPUTED_VALUE"""),720.0)</f>
        <v>720</v>
      </c>
      <c r="Q13" s="1" t="str">
        <f>IFERROR(__xludf.DUMMYFUNCTION("""COMPUTED_VALUE"""),"ЭДС индукции. Закон электромагнитной индукции Фарадея.")</f>
        <v>ЭДС индукции. Закон электромагнитной индукции Фарадея.</v>
      </c>
      <c r="R13" s="1">
        <f>IFERROR(__xludf.DUMMYFUNCTION("""COMPUTED_VALUE"""),821.0)</f>
        <v>821</v>
      </c>
      <c r="S13" s="1"/>
      <c r="T13" s="1"/>
      <c r="U13" s="1" t="str">
        <f>IFERROR(__xludf.DUMMYFUNCTION("""COMPUTED_VALUE"""),"Построение изображений точки и отрезка прямой в собирающих и рассеивающих линзах и их системах")</f>
        <v>Построение изображений точки и отрезка прямой в собирающих и рассеивающих линзах и их системах</v>
      </c>
      <c r="V13" s="1">
        <f>IFERROR(__xludf.DUMMYFUNCTION("""COMPUTED_VALUE"""),1014.0)</f>
        <v>1014</v>
      </c>
      <c r="W13" s="1" t="str">
        <f>IFERROR(__xludf.DUMMYFUNCTION("""COMPUTED_VALUE"""),"Нуклонная модель ядра. Заряд ядра. Массовое число ядра. Изотопы")</f>
        <v>Нуклонная модель ядра. Заряд ядра. Массовое число ядра. Изотопы</v>
      </c>
      <c r="X13" s="1">
        <f>IFERROR(__xludf.DUMMYFUNCTION("""COMPUTED_VALUE"""),1120.0)</f>
        <v>1120</v>
      </c>
      <c r="Y13" s="1" t="str">
        <f>IFERROR(__xludf.DUMMYFUNCTION("""COMPUTED_VALUE"""),"Проекция вектора на ось.  Сложение и вычитание проекций векторов")</f>
        <v>Проекция вектора на ось.  Сложение и вычитание проекций векторов</v>
      </c>
      <c r="Z13" s="1">
        <f>IFERROR(__xludf.DUMMYFUNCTION("""COMPUTED_VALUE"""),1212.0)</f>
        <v>1212</v>
      </c>
    </row>
    <row r="14">
      <c r="A14" s="1" t="str">
        <f>IFERROR(__xludf.DUMMYFUNCTION("""COMPUTED_VALUE"""),"Уравнения скорости, премещения и координаты для равноускоренного движения. Формула перемещения через скорость и ускорение.")</f>
        <v>Уравнения скорости, премещения и координаты для равноускоренного движения. Формула перемещения через скорость и ускорение.</v>
      </c>
      <c r="B14" s="1">
        <f>IFERROR(__xludf.DUMMYFUNCTION("""COMPUTED_VALUE"""),23.0)</f>
        <v>23</v>
      </c>
      <c r="C14" s="1" t="str">
        <f>IFERROR(__xludf.DUMMYFUNCTION("""COMPUTED_VALUE"""),"Сила реакции опоры, вес (сила давления на опору)")</f>
        <v>Сила реакции опоры, вес (сила давления на опору)</v>
      </c>
      <c r="D14" s="1">
        <f>IFERROR(__xludf.DUMMYFUNCTION("""COMPUTED_VALUE"""),124.0)</f>
        <v>124</v>
      </c>
      <c r="E14" s="1"/>
      <c r="F14" s="1"/>
      <c r="G14" s="1" t="str">
        <f>IFERROR(__xludf.DUMMYFUNCTION("""COMPUTED_VALUE"""),"Графики зависимости кинетической, потенциальной и полной механической энергии от времени")</f>
        <v>Графики зависимости кинетической, потенциальной и полной механической энергии от времени</v>
      </c>
      <c r="H14" s="1">
        <f>IFERROR(__xludf.DUMMYFUNCTION("""COMPUTED_VALUE"""),319.0)</f>
        <v>319</v>
      </c>
      <c r="I14" s="1"/>
      <c r="J14" s="1"/>
      <c r="K14" s="1" t="str">
        <f>IFERROR(__xludf.DUMMYFUNCTION("""COMPUTED_VALUE"""),"Графическое представление изопроцессов на pV-, pT- и VT- диаграммах")</f>
        <v>Графическое представление изопроцессов на pV-, pT- и VT- диаграммах</v>
      </c>
      <c r="L14" s="1">
        <f>IFERROR(__xludf.DUMMYFUNCTION("""COMPUTED_VALUE"""),518.0)</f>
        <v>518</v>
      </c>
      <c r="M14" s="1" t="str">
        <f>IFERROR(__xludf.DUMMYFUNCTION("""COMPUTED_VALUE"""),"Движение заряженной частицы в эдектрическом поле")</f>
        <v>Движение заряженной частицы в эдектрическом поле</v>
      </c>
      <c r="N14" s="1">
        <f>IFERROR(__xludf.DUMMYFUNCTION("""COMPUTED_VALUE"""),629.0)</f>
        <v>629</v>
      </c>
      <c r="O14" s="1" t="str">
        <f>IFERROR(__xludf.DUMMYFUNCTION("""COMPUTED_VALUE"""),"Мощность и КПД источника тока")</f>
        <v>Мощность и КПД источника тока</v>
      </c>
      <c r="P14" s="1">
        <f>IFERROR(__xludf.DUMMYFUNCTION("""COMPUTED_VALUE"""),721.0)</f>
        <v>721</v>
      </c>
      <c r="Q14" s="1" t="str">
        <f>IFERROR(__xludf.DUMMYFUNCTION("""COMPUTED_VALUE"""),"ЭДС индукции в прямом проводнике длиной l, движущемся со скоростью V в однородном магнитном поле B")</f>
        <v>ЭДС индукции в прямом проводнике длиной l, движущемся со скоростью V в однородном магнитном поле B</v>
      </c>
      <c r="R14" s="1">
        <f>IFERROR(__xludf.DUMMYFUNCTION("""COMPUTED_VALUE"""),822.0)</f>
        <v>822</v>
      </c>
      <c r="S14" s="1"/>
      <c r="T14" s="1"/>
      <c r="U14" s="1" t="str">
        <f>IFERROR(__xludf.DUMMYFUNCTION("""COMPUTED_VALUE"""),"Зависимость вида изображения от расстояния от линзы")</f>
        <v>Зависимость вида изображения от расстояния от линзы</v>
      </c>
      <c r="V14" s="1">
        <f>IFERROR(__xludf.DUMMYFUNCTION("""COMPUTED_VALUE"""),1015.0)</f>
        <v>1015</v>
      </c>
      <c r="W14" s="1" t="str">
        <f>IFERROR(__xludf.DUMMYFUNCTION("""COMPUTED_VALUE"""),"Энергия связи нуклонов в ядре. Ядерные силы")</f>
        <v>Энергия связи нуклонов в ядре. Ядерные силы</v>
      </c>
      <c r="X14" s="1">
        <f>IFERROR(__xludf.DUMMYFUNCTION("""COMPUTED_VALUE"""),1121.0)</f>
        <v>1121</v>
      </c>
      <c r="Y14" s="1" t="str">
        <f>IFERROR(__xludf.DUMMYFUNCTION("""COMPUTED_VALUE"""),"Работа со степенями")</f>
        <v>Работа со степенями</v>
      </c>
      <c r="Z14" s="1">
        <f>IFERROR(__xludf.DUMMYFUNCTION("""COMPUTED_VALUE"""),1213.0)</f>
        <v>1213</v>
      </c>
    </row>
    <row r="15">
      <c r="A15" s="1" t="str">
        <f>IFERROR(__xludf.DUMMYFUNCTION("""COMPUTED_VALUE"""),"График скорости равноускоренного движения и его геометрический смысл (нахождение пути и перемещения  по площади фигуры под графиком скорости)")</f>
        <v>График скорости равноускоренного движения и его геометрический смысл (нахождение пути и перемещения  по площади фигуры под графиком скорости)</v>
      </c>
      <c r="B15" s="1">
        <f>IFERROR(__xludf.DUMMYFUNCTION("""COMPUTED_VALUE"""),24.0)</f>
        <v>24</v>
      </c>
      <c r="C15" s="1" t="str">
        <f>IFERROR(__xludf.DUMMYFUNCTION("""COMPUTED_VALUE"""),"Давление по определению, давление твердых тел")</f>
        <v>Давление по определению, давление твердых тел</v>
      </c>
      <c r="D15" s="1">
        <f>IFERROR(__xludf.DUMMYFUNCTION("""COMPUTED_VALUE"""),126.0)</f>
        <v>126</v>
      </c>
      <c r="E15" s="1"/>
      <c r="F15" s="1"/>
      <c r="G15" s="1" t="str">
        <f>IFERROR(__xludf.DUMMYFUNCTION("""COMPUTED_VALUE"""),"Законы сохранения при упругом ударе")</f>
        <v>Законы сохранения при упругом ударе</v>
      </c>
      <c r="H15" s="1">
        <f>IFERROR(__xludf.DUMMYFUNCTION("""COMPUTED_VALUE"""),321.0)</f>
        <v>321</v>
      </c>
      <c r="I15" s="1"/>
      <c r="J15" s="1"/>
      <c r="K15" s="1" t="str">
        <f>IFERROR(__xludf.DUMMYFUNCTION("""COMPUTED_VALUE"""),"Атмосферное давление. Нормальные условия. Связь давления в атмосферах, мм. рт. ст. с паскалями")</f>
        <v>Атмосферное давление. Нормальные условия. Связь давления в атмосферах, мм. рт. ст. с паскалями</v>
      </c>
      <c r="L15" s="1">
        <f>IFERROR(__xludf.DUMMYFUNCTION("""COMPUTED_VALUE"""),520.0)</f>
        <v>520</v>
      </c>
      <c r="M15" s="1" t="str">
        <f>IFERROR(__xludf.DUMMYFUNCTION("""COMPUTED_VALUE"""),"Напряженность и потенциал шара (либо тела любой другой формы)")</f>
        <v>Напряженность и потенциал шара (либо тела любой другой формы)</v>
      </c>
      <c r="N15" s="1">
        <f>IFERROR(__xludf.DUMMYFUNCTION("""COMPUTED_VALUE"""),630.0)</f>
        <v>630</v>
      </c>
      <c r="O15" s="1" t="str">
        <f>IFERROR(__xludf.DUMMYFUNCTION("""COMPUTED_VALUE"""),"Работа, мощность и количество теплоты при последовательном и параллельном соединении потребителей")</f>
        <v>Работа, мощность и количество теплоты при последовательном и параллельном соединении потребителей</v>
      </c>
      <c r="P15" s="1">
        <f>IFERROR(__xludf.DUMMYFUNCTION("""COMPUTED_VALUE"""),723.0)</f>
        <v>723</v>
      </c>
      <c r="Q15" s="1" t="str">
        <f>IFERROR(__xludf.DUMMYFUNCTION("""COMPUTED_VALUE"""),"Правило Ленца")</f>
        <v>Правило Ленца</v>
      </c>
      <c r="R15" s="1">
        <f>IFERROR(__xludf.DUMMYFUNCTION("""COMPUTED_VALUE"""),823.0)</f>
        <v>823</v>
      </c>
      <c r="S15" s="1"/>
      <c r="T15" s="1"/>
      <c r="U15" s="1" t="str">
        <f>IFERROR(__xludf.DUMMYFUNCTION("""COMPUTED_VALUE"""),"Ход луча, прошедшего линзу под произвольным углом к её главной
оптической оси")</f>
        <v>Ход луча, прошедшего линзу под произвольным углом к её главной
оптической оси</v>
      </c>
      <c r="V15" s="1">
        <f>IFERROR(__xludf.DUMMYFUNCTION("""COMPUTED_VALUE"""),1016.0)</f>
        <v>1016</v>
      </c>
      <c r="W15" s="1" t="str">
        <f>IFERROR(__xludf.DUMMYFUNCTION("""COMPUTED_VALUE"""),"Уравнение альфа распада")</f>
        <v>Уравнение альфа распада</v>
      </c>
      <c r="X15" s="1">
        <f>IFERROR(__xludf.DUMMYFUNCTION("""COMPUTED_VALUE"""),1125.0)</f>
        <v>1125</v>
      </c>
      <c r="Y15" s="1" t="str">
        <f>IFERROR(__xludf.DUMMYFUNCTION("""COMPUTED_VALUE"""),"Решение систем уравнений, выражение величин из уравнений")</f>
        <v>Решение систем уравнений, выражение величин из уравнений</v>
      </c>
      <c r="Z15" s="1">
        <f>IFERROR(__xludf.DUMMYFUNCTION("""COMPUTED_VALUE"""),1214.0)</f>
        <v>1214</v>
      </c>
    </row>
    <row r="16">
      <c r="A16" s="1" t="str">
        <f>IFERROR(__xludf.DUMMYFUNCTION("""COMPUTED_VALUE"""),"График координаты, перемещения, пути, ускорения при равноускоренном движении")</f>
        <v>График координаты, перемещения, пути, ускорения при равноускоренном движении</v>
      </c>
      <c r="B16" s="1">
        <f>IFERROR(__xludf.DUMMYFUNCTION("""COMPUTED_VALUE"""),25.0)</f>
        <v>25</v>
      </c>
      <c r="C16" s="1" t="str">
        <f>IFERROR(__xludf.DUMMYFUNCTION("""COMPUTED_VALUE"""),"Применение второго закона Ньютона для движения тела по наклонной плоскости")</f>
        <v>Применение второго закона Ньютона для движения тела по наклонной плоскости</v>
      </c>
      <c r="D16" s="1">
        <f>IFERROR(__xludf.DUMMYFUNCTION("""COMPUTED_VALUE"""),129.0)</f>
        <v>129</v>
      </c>
      <c r="E16" s="1"/>
      <c r="F16" s="1"/>
      <c r="G16" s="1" t="str">
        <f>IFERROR(__xludf.DUMMYFUNCTION("""COMPUTED_VALUE"""),"Законы сохранения и изменения при неупругом ударе/абсолютно неупругом ударе")</f>
        <v>Законы сохранения и изменения при неупругом ударе/абсолютно неупругом ударе</v>
      </c>
      <c r="H16" s="1">
        <f>IFERROR(__xludf.DUMMYFUNCTION("""COMPUTED_VALUE"""),322.0)</f>
        <v>322</v>
      </c>
      <c r="I16" s="1"/>
      <c r="J16" s="1"/>
      <c r="K16" s="1" t="str">
        <f>IFERROR(__xludf.DUMMYFUNCTION("""COMPUTED_VALUE"""),"Насыщенные и ненасыщенные пары")</f>
        <v>Насыщенные и ненасыщенные пары</v>
      </c>
      <c r="L16" s="1">
        <f>IFERROR(__xludf.DUMMYFUNCTION("""COMPUTED_VALUE"""),521.0)</f>
        <v>521</v>
      </c>
      <c r="M16" s="1" t="str">
        <f>IFERROR(__xludf.DUMMYFUNCTION("""COMPUTED_VALUE"""),"Работа сил поля по перемещению зарядов")</f>
        <v>Работа сил поля по перемещению зарядов</v>
      </c>
      <c r="N16" s="1">
        <f>IFERROR(__xludf.DUMMYFUNCTION("""COMPUTED_VALUE"""),631.0)</f>
        <v>631</v>
      </c>
      <c r="O16" s="1" t="str">
        <f>IFERROR(__xludf.DUMMYFUNCTION("""COMPUTED_VALUE"""),"Полупроводниковый диод. Прохождение тока через полупроводниковый диод. Применение")</f>
        <v>Полупроводниковый диод. Прохождение тока через полупроводниковый диод. Применение</v>
      </c>
      <c r="P16" s="1">
        <f>IFERROR(__xludf.DUMMYFUNCTION("""COMPUTED_VALUE"""),724.0)</f>
        <v>724</v>
      </c>
      <c r="Q16" s="1" t="str">
        <f>IFERROR(__xludf.DUMMYFUNCTION("""COMPUTED_VALUE"""),"Самоиндукция, ЭДС самоиндукции, поведение катушки в цепи с током")</f>
        <v>Самоиндукция, ЭДС самоиндукции, поведение катушки в цепи с током</v>
      </c>
      <c r="R16" s="1">
        <f>IFERROR(__xludf.DUMMYFUNCTION("""COMPUTED_VALUE"""),825.0)</f>
        <v>825</v>
      </c>
      <c r="S16" s="1"/>
      <c r="T16" s="1"/>
      <c r="U16" s="1" t="str">
        <f>IFERROR(__xludf.DUMMYFUNCTION("""COMPUTED_VALUE"""),"Интерференция света, разность хода, условия максимумов и минимумов")</f>
        <v>Интерференция света, разность хода, условия максимумов и минимумов</v>
      </c>
      <c r="V16" s="1">
        <f>IFERROR(__xludf.DUMMYFUNCTION("""COMPUTED_VALUE"""),1019.0)</f>
        <v>1019</v>
      </c>
      <c r="W16" s="1" t="str">
        <f>IFERROR(__xludf.DUMMYFUNCTION("""COMPUTED_VALUE"""),"Уравнения бета распада электронного и позитронного типа")</f>
        <v>Уравнения бета распада электронного и позитронного типа</v>
      </c>
      <c r="X16" s="1">
        <f>IFERROR(__xludf.DUMMYFUNCTION("""COMPUTED_VALUE"""),1126.0)</f>
        <v>1126</v>
      </c>
      <c r="Y16" s="1" t="str">
        <f>IFERROR(__xludf.DUMMYFUNCTION("""COMPUTED_VALUE"""),"Выбирать необходимое оборудование,схемы,установки, для проведения эксперимента согласно поставленной цели")</f>
        <v>Выбирать необходимое оборудование,схемы,установки, для проведения эксперимента согласно поставленной цели</v>
      </c>
      <c r="Z16" s="1">
        <f>IFERROR(__xludf.DUMMYFUNCTION("""COMPUTED_VALUE"""),1215.0)</f>
        <v>1215</v>
      </c>
    </row>
    <row r="17">
      <c r="A17" s="1" t="str">
        <f>IFERROR(__xludf.DUMMYFUNCTION("""COMPUTED_VALUE"""),"Производная и ее применение в кинематике, производная от уравнения")</f>
        <v>Производная и ее применение в кинематике, производная от уравнения</v>
      </c>
      <c r="B17" s="1">
        <f>IFERROR(__xludf.DUMMYFUNCTION("""COMPUTED_VALUE"""),27.0)</f>
        <v>27</v>
      </c>
      <c r="C17" s="1" t="str">
        <f>IFERROR(__xludf.DUMMYFUNCTION("""COMPUTED_VALUE"""),"Движение связанных систем")</f>
        <v>Движение связанных систем</v>
      </c>
      <c r="D17" s="1">
        <f>IFERROR(__xludf.DUMMYFUNCTION("""COMPUTED_VALUE"""),130.0)</f>
        <v>130</v>
      </c>
      <c r="E17" s="1"/>
      <c r="F17" s="1"/>
      <c r="G17" s="1" t="str">
        <f>IFERROR(__xludf.DUMMYFUNCTION("""COMPUTED_VALUE"""),"Закон изменения механической энергии")</f>
        <v>Закон изменения механической энергии</v>
      </c>
      <c r="H17" s="1">
        <f>IFERROR(__xludf.DUMMYFUNCTION("""COMPUTED_VALUE"""),323.0)</f>
        <v>323</v>
      </c>
      <c r="I17" s="1"/>
      <c r="J17" s="1"/>
      <c r="K17" s="1" t="str">
        <f>IFERROR(__xludf.DUMMYFUNCTION("""COMPUTED_VALUE"""),"Качественная зависимость плотности и давления насыщенного пара от температуры, их независимость от объёма насыщенного пара")</f>
        <v>Качественная зависимость плотности и давления насыщенного пара от температуры, их независимость от объёма насыщенного пара</v>
      </c>
      <c r="L17" s="1">
        <f>IFERROR(__xludf.DUMMYFUNCTION("""COMPUTED_VALUE"""),522.0)</f>
        <v>522</v>
      </c>
      <c r="M17" s="1"/>
      <c r="N17" s="1"/>
      <c r="O17" s="1" t="str">
        <f>IFERROR(__xludf.DUMMYFUNCTION("""COMPUTED_VALUE"""),"Конденсатор в цепи постоянного тока")</f>
        <v>Конденсатор в цепи постоянного тока</v>
      </c>
      <c r="P17" s="1">
        <f>IFERROR(__xludf.DUMMYFUNCTION("""COMPUTED_VALUE"""),725.0)</f>
        <v>725</v>
      </c>
      <c r="Q17" s="1" t="str">
        <f>IFERROR(__xludf.DUMMYFUNCTION("""COMPUTED_VALUE"""),"Энергия магнитного поля катушки с током")</f>
        <v>Энергия магнитного поля катушки с током</v>
      </c>
      <c r="R17" s="1">
        <f>IFERROR(__xludf.DUMMYFUNCTION("""COMPUTED_VALUE"""),826.0)</f>
        <v>826</v>
      </c>
      <c r="S17" s="1"/>
      <c r="T17" s="1"/>
      <c r="U17" s="1" t="str">
        <f>IFERROR(__xludf.DUMMYFUNCTION("""COMPUTED_VALUE"""),"Дифракционная решётка и ее формулы. Условие наблюдения главных максимумов")</f>
        <v>Дифракционная решётка и ее формулы. Условие наблюдения главных максимумов</v>
      </c>
      <c r="V17" s="1">
        <f>IFERROR(__xludf.DUMMYFUNCTION("""COMPUTED_VALUE"""),1022.0)</f>
        <v>1022</v>
      </c>
      <c r="W17" s="1" t="str">
        <f>IFERROR(__xludf.DUMMYFUNCTION("""COMPUTED_VALUE"""),"Законы сохранения зарядового и массового числа при написании реакций и уравнений распада")</f>
        <v>Законы сохранения зарядового и массового числа при написании реакций и уравнений распада</v>
      </c>
      <c r="X17" s="1">
        <f>IFERROR(__xludf.DUMMYFUNCTION("""COMPUTED_VALUE"""),1127.0)</f>
        <v>1127</v>
      </c>
      <c r="Y17" s="1" t="str">
        <f>IFERROR(__xludf.DUMMYFUNCTION("""COMPUTED_VALUE"""),"Формулы площади и объема геометрических фигур и тел")</f>
        <v>Формулы площади и объема геометрических фигур и тел</v>
      </c>
      <c r="Z17" s="1">
        <f>IFERROR(__xludf.DUMMYFUNCTION("""COMPUTED_VALUE"""),1216.0)</f>
        <v>1216</v>
      </c>
    </row>
    <row r="18">
      <c r="A18" s="1" t="str">
        <f>IFERROR(__xludf.DUMMYFUNCTION("""COMPUTED_VALUE"""),"Ускорение по графику координаты и графику скорости равноускоренного движения")</f>
        <v>Ускорение по графику координаты и графику скорости равноускоренного движения</v>
      </c>
      <c r="B18" s="1">
        <f>IFERROR(__xludf.DUMMYFUNCTION("""COMPUTED_VALUE"""),31.0)</f>
        <v>31</v>
      </c>
      <c r="C18" s="1" t="str">
        <f>IFERROR(__xludf.DUMMYFUNCTION("""COMPUTED_VALUE"""),"Применение второго закона Ньютона при движении по окружности")</f>
        <v>Применение второго закона Ньютона при движении по окружности</v>
      </c>
      <c r="D18" s="1">
        <f>IFERROR(__xludf.DUMMYFUNCTION("""COMPUTED_VALUE"""),131.0)</f>
        <v>131</v>
      </c>
      <c r="E18" s="1"/>
      <c r="F18" s="1"/>
      <c r="G18" s="1"/>
      <c r="H18" s="1"/>
      <c r="I18" s="1"/>
      <c r="J18" s="1"/>
      <c r="K18" s="1" t="str">
        <f>IFERROR(__xludf.DUMMYFUNCTION("""COMPUTED_VALUE"""),"Абсолютная и относительная влажность. Максимальная влажность")</f>
        <v>Абсолютная и относительная влажность. Максимальная влажность</v>
      </c>
      <c r="L18" s="1">
        <f>IFERROR(__xludf.DUMMYFUNCTION("""COMPUTED_VALUE"""),524.0)</f>
        <v>524</v>
      </c>
      <c r="M18" s="1"/>
      <c r="N18" s="1"/>
      <c r="O18" s="1"/>
      <c r="P18" s="1"/>
      <c r="Q18" s="1"/>
      <c r="R18" s="1"/>
      <c r="S18" s="1"/>
      <c r="T18" s="1"/>
      <c r="U18" s="1" t="str">
        <f>IFERROR(__xludf.DUMMYFUNCTION("""COMPUTED_VALUE"""),"Максимальный порядок спектра дифракционной решетки. Число максимумов дифракционной решетки")</f>
        <v>Максимальный порядок спектра дифракционной решетки. Число максимумов дифракционной решетки</v>
      </c>
      <c r="V18" s="1">
        <f>IFERROR(__xludf.DUMMYFUNCTION("""COMPUTED_VALUE"""),1023.0)</f>
        <v>1023</v>
      </c>
      <c r="W18" s="1" t="str">
        <f>IFERROR(__xludf.DUMMYFUNCTION("""COMPUTED_VALUE"""),"Закон радиоактивного распада, его статистический характер")</f>
        <v>Закон радиоактивного распада, его статистический характер</v>
      </c>
      <c r="X18" s="1">
        <f>IFERROR(__xludf.DUMMYFUNCTION("""COMPUTED_VALUE"""),1128.0)</f>
        <v>1128</v>
      </c>
      <c r="Y18" s="1" t="str">
        <f>IFERROR(__xludf.DUMMYFUNCTION("""COMPUTED_VALUE"""),"Умение проводить анализ  заданий представленных в виде картинки, сопоставлять текст и картинку, выделять необходимые элементы для решения задачи.")</f>
        <v>Умение проводить анализ  заданий представленных в виде картинки, сопоставлять текст и картинку, выделять необходимые элементы для решения задачи.</v>
      </c>
      <c r="Z18" s="1">
        <f>IFERROR(__xludf.DUMMYFUNCTION("""COMPUTED_VALUE"""),1217.0)</f>
        <v>1217</v>
      </c>
    </row>
    <row r="19">
      <c r="A19" s="1" t="str">
        <f>IFERROR(__xludf.DUMMYFUNCTION("""COMPUTED_VALUE"""),"Формулы, описывающие свободное падение тела по вертикали (движение тела вниз или вверх относительно поверхности Земли)")</f>
        <v>Формулы, описывающие свободное падение тела по вертикали (движение тела вниз или вверх относительно поверхности Земли)</v>
      </c>
      <c r="B19" s="1">
        <f>IFERROR(__xludf.DUMMYFUNCTION("""COMPUTED_VALUE"""),32.0)</f>
        <v>32</v>
      </c>
      <c r="C19" s="1" t="str">
        <f>IFERROR(__xludf.DUMMYFUNCTION("""COMPUTED_VALUE"""),"Проекция равнодействующей силы по графику скорости")</f>
        <v>Проекция равнодействующей силы по графику скорости</v>
      </c>
      <c r="D19" s="1">
        <f>IFERROR(__xludf.DUMMYFUNCTION("""COMPUTED_VALUE"""),132.0)</f>
        <v>132</v>
      </c>
      <c r="E19" s="1"/>
      <c r="F19" s="1"/>
      <c r="G19" s="1"/>
      <c r="H19" s="1"/>
      <c r="I19" s="1"/>
      <c r="J19" s="1"/>
      <c r="K19" s="1" t="str">
        <f>IFERROR(__xludf.DUMMYFUNCTION("""COMPUTED_VALUE"""),"Испарение и конденсация. Причины влияющие на скорость испарения (температура, площадь поверхности, влажность, ветер, род жидкости)")</f>
        <v>Испарение и конденсация. Причины влияющие на скорость испарения (температура, площадь поверхности, влажность, ветер, род жидкости)</v>
      </c>
      <c r="L19" s="1">
        <f>IFERROR(__xludf.DUMMYFUNCTION("""COMPUTED_VALUE"""),527.0)</f>
        <v>527</v>
      </c>
      <c r="M19" s="1"/>
      <c r="N19" s="1"/>
      <c r="O19" s="1"/>
      <c r="P19" s="1"/>
      <c r="Q19" s="1"/>
      <c r="R19" s="1"/>
      <c r="S19" s="1"/>
      <c r="T19" s="1"/>
      <c r="U19" s="1" t="str">
        <f>IFERROR(__xludf.DUMMYFUNCTION("""COMPUTED_VALUE"""),"Дисперсия света. Цвет")</f>
        <v>Дисперсия света. Цвет</v>
      </c>
      <c r="V19" s="1">
        <f>IFERROR(__xludf.DUMMYFUNCTION("""COMPUTED_VALUE"""),1026.0)</f>
        <v>1026</v>
      </c>
      <c r="W19" s="1" t="str">
        <f>IFERROR(__xludf.DUMMYFUNCTION("""COMPUTED_VALUE"""),"График зависимости числа ядер (массы) радиоактивного распада от времени. Период полураспада")</f>
        <v>График зависимости числа ядер (массы) радиоактивного распада от времени. Период полураспада</v>
      </c>
      <c r="X19" s="1">
        <f>IFERROR(__xludf.DUMMYFUNCTION("""COMPUTED_VALUE"""),1129.0)</f>
        <v>1129</v>
      </c>
      <c r="Y19" s="1" t="str">
        <f>IFERROR(__xludf.DUMMYFUNCTION("""COMPUTED_VALUE"""),"Теорема Пифагора")</f>
        <v>Теорема Пифагора</v>
      </c>
      <c r="Z19" s="1">
        <f>IFERROR(__xludf.DUMMYFUNCTION("""COMPUTED_VALUE"""),1218.0)</f>
        <v>1218</v>
      </c>
    </row>
    <row r="20">
      <c r="A20" s="1" t="str">
        <f>IFERROR(__xludf.DUMMYFUNCTION("""COMPUTED_VALUE"""),"Графики зависимости от времени для проекции ускорения, проекции скорости и координаты при свободном падении тела по вертикали")</f>
        <v>Графики зависимости от времени для проекции ускорения, проекции скорости и координаты при свободном падении тела по вертикали</v>
      </c>
      <c r="B20" s="1">
        <f>IFERROR(__xludf.DUMMYFUNCTION("""COMPUTED_VALUE"""),33.0)</f>
        <v>33</v>
      </c>
      <c r="C20" s="1" t="str">
        <f>IFERROR(__xludf.DUMMYFUNCTION("""COMPUTED_VALUE"""),"Движение вдоль прямой под действием нескольких сил")</f>
        <v>Движение вдоль прямой под действием нескольких сил</v>
      </c>
      <c r="D20" s="1">
        <f>IFERROR(__xludf.DUMMYFUNCTION("""COMPUTED_VALUE"""),133.0)</f>
        <v>133</v>
      </c>
      <c r="E20" s="1"/>
      <c r="F20" s="1"/>
      <c r="G20" s="1"/>
      <c r="H20" s="1"/>
      <c r="I20" s="1"/>
      <c r="J20" s="1"/>
      <c r="K20" s="1" t="str">
        <f>IFERROR(__xludf.DUMMYFUNCTION("""COMPUTED_VALUE"""),"Изменение внутренней энергии при нагревании/охлаждении/фазовых переходах")</f>
        <v>Изменение внутренней энергии при нагревании/охлаждении/фазовых переходах</v>
      </c>
      <c r="L20" s="1">
        <f>IFERROR(__xludf.DUMMYFUNCTION("""COMPUTED_VALUE"""),528.0)</f>
        <v>528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 t="str">
        <f>IFERROR(__xludf.DUMMYFUNCTION("""COMPUTED_VALUE"""),"Ядерные реакции. Деление и синтез ядер")</f>
        <v>Ядерные реакции. Деление и синтез ядер</v>
      </c>
      <c r="X20" s="1">
        <f>IFERROR(__xludf.DUMMYFUNCTION("""COMPUTED_VALUE"""),1130.0)</f>
        <v>1130</v>
      </c>
      <c r="Y20" s="1"/>
      <c r="Z20" s="1"/>
    </row>
    <row r="21">
      <c r="A21" s="1" t="str">
        <f>IFERROR(__xludf.DUMMYFUNCTION("""COMPUTED_VALUE"""),"Движение тела брошенного с горизонтальной скоростью.Уравнения описывающие  движение.")</f>
        <v>Движение тела брошенного с горизонтальной скоростью.Уравнения описывающие  движение.</v>
      </c>
      <c r="B21" s="1">
        <f>IFERROR(__xludf.DUMMYFUNCTION("""COMPUTED_VALUE"""),34.0)</f>
        <v>34</v>
      </c>
      <c r="C21" s="1" t="str">
        <f>IFERROR(__xludf.DUMMYFUNCTION("""COMPUTED_VALUE"""),"Сила натяжения нити")</f>
        <v>Сила натяжения нити</v>
      </c>
      <c r="D21" s="1">
        <f>IFERROR(__xludf.DUMMYFUNCTION("""COMPUTED_VALUE"""),134.0)</f>
        <v>134</v>
      </c>
      <c r="E21" s="1"/>
      <c r="F21" s="1"/>
      <c r="G21" s="1"/>
      <c r="H21" s="1"/>
      <c r="I21" s="1"/>
      <c r="J21" s="1"/>
      <c r="K21" s="1" t="str">
        <f>IFERROR(__xludf.DUMMYFUNCTION("""COMPUTED_VALUE"""),"Кипение и конденсация жидкости. Удельная теплота кипения и конденсации")</f>
        <v>Кипение и конденсация жидкости. Удельная теплота кипения и конденсации</v>
      </c>
      <c r="L21" s="1">
        <f>IFERROR(__xludf.DUMMYFUNCTION("""COMPUTED_VALUE"""),529.0)</f>
        <v>529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 t="str">
        <f>IFERROR(__xludf.DUMMYFUNCTION("""COMPUTED_VALUE"""),"Элементарные частицы и их свойства")</f>
        <v>Элементарные частицы и их свойства</v>
      </c>
      <c r="X21" s="1">
        <f>IFERROR(__xludf.DUMMYFUNCTION("""COMPUTED_VALUE"""),1131.0)</f>
        <v>1131</v>
      </c>
      <c r="Y21" s="1"/>
      <c r="Z21" s="1"/>
    </row>
    <row r="22">
      <c r="A22" s="1" t="str">
        <f>IFERROR(__xludf.DUMMYFUNCTION("""COMPUTED_VALUE"""),"Уравнения скорости координаты и ускорения  для движения тела брошенного под углом к горизонту")</f>
        <v>Уравнения скорости координаты и ускорения  для движения тела брошенного под углом к горизонту</v>
      </c>
      <c r="B22" s="1">
        <f>IFERROR(__xludf.DUMMYFUNCTION("""COMPUTED_VALUE"""),37.0)</f>
        <v>37</v>
      </c>
      <c r="C22" s="1"/>
      <c r="D22" s="1"/>
      <c r="E22" s="1"/>
      <c r="F22" s="1"/>
      <c r="G22" s="1"/>
      <c r="H22" s="1"/>
      <c r="I22" s="1"/>
      <c r="J22" s="1"/>
      <c r="K22" s="1" t="str">
        <f>IFERROR(__xludf.DUMMYFUNCTION("""COMPUTED_VALUE"""),"Плавление и кристаллизация.  Удельная теплота плавления")</f>
        <v>Плавление и кристаллизация.  Удельная теплота плавления</v>
      </c>
      <c r="L22" s="1">
        <f>IFERROR(__xludf.DUMMYFUNCTION("""COMPUTED_VALUE"""),530.0)</f>
        <v>530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 t="str">
        <f>IFERROR(__xludf.DUMMYFUNCTION("""COMPUTED_VALUE"""),"Инвариантность модуля скорости света в вакууме")</f>
        <v>Инвариантность модуля скорости света в вакууме</v>
      </c>
      <c r="X22" s="1">
        <f>IFERROR(__xludf.DUMMYFUNCTION("""COMPUTED_VALUE"""),1132.0)</f>
        <v>1132</v>
      </c>
      <c r="Y22" s="1"/>
      <c r="Z22" s="1"/>
    </row>
    <row r="23">
      <c r="A23" s="1" t="str">
        <f>IFERROR(__xludf.DUMMYFUNCTION("""COMPUTED_VALUE"""),"Дальность  полета, время полета(подъема), высота подъема тела брошенного под углом к горизонту")</f>
        <v>Дальность  полета, время полета(подъема), высота подъема тела брошенного под углом к горизонту</v>
      </c>
      <c r="B23" s="1">
        <f>IFERROR(__xludf.DUMMYFUNCTION("""COMPUTED_VALUE"""),38.0)</f>
        <v>38</v>
      </c>
      <c r="C23" s="1"/>
      <c r="D23" s="1"/>
      <c r="E23" s="1"/>
      <c r="F23" s="1"/>
      <c r="G23" s="1"/>
      <c r="H23" s="1"/>
      <c r="I23" s="1"/>
      <c r="J23" s="1"/>
      <c r="K23" s="1" t="str">
        <f>IFERROR(__xludf.DUMMYFUNCTION("""COMPUTED_VALUE"""),"Внутренняя энергия сгорания топлива. Удельная теплота сгорания топлива")</f>
        <v>Внутренняя энергия сгорания топлива. Удельная теплота сгорания топлива</v>
      </c>
      <c r="L23" s="1">
        <f>IFERROR(__xludf.DUMMYFUNCTION("""COMPUTED_VALUE"""),533.0)</f>
        <v>533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 t="str">
        <f>IFERROR(__xludf.DUMMYFUNCTION("""COMPUTED_VALUE"""),"Следствия из постулатов СТО: сокращение длин, замедление промежутков времени, относительность одновременности событий")</f>
        <v>Следствия из постулатов СТО: сокращение длин, замедление промежутков времени, относительность одновременности событий</v>
      </c>
      <c r="X23" s="1">
        <f>IFERROR(__xludf.DUMMYFUNCTION("""COMPUTED_VALUE"""),1134.0)</f>
        <v>1134</v>
      </c>
      <c r="Y23" s="1"/>
      <c r="Z23" s="1"/>
    </row>
    <row r="24">
      <c r="A24" s="1" t="str">
        <f>IFERROR(__xludf.DUMMYFUNCTION("""COMPUTED_VALUE"""),"Графики зависимости от времени для проекции ускорения, проекции скорости и координаты при движении тела брошенного под углом к горизонту")</f>
        <v>Графики зависимости от времени для проекции ускорения, проекции скорости и координаты при движении тела брошенного под углом к горизонту</v>
      </c>
      <c r="B24" s="1">
        <f>IFERROR(__xludf.DUMMYFUNCTION("""COMPUTED_VALUE"""),40.0)</f>
        <v>40</v>
      </c>
      <c r="C24" s="1"/>
      <c r="D24" s="1"/>
      <c r="E24" s="1"/>
      <c r="F24" s="1"/>
      <c r="G24" s="1"/>
      <c r="H24" s="1"/>
      <c r="I24" s="1"/>
      <c r="J24" s="1"/>
      <c r="K24" s="1" t="str">
        <f>IFERROR(__xludf.DUMMYFUNCTION("""COMPUTED_VALUE""")," Количество теплоты при нагревании/охлаждении. Удельная теплоемкость тел")</f>
        <v> Количество теплоты при нагревании/охлаждении. Удельная теплоемкость тел</v>
      </c>
      <c r="L24" s="1">
        <f>IFERROR(__xludf.DUMMYFUNCTION("""COMPUTED_VALUE"""),536.0)</f>
        <v>536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 t="str">
        <f>IFERROR(__xludf.DUMMYFUNCTION("""COMPUTED_VALUE"""),"Релятивистский закон сложения скоростей")</f>
        <v>Релятивистский закон сложения скоростей</v>
      </c>
      <c r="X24" s="1">
        <f>IFERROR(__xludf.DUMMYFUNCTION("""COMPUTED_VALUE"""),1135.0)</f>
        <v>1135</v>
      </c>
      <c r="Y24" s="1"/>
      <c r="Z24" s="1"/>
    </row>
    <row r="25">
      <c r="A25" s="1" t="str">
        <f>IFERROR(__xludf.DUMMYFUNCTION("""COMPUTED_VALUE"""),"Формула центростремительного ускорения при равномерном движении по окружности")</f>
        <v>Формула центростремительного ускорения при равномерном движении по окружности</v>
      </c>
      <c r="B25" s="1">
        <f>IFERROR(__xludf.DUMMYFUNCTION("""COMPUTED_VALUE"""),44.0)</f>
        <v>44</v>
      </c>
      <c r="C25" s="1"/>
      <c r="D25" s="1"/>
      <c r="E25" s="1"/>
      <c r="F25" s="1"/>
      <c r="G25" s="1"/>
      <c r="H25" s="1"/>
      <c r="I25" s="1"/>
      <c r="J25" s="1"/>
      <c r="K25" s="1" t="str">
        <f>IFERROR(__xludf.DUMMYFUNCTION("""COMPUTED_VALUE"""),"Анализ процессов нагревания/охлаждения, фазовых переходов по графикам t(Q), t(τ)")</f>
        <v>Анализ процессов нагревания/охлаждения, фазовых переходов по графикам t(Q), t(τ)</v>
      </c>
      <c r="L25" s="1">
        <f>IFERROR(__xludf.DUMMYFUNCTION("""COMPUTED_VALUE"""),537.0)</f>
        <v>537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 t="str">
        <f>IFERROR(__xludf.DUMMYFUNCTION("""COMPUTED_VALUE"""),"Энергия свободной частицы")</f>
        <v>Энергия свободной частицы</v>
      </c>
      <c r="X25" s="1">
        <f>IFERROR(__xludf.DUMMYFUNCTION("""COMPUTED_VALUE"""),1136.0)</f>
        <v>1136</v>
      </c>
      <c r="Y25" s="1"/>
      <c r="Z25" s="1"/>
    </row>
    <row r="26">
      <c r="A26" s="1" t="str">
        <f>IFERROR(__xludf.DUMMYFUNCTION("""COMPUTED_VALUE"""),"Связь линейной и угловой скорости")</f>
        <v>Связь линейной и угловой скорости</v>
      </c>
      <c r="B26" s="1">
        <f>IFERROR(__xludf.DUMMYFUNCTION("""COMPUTED_VALUE"""),45.0)</f>
        <v>45</v>
      </c>
      <c r="C26" s="1"/>
      <c r="D26" s="1"/>
      <c r="E26" s="1"/>
      <c r="F26" s="1"/>
      <c r="G26" s="1"/>
      <c r="H26" s="1"/>
      <c r="I26" s="1"/>
      <c r="J26" s="1"/>
      <c r="K26" s="1" t="str">
        <f>IFERROR(__xludf.DUMMYFUNCTION("""COMPUTED_VALUE"""),"Закон сохранения энергии в тепловых процессах. Уравнение теплового баланса")</f>
        <v>Закон сохранения энергии в тепловых процессах. Уравнение теплового баланса</v>
      </c>
      <c r="L26" s="1">
        <f>IFERROR(__xludf.DUMMYFUNCTION("""COMPUTED_VALUE"""),539.0)</f>
        <v>539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 t="str">
        <f>IFERROR(__xludf.DUMMYFUNCTION("""COMPUTED_VALUE"""),"Импульс частицы")</f>
        <v>Импульс частицы</v>
      </c>
      <c r="X26" s="1">
        <f>IFERROR(__xludf.DUMMYFUNCTION("""COMPUTED_VALUE"""),1137.0)</f>
        <v>1137</v>
      </c>
      <c r="Y26" s="1"/>
      <c r="Z26" s="1"/>
    </row>
    <row r="27">
      <c r="A27" s="1" t="str">
        <f>IFERROR(__xludf.DUMMYFUNCTION("""COMPUTED_VALUE"""),"Формула, связывающая период и частоту обращения")</f>
        <v>Формула, связывающая период и частоту обращения</v>
      </c>
      <c r="B27" s="1">
        <f>IFERROR(__xludf.DUMMYFUNCTION("""COMPUTED_VALUE"""),46.0)</f>
        <v>46</v>
      </c>
      <c r="C27" s="1"/>
      <c r="D27" s="1"/>
      <c r="E27" s="1"/>
      <c r="F27" s="1"/>
      <c r="G27" s="1"/>
      <c r="H27" s="1"/>
      <c r="I27" s="1"/>
      <c r="J27" s="1"/>
      <c r="K27" s="1" t="str">
        <f>IFERROR(__xludf.DUMMYFUNCTION("""COMPUTED_VALUE""")," Работа в изобарном и изохорном процессе, знак работы (зависимость от изменения объема)")</f>
        <v> Работа в изобарном и изохорном процессе, знак работы (зависимость от изменения объема)</v>
      </c>
      <c r="L27" s="1">
        <f>IFERROR(__xludf.DUMMYFUNCTION("""COMPUTED_VALUE"""),540.0)</f>
        <v>540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 t="str">
        <f>IFERROR(__xludf.DUMMYFUNCTION("""COMPUTED_VALUE"""),"Связь массы и энергии свободной частицы")</f>
        <v>Связь массы и энергии свободной частицы</v>
      </c>
      <c r="X27" s="1">
        <f>IFERROR(__xludf.DUMMYFUNCTION("""COMPUTED_VALUE"""),1138.0)</f>
        <v>1138</v>
      </c>
      <c r="Y27" s="1"/>
      <c r="Z27" s="1"/>
    </row>
    <row r="28">
      <c r="A28" s="1" t="str">
        <f>IFERROR(__xludf.DUMMYFUNCTION("""COMPUTED_VALUE"""),"Формула для вычисления скорости через радиус окружности и период обращени")</f>
        <v>Формула для вычисления скорости через радиус окружности и период обращени</v>
      </c>
      <c r="B28" s="1">
        <f>IFERROR(__xludf.DUMMYFUNCTION("""COMPUTED_VALUE"""),47.0)</f>
        <v>47</v>
      </c>
      <c r="C28" s="1"/>
      <c r="D28" s="1"/>
      <c r="E28" s="1"/>
      <c r="F28" s="1"/>
      <c r="G28" s="1"/>
      <c r="H28" s="1"/>
      <c r="I28" s="1"/>
      <c r="J28" s="1"/>
      <c r="K28" s="1" t="str">
        <f>IFERROR(__xludf.DUMMYFUNCTION("""COMPUTED_VALUE"""),"Вычисление работы по графику процесса на pV-диаграмме (площадь фигуры под графиком)")</f>
        <v>Вычисление работы по графику процесса на pV-диаграмме (площадь фигуры под графиком)</v>
      </c>
      <c r="L28" s="1">
        <f>IFERROR(__xludf.DUMMYFUNCTION("""COMPUTED_VALUE"""),541.0)</f>
        <v>541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 t="str">
        <f>IFERROR(__xludf.DUMMYFUNCTION("""COMPUTED_VALUE"""),"Кинетическая энергия релятивистской частицы")</f>
        <v>Кинетическая энергия релятивистской частицы</v>
      </c>
      <c r="X28" s="1">
        <f>IFERROR(__xludf.DUMMYFUNCTION("""COMPUTED_VALUE"""),1139.0)</f>
        <v>1139</v>
      </c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 t="str">
        <f>IFERROR(__xludf.DUMMYFUNCTION("""COMPUTED_VALUE"""),"Первый закон термодинамики")</f>
        <v>Первый закон термодинамики</v>
      </c>
      <c r="L29" s="1">
        <f>IFERROR(__xludf.DUMMYFUNCTION("""COMPUTED_VALUE"""),542.0)</f>
        <v>542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 t="str">
        <f>IFERROR(__xludf.DUMMYFUNCTION("""COMPUTED_VALUE"""),"Энергия покоя свободной частицы")</f>
        <v>Энергия покоя свободной частицы</v>
      </c>
      <c r="X29" s="1">
        <f>IFERROR(__xludf.DUMMYFUNCTION("""COMPUTED_VALUE"""),1140.0)</f>
        <v>1140</v>
      </c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 t="str">
        <f>IFERROR(__xludf.DUMMYFUNCTION("""COMPUTED_VALUE"""),"Адиабатный процесс. График адиабатного процесса")</f>
        <v>Адиабатный процесс. График адиабатного процесса</v>
      </c>
      <c r="L30" s="1">
        <f>IFERROR(__xludf.DUMMYFUNCTION("""COMPUTED_VALUE"""),544.0)</f>
        <v>544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 t="str">
        <f>IFERROR(__xludf.DUMMYFUNCTION("""COMPUTED_VALUE"""),"Обычные тепловые машины, связь теплот и работы, КПД")</f>
        <v>Обычные тепловые машины, связь теплот и работы, КПД</v>
      </c>
      <c r="L31" s="1">
        <f>IFERROR(__xludf.DUMMYFUNCTION("""COMPUTED_VALUE"""),545.0)</f>
        <v>545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 t="str">
        <f>IFERROR(__xludf.DUMMYFUNCTION("""COMPUTED_VALUE"""),"Замкнутый цикл. Нахождение работы за цикл как площадь фигуры внутри цикла")</f>
        <v>Замкнутый цикл. Нахождение работы за цикл как площадь фигуры внутри цикла</v>
      </c>
      <c r="L32" s="1">
        <f>IFERROR(__xludf.DUMMYFUNCTION("""COMPUTED_VALUE"""),547.0)</f>
        <v>547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 t="str">
        <f>IFERROR(__xludf.DUMMYFUNCTION("""COMPUTED_VALUE"""),"Идеальная тепловая машина, цикл Карно, его КПД")</f>
        <v>Идеальная тепловая машина, цикл Карно, его КПД</v>
      </c>
      <c r="L33" s="1">
        <f>IFERROR(__xludf.DUMMYFUNCTION("""COMPUTED_VALUE"""),548.0)</f>
        <v>548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