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IFERROR(__xludf.DUMMYFUNCTION("IMPORTRANGE(""https://docs.google.com/spreadsheets/d/1UPx6B44t1Te-3g2YDT3uRFD6HuoA0lXICoT63V7huQQ/edit"",""УМИТЫ!A:Ak"")"),"Атомы, молекулы, вещества")</f>
        <v>Атомы, молекулы, вещества</v>
      </c>
      <c r="B1" s="1"/>
      <c r="C1" s="1" t="str">
        <f>IFERROR(__xludf.DUMMYFUNCTION("""COMPUTED_VALUE"""),"Химия неметаллов")</f>
        <v>Химия неметаллов</v>
      </c>
      <c r="D1" s="1"/>
      <c r="E1" s="1" t="str">
        <f>IFERROR(__xludf.DUMMYFUNCTION("""COMPUTED_VALUE"""),"Химия металлов")</f>
        <v>Химия металлов</v>
      </c>
      <c r="F1" s="1"/>
      <c r="G1" s="1" t="str">
        <f>IFERROR(__xludf.DUMMYFUNCTION("""COMPUTED_VALUE"""),"Основные классы неорганических соединений")</f>
        <v>Основные классы неорганических соединений</v>
      </c>
      <c r="H1" s="1"/>
      <c r="I1" s="1" t="str">
        <f>IFERROR(__xludf.DUMMYFUNCTION("""COMPUTED_VALUE"""),"Кислоты")</f>
        <v>Кислоты</v>
      </c>
      <c r="J1" s="1"/>
      <c r="K1" s="1" t="str">
        <f>IFERROR(__xludf.DUMMYFUNCTION("""COMPUTED_VALUE"""),"Соли")</f>
        <v>Соли</v>
      </c>
      <c r="L1" s="1"/>
      <c r="M1" s="1" t="str">
        <f>IFERROR(__xludf.DUMMYFUNCTION("""COMPUTED_VALUE"""),"Основы органической химии")</f>
        <v>Основы органической химии</v>
      </c>
      <c r="N1" s="1"/>
      <c r="O1" s="1" t="str">
        <f>IFERROR(__xludf.DUMMYFUNCTION("""COMPUTED_VALUE"""),"Углеводороды")</f>
        <v>Углеводороды</v>
      </c>
      <c r="P1" s="1"/>
      <c r="Q1" s="1" t="str">
        <f>IFERROR(__xludf.DUMMYFUNCTION("""COMPUTED_VALUE"""),"Кислородсодержащие производные углеводородов")</f>
        <v>Кислородсодержащие производные углеводородов</v>
      </c>
      <c r="R1" s="1"/>
      <c r="S1" s="1" t="str">
        <f>IFERROR(__xludf.DUMMYFUNCTION("""COMPUTED_VALUE"""),"Азотсодержащие производные углеводородов")</f>
        <v>Азотсодержащие производные углеводородов</v>
      </c>
      <c r="T1" s="1"/>
      <c r="U1" s="1" t="str">
        <f>IFERROR(__xludf.DUMMYFUNCTION("""COMPUTED_VALUE"""),"Химия и жизнь")</f>
        <v>Химия и жизнь</v>
      </c>
      <c r="V1" s="1"/>
      <c r="W1" s="1" t="str">
        <f>IFERROR(__xludf.DUMMYFUNCTION("""COMPUTED_VALUE"""),"Химия и жизнь")</f>
        <v>Химия и жизнь</v>
      </c>
      <c r="X1" s="1"/>
      <c r="Y1" s="1" t="str">
        <f>IFERROR(__xludf.DUMMYFUNCTION("""COMPUTED_VALUE"""),"Расчетные задачи")</f>
        <v>Расчетные задачи</v>
      </c>
      <c r="Z1" s="1"/>
      <c r="AA1" s="1" t="str">
        <f>IFERROR(__xludf.DUMMYFUNCTION("""COMPUTED_VALUE"""),"Химические реакции")</f>
        <v>Химические реакции</v>
      </c>
      <c r="AB1" s="1"/>
    </row>
    <row r="2">
      <c r="A2" s="1" t="str">
        <f>IFERROR(__xludf.DUMMYFUNCTION("""COMPUTED_VALUE"""),"Модели строения атома")</f>
        <v>Модели строения атома</v>
      </c>
      <c r="B2" s="1">
        <f>IFERROR(__xludf.DUMMYFUNCTION("""COMPUTED_VALUE"""),1.0)</f>
        <v>1</v>
      </c>
      <c r="C2" s="1" t="str">
        <f>IFERROR(__xludf.DUMMYFUNCTION("""COMPUTED_VALUE"""),"Химия неметаллов")</f>
        <v>Химия неметаллов</v>
      </c>
      <c r="D2" s="1">
        <f>IFERROR(__xludf.DUMMYFUNCTION("""COMPUTED_VALUE"""),101.0)</f>
        <v>101</v>
      </c>
      <c r="E2" s="1" t="str">
        <f>IFERROR(__xludf.DUMMYFUNCTION("""COMPUTED_VALUE"""),"Местонахождение металлов в Периодической системе Д.И. Менделеева и особенности строения их атомов")</f>
        <v>Местонахождение металлов в Периодической системе Д.И. Менделеева и особенности строения их атомов</v>
      </c>
      <c r="F2" s="1">
        <f>IFERROR(__xludf.DUMMYFUNCTION("""COMPUTED_VALUE"""),201.0)</f>
        <v>201</v>
      </c>
      <c r="G2" s="1" t="str">
        <f>IFERROR(__xludf.DUMMYFUNCTION("""COMPUTED_VALUE"""),"Химические свойства основных оксидов")</f>
        <v>Химические свойства основных оксидов</v>
      </c>
      <c r="H2" s="1">
        <f>IFERROR(__xludf.DUMMYFUNCTION("""COMPUTED_VALUE"""),301.0)</f>
        <v>301</v>
      </c>
      <c r="I2" s="1" t="str">
        <f>IFERROR(__xludf.DUMMYFUNCTION("""COMPUTED_VALUE"""),"Общая характеристика и классификация кислот")</f>
        <v>Общая характеристика и классификация кислот</v>
      </c>
      <c r="J2" s="1">
        <f>IFERROR(__xludf.DUMMYFUNCTION("""COMPUTED_VALUE"""),401.0)</f>
        <v>401</v>
      </c>
      <c r="K2" s="1" t="str">
        <f>IFERROR(__xludf.DUMMYFUNCTION("""COMPUTED_VALUE"""),"Общая характеристика и классификация солей")</f>
        <v>Общая характеристика и классификация солей</v>
      </c>
      <c r="L2" s="1">
        <f>IFERROR(__xludf.DUMMYFUNCTION("""COMPUTED_VALUE"""),501.0)</f>
        <v>501</v>
      </c>
      <c r="M2" s="1" t="str">
        <f>IFERROR(__xludf.DUMMYFUNCTION("""COMPUTED_VALUE"""),"Теория строения органических соединений А. М. Бутлерова")</f>
        <v>Теория строения органических соединений А. М. Бутлерова</v>
      </c>
      <c r="N2" s="1">
        <f>IFERROR(__xludf.DUMMYFUNCTION("""COMPUTED_VALUE"""),701.0)</f>
        <v>701</v>
      </c>
      <c r="O2" s="1" t="str">
        <f>IFERROR(__xludf.DUMMYFUNCTION("""COMPUTED_VALUE"""),"Общая формула и гомологический ряд алканов")</f>
        <v>Общая формула и гомологический ряд алканов</v>
      </c>
      <c r="P2" s="1">
        <f>IFERROR(__xludf.DUMMYFUNCTION("""COMPUTED_VALUE"""),801.0)</f>
        <v>801</v>
      </c>
      <c r="Q2" s="1" t="str">
        <f>IFERROR(__xludf.DUMMYFUNCTION("""COMPUTED_VALUE"""),"Качественная реакция на многоатомные спирты")</f>
        <v>Качественная реакция на многоатомные спирты</v>
      </c>
      <c r="R2" s="1">
        <f>IFERROR(__xludf.DUMMYFUNCTION("""COMPUTED_VALUE"""),903.0)</f>
        <v>903</v>
      </c>
      <c r="S2" s="1" t="str">
        <f>IFERROR(__xludf.DUMMYFUNCTION("""COMPUTED_VALUE"""),"Умение определять амины")</f>
        <v>Умение определять амины</v>
      </c>
      <c r="T2" s="1">
        <f>IFERROR(__xludf.DUMMYFUNCTION("""COMPUTED_VALUE"""),1001.0)</f>
        <v>1001</v>
      </c>
      <c r="U2" s="1" t="str">
        <f>IFERROR(__xludf.DUMMYFUNCTION("""COMPUTED_VALUE"""),"Основные понятия высокомолекулярных соединений: мономер, полимер, структурное звено, степень полимеризации")</f>
        <v>Основные понятия высокомолекулярных соединений: мономер, полимер, структурное звено, степень полимеризации</v>
      </c>
      <c r="V2" s="1">
        <f>IFERROR(__xludf.DUMMYFUNCTION("""COMPUTED_VALUE"""),1101.0)</f>
        <v>1101</v>
      </c>
      <c r="W2" s="1" t="str">
        <f>IFERROR(__xludf.DUMMYFUNCTION("""COMPUTED_VALUE"""),"Качественные реакции на галогенид-ионы")</f>
        <v>Качественные реакции на галогенид-ионы</v>
      </c>
      <c r="X2" s="1">
        <f>IFERROR(__xludf.DUMMYFUNCTION("""COMPUTED_VALUE"""),1201.0)</f>
        <v>1201</v>
      </c>
      <c r="Y2" s="1" t="str">
        <f>IFERROR(__xludf.DUMMYFUNCTION("""COMPUTED_VALUE"""),"Закон сохранения массы")</f>
        <v>Закон сохранения массы</v>
      </c>
      <c r="Z2" s="1">
        <f>IFERROR(__xludf.DUMMYFUNCTION("""COMPUTED_VALUE"""),1301.0)</f>
        <v>1301</v>
      </c>
      <c r="AA2" s="1" t="str">
        <f>IFERROR(__xludf.DUMMYFUNCTION("""COMPUTED_VALUE"""),"Метод электронного баланса в органических реакциях")</f>
        <v>Метод электронного баланса в органических реакциях</v>
      </c>
      <c r="AB2" s="1">
        <f>IFERROR(__xludf.DUMMYFUNCTION("""COMPUTED_VALUE"""),1401.0)</f>
        <v>1401</v>
      </c>
    </row>
    <row r="3">
      <c r="A3" s="1" t="str">
        <f>IFERROR(__xludf.DUMMYFUNCTION("""COMPUTED_VALUE"""),"Изотопы")</f>
        <v>Изотопы</v>
      </c>
      <c r="B3" s="1">
        <f>IFERROR(__xludf.DUMMYFUNCTION("""COMPUTED_VALUE"""),2.0)</f>
        <v>2</v>
      </c>
      <c r="C3" s="1" t="str">
        <f>IFERROR(__xludf.DUMMYFUNCTION("""COMPUTED_VALUE"""),"Физические свойства водорода")</f>
        <v>Физические свойства водорода</v>
      </c>
      <c r="D3" s="1">
        <f>IFERROR(__xludf.DUMMYFUNCTION("""COMPUTED_VALUE"""),102.0)</f>
        <v>102</v>
      </c>
      <c r="E3" s="1" t="str">
        <f>IFERROR(__xludf.DUMMYFUNCTION("""COMPUTED_VALUE"""),"Физические свойства металлов")</f>
        <v>Физические свойства металлов</v>
      </c>
      <c r="F3" s="1">
        <f>IFERROR(__xludf.DUMMYFUNCTION("""COMPUTED_VALUE"""),202.0)</f>
        <v>202</v>
      </c>
      <c r="G3" s="1" t="str">
        <f>IFERROR(__xludf.DUMMYFUNCTION("""COMPUTED_VALUE"""),"Химические свойства кислотных оксидов")</f>
        <v>Химические свойства кислотных оксидов</v>
      </c>
      <c r="H3" s="1">
        <f>IFERROR(__xludf.DUMMYFUNCTION("""COMPUTED_VALUE"""),302.0)</f>
        <v>302</v>
      </c>
      <c r="I3" s="1" t="str">
        <f>IFERROR(__xludf.DUMMYFUNCTION("""COMPUTED_VALUE"""),"Умение определять одноосновные и многоосновные кислоты")</f>
        <v>Умение определять одноосновные и многоосновные кислоты</v>
      </c>
      <c r="J3" s="1">
        <f>IFERROR(__xludf.DUMMYFUNCTION("""COMPUTED_VALUE"""),402.0)</f>
        <v>402</v>
      </c>
      <c r="K3" s="1" t="str">
        <f>IFERROR(__xludf.DUMMYFUNCTION("""COMPUTED_VALUE"""),"Умение различать средние, кислые, основные, комплексные, смешанные и двойные соли")</f>
        <v>Умение различать средние, кислые, основные, комплексные, смешанные и двойные соли</v>
      </c>
      <c r="L3" s="1">
        <f>IFERROR(__xludf.DUMMYFUNCTION("""COMPUTED_VALUE"""),502.0)</f>
        <v>502</v>
      </c>
      <c r="M3" s="1" t="str">
        <f>IFERROR(__xludf.DUMMYFUNCTION("""COMPUTED_VALUE"""),"Принципы составления и изображения структурных формул органических веществ")</f>
        <v>Принципы составления и изображения структурных формул органических веществ</v>
      </c>
      <c r="N3" s="1">
        <f>IFERROR(__xludf.DUMMYFUNCTION("""COMPUTED_VALUE"""),702.0)</f>
        <v>702</v>
      </c>
      <c r="O3" s="1" t="str">
        <f>IFERROR(__xludf.DUMMYFUNCTION("""COMPUTED_VALUE"""),"Реакции замещения алканов")</f>
        <v>Реакции замещения алканов</v>
      </c>
      <c r="P3" s="1">
        <f>IFERROR(__xludf.DUMMYFUNCTION("""COMPUTED_VALUE"""),802.0)</f>
        <v>802</v>
      </c>
      <c r="Q3" s="1" t="str">
        <f>IFERROR(__xludf.DUMMYFUNCTION("""COMPUTED_VALUE"""),"Номенклатура предельных одноатомных спиртов")</f>
        <v>Номенклатура предельных одноатомных спиртов</v>
      </c>
      <c r="R3" s="1">
        <f>IFERROR(__xludf.DUMMYFUNCTION("""COMPUTED_VALUE"""),904.0)</f>
        <v>904</v>
      </c>
      <c r="S3" s="1" t="str">
        <f>IFERROR(__xludf.DUMMYFUNCTION("""COMPUTED_VALUE"""),"Амины как органические основания: реакции с водой и кислотами")</f>
        <v>Амины как органические основания: реакции с водой и кислотами</v>
      </c>
      <c r="T3" s="1">
        <f>IFERROR(__xludf.DUMMYFUNCTION("""COMPUTED_VALUE"""),1002.0)</f>
        <v>1002</v>
      </c>
      <c r="U3" s="1" t="str">
        <f>IFERROR(__xludf.DUMMYFUNCTION("""COMPUTED_VALUE"""),"Неорганические волокна")</f>
        <v>Неорганические волокна</v>
      </c>
      <c r="V3" s="1">
        <f>IFERROR(__xludf.DUMMYFUNCTION("""COMPUTED_VALUE"""),1102.0)</f>
        <v>1102</v>
      </c>
      <c r="W3" s="1" t="str">
        <f>IFERROR(__xludf.DUMMYFUNCTION("""COMPUTED_VALUE"""),"Правила работы в химической лаборатории")</f>
        <v>Правила работы в химической лаборатории</v>
      </c>
      <c r="X3" s="1">
        <f>IFERROR(__xludf.DUMMYFUNCTION("""COMPUTED_VALUE"""),1202.0)</f>
        <v>1202</v>
      </c>
      <c r="Y3" s="1" t="str">
        <f>IFERROR(__xludf.DUMMYFUNCTION("""COMPUTED_VALUE"""),"Понятие атомной массы")</f>
        <v>Понятие атомной массы</v>
      </c>
      <c r="Z3" s="1">
        <f>IFERROR(__xludf.DUMMYFUNCTION("""COMPUTED_VALUE"""),1302.0)</f>
        <v>1302</v>
      </c>
      <c r="AA3" s="1" t="str">
        <f>IFERROR(__xludf.DUMMYFUNCTION("""COMPUTED_VALUE"""),"Типичные окислители")</f>
        <v>Типичные окислители</v>
      </c>
      <c r="AB3" s="1">
        <f>IFERROR(__xludf.DUMMYFUNCTION("""COMPUTED_VALUE"""),1402.0)</f>
        <v>1402</v>
      </c>
    </row>
    <row r="4">
      <c r="A4" s="1" t="str">
        <f>IFERROR(__xludf.DUMMYFUNCTION("""COMPUTED_VALUE"""),"Распределение электронов по энергетическим уровням")</f>
        <v>Распределение электронов по энергетическим уровням</v>
      </c>
      <c r="B4" s="1">
        <f>IFERROR(__xludf.DUMMYFUNCTION("""COMPUTED_VALUE"""),4.0)</f>
        <v>4</v>
      </c>
      <c r="C4" s="1" t="str">
        <f>IFERROR(__xludf.DUMMYFUNCTION("""COMPUTED_VALUE"""),"Аллотропные модификации углерода")</f>
        <v>Аллотропные модификации углерода</v>
      </c>
      <c r="D4" s="1">
        <f>IFERROR(__xludf.DUMMYFUNCTION("""COMPUTED_VALUE"""),103.0)</f>
        <v>103</v>
      </c>
      <c r="E4" s="1" t="str">
        <f>IFERROR(__xludf.DUMMYFUNCTION("""COMPUTED_VALUE"""),"Общие химические свойства металлов")</f>
        <v>Общие химические свойства металлов</v>
      </c>
      <c r="F4" s="1">
        <f>IFERROR(__xludf.DUMMYFUNCTION("""COMPUTED_VALUE"""),203.0)</f>
        <v>203</v>
      </c>
      <c r="G4" s="1" t="str">
        <f>IFERROR(__xludf.DUMMYFUNCTION("""COMPUTED_VALUE"""),"Химические свойства амфотерных оксидов")</f>
        <v>Химические свойства амфотерных оксидов</v>
      </c>
      <c r="H4" s="1">
        <f>IFERROR(__xludf.DUMMYFUNCTION("""COMPUTED_VALUE"""),303.0)</f>
        <v>303</v>
      </c>
      <c r="I4" s="1" t="str">
        <f>IFERROR(__xludf.DUMMYFUNCTION("""COMPUTED_VALUE"""),"Физические свойства кислот")</f>
        <v>Физические свойства кислот</v>
      </c>
      <c r="J4" s="1">
        <f>IFERROR(__xludf.DUMMYFUNCTION("""COMPUTED_VALUE"""),403.0)</f>
        <v>403</v>
      </c>
      <c r="K4" s="1" t="str">
        <f>IFERROR(__xludf.DUMMYFUNCTION("""COMPUTED_VALUE"""),"Общая характеристика и классификация солей")</f>
        <v>Общая характеристика и классификация солей</v>
      </c>
      <c r="L4" s="1">
        <f>IFERROR(__xludf.DUMMYFUNCTION("""COMPUTED_VALUE"""),503.0)</f>
        <v>503</v>
      </c>
      <c r="M4" s="1" t="str">
        <f>IFERROR(__xludf.DUMMYFUNCTION("""COMPUTED_VALUE"""),"Изомерия: суть явления и типы")</f>
        <v>Изомерия: суть явления и типы</v>
      </c>
      <c r="N4" s="1">
        <f>IFERROR(__xludf.DUMMYFUNCTION("""COMPUTED_VALUE"""),703.0)</f>
        <v>703</v>
      </c>
      <c r="O4" s="1" t="str">
        <f>IFERROR(__xludf.DUMMYFUNCTION("""COMPUTED_VALUE"""),"Строение молекул алканов")</f>
        <v>Строение молекул алканов</v>
      </c>
      <c r="P4" s="1">
        <f>IFERROR(__xludf.DUMMYFUNCTION("""COMPUTED_VALUE"""),803.0)</f>
        <v>803</v>
      </c>
      <c r="Q4" s="1" t="str">
        <f>IFERROR(__xludf.DUMMYFUNCTION("""COMPUTED_VALUE"""),"Особенности строения предельных одноатомных спиртов")</f>
        <v>Особенности строения предельных одноатомных спиртов</v>
      </c>
      <c r="R4" s="1">
        <f>IFERROR(__xludf.DUMMYFUNCTION("""COMPUTED_VALUE"""),905.0)</f>
        <v>905</v>
      </c>
      <c r="S4" s="1" t="str">
        <f>IFERROR(__xludf.DUMMYFUNCTION("""COMPUTED_VALUE"""),"Строение молекул аминов")</f>
        <v>Строение молекул аминов</v>
      </c>
      <c r="T4" s="1">
        <f>IFERROR(__xludf.DUMMYFUNCTION("""COMPUTED_VALUE"""),1003.0)</f>
        <v>1003</v>
      </c>
      <c r="U4" s="1" t="str">
        <f>IFERROR(__xludf.DUMMYFUNCTION("""COMPUTED_VALUE"""),"Пространственное строение молекул полимеров. Получение гомо- и сополимеров")</f>
        <v>Пространственное строение молекул полимеров. Получение гомо- и сополимеров</v>
      </c>
      <c r="V4" s="1">
        <f>IFERROR(__xludf.DUMMYFUNCTION("""COMPUTED_VALUE"""),1105.0)</f>
        <v>1105</v>
      </c>
      <c r="W4" s="1" t="str">
        <f>IFERROR(__xludf.DUMMYFUNCTION("""COMPUTED_VALUE"""),"Лабораторная посуда и оборудование")</f>
        <v>Лабораторная посуда и оборудование</v>
      </c>
      <c r="X4" s="1">
        <f>IFERROR(__xludf.DUMMYFUNCTION("""COMPUTED_VALUE"""),1203.0)</f>
        <v>1203</v>
      </c>
      <c r="Y4" s="1" t="str">
        <f>IFERROR(__xludf.DUMMYFUNCTION("""COMPUTED_VALUE"""),"Закон объёмных отношений")</f>
        <v>Закон объёмных отношений</v>
      </c>
      <c r="Z4" s="1">
        <f>IFERROR(__xludf.DUMMYFUNCTION("""COMPUTED_VALUE"""),1303.0)</f>
        <v>1303</v>
      </c>
      <c r="AA4" s="1" t="str">
        <f>IFERROR(__xludf.DUMMYFUNCTION("""COMPUTED_VALUE"""),"Типичные восстановители")</f>
        <v>Типичные восстановители</v>
      </c>
      <c r="AB4" s="1">
        <f>IFERROR(__xludf.DUMMYFUNCTION("""COMPUTED_VALUE"""),1403.0)</f>
        <v>1403</v>
      </c>
    </row>
    <row r="5">
      <c r="A5" s="1" t="str">
        <f>IFERROR(__xludf.DUMMYFUNCTION("""COMPUTED_VALUE"""),"Умение описывать свойства химического элемента на основе его положения в Периодической системе Д.И. Менделеева")</f>
        <v>Умение описывать свойства химического элемента на основе его положения в Периодической системе Д.И. Менделеева</v>
      </c>
      <c r="B5" s="1">
        <f>IFERROR(__xludf.DUMMYFUNCTION("""COMPUTED_VALUE"""),5.0)</f>
        <v>5</v>
      </c>
      <c r="C5" s="1" t="str">
        <f>IFERROR(__xludf.DUMMYFUNCTION("""COMPUTED_VALUE"""),"Аллотропные модификации кислорода")</f>
        <v>Аллотропные модификации кислорода</v>
      </c>
      <c r="D5" s="1">
        <f>IFERROR(__xludf.DUMMYFUNCTION("""COMPUTED_VALUE"""),104.0)</f>
        <v>104</v>
      </c>
      <c r="E5" s="1" t="str">
        <f>IFERROR(__xludf.DUMMYFUNCTION("""COMPUTED_VALUE"""),"Общие способы получения металлов. Черная и цветная металлургии")</f>
        <v>Общие способы получения металлов. Черная и цветная металлургии</v>
      </c>
      <c r="F5" s="1">
        <f>IFERROR(__xludf.DUMMYFUNCTION("""COMPUTED_VALUE"""),204.0)</f>
        <v>204</v>
      </c>
      <c r="G5" s="1" t="str">
        <f>IFERROR(__xludf.DUMMYFUNCTION("""COMPUTED_VALUE"""),"Несолеобразующие оксиды")</f>
        <v>Несолеобразующие оксиды</v>
      </c>
      <c r="H5" s="1">
        <f>IFERROR(__xludf.DUMMYFUNCTION("""COMPUTED_VALUE"""),304.0)</f>
        <v>304</v>
      </c>
      <c r="I5" s="1" t="str">
        <f>IFERROR(__xludf.DUMMYFUNCTION("""COMPUTED_VALUE"""),"Физические свойства кислот")</f>
        <v>Физические свойства кислот</v>
      </c>
      <c r="J5" s="1">
        <f>IFERROR(__xludf.DUMMYFUNCTION("""COMPUTED_VALUE"""),404.0)</f>
        <v>404</v>
      </c>
      <c r="K5" s="1" t="str">
        <f>IFERROR(__xludf.DUMMYFUNCTION("""COMPUTED_VALUE"""),"Соли кислородсодержащих кислот галогенов и их свойства и получение")</f>
        <v>Соли кислородсодержащих кислот галогенов и их свойства и получение</v>
      </c>
      <c r="L5" s="1">
        <f>IFERROR(__xludf.DUMMYFUNCTION("""COMPUTED_VALUE"""),504.0)</f>
        <v>504</v>
      </c>
      <c r="M5" s="1" t="str">
        <f>IFERROR(__xludf.DUMMYFUNCTION("""COMPUTED_VALUE"""),"Систематическая номенклатура органических веществ")</f>
        <v>Систематическая номенклатура органических веществ</v>
      </c>
      <c r="N5" s="1">
        <f>IFERROR(__xludf.DUMMYFUNCTION("""COMPUTED_VALUE"""),704.0)</f>
        <v>704</v>
      </c>
      <c r="O5" s="1" t="str">
        <f>IFERROR(__xludf.DUMMYFUNCTION("""COMPUTED_VALUE"""),"Номенклатура алканов")</f>
        <v>Номенклатура алканов</v>
      </c>
      <c r="P5" s="1">
        <f>IFERROR(__xludf.DUMMYFUNCTION("""COMPUTED_VALUE"""),805.0)</f>
        <v>805</v>
      </c>
      <c r="Q5" s="1" t="str">
        <f>IFERROR(__xludf.DUMMYFUNCTION("""COMPUTED_VALUE"""),"Реакции замещения спиртов с разрывом связи О-Н")</f>
        <v>Реакции замещения спиртов с разрывом связи О-Н</v>
      </c>
      <c r="R5" s="1">
        <f>IFERROR(__xludf.DUMMYFUNCTION("""COMPUTED_VALUE"""),906.0)</f>
        <v>906</v>
      </c>
      <c r="S5" s="1" t="str">
        <f>IFERROR(__xludf.DUMMYFUNCTION("""COMPUTED_VALUE"""),"Номенклатура предельных аминов")</f>
        <v>Номенклатура предельных аминов</v>
      </c>
      <c r="T5" s="1">
        <f>IFERROR(__xludf.DUMMYFUNCTION("""COMPUTED_VALUE"""),1004.0)</f>
        <v>1004</v>
      </c>
      <c r="U5" s="1" t="str">
        <f>IFERROR(__xludf.DUMMYFUNCTION("""COMPUTED_VALUE"""),"Физические свойства полимеров")</f>
        <v>Физические свойства полимеров</v>
      </c>
      <c r="V5" s="1">
        <f>IFERROR(__xludf.DUMMYFUNCTION("""COMPUTED_VALUE"""),1106.0)</f>
        <v>1106</v>
      </c>
      <c r="W5" s="1" t="str">
        <f>IFERROR(__xludf.DUMMYFUNCTION("""COMPUTED_VALUE"""),"Правила безопасности при работе с едкими, горючими и токсичными веществами, средсвами бытовой химии")</f>
        <v>Правила безопасности при работе с едкими, горючими и токсичными веществами, средсвами бытовой химии</v>
      </c>
      <c r="X5" s="1">
        <f>IFERROR(__xludf.DUMMYFUNCTION("""COMPUTED_VALUE"""),1204.0)</f>
        <v>1204</v>
      </c>
      <c r="Y5" s="1" t="str">
        <f>IFERROR(__xludf.DUMMYFUNCTION("""COMPUTED_VALUE"""),"Постоянная Авогадро")</f>
        <v>Постоянная Авогадро</v>
      </c>
      <c r="Z5" s="1">
        <f>IFERROR(__xludf.DUMMYFUNCTION("""COMPUTED_VALUE"""),1304.0)</f>
        <v>1304</v>
      </c>
      <c r="AA5" s="1" t="str">
        <f>IFERROR(__xludf.DUMMYFUNCTION("""COMPUTED_VALUE"""),"Роли окислителя и восстановителя")</f>
        <v>Роли окислителя и восстановителя</v>
      </c>
      <c r="AB5" s="1">
        <f>IFERROR(__xludf.DUMMYFUNCTION("""COMPUTED_VALUE"""),1404.0)</f>
        <v>1404</v>
      </c>
    </row>
    <row r="6">
      <c r="A6" s="1" t="str">
        <f>IFERROR(__xludf.DUMMYFUNCTION("""COMPUTED_VALUE"""),"Валентность химических элементов")</f>
        <v>Валентность химических элементов</v>
      </c>
      <c r="B6" s="1">
        <f>IFERROR(__xludf.DUMMYFUNCTION("""COMPUTED_VALUE"""),6.0)</f>
        <v>6</v>
      </c>
      <c r="C6" s="1" t="str">
        <f>IFERROR(__xludf.DUMMYFUNCTION("""COMPUTED_VALUE"""),"Аллотропные модификации кремния")</f>
        <v>Аллотропные модификации кремния</v>
      </c>
      <c r="D6" s="1">
        <f>IFERROR(__xludf.DUMMYFUNCTION("""COMPUTED_VALUE"""),105.0)</f>
        <v>105</v>
      </c>
      <c r="E6" s="1" t="str">
        <f>IFERROR(__xludf.DUMMYFUNCTION("""COMPUTED_VALUE"""),"Свойства щелочных металлов и их соединений (оксидов, гидроксидов, пероксидов)")</f>
        <v>Свойства щелочных металлов и их соединений (оксидов, гидроксидов, пероксидов)</v>
      </c>
      <c r="F6" s="1">
        <f>IFERROR(__xludf.DUMMYFUNCTION("""COMPUTED_VALUE"""),205.0)</f>
        <v>205</v>
      </c>
      <c r="G6" s="1" t="str">
        <f>IFERROR(__xludf.DUMMYFUNCTION("""COMPUTED_VALUE"""),"Способы получения оксидов")</f>
        <v>Способы получения оксидов</v>
      </c>
      <c r="H6" s="1">
        <f>IFERROR(__xludf.DUMMYFUNCTION("""COMPUTED_VALUE"""),305.0)</f>
        <v>305</v>
      </c>
      <c r="I6" s="1" t="str">
        <f>IFERROR(__xludf.DUMMYFUNCTION("""COMPUTED_VALUE"""),"Физические свойства кислот")</f>
        <v>Физические свойства кислот</v>
      </c>
      <c r="J6" s="1">
        <f>IFERROR(__xludf.DUMMYFUNCTION("""COMPUTED_VALUE"""),405.0)</f>
        <v>405</v>
      </c>
      <c r="K6" s="1" t="str">
        <f>IFERROR(__xludf.DUMMYFUNCTION("""COMPUTED_VALUE"""),"Соли ортофосфорной кислоты и их свойства и получение")</f>
        <v>Соли ортофосфорной кислоты и их свойства и получение</v>
      </c>
      <c r="L6" s="1">
        <f>IFERROR(__xludf.DUMMYFUNCTION("""COMPUTED_VALUE"""),505.0)</f>
        <v>505</v>
      </c>
      <c r="M6" s="1" t="str">
        <f>IFERROR(__xludf.DUMMYFUNCTION("""COMPUTED_VALUE"""),"Понятие гомологов")</f>
        <v>Понятие гомологов</v>
      </c>
      <c r="N6" s="1">
        <f>IFERROR(__xludf.DUMMYFUNCTION("""COMPUTED_VALUE"""),706.0)</f>
        <v>706</v>
      </c>
      <c r="O6" s="1" t="str">
        <f>IFERROR(__xludf.DUMMYFUNCTION("""COMPUTED_VALUE"""),"Изомерия алканов")</f>
        <v>Изомерия алканов</v>
      </c>
      <c r="P6" s="1">
        <f>IFERROR(__xludf.DUMMYFUNCTION("""COMPUTED_VALUE"""),806.0)</f>
        <v>806</v>
      </c>
      <c r="Q6" s="1" t="str">
        <f>IFERROR(__xludf.DUMMYFUNCTION("""COMPUTED_VALUE"""),"Изомерия предельных одноатомных спиртов")</f>
        <v>Изомерия предельных одноатомных спиртов</v>
      </c>
      <c r="R6" s="1">
        <f>IFERROR(__xludf.DUMMYFUNCTION("""COMPUTED_VALUE"""),907.0)</f>
        <v>907</v>
      </c>
      <c r="S6" s="1" t="str">
        <f>IFERROR(__xludf.DUMMYFUNCTION("""COMPUTED_VALUE"""),"Изомерия предельных аминов")</f>
        <v>Изомерия предельных аминов</v>
      </c>
      <c r="T6" s="1">
        <f>IFERROR(__xludf.DUMMYFUNCTION("""COMPUTED_VALUE"""),1005.0)</f>
        <v>1005</v>
      </c>
      <c r="U6" s="1" t="str">
        <f>IFERROR(__xludf.DUMMYFUNCTION("""COMPUTED_VALUE"""),"Свойства полимеров")</f>
        <v>Свойства полимеров</v>
      </c>
      <c r="V6" s="1">
        <f>IFERROR(__xludf.DUMMYFUNCTION("""COMPUTED_VALUE"""),1107.0)</f>
        <v>1107</v>
      </c>
      <c r="W6" s="1" t="str">
        <f>IFERROR(__xludf.DUMMYFUNCTION("""COMPUTED_VALUE"""),"Способы разделения смесей")</f>
        <v>Способы разделения смесей</v>
      </c>
      <c r="X6" s="1">
        <f>IFERROR(__xludf.DUMMYFUNCTION("""COMPUTED_VALUE"""),1205.0)</f>
        <v>1205</v>
      </c>
      <c r="Y6" s="1" t="str">
        <f>IFERROR(__xludf.DUMMYFUNCTION("""COMPUTED_VALUE""")," Закон Авогадро")</f>
        <v> Закон Авогадро</v>
      </c>
      <c r="Z6" s="1">
        <f>IFERROR(__xludf.DUMMYFUNCTION("""COMPUTED_VALUE"""),1305.0)</f>
        <v>1305</v>
      </c>
      <c r="AA6" s="1" t="str">
        <f>IFERROR(__xludf.DUMMYFUNCTION("""COMPUTED_VALUE"""),"Процессы окисления и восстановления")</f>
        <v>Процессы окисления и восстановления</v>
      </c>
      <c r="AB6" s="1">
        <f>IFERROR(__xludf.DUMMYFUNCTION("""COMPUTED_VALUE"""),1405.0)</f>
        <v>1405</v>
      </c>
    </row>
    <row r="7">
      <c r="A7" s="1" t="str">
        <f>IFERROR(__xludf.DUMMYFUNCTION("""COMPUTED_VALUE"""),"Электроотрицательность как характеристика атома")</f>
        <v>Электроотрицательность как характеристика атома</v>
      </c>
      <c r="B7" s="1">
        <f>IFERROR(__xludf.DUMMYFUNCTION("""COMPUTED_VALUE"""),7.0)</f>
        <v>7</v>
      </c>
      <c r="C7" s="1" t="str">
        <f>IFERROR(__xludf.DUMMYFUNCTION("""COMPUTED_VALUE"""),"Аллотропные модификации фосфора")</f>
        <v>Аллотропные модификации фосфора</v>
      </c>
      <c r="D7" s="1">
        <f>IFERROR(__xludf.DUMMYFUNCTION("""COMPUTED_VALUE"""),106.0)</f>
        <v>106</v>
      </c>
      <c r="E7" s="1" t="str">
        <f>IFERROR(__xludf.DUMMYFUNCTION("""COMPUTED_VALUE"""),"Физические свойства алюминия")</f>
        <v>Физические свойства алюминия</v>
      </c>
      <c r="F7" s="1">
        <f>IFERROR(__xludf.DUMMYFUNCTION("""COMPUTED_VALUE"""),207.0)</f>
        <v>207</v>
      </c>
      <c r="G7" s="1" t="str">
        <f>IFERROR(__xludf.DUMMYFUNCTION("""COMPUTED_VALUE"""),"Номенклатура оксидов")</f>
        <v>Номенклатура оксидов</v>
      </c>
      <c r="H7" s="1">
        <f>IFERROR(__xludf.DUMMYFUNCTION("""COMPUTED_VALUE"""),306.0)</f>
        <v>306</v>
      </c>
      <c r="I7" s="1" t="str">
        <f>IFERROR(__xludf.DUMMYFUNCTION("""COMPUTED_VALUE"""),"Физические свойства кислот")</f>
        <v>Физические свойства кислот</v>
      </c>
      <c r="J7" s="1">
        <f>IFERROR(__xludf.DUMMYFUNCTION("""COMPUTED_VALUE"""),406.0)</f>
        <v>406</v>
      </c>
      <c r="K7" s="1" t="str">
        <f>IFERROR(__xludf.DUMMYFUNCTION("""COMPUTED_VALUE"""),"Сульфаты и гидросульфаты и их свойства и получение")</f>
        <v>Сульфаты и гидросульфаты и их свойства и получение</v>
      </c>
      <c r="L7" s="1">
        <f>IFERROR(__xludf.DUMMYFUNCTION("""COMPUTED_VALUE"""),506.0)</f>
        <v>506</v>
      </c>
      <c r="M7" s="1" t="str">
        <f>IFERROR(__xludf.DUMMYFUNCTION("""COMPUTED_VALUE"""),"Названия заместителей")</f>
        <v>Названия заместителей</v>
      </c>
      <c r="N7" s="1">
        <f>IFERROR(__xludf.DUMMYFUNCTION("""COMPUTED_VALUE"""),707.0)</f>
        <v>707</v>
      </c>
      <c r="O7" s="1" t="str">
        <f>IFERROR(__xludf.DUMMYFUNCTION("""COMPUTED_VALUE"""),"Физические свойства алканов")</f>
        <v>Физические свойства алканов</v>
      </c>
      <c r="P7" s="1">
        <f>IFERROR(__xludf.DUMMYFUNCTION("""COMPUTED_VALUE"""),807.0)</f>
        <v>807</v>
      </c>
      <c r="Q7" s="1" t="str">
        <f>IFERROR(__xludf.DUMMYFUNCTION("""COMPUTED_VALUE"""),"Физические свойства предельных одноатомных спиртов")</f>
        <v>Физические свойства предельных одноатомных спиртов</v>
      </c>
      <c r="R7" s="1">
        <f>IFERROR(__xludf.DUMMYFUNCTION("""COMPUTED_VALUE"""),908.0)</f>
        <v>908</v>
      </c>
      <c r="S7" s="1" t="str">
        <f>IFERROR(__xludf.DUMMYFUNCTION("""COMPUTED_VALUE"""),"Физические свойства предельных аминов")</f>
        <v>Физические свойства предельных аминов</v>
      </c>
      <c r="T7" s="1">
        <f>IFERROR(__xludf.DUMMYFUNCTION("""COMPUTED_VALUE"""),1006.0)</f>
        <v>1006</v>
      </c>
      <c r="U7" s="1" t="str">
        <f>IFERROR(__xludf.DUMMYFUNCTION("""COMPUTED_VALUE"""),"Умение сопоставлять мономеры и полимеры")</f>
        <v>Умение сопоставлять мономеры и полимеры</v>
      </c>
      <c r="V7" s="1">
        <f>IFERROR(__xludf.DUMMYFUNCTION("""COMPUTED_VALUE"""),1109.0)</f>
        <v>1109</v>
      </c>
      <c r="W7" s="1" t="str">
        <f>IFERROR(__xludf.DUMMYFUNCTION("""COMPUTED_VALUE"""),"Окраска пламени горелки соединений металлов")</f>
        <v>Окраска пламени горелки соединений металлов</v>
      </c>
      <c r="X7" s="1">
        <f>IFERROR(__xludf.DUMMYFUNCTION("""COMPUTED_VALUE"""),1206.0)</f>
        <v>1206</v>
      </c>
      <c r="Y7" s="1" t="str">
        <f>IFERROR(__xludf.DUMMYFUNCTION("""COMPUTED_VALUE"""),"Способы выражения концентрации вещества")</f>
        <v>Способы выражения концентрации вещества</v>
      </c>
      <c r="Z7" s="1">
        <f>IFERROR(__xludf.DUMMYFUNCTION("""COMPUTED_VALUE"""),1306.0)</f>
        <v>1306</v>
      </c>
      <c r="AA7" s="1" t="str">
        <f>IFERROR(__xludf.DUMMYFUNCTION("""COMPUTED_VALUE"""),"Полное ионное уравнение")</f>
        <v>Полное ионное уравнение</v>
      </c>
      <c r="AB7" s="1">
        <f>IFERROR(__xludf.DUMMYFUNCTION("""COMPUTED_VALUE"""),1406.0)</f>
        <v>1406</v>
      </c>
    </row>
    <row r="8">
      <c r="A8" s="1" t="str">
        <f>IFERROR(__xludf.DUMMYFUNCTION("""COMPUTED_VALUE"""),"Механизмы образования ковалентной связи (обменный и донорно-акцепторный)")</f>
        <v>Механизмы образования ковалентной связи (обменный и донорно-акцепторный)</v>
      </c>
      <c r="B8" s="1">
        <f>IFERROR(__xludf.DUMMYFUNCTION("""COMPUTED_VALUE"""),9.0)</f>
        <v>9</v>
      </c>
      <c r="C8" s="1" t="str">
        <f>IFERROR(__xludf.DUMMYFUNCTION("""COMPUTED_VALUE"""),"Аллотропные модификации серы")</f>
        <v>Аллотропные модификации серы</v>
      </c>
      <c r="D8" s="1">
        <f>IFERROR(__xludf.DUMMYFUNCTION("""COMPUTED_VALUE"""),107.0)</f>
        <v>107</v>
      </c>
      <c r="E8" s="1" t="str">
        <f>IFERROR(__xludf.DUMMYFUNCTION("""COMPUTED_VALUE"""),"Физические свойства железа")</f>
        <v>Физические свойства железа</v>
      </c>
      <c r="F8" s="1">
        <f>IFERROR(__xludf.DUMMYFUNCTION("""COMPUTED_VALUE"""),208.0)</f>
        <v>208</v>
      </c>
      <c r="G8" s="1" t="str">
        <f>IFERROR(__xludf.DUMMYFUNCTION("""COMPUTED_VALUE"""),"Физические и химические свойства пероксидов активных металлов, их получение")</f>
        <v>Физические и химические свойства пероксидов активных металлов, их получение</v>
      </c>
      <c r="H8" s="1">
        <f>IFERROR(__xludf.DUMMYFUNCTION("""COMPUTED_VALUE"""),309.0)</f>
        <v>309</v>
      </c>
      <c r="I8" s="1" t="str">
        <f>IFERROR(__xludf.DUMMYFUNCTION("""COMPUTED_VALUE"""),"Физические свойства кислот")</f>
        <v>Физические свойства кислот</v>
      </c>
      <c r="J8" s="1">
        <f>IFERROR(__xludf.DUMMYFUNCTION("""COMPUTED_VALUE"""),407.0)</f>
        <v>407</v>
      </c>
      <c r="K8" s="1" t="str">
        <f>IFERROR(__xludf.DUMMYFUNCTION("""COMPUTED_VALUE"""),"Нитраты и их свойства и получение")</f>
        <v>Нитраты и их свойства и получение</v>
      </c>
      <c r="L8" s="1">
        <f>IFERROR(__xludf.DUMMYFUNCTION("""COMPUTED_VALUE"""),507.0)</f>
        <v>507</v>
      </c>
      <c r="M8" s="1" t="str">
        <f>IFERROR(__xludf.DUMMYFUNCTION("""COMPUTED_VALUE"""),"Механизм протекания реакций электрофильного замещения")</f>
        <v>Механизм протекания реакций электрофильного замещения</v>
      </c>
      <c r="N8" s="1">
        <f>IFERROR(__xludf.DUMMYFUNCTION("""COMPUTED_VALUE"""),710.0)</f>
        <v>710</v>
      </c>
      <c r="O8" s="1" t="str">
        <f>IFERROR(__xludf.DUMMYFUNCTION("""COMPUTED_VALUE"""),"Общие способы получения алканов")</f>
        <v>Общие способы получения алканов</v>
      </c>
      <c r="P8" s="1">
        <f>IFERROR(__xludf.DUMMYFUNCTION("""COMPUTED_VALUE"""),808.0)</f>
        <v>808</v>
      </c>
      <c r="Q8" s="1" t="str">
        <f>IFERROR(__xludf.DUMMYFUNCTION("""COMPUTED_VALUE"""),"Общие способы получения предельных одноатомных спиртов")</f>
        <v>Общие способы получения предельных одноатомных спиртов</v>
      </c>
      <c r="R8" s="1">
        <f>IFERROR(__xludf.DUMMYFUNCTION("""COMPUTED_VALUE"""),909.0)</f>
        <v>909</v>
      </c>
      <c r="S8" s="1" t="str">
        <f>IFERROR(__xludf.DUMMYFUNCTION("""COMPUTED_VALUE"""),"Общие способы получения аминов")</f>
        <v>Общие способы получения аминов</v>
      </c>
      <c r="T8" s="1">
        <f>IFERROR(__xludf.DUMMYFUNCTION("""COMPUTED_VALUE"""),1007.0)</f>
        <v>1007</v>
      </c>
      <c r="U8" s="1" t="str">
        <f>IFERROR(__xludf.DUMMYFUNCTION("""COMPUTED_VALUE"""),"Пластмассы и их применение")</f>
        <v>Пластмассы и их применение</v>
      </c>
      <c r="V8" s="1">
        <f>IFERROR(__xludf.DUMMYFUNCTION("""COMPUTED_VALUE"""),1110.0)</f>
        <v>1110</v>
      </c>
      <c r="W8" s="1" t="str">
        <f>IFERROR(__xludf.DUMMYFUNCTION("""COMPUTED_VALUE"""),"Химическое загрязнение окружающей среды и его последствия")</f>
        <v>Химическое загрязнение окружающей среды и его последствия</v>
      </c>
      <c r="X8" s="1">
        <f>IFERROR(__xludf.DUMMYFUNCTION("""COMPUTED_VALUE"""),1207.0)</f>
        <v>1207</v>
      </c>
      <c r="Y8" s="1" t="str">
        <f>IFERROR(__xludf.DUMMYFUNCTION("""COMPUTED_VALUE"""),"Растворимость вещества")</f>
        <v>Растворимость вещества</v>
      </c>
      <c r="Z8" s="1">
        <f>IFERROR(__xludf.DUMMYFUNCTION("""COMPUTED_VALUE"""),1307.0)</f>
        <v>1307</v>
      </c>
      <c r="AA8" s="1" t="str">
        <f>IFERROR(__xludf.DUMMYFUNCTION("""COMPUTED_VALUE"""),"Сокращенное ионное уравнение")</f>
        <v>Сокращенное ионное уравнение</v>
      </c>
      <c r="AB8" s="1">
        <f>IFERROR(__xludf.DUMMYFUNCTION("""COMPUTED_VALUE"""),1407.0)</f>
        <v>1407</v>
      </c>
    </row>
    <row r="9">
      <c r="A9" s="1" t="str">
        <f>IFERROR(__xludf.DUMMYFUNCTION("""COMPUTED_VALUE"""),"Ковалентная полярная связь")</f>
        <v>Ковалентная полярная связь</v>
      </c>
      <c r="B9" s="1">
        <f>IFERROR(__xludf.DUMMYFUNCTION("""COMPUTED_VALUE"""),10.0)</f>
        <v>10</v>
      </c>
      <c r="C9" s="1" t="str">
        <f>IFERROR(__xludf.DUMMYFUNCTION("""COMPUTED_VALUE"""),"Физические свойства азота")</f>
        <v>Физические свойства азота</v>
      </c>
      <c r="D9" s="1">
        <f>IFERROR(__xludf.DUMMYFUNCTION("""COMPUTED_VALUE"""),108.0)</f>
        <v>108</v>
      </c>
      <c r="E9" s="1" t="str">
        <f>IFERROR(__xludf.DUMMYFUNCTION("""COMPUTED_VALUE"""),"Физические свойства хрома")</f>
        <v>Физические свойства хрома</v>
      </c>
      <c r="F9" s="1">
        <f>IFERROR(__xludf.DUMMYFUNCTION("""COMPUTED_VALUE"""),209.0)</f>
        <v>209</v>
      </c>
      <c r="G9" s="1" t="str">
        <f>IFERROR(__xludf.DUMMYFUNCTION("""COMPUTED_VALUE"""),"Химические свойства нерастворимых оснований")</f>
        <v>Химические свойства нерастворимых оснований</v>
      </c>
      <c r="H9" s="1">
        <f>IFERROR(__xludf.DUMMYFUNCTION("""COMPUTED_VALUE"""),313.0)</f>
        <v>313</v>
      </c>
      <c r="I9" s="1" t="str">
        <f>IFERROR(__xludf.DUMMYFUNCTION("""COMPUTED_VALUE"""),"Физические свойства кислот")</f>
        <v>Физические свойства кислот</v>
      </c>
      <c r="J9" s="1">
        <f>IFERROR(__xludf.DUMMYFUNCTION("""COMPUTED_VALUE"""),408.0)</f>
        <v>408</v>
      </c>
      <c r="K9" s="1" t="str">
        <f>IFERROR(__xludf.DUMMYFUNCTION("""COMPUTED_VALUE"""),"Соли натрия, калия, кальция и магния и их значение в природе и жизни человека, их получение")</f>
        <v>Соли натрия, калия, кальция и магния и их значение в природе и жизни человека, их получение</v>
      </c>
      <c r="L9" s="1">
        <f>IFERROR(__xludf.DUMMYFUNCTION("""COMPUTED_VALUE"""),508.0)</f>
        <v>508</v>
      </c>
      <c r="M9" s="1" t="str">
        <f>IFERROR(__xludf.DUMMYFUNCTION("""COMPUTED_VALUE"""),"Механизм протекания реакций электрофильного присоединения")</f>
        <v>Механизм протекания реакций электрофильного присоединения</v>
      </c>
      <c r="N9" s="1">
        <f>IFERROR(__xludf.DUMMYFUNCTION("""COMPUTED_VALUE"""),711.0)</f>
        <v>711</v>
      </c>
      <c r="O9" s="1" t="str">
        <f>IFERROR(__xludf.DUMMYFUNCTION("""COMPUTED_VALUE"""),"Применение алканов")</f>
        <v>Применение алканов</v>
      </c>
      <c r="P9" s="1">
        <f>IFERROR(__xludf.DUMMYFUNCTION("""COMPUTED_VALUE"""),809.0)</f>
        <v>809</v>
      </c>
      <c r="Q9" s="1" t="str">
        <f>IFERROR(__xludf.DUMMYFUNCTION("""COMPUTED_VALUE"""),"Номенклатура предельных многоатомных спиртов")</f>
        <v>Номенклатура предельных многоатомных спиртов</v>
      </c>
      <c r="R9" s="1">
        <f>IFERROR(__xludf.DUMMYFUNCTION("""COMPUTED_VALUE"""),910.0)</f>
        <v>910</v>
      </c>
      <c r="S9" s="1" t="str">
        <f>IFERROR(__xludf.DUMMYFUNCTION("""COMPUTED_VALUE"""),"Применение аминов")</f>
        <v>Применение аминов</v>
      </c>
      <c r="T9" s="1">
        <f>IFERROR(__xludf.DUMMYFUNCTION("""COMPUTED_VALUE"""),1008.0)</f>
        <v>1008</v>
      </c>
      <c r="U9" s="1" t="str">
        <f>IFERROR(__xludf.DUMMYFUNCTION("""COMPUTED_VALUE"""),"Качественные реакции на галогенид-ионы")</f>
        <v>Качественные реакции на галогенид-ионы</v>
      </c>
      <c r="V9" s="1">
        <f>IFERROR(__xludf.DUMMYFUNCTION("""COMPUTED_VALUE"""),1111.0)</f>
        <v>1111</v>
      </c>
      <c r="W9" s="1" t="str">
        <f>IFERROR(__xludf.DUMMYFUNCTION("""COMPUTED_VALUE"""),"Умение различать химические и физические явления")</f>
        <v>Умение различать химические и физические явления</v>
      </c>
      <c r="X9" s="1">
        <f>IFERROR(__xludf.DUMMYFUNCTION("""COMPUTED_VALUE"""),1208.0)</f>
        <v>1208</v>
      </c>
      <c r="Y9" s="1" t="str">
        <f>IFERROR(__xludf.DUMMYFUNCTION("""COMPUTED_VALUE"""),"Формулы для расчета количества вещества")</f>
        <v>Формулы для расчета количества вещества</v>
      </c>
      <c r="Z9" s="1">
        <f>IFERROR(__xludf.DUMMYFUNCTION("""COMPUTED_VALUE"""),1308.0)</f>
        <v>1308</v>
      </c>
      <c r="AA9" s="1" t="str">
        <f>IFERROR(__xludf.DUMMYFUNCTION("""COMPUTED_VALUE"""),"Понятие химического равновесия")</f>
        <v>Понятие химического равновесия</v>
      </c>
      <c r="AB9" s="1">
        <f>IFERROR(__xludf.DUMMYFUNCTION("""COMPUTED_VALUE"""),1408.0)</f>
        <v>1408</v>
      </c>
    </row>
    <row r="10">
      <c r="A10" s="1" t="str">
        <f>IFERROR(__xludf.DUMMYFUNCTION("""COMPUTED_VALUE"""),"Ионная связь")</f>
        <v>Ионная связь</v>
      </c>
      <c r="B10" s="1">
        <f>IFERROR(__xludf.DUMMYFUNCTION("""COMPUTED_VALUE"""),11.0)</f>
        <v>11</v>
      </c>
      <c r="C10" s="1" t="str">
        <f>IFERROR(__xludf.DUMMYFUNCTION("""COMPUTED_VALUE"""),"Физические свойства галогенов")</f>
        <v>Физические свойства галогенов</v>
      </c>
      <c r="D10" s="1">
        <f>IFERROR(__xludf.DUMMYFUNCTION("""COMPUTED_VALUE"""),109.0)</f>
        <v>109</v>
      </c>
      <c r="E10" s="1" t="str">
        <f>IFERROR(__xludf.DUMMYFUNCTION("""COMPUTED_VALUE"""),"Физические свойства меди")</f>
        <v>Физические свойства меди</v>
      </c>
      <c r="F10" s="1">
        <f>IFERROR(__xludf.DUMMYFUNCTION("""COMPUTED_VALUE"""),210.0)</f>
        <v>210</v>
      </c>
      <c r="G10" s="1" t="str">
        <f>IFERROR(__xludf.DUMMYFUNCTION("""COMPUTED_VALUE"""),"Систематическая и тривиальная номенклатуры оснований и амфотерных гидроксидов")</f>
        <v>Систематическая и тривиальная номенклатуры оснований и амфотерных гидроксидов</v>
      </c>
      <c r="H10" s="1">
        <f>IFERROR(__xludf.DUMMYFUNCTION("""COMPUTED_VALUE"""),315.0)</f>
        <v>315</v>
      </c>
      <c r="I10" s="1" t="str">
        <f>IFERROR(__xludf.DUMMYFUNCTION("""COMPUTED_VALUE"""),"Физические свойства кислот")</f>
        <v>Физические свойства кислот</v>
      </c>
      <c r="J10" s="1">
        <f>IFERROR(__xludf.DUMMYFUNCTION("""COMPUTED_VALUE"""),409.0)</f>
        <v>409</v>
      </c>
      <c r="K10" s="1" t="str">
        <f>IFERROR(__xludf.DUMMYFUNCTION("""COMPUTED_VALUE"""),"Понятие жесткости и мягкости воды")</f>
        <v>Понятие жесткости и мягкости воды</v>
      </c>
      <c r="L10" s="1">
        <f>IFERROR(__xludf.DUMMYFUNCTION("""COMPUTED_VALUE"""),509.0)</f>
        <v>509</v>
      </c>
      <c r="M10" s="1" t="str">
        <f>IFERROR(__xludf.DUMMYFUNCTION("""COMPUTED_VALUE"""),"Тривиальная номенклатура органических веществ")</f>
        <v>Тривиальная номенклатура органических веществ</v>
      </c>
      <c r="N10" s="1">
        <f>IFERROR(__xludf.DUMMYFUNCTION("""COMPUTED_VALUE"""),712.0)</f>
        <v>712</v>
      </c>
      <c r="O10" s="1" t="str">
        <f>IFERROR(__xludf.DUMMYFUNCTION("""COMPUTED_VALUE"""),"Общая формула и гомологический ряд алкенов")</f>
        <v>Общая формула и гомологический ряд алкенов</v>
      </c>
      <c r="P10" s="1">
        <f>IFERROR(__xludf.DUMMYFUNCTION("""COMPUTED_VALUE"""),810.0)</f>
        <v>810</v>
      </c>
      <c r="Q10" s="1" t="str">
        <f>IFERROR(__xludf.DUMMYFUNCTION("""COMPUTED_VALUE"""),"Особенности строения предельных многоатомных спиртов")</f>
        <v>Особенности строения предельных многоатомных спиртов</v>
      </c>
      <c r="R10" s="1">
        <f>IFERROR(__xludf.DUMMYFUNCTION("""COMPUTED_VALUE"""),911.0)</f>
        <v>911</v>
      </c>
      <c r="S10" s="1" t="str">
        <f>IFERROR(__xludf.DUMMYFUNCTION("""COMPUTED_VALUE"""),"Общая формула и гомологический ряд предельных аминокислот")</f>
        <v>Общая формула и гомологический ряд предельных аминокислот</v>
      </c>
      <c r="T10" s="1">
        <f>IFERROR(__xludf.DUMMYFUNCTION("""COMPUTED_VALUE"""),1009.0)</f>
        <v>1009</v>
      </c>
      <c r="U10" s="1" t="str">
        <f>IFERROR(__xludf.DUMMYFUNCTION("""COMPUTED_VALUE"""),"Правила работы в химической лаборатории")</f>
        <v>Правила работы в химической лаборатории</v>
      </c>
      <c r="V10" s="1">
        <f>IFERROR(__xludf.DUMMYFUNCTION("""COMPUTED_VALUE"""),1112.0)</f>
        <v>1112</v>
      </c>
      <c r="W10" s="1"/>
      <c r="X10" s="1"/>
      <c r="Y10" s="1" t="str">
        <f>IFERROR(__xludf.DUMMYFUNCTION("""COMPUTED_VALUE"""),"Умение составлять и решать пропорции ")</f>
        <v>Умение составлять и решать пропорции </v>
      </c>
      <c r="Z10" s="1">
        <f>IFERROR(__xludf.DUMMYFUNCTION("""COMPUTED_VALUE"""),1309.0)</f>
        <v>1309</v>
      </c>
      <c r="AA10" s="1" t="str">
        <f>IFERROR(__xludf.DUMMYFUNCTION("""COMPUTED_VALUE"""),"Принцип Ле Шателье")</f>
        <v>Принцип Ле Шателье</v>
      </c>
      <c r="AB10" s="1">
        <f>IFERROR(__xludf.DUMMYFUNCTION("""COMPUTED_VALUE"""),1409.0)</f>
        <v>1409</v>
      </c>
    </row>
    <row r="11">
      <c r="A11" s="1" t="str">
        <f>IFERROR(__xludf.DUMMYFUNCTION("""COMPUTED_VALUE"""),"Металлическая связь")</f>
        <v>Металлическая связь</v>
      </c>
      <c r="B11" s="1">
        <f>IFERROR(__xludf.DUMMYFUNCTION("""COMPUTED_VALUE"""),12.0)</f>
        <v>12</v>
      </c>
      <c r="C11" s="1" t="str">
        <f>IFERROR(__xludf.DUMMYFUNCTION("""COMPUTED_VALUE"""),"Специфические свойства фтора как простого вещества")</f>
        <v>Специфические свойства фтора как простого вещества</v>
      </c>
      <c r="D11" s="1">
        <f>IFERROR(__xludf.DUMMYFUNCTION("""COMPUTED_VALUE"""),110.0)</f>
        <v>110</v>
      </c>
      <c r="E11" s="1" t="str">
        <f>IFERROR(__xludf.DUMMYFUNCTION("""COMPUTED_VALUE"""),"Физические свойства серебра")</f>
        <v>Физические свойства серебра</v>
      </c>
      <c r="F11" s="1">
        <f>IFERROR(__xludf.DUMMYFUNCTION("""COMPUTED_VALUE"""),211.0)</f>
        <v>211</v>
      </c>
      <c r="G11" s="1" t="str">
        <f>IFERROR(__xludf.DUMMYFUNCTION("""COMPUTED_VALUE"""),"Способы получения оснований и амфотерных гидроксидов")</f>
        <v>Способы получения оснований и амфотерных гидроксидов</v>
      </c>
      <c r="H11" s="1">
        <f>IFERROR(__xludf.DUMMYFUNCTION("""COMPUTED_VALUE"""),316.0)</f>
        <v>316</v>
      </c>
      <c r="I11" s="1" t="str">
        <f>IFERROR(__xludf.DUMMYFUNCTION("""COMPUTED_VALUE"""),"Номенклатура кислот")</f>
        <v>Номенклатура кислот</v>
      </c>
      <c r="J11" s="1">
        <f>IFERROR(__xludf.DUMMYFUNCTION("""COMPUTED_VALUE"""),410.0)</f>
        <v>410</v>
      </c>
      <c r="K11" s="1" t="str">
        <f>IFERROR(__xludf.DUMMYFUNCTION("""COMPUTED_VALUE"""),"Восстановительные свойства галогенидов металлов")</f>
        <v>Восстановительные свойства галогенидов металлов</v>
      </c>
      <c r="L11" s="1">
        <f>IFERROR(__xludf.DUMMYFUNCTION("""COMPUTED_VALUE"""),510.0)</f>
        <v>510</v>
      </c>
      <c r="M11" s="1"/>
      <c r="N11" s="1"/>
      <c r="O11" s="1" t="str">
        <f>IFERROR(__xludf.DUMMYFUNCTION("""COMPUTED_VALUE"""),"Реакции присоединения алкенов")</f>
        <v>Реакции присоединения алкенов</v>
      </c>
      <c r="P11" s="1">
        <f>IFERROR(__xludf.DUMMYFUNCTION("""COMPUTED_VALUE"""),811.0)</f>
        <v>811</v>
      </c>
      <c r="Q11" s="1" t="str">
        <f>IFERROR(__xludf.DUMMYFUNCTION("""COMPUTED_VALUE"""),"Общая характеристика предельных многоатомных спиртов")</f>
        <v>Общая характеристика предельных многоатомных спиртов</v>
      </c>
      <c r="R11" s="1">
        <f>IFERROR(__xludf.DUMMYFUNCTION("""COMPUTED_VALUE"""),912.0)</f>
        <v>912</v>
      </c>
      <c r="S11" s="1" t="str">
        <f>IFERROR(__xludf.DUMMYFUNCTION("""COMPUTED_VALUE"""),"Свойства аминокислот, общие с карбоновыми кислотами")</f>
        <v>Свойства аминокислот, общие с карбоновыми кислотами</v>
      </c>
      <c r="T11" s="1">
        <f>IFERROR(__xludf.DUMMYFUNCTION("""COMPUTED_VALUE"""),1010.0)</f>
        <v>1010</v>
      </c>
      <c r="U11" s="1" t="str">
        <f>IFERROR(__xludf.DUMMYFUNCTION("""COMPUTED_VALUE"""),"Лабораторная посуда и оборудование")</f>
        <v>Лабораторная посуда и оборудование</v>
      </c>
      <c r="V11" s="1">
        <f>IFERROR(__xludf.DUMMYFUNCTION("""COMPUTED_VALUE"""),1113.0)</f>
        <v>1113</v>
      </c>
      <c r="W11" s="1"/>
      <c r="X11" s="1"/>
      <c r="Y11" s="1" t="str">
        <f>IFERROR(__xludf.DUMMYFUNCTION("""COMPUTED_VALUE"""),"Определение избытка и недостатка веществ в реакции")</f>
        <v>Определение избытка и недостатка веществ в реакции</v>
      </c>
      <c r="Z11" s="1">
        <f>IFERROR(__xludf.DUMMYFUNCTION("""COMPUTED_VALUE"""),1310.0)</f>
        <v>1310</v>
      </c>
      <c r="AA11" s="1" t="str">
        <f>IFERROR(__xludf.DUMMYFUNCTION("""COMPUTED_VALUE"""),"Определение электролитической диссоциации")</f>
        <v>Определение электролитической диссоциации</v>
      </c>
      <c r="AB11" s="1">
        <f>IFERROR(__xludf.DUMMYFUNCTION("""COMPUTED_VALUE"""),1410.0)</f>
        <v>1410</v>
      </c>
    </row>
    <row r="12">
      <c r="A12" s="1" t="str">
        <f>IFERROR(__xludf.DUMMYFUNCTION("""COMPUTED_VALUE"""),"Водородная связь")</f>
        <v>Водородная связь</v>
      </c>
      <c r="B12" s="1">
        <f>IFERROR(__xludf.DUMMYFUNCTION("""COMPUTED_VALUE"""),13.0)</f>
        <v>13</v>
      </c>
      <c r="C12" s="1" t="str">
        <f>IFERROR(__xludf.DUMMYFUNCTION("""COMPUTED_VALUE"""),"Общая характеристика пероксида водорода")</f>
        <v>Общая характеристика пероксида водорода</v>
      </c>
      <c r="D12" s="1">
        <f>IFERROR(__xludf.DUMMYFUNCTION("""COMPUTED_VALUE"""),111.0)</f>
        <v>111</v>
      </c>
      <c r="E12" s="1" t="str">
        <f>IFERROR(__xludf.DUMMYFUNCTION("""COMPUTED_VALUE"""),"Физические свойства цинка")</f>
        <v>Физические свойства цинка</v>
      </c>
      <c r="F12" s="1">
        <f>IFERROR(__xludf.DUMMYFUNCTION("""COMPUTED_VALUE"""),212.0)</f>
        <v>212</v>
      </c>
      <c r="G12" s="1" t="str">
        <f>IFERROR(__xludf.DUMMYFUNCTION("""COMPUTED_VALUE"""),"Химические свойства щелочей")</f>
        <v>Химические свойства щелочей</v>
      </c>
      <c r="H12" s="1">
        <f>IFERROR(__xludf.DUMMYFUNCTION("""COMPUTED_VALUE"""),317.0)</f>
        <v>317</v>
      </c>
      <c r="I12" s="1" t="str">
        <f>IFERROR(__xludf.DUMMYFUNCTION("""COMPUTED_VALUE"""),"Умение определять растворимые и нерастворимые кислоты")</f>
        <v>Умение определять растворимые и нерастворимые кислоты</v>
      </c>
      <c r="J12" s="1">
        <f>IFERROR(__xludf.DUMMYFUNCTION("""COMPUTED_VALUE"""),411.0)</f>
        <v>411</v>
      </c>
      <c r="K12" s="1" t="str">
        <f>IFERROR(__xludf.DUMMYFUNCTION("""COMPUTED_VALUE"""),"Окислительно-восстановительные свойства соединений хрома")</f>
        <v>Окислительно-восстановительные свойства соединений хрома</v>
      </c>
      <c r="L12" s="1">
        <f>IFERROR(__xludf.DUMMYFUNCTION("""COMPUTED_VALUE"""),511.0)</f>
        <v>511</v>
      </c>
      <c r="M12" s="1" t="str">
        <f>IFERROR(__xludf.DUMMYFUNCTION("""COMPUTED_VALUE"""),"Классификация органических веществ")</f>
        <v>Классификация органических веществ</v>
      </c>
      <c r="N12" s="1">
        <f>IFERROR(__xludf.DUMMYFUNCTION("""COMPUTED_VALUE"""),713.0)</f>
        <v>713</v>
      </c>
      <c r="O12" s="1" t="str">
        <f>IFERROR(__xludf.DUMMYFUNCTION("""COMPUTED_VALUE"""),"Строение молекул алкенов")</f>
        <v>Строение молекул алкенов</v>
      </c>
      <c r="P12" s="1">
        <f>IFERROR(__xludf.DUMMYFUNCTION("""COMPUTED_VALUE"""),812.0)</f>
        <v>812</v>
      </c>
      <c r="Q12" s="1" t="str">
        <f>IFERROR(__xludf.DUMMYFUNCTION("""COMPUTED_VALUE"""),"Изомерия предельных многоатомных спиртов")</f>
        <v>Изомерия предельных многоатомных спиртов</v>
      </c>
      <c r="R12" s="1">
        <f>IFERROR(__xludf.DUMMYFUNCTION("""COMPUTED_VALUE"""),913.0)</f>
        <v>913</v>
      </c>
      <c r="S12" s="1" t="str">
        <f>IFERROR(__xludf.DUMMYFUNCTION("""COMPUTED_VALUE"""),"Строение молекул аминокислот")</f>
        <v>Строение молекул аминокислот</v>
      </c>
      <c r="T12" s="1">
        <f>IFERROR(__xludf.DUMMYFUNCTION("""COMPUTED_VALUE"""),1011.0)</f>
        <v>1011</v>
      </c>
      <c r="U12" s="1" t="str">
        <f>IFERROR(__xludf.DUMMYFUNCTION("""COMPUTED_VALUE"""),"Правила безопасности при работе с едкими, горючими и токсичными веществами, средсвами бытовой химии")</f>
        <v>Правила безопасности при работе с едкими, горючими и токсичными веществами, средсвами бытовой химии</v>
      </c>
      <c r="V12" s="1">
        <f>IFERROR(__xludf.DUMMYFUNCTION("""COMPUTED_VALUE"""),1114.0)</f>
        <v>1114</v>
      </c>
      <c r="W12" s="1"/>
      <c r="X12" s="1"/>
      <c r="Y12" s="1" t="str">
        <f>IFERROR(__xludf.DUMMYFUNCTION("""COMPUTED_VALUE"""),"Понятие выхода продукта реакции, формула расчета")</f>
        <v>Понятие выхода продукта реакции, формула расчета</v>
      </c>
      <c r="Z12" s="1">
        <f>IFERROR(__xludf.DUMMYFUNCTION("""COMPUTED_VALUE"""),1311.0)</f>
        <v>1311</v>
      </c>
      <c r="AA12" s="1" t="str">
        <f>IFERROR(__xludf.DUMMYFUNCTION("""COMPUTED_VALUE"""),"Диссоциация солей")</f>
        <v>Диссоциация солей</v>
      </c>
      <c r="AB12" s="1">
        <f>IFERROR(__xludf.DUMMYFUNCTION("""COMPUTED_VALUE"""),1411.0)</f>
        <v>1411</v>
      </c>
    </row>
    <row r="13">
      <c r="A13" s="1" t="str">
        <f>IFERROR(__xludf.DUMMYFUNCTION("""COMPUTED_VALUE"""),"Атомная кристаллическая решётка")</f>
        <v>Атомная кристаллическая решётка</v>
      </c>
      <c r="B13" s="1">
        <f>IFERROR(__xludf.DUMMYFUNCTION("""COMPUTED_VALUE"""),14.0)</f>
        <v>14</v>
      </c>
      <c r="C13" s="1" t="str">
        <f>IFERROR(__xludf.DUMMYFUNCTION("""COMPUTED_VALUE"""),"Специфические свойства карбидов металлов")</f>
        <v>Специфические свойства карбидов металлов</v>
      </c>
      <c r="D13" s="1">
        <f>IFERROR(__xludf.DUMMYFUNCTION("""COMPUTED_VALUE"""),112.0)</f>
        <v>112</v>
      </c>
      <c r="E13" s="1" t="str">
        <f>IFERROR(__xludf.DUMMYFUNCTION("""COMPUTED_VALUE"""),"Ряд активности металлов. Свойства металлов в зависимости от положения в ряду активности")</f>
        <v>Ряд активности металлов. Свойства металлов в зависимости от положения в ряду активности</v>
      </c>
      <c r="F13" s="1">
        <f>IFERROR(__xludf.DUMMYFUNCTION("""COMPUTED_VALUE"""),213.0)</f>
        <v>213</v>
      </c>
      <c r="G13" s="1" t="str">
        <f>IFERROR(__xludf.DUMMYFUNCTION("""COMPUTED_VALUE"""),"Номенклатура кислот")</f>
        <v>Номенклатура кислот</v>
      </c>
      <c r="H13" s="1">
        <f>IFERROR(__xludf.DUMMYFUNCTION("""COMPUTED_VALUE"""),326.0)</f>
        <v>326</v>
      </c>
      <c r="I13" s="1" t="str">
        <f>IFERROR(__xludf.DUMMYFUNCTION("""COMPUTED_VALUE"""),"Умение определять кислородсодержащие кислоты (кислотные гидроксиды) и бескислородные кислоты")</f>
        <v>Умение определять кислородсодержащие кислоты (кислотные гидроксиды) и бескислородные кислоты</v>
      </c>
      <c r="J13" s="1">
        <f>IFERROR(__xludf.DUMMYFUNCTION("""COMPUTED_VALUE"""),412.0)</f>
        <v>412</v>
      </c>
      <c r="K13" s="1" t="str">
        <f>IFERROR(__xludf.DUMMYFUNCTION("""COMPUTED_VALUE"""),"Способы получения средних солей")</f>
        <v>Способы получения средних солей</v>
      </c>
      <c r="L13" s="1">
        <f>IFERROR(__xludf.DUMMYFUNCTION("""COMPUTED_VALUE"""),512.0)</f>
        <v>512</v>
      </c>
      <c r="M13" s="1"/>
      <c r="N13" s="1"/>
      <c r="O13" s="1" t="str">
        <f>IFERROR(__xludf.DUMMYFUNCTION("""COMPUTED_VALUE"""),"Номенклатура алкенов")</f>
        <v>Номенклатура алкенов</v>
      </c>
      <c r="P13" s="1">
        <f>IFERROR(__xludf.DUMMYFUNCTION("""COMPUTED_VALUE"""),814.0)</f>
        <v>814</v>
      </c>
      <c r="Q13" s="1" t="str">
        <f>IFERROR(__xludf.DUMMYFUNCTION("""COMPUTED_VALUE"""),"Физические свойства предельных многоатомных спиртов")</f>
        <v>Физические свойства предельных многоатомных спиртов</v>
      </c>
      <c r="R13" s="1">
        <f>IFERROR(__xludf.DUMMYFUNCTION("""COMPUTED_VALUE"""),914.0)</f>
        <v>914</v>
      </c>
      <c r="S13" s="1" t="str">
        <f>IFERROR(__xludf.DUMMYFUNCTION("""COMPUTED_VALUE"""),"Номенклатура предельных аминокислот")</f>
        <v>Номенклатура предельных аминокислот</v>
      </c>
      <c r="T13" s="1">
        <f>IFERROR(__xludf.DUMMYFUNCTION("""COMPUTED_VALUE"""),1012.0)</f>
        <v>1012</v>
      </c>
      <c r="U13" s="1" t="str">
        <f>IFERROR(__xludf.DUMMYFUNCTION("""COMPUTED_VALUE"""),"Способы разделения смесей")</f>
        <v>Способы разделения смесей</v>
      </c>
      <c r="V13" s="1">
        <f>IFERROR(__xludf.DUMMYFUNCTION("""COMPUTED_VALUE"""),1115.0)</f>
        <v>1115</v>
      </c>
      <c r="W13" s="1"/>
      <c r="X13" s="1"/>
      <c r="Y13" s="1" t="str">
        <f>IFERROR(__xludf.DUMMYFUNCTION("""COMPUTED_VALUE"""),"Понятие примесей, формула расчета")</f>
        <v>Понятие примесей, формула расчета</v>
      </c>
      <c r="Z13" s="1">
        <f>IFERROR(__xludf.DUMMYFUNCTION("""COMPUTED_VALUE"""),1312.0)</f>
        <v>1312</v>
      </c>
      <c r="AA13" s="1" t="str">
        <f>IFERROR(__xludf.DUMMYFUNCTION("""COMPUTED_VALUE"""),"Диссоциация оснований")</f>
        <v>Диссоциация оснований</v>
      </c>
      <c r="AB13" s="1">
        <f>IFERROR(__xludf.DUMMYFUNCTION("""COMPUTED_VALUE"""),1412.0)</f>
        <v>1412</v>
      </c>
    </row>
    <row r="14">
      <c r="A14" s="1" t="str">
        <f>IFERROR(__xludf.DUMMYFUNCTION("""COMPUTED_VALUE"""),"Молекулярная кристаллическая решётка")</f>
        <v>Молекулярная кристаллическая решётка</v>
      </c>
      <c r="B14" s="1">
        <f>IFERROR(__xludf.DUMMYFUNCTION("""COMPUTED_VALUE"""),15.0)</f>
        <v>15</v>
      </c>
      <c r="C14" s="1" t="str">
        <f>IFERROR(__xludf.DUMMYFUNCTION("""COMPUTED_VALUE"""),"Специфические свойства оксидов кремния")</f>
        <v>Специфические свойства оксидов кремния</v>
      </c>
      <c r="D14" s="1">
        <f>IFERROR(__xludf.DUMMYFUNCTION("""COMPUTED_VALUE"""),113.0)</f>
        <v>113</v>
      </c>
      <c r="E14" s="1" t="str">
        <f>IFERROR(__xludf.DUMMYFUNCTION("""COMPUTED_VALUE"""),"Свойства марганца и его соединений (оксидов и гидроксидов)")</f>
        <v>Свойства марганца и его соединений (оксидов и гидроксидов)</v>
      </c>
      <c r="F14" s="1">
        <f>IFERROR(__xludf.DUMMYFUNCTION("""COMPUTED_VALUE"""),214.0)</f>
        <v>214</v>
      </c>
      <c r="G14" s="1" t="str">
        <f>IFERROR(__xludf.DUMMYFUNCTION("""COMPUTED_VALUE"""),"Общая характеристика и классификация солей")</f>
        <v>Общая характеристика и классификация солей</v>
      </c>
      <c r="H14" s="1">
        <f>IFERROR(__xludf.DUMMYFUNCTION("""COMPUTED_VALUE"""),330.0)</f>
        <v>330</v>
      </c>
      <c r="I14" s="1"/>
      <c r="J14" s="1"/>
      <c r="K14" s="1" t="str">
        <f>IFERROR(__xludf.DUMMYFUNCTION("""COMPUTED_VALUE"""),"Разложение солей")</f>
        <v>Разложение солей</v>
      </c>
      <c r="L14" s="1">
        <f>IFERROR(__xludf.DUMMYFUNCTION("""COMPUTED_VALUE"""),513.0)</f>
        <v>513</v>
      </c>
      <c r="M14" s="1"/>
      <c r="N14" s="1"/>
      <c r="O14" s="1" t="str">
        <f>IFERROR(__xludf.DUMMYFUNCTION("""COMPUTED_VALUE"""),"Изомерия алкенов")</f>
        <v>Изомерия алкенов</v>
      </c>
      <c r="P14" s="1">
        <f>IFERROR(__xludf.DUMMYFUNCTION("""COMPUTED_VALUE"""),815.0)</f>
        <v>815</v>
      </c>
      <c r="Q14" s="1" t="str">
        <f>IFERROR(__xludf.DUMMYFUNCTION("""COMPUTED_VALUE"""),"Общие способы получения предельных многоатомных спиртов")</f>
        <v>Общие способы получения предельных многоатомных спиртов</v>
      </c>
      <c r="R14" s="1">
        <f>IFERROR(__xludf.DUMMYFUNCTION("""COMPUTED_VALUE"""),915.0)</f>
        <v>915</v>
      </c>
      <c r="S14" s="1" t="str">
        <f>IFERROR(__xludf.DUMMYFUNCTION("""COMPUTED_VALUE"""),"Изомерия предельных аминокислот")</f>
        <v>Изомерия предельных аминокислот</v>
      </c>
      <c r="T14" s="1">
        <f>IFERROR(__xludf.DUMMYFUNCTION("""COMPUTED_VALUE"""),1013.0)</f>
        <v>1013</v>
      </c>
      <c r="U14" s="1" t="str">
        <f>IFERROR(__xludf.DUMMYFUNCTION("""COMPUTED_VALUE"""),"Химическое загрязнение окружающей среды и его последствия")</f>
        <v>Химическое загрязнение окружающей среды и его последствия</v>
      </c>
      <c r="V14" s="1">
        <f>IFERROR(__xludf.DUMMYFUNCTION("""COMPUTED_VALUE"""),1116.0)</f>
        <v>1116</v>
      </c>
      <c r="W14" s="1"/>
      <c r="X14" s="1"/>
      <c r="Y14" s="1" t="str">
        <f>IFERROR(__xludf.DUMMYFUNCTION("""COMPUTED_VALUE"""),"Понятие плотности вещества")</f>
        <v>Понятие плотности вещества</v>
      </c>
      <c r="Z14" s="1">
        <f>IFERROR(__xludf.DUMMYFUNCTION("""COMPUTED_VALUE"""),1313.0)</f>
        <v>1313</v>
      </c>
      <c r="AA14" s="1" t="str">
        <f>IFERROR(__xludf.DUMMYFUNCTION("""COMPUTED_VALUE"""),"Диссоциация кислот")</f>
        <v>Диссоциация кислот</v>
      </c>
      <c r="AB14" s="1">
        <f>IFERROR(__xludf.DUMMYFUNCTION("""COMPUTED_VALUE"""),1413.0)</f>
        <v>1413</v>
      </c>
    </row>
    <row r="15">
      <c r="A15" s="1" t="str">
        <f>IFERROR(__xludf.DUMMYFUNCTION("""COMPUTED_VALUE"""),"Ионная кристаллическая решётка")</f>
        <v>Ионная кристаллическая решётка</v>
      </c>
      <c r="B15" s="1">
        <f>IFERROR(__xludf.DUMMYFUNCTION("""COMPUTED_VALUE"""),16.0)</f>
        <v>16</v>
      </c>
      <c r="C15" s="1" t="str">
        <f>IFERROR(__xludf.DUMMYFUNCTION("""COMPUTED_VALUE"""),"Физические свойства фосфина")</f>
        <v>Физические свойства фосфина</v>
      </c>
      <c r="D15" s="1">
        <f>IFERROR(__xludf.DUMMYFUNCTION("""COMPUTED_VALUE"""),114.0)</f>
        <v>114</v>
      </c>
      <c r="E15" s="1" t="str">
        <f>IFERROR(__xludf.DUMMYFUNCTION("""COMPUTED_VALUE"""),"Окраска пламени горелки соединений металлов")</f>
        <v>Окраска пламени горелки соединений металлов</v>
      </c>
      <c r="F15" s="1">
        <f>IFERROR(__xludf.DUMMYFUNCTION("""COMPUTED_VALUE"""),215.0)</f>
        <v>215</v>
      </c>
      <c r="G15" s="1" t="str">
        <f>IFERROR(__xludf.DUMMYFUNCTION("""COMPUTED_VALUE"""),"Окислительно-восстановительные свойства нитритов металлов")</f>
        <v>Окислительно-восстановительные свойства нитритов металлов</v>
      </c>
      <c r="H15" s="1">
        <f>IFERROR(__xludf.DUMMYFUNCTION("""COMPUTED_VALUE"""),334.0)</f>
        <v>334</v>
      </c>
      <c r="I15" s="1"/>
      <c r="J15" s="1"/>
      <c r="K15" s="1" t="str">
        <f>IFERROR(__xludf.DUMMYFUNCTION("""COMPUTED_VALUE"""),"Химические свойства средних солей")</f>
        <v>Химические свойства средних солей</v>
      </c>
      <c r="L15" s="1">
        <f>IFERROR(__xludf.DUMMYFUNCTION("""COMPUTED_VALUE"""),514.0)</f>
        <v>514</v>
      </c>
      <c r="M15" s="1"/>
      <c r="N15" s="1"/>
      <c r="O15" s="1" t="str">
        <f>IFERROR(__xludf.DUMMYFUNCTION("""COMPUTED_VALUE"""),"Физические свойства алкенов")</f>
        <v>Физические свойства алкенов</v>
      </c>
      <c r="P15" s="1">
        <f>IFERROR(__xludf.DUMMYFUNCTION("""COMPUTED_VALUE"""),816.0)</f>
        <v>816</v>
      </c>
      <c r="Q15" s="1" t="str">
        <f>IFERROR(__xludf.DUMMYFUNCTION("""COMPUTED_VALUE"""),"Применение предельных одноатомных спиртов")</f>
        <v>Применение предельных одноатомных спиртов</v>
      </c>
      <c r="R15" s="1">
        <f>IFERROR(__xludf.DUMMYFUNCTION("""COMPUTED_VALUE"""),916.0)</f>
        <v>916</v>
      </c>
      <c r="S15" s="1" t="str">
        <f>IFERROR(__xludf.DUMMYFUNCTION("""COMPUTED_VALUE"""),"Физические свойства предельных аминокислот")</f>
        <v>Физические свойства предельных аминокислот</v>
      </c>
      <c r="T15" s="1">
        <f>IFERROR(__xludf.DUMMYFUNCTION("""COMPUTED_VALUE"""),1014.0)</f>
        <v>1014</v>
      </c>
      <c r="U15" s="1" t="str">
        <f>IFERROR(__xludf.DUMMYFUNCTION("""COMPUTED_VALUE"""),"Умение различать химические и физические явления")</f>
        <v>Умение различать химические и физические явления</v>
      </c>
      <c r="V15" s="1">
        <f>IFERROR(__xludf.DUMMYFUNCTION("""COMPUTED_VALUE"""),1117.0)</f>
        <v>1117</v>
      </c>
      <c r="W15" s="1"/>
      <c r="X15" s="1"/>
      <c r="Y15" s="1" t="str">
        <f>IFERROR(__xludf.DUMMYFUNCTION("""COMPUTED_VALUE"""),"Нахождение массовой или объемной доли практического выхода продукта реакции")</f>
        <v>Нахождение массовой или объемной доли практического выхода продукта реакции</v>
      </c>
      <c r="Z15" s="1">
        <f>IFERROR(__xludf.DUMMYFUNCTION("""COMPUTED_VALUE"""),1314.0)</f>
        <v>1314</v>
      </c>
      <c r="AA15" s="1" t="str">
        <f>IFERROR(__xludf.DUMMYFUNCTION("""COMPUTED_VALUE"""),"Катионы, анионы")</f>
        <v>Катионы, анионы</v>
      </c>
      <c r="AB15" s="1">
        <f>IFERROR(__xludf.DUMMYFUNCTION("""COMPUTED_VALUE"""),1414.0)</f>
        <v>1414</v>
      </c>
    </row>
    <row r="16">
      <c r="A16" s="1" t="str">
        <f>IFERROR(__xludf.DUMMYFUNCTION("""COMPUTED_VALUE"""),"Металлическая кристаллическая решётка")</f>
        <v>Металлическая кристаллическая решётка</v>
      </c>
      <c r="B16" s="1">
        <f>IFERROR(__xludf.DUMMYFUNCTION("""COMPUTED_VALUE"""),17.0)</f>
        <v>17</v>
      </c>
      <c r="C16" s="1" t="str">
        <f>IFERROR(__xludf.DUMMYFUNCTION("""COMPUTED_VALUE"""),"Физические свойства аммиака")</f>
        <v>Физические свойства аммиака</v>
      </c>
      <c r="D16" s="1">
        <f>IFERROR(__xludf.DUMMYFUNCTION("""COMPUTED_VALUE"""),115.0)</f>
        <v>115</v>
      </c>
      <c r="E16" s="1" t="str">
        <f>IFERROR(__xludf.DUMMYFUNCTION("""COMPUTED_VALUE"""),"Применение щелочных и щелочноземельных металлов")</f>
        <v>Применение щелочных и щелочноземельных металлов</v>
      </c>
      <c r="F16" s="1">
        <f>IFERROR(__xludf.DUMMYFUNCTION("""COMPUTED_VALUE"""),216.0)</f>
        <v>216</v>
      </c>
      <c r="G16" s="1" t="str">
        <f>IFERROR(__xludf.DUMMYFUNCTION("""COMPUTED_VALUE"""),"Понятие жесткости и мягкости воды")</f>
        <v>Понятие жесткости и мягкости воды</v>
      </c>
      <c r="H16" s="1">
        <f>IFERROR(__xludf.DUMMYFUNCTION("""COMPUTED_VALUE"""),336.0)</f>
        <v>336</v>
      </c>
      <c r="I16" s="1"/>
      <c r="J16" s="1"/>
      <c r="K16" s="1" t="str">
        <f>IFERROR(__xludf.DUMMYFUNCTION("""COMPUTED_VALUE"""),"Гидролиз солей")</f>
        <v>Гидролиз солей</v>
      </c>
      <c r="L16" s="1">
        <f>IFERROR(__xludf.DUMMYFUNCTION("""COMPUTED_VALUE"""),515.0)</f>
        <v>515</v>
      </c>
      <c r="M16" s="1"/>
      <c r="N16" s="1"/>
      <c r="O16" s="1" t="str">
        <f>IFERROR(__xludf.DUMMYFUNCTION("""COMPUTED_VALUE"""),"Общие способы получения алкенов")</f>
        <v>Общие способы получения алкенов</v>
      </c>
      <c r="P16" s="1">
        <f>IFERROR(__xludf.DUMMYFUNCTION("""COMPUTED_VALUE"""),817.0)</f>
        <v>817</v>
      </c>
      <c r="Q16" s="1" t="str">
        <f>IFERROR(__xludf.DUMMYFUNCTION("""COMPUTED_VALUE"""),"Умение различать одноатомные и многоатомные фенолы")</f>
        <v>Умение различать одноатомные и многоатомные фенолы</v>
      </c>
      <c r="R16" s="1">
        <f>IFERROR(__xludf.DUMMYFUNCTION("""COMPUTED_VALUE"""),917.0)</f>
        <v>917</v>
      </c>
      <c r="S16" s="1" t="str">
        <f>IFERROR(__xludf.DUMMYFUNCTION("""COMPUTED_VALUE"""),"Общие способы получения аминокислот")</f>
        <v>Общие способы получения аминокислот</v>
      </c>
      <c r="T16" s="1">
        <f>IFERROR(__xludf.DUMMYFUNCTION("""COMPUTED_VALUE"""),1015.0)</f>
        <v>1015</v>
      </c>
      <c r="U16" s="1" t="str">
        <f>IFERROR(__xludf.DUMMYFUNCTION("""COMPUTED_VALUE"""),"Промышленное производство метанола")</f>
        <v>Промышленное производство метанола</v>
      </c>
      <c r="V16" s="1">
        <f>IFERROR(__xludf.DUMMYFUNCTION("""COMPUTED_VALUE"""),1118.0)</f>
        <v>1118</v>
      </c>
      <c r="W16" s="1"/>
      <c r="X16" s="1"/>
      <c r="Y16" s="1" t="str">
        <f>IFERROR(__xludf.DUMMYFUNCTION("""COMPUTED_VALUE"""),"Нахождение массы чистого вещества в образце с примесями")</f>
        <v>Нахождение массы чистого вещества в образце с примесями</v>
      </c>
      <c r="Z16" s="1">
        <f>IFERROR(__xludf.DUMMYFUNCTION("""COMPUTED_VALUE"""),1315.0)</f>
        <v>1315</v>
      </c>
      <c r="AA16" s="1" t="str">
        <f>IFERROR(__xludf.DUMMYFUNCTION("""COMPUTED_VALUE"""),"Общая характеристика и классификация реакций")</f>
        <v>Общая характеристика и классификация реакций</v>
      </c>
      <c r="AB16" s="1">
        <f>IFERROR(__xludf.DUMMYFUNCTION("""COMPUTED_VALUE"""),1415.0)</f>
        <v>1415</v>
      </c>
    </row>
    <row r="17">
      <c r="A17" s="1" t="str">
        <f>IFERROR(__xludf.DUMMYFUNCTION("""COMPUTED_VALUE"""),"Простые и сложные вещества. Аллотропные модификации веществ")</f>
        <v>Простые и сложные вещества. Аллотропные модификации веществ</v>
      </c>
      <c r="B17" s="1">
        <f>IFERROR(__xludf.DUMMYFUNCTION("""COMPUTED_VALUE"""),18.0)</f>
        <v>18</v>
      </c>
      <c r="C17" s="1" t="str">
        <f>IFERROR(__xludf.DUMMYFUNCTION("""COMPUTED_VALUE"""),"Физические свойства сероводорода")</f>
        <v>Физические свойства сероводорода</v>
      </c>
      <c r="D17" s="1">
        <f>IFERROR(__xludf.DUMMYFUNCTION("""COMPUTED_VALUE"""),116.0)</f>
        <v>116</v>
      </c>
      <c r="E17" s="1" t="str">
        <f>IFERROR(__xludf.DUMMYFUNCTION("""COMPUTED_VALUE"""),"Специфические свойства гидридов")</f>
        <v>Специфические свойства гидридов</v>
      </c>
      <c r="F17" s="1">
        <f>IFERROR(__xludf.DUMMYFUNCTION("""COMPUTED_VALUE"""),217.0)</f>
        <v>217</v>
      </c>
      <c r="G17" s="1" t="str">
        <f>IFERROR(__xludf.DUMMYFUNCTION("""COMPUTED_VALUE"""),"Восстановительные свойства галогенидов металлов")</f>
        <v>Восстановительные свойства галогенидов металлов</v>
      </c>
      <c r="H17" s="1">
        <f>IFERROR(__xludf.DUMMYFUNCTION("""COMPUTED_VALUE"""),337.0)</f>
        <v>337</v>
      </c>
      <c r="I17" s="1"/>
      <c r="J17" s="1"/>
      <c r="K17" s="1" t="str">
        <f>IFERROR(__xludf.DUMMYFUNCTION("""COMPUTED_VALUE"""),"Электролиз расплавов бескислородных солей")</f>
        <v>Электролиз расплавов бескислородных солей</v>
      </c>
      <c r="L17" s="1">
        <f>IFERROR(__xludf.DUMMYFUNCTION("""COMPUTED_VALUE"""),516.0)</f>
        <v>516</v>
      </c>
      <c r="M17" s="1"/>
      <c r="N17" s="1"/>
      <c r="O17" s="1" t="str">
        <f>IFERROR(__xludf.DUMMYFUNCTION("""COMPUTED_VALUE"""),"Применение алкенов")</f>
        <v>Применение алкенов</v>
      </c>
      <c r="P17" s="1">
        <f>IFERROR(__xludf.DUMMYFUNCTION("""COMPUTED_VALUE"""),818.0)</f>
        <v>818</v>
      </c>
      <c r="Q17" s="1" t="str">
        <f>IFERROR(__xludf.DUMMYFUNCTION("""COMPUTED_VALUE"""),"Реакции фенолов по гидроксильной группе")</f>
        <v>Реакции фенолов по гидроксильной группе</v>
      </c>
      <c r="R17" s="1">
        <f>IFERROR(__xludf.DUMMYFUNCTION("""COMPUTED_VALUE"""),918.0)</f>
        <v>918</v>
      </c>
      <c r="S17" s="1" t="str">
        <f>IFERROR(__xludf.DUMMYFUNCTION("""COMPUTED_VALUE"""),"Применение и биологическая роль аминокислот")</f>
        <v>Применение и биологическая роль аминокислот</v>
      </c>
      <c r="T17" s="1">
        <f>IFERROR(__xludf.DUMMYFUNCTION("""COMPUTED_VALUE"""),1016.0)</f>
        <v>1016</v>
      </c>
      <c r="U17" s="1" t="str">
        <f>IFERROR(__xludf.DUMMYFUNCTION("""COMPUTED_VALUE"""),"Состав нефти и её переработка")</f>
        <v>Состав нефти и её переработка</v>
      </c>
      <c r="V17" s="1">
        <f>IFERROR(__xludf.DUMMYFUNCTION("""COMPUTED_VALUE"""),1119.0)</f>
        <v>1119</v>
      </c>
      <c r="W17" s="1"/>
      <c r="X17" s="1"/>
      <c r="Y17" s="1" t="str">
        <f>IFERROR(__xludf.DUMMYFUNCTION("""COMPUTED_VALUE"""),"Массовая доля элемента в веществе")</f>
        <v>Массовая доля элемента в веществе</v>
      </c>
      <c r="Z17" s="1">
        <f>IFERROR(__xludf.DUMMYFUNCTION("""COMPUTED_VALUE"""),1316.0)</f>
        <v>1316</v>
      </c>
      <c r="AA17" s="1" t="str">
        <f>IFERROR(__xludf.DUMMYFUNCTION("""COMPUTED_VALUE"""),"Классификация реакций по числу и составу реагентов и продуктов")</f>
        <v>Классификация реакций по числу и составу реагентов и продуктов</v>
      </c>
      <c r="AB17" s="1">
        <f>IFERROR(__xludf.DUMMYFUNCTION("""COMPUTED_VALUE"""),1416.0)</f>
        <v>1416</v>
      </c>
    </row>
    <row r="18">
      <c r="A18" s="1" t="str">
        <f>IFERROR(__xludf.DUMMYFUNCTION("""COMPUTED_VALUE"""),"Понятие скорости химической реакции")</f>
        <v>Понятие скорости химической реакции</v>
      </c>
      <c r="B18" s="1">
        <f>IFERROR(__xludf.DUMMYFUNCTION("""COMPUTED_VALUE"""),23.0)</f>
        <v>23</v>
      </c>
      <c r="C18" s="1" t="str">
        <f>IFERROR(__xludf.DUMMYFUNCTION("""COMPUTED_VALUE"""),"Специфические свойства плавиковой кислоты")</f>
        <v>Специфические свойства плавиковой кислоты</v>
      </c>
      <c r="D18" s="1">
        <f>IFERROR(__xludf.DUMMYFUNCTION("""COMPUTED_VALUE"""),117.0)</f>
        <v>117</v>
      </c>
      <c r="E18" s="1" t="str">
        <f>IFERROR(__xludf.DUMMYFUNCTION("""COMPUTED_VALUE"""),"Физические свойства алюминия")</f>
        <v>Физические свойства алюминия</v>
      </c>
      <c r="F18" s="1">
        <f>IFERROR(__xludf.DUMMYFUNCTION("""COMPUTED_VALUE"""),218.0)</f>
        <v>218</v>
      </c>
      <c r="G18" s="1" t="str">
        <f>IFERROR(__xludf.DUMMYFUNCTION("""COMPUTED_VALUE"""),"Окислительно-восстановительные свойства соединений хрома")</f>
        <v>Окислительно-восстановительные свойства соединений хрома</v>
      </c>
      <c r="H18" s="1">
        <f>IFERROR(__xludf.DUMMYFUNCTION("""COMPUTED_VALUE"""),338.0)</f>
        <v>338</v>
      </c>
      <c r="I18" s="1"/>
      <c r="J18" s="1"/>
      <c r="K18" s="1" t="str">
        <f>IFERROR(__xludf.DUMMYFUNCTION("""COMPUTED_VALUE"""),"Электролиз растворов бескислородных солей")</f>
        <v>Электролиз растворов бескислородных солей</v>
      </c>
      <c r="L18" s="1">
        <f>IFERROR(__xludf.DUMMYFUNCTION("""COMPUTED_VALUE"""),517.0)</f>
        <v>517</v>
      </c>
      <c r="M18" s="1"/>
      <c r="N18" s="1"/>
      <c r="O18" s="1" t="str">
        <f>IFERROR(__xludf.DUMMYFUNCTION("""COMPUTED_VALUE"""),"Общая формула и гомологический ряд алкинов")</f>
        <v>Общая формула и гомологический ряд алкинов</v>
      </c>
      <c r="P18" s="1">
        <f>IFERROR(__xludf.DUMMYFUNCTION("""COMPUTED_VALUE"""),819.0)</f>
        <v>819</v>
      </c>
      <c r="Q18" s="1" t="str">
        <f>IFERROR(__xludf.DUMMYFUNCTION("""COMPUTED_VALUE"""),"Строение молекул фенолов")</f>
        <v>Строение молекул фенолов</v>
      </c>
      <c r="R18" s="1">
        <f>IFERROR(__xludf.DUMMYFUNCTION("""COMPUTED_VALUE"""),919.0)</f>
        <v>919</v>
      </c>
      <c r="S18" s="1" t="str">
        <f>IFERROR(__xludf.DUMMYFUNCTION("""COMPUTED_VALUE"""),"Состав и строение белков")</f>
        <v>Состав и строение белков</v>
      </c>
      <c r="T18" s="1">
        <f>IFERROR(__xludf.DUMMYFUNCTION("""COMPUTED_VALUE"""),1017.0)</f>
        <v>1017</v>
      </c>
      <c r="U18" s="1" t="str">
        <f>IFERROR(__xludf.DUMMYFUNCTION("""COMPUTED_VALUE"""),"Промышленное производство серной кислоты")</f>
        <v>Промышленное производство серной кислоты</v>
      </c>
      <c r="V18" s="1">
        <f>IFERROR(__xludf.DUMMYFUNCTION("""COMPUTED_VALUE"""),1120.0)</f>
        <v>1120</v>
      </c>
      <c r="W18" s="1"/>
      <c r="X18" s="1"/>
      <c r="Y18" s="1" t="str">
        <f>IFERROR(__xludf.DUMMYFUNCTION("""COMPUTED_VALUE"""),"Нахождение объёма вещества")</f>
        <v>Нахождение объёма вещества</v>
      </c>
      <c r="Z18" s="1">
        <f>IFERROR(__xludf.DUMMYFUNCTION("""COMPUTED_VALUE"""),1317.0)</f>
        <v>1317</v>
      </c>
      <c r="AA18" s="1" t="str">
        <f>IFERROR(__xludf.DUMMYFUNCTION("""COMPUTED_VALUE"""),"Классификация реакций по изменению степени окисления")</f>
        <v>Классификация реакций по изменению степени окисления</v>
      </c>
      <c r="AB18" s="1">
        <f>IFERROR(__xludf.DUMMYFUNCTION("""COMPUTED_VALUE"""),1417.0)</f>
        <v>1417</v>
      </c>
    </row>
    <row r="19">
      <c r="A19" s="1" t="str">
        <f>IFERROR(__xludf.DUMMYFUNCTION("""COMPUTED_VALUE"""),"Понятие химического равновесия")</f>
        <v>Понятие химического равновесия</v>
      </c>
      <c r="B19" s="1">
        <f>IFERROR(__xludf.DUMMYFUNCTION("""COMPUTED_VALUE"""),26.0)</f>
        <v>26</v>
      </c>
      <c r="C19" s="1" t="str">
        <f>IFERROR(__xludf.DUMMYFUNCTION("""COMPUTED_VALUE"""),"Физические свойства галогеноводородов")</f>
        <v>Физические свойства галогеноводородов</v>
      </c>
      <c r="D19" s="1">
        <f>IFERROR(__xludf.DUMMYFUNCTION("""COMPUTED_VALUE"""),118.0)</f>
        <v>118</v>
      </c>
      <c r="E19" s="1" t="str">
        <f>IFERROR(__xludf.DUMMYFUNCTION("""COMPUTED_VALUE"""),"Способы получения алюминия")</f>
        <v>Способы получения алюминия</v>
      </c>
      <c r="F19" s="1">
        <f>IFERROR(__xludf.DUMMYFUNCTION("""COMPUTED_VALUE"""),219.0)</f>
        <v>219</v>
      </c>
      <c r="G19" s="1" t="str">
        <f>IFERROR(__xludf.DUMMYFUNCTION("""COMPUTED_VALUE"""),"Систематическая и тривиальная номенклатуры солей (средних, кислых, основных и комплексных)")</f>
        <v>Систематическая и тривиальная номенклатуры солей (средних, кислых, основных и комплексных)</v>
      </c>
      <c r="H19" s="1">
        <f>IFERROR(__xludf.DUMMYFUNCTION("""COMPUTED_VALUE"""),339.0)</f>
        <v>339</v>
      </c>
      <c r="I19" s="1"/>
      <c r="J19" s="1"/>
      <c r="K19" s="1" t="str">
        <f>IFERROR(__xludf.DUMMYFUNCTION("""COMPUTED_VALUE"""),"Электролиз растворов кислородсодержащих солей")</f>
        <v>Электролиз растворов кислородсодержащих солей</v>
      </c>
      <c r="L19" s="1">
        <f>IFERROR(__xludf.DUMMYFUNCTION("""COMPUTED_VALUE"""),518.0)</f>
        <v>518</v>
      </c>
      <c r="M19" s="1"/>
      <c r="N19" s="1"/>
      <c r="O19" s="1" t="str">
        <f>IFERROR(__xludf.DUMMYFUNCTION("""COMPUTED_VALUE"""),"Реакции присоединения алкинов")</f>
        <v>Реакции присоединения алкинов</v>
      </c>
      <c r="P19" s="1">
        <f>IFERROR(__xludf.DUMMYFUNCTION("""COMPUTED_VALUE"""),820.0)</f>
        <v>820</v>
      </c>
      <c r="Q19" s="1" t="str">
        <f>IFERROR(__xludf.DUMMYFUNCTION("""COMPUTED_VALUE"""),"Номенклатура фенолов")</f>
        <v>Номенклатура фенолов</v>
      </c>
      <c r="R19" s="1">
        <f>IFERROR(__xludf.DUMMYFUNCTION("""COMPUTED_VALUE"""),920.0)</f>
        <v>920</v>
      </c>
      <c r="S19" s="1" t="str">
        <f>IFERROR(__xludf.DUMMYFUNCTION("""COMPUTED_VALUE"""),"Протеины и протеиды")</f>
        <v>Протеины и протеиды</v>
      </c>
      <c r="T19" s="1">
        <f>IFERROR(__xludf.DUMMYFUNCTION("""COMPUTED_VALUE"""),1018.0)</f>
        <v>1018</v>
      </c>
      <c r="U19" s="1" t="str">
        <f>IFERROR(__xludf.DUMMYFUNCTION("""COMPUTED_VALUE"""),"Промышленное производство аммиака")</f>
        <v>Промышленное производство аммиака</v>
      </c>
      <c r="V19" s="1">
        <f>IFERROR(__xludf.DUMMYFUNCTION("""COMPUTED_VALUE"""),1121.0)</f>
        <v>1121</v>
      </c>
      <c r="W19" s="1"/>
      <c r="X19" s="1"/>
      <c r="Y19" s="1" t="str">
        <f>IFERROR(__xludf.DUMMYFUNCTION("""COMPUTED_VALUE"""),"Нахождение массы вещества")</f>
        <v>Нахождение массы вещества</v>
      </c>
      <c r="Z19" s="1">
        <f>IFERROR(__xludf.DUMMYFUNCTION("""COMPUTED_VALUE"""),1318.0)</f>
        <v>1318</v>
      </c>
      <c r="AA19" s="1" t="str">
        <f>IFERROR(__xludf.DUMMYFUNCTION("""COMPUTED_VALUE"""),"Классификация реакций по наличию катализатора")</f>
        <v>Классификация реакций по наличию катализатора</v>
      </c>
      <c r="AB19" s="1">
        <f>IFERROR(__xludf.DUMMYFUNCTION("""COMPUTED_VALUE"""),1418.0)</f>
        <v>1418</v>
      </c>
    </row>
    <row r="20">
      <c r="A20" s="1" t="str">
        <f>IFERROR(__xludf.DUMMYFUNCTION("""COMPUTED_VALUE"""),"Определение электролитической диссоциации")</f>
        <v>Определение электролитической диссоциации</v>
      </c>
      <c r="B20" s="1">
        <f>IFERROR(__xludf.DUMMYFUNCTION("""COMPUTED_VALUE"""),27.0)</f>
        <v>27</v>
      </c>
      <c r="C20" s="1" t="str">
        <f>IFERROR(__xludf.DUMMYFUNCTION("""COMPUTED_VALUE"""),"Применение водорода")</f>
        <v>Применение водорода</v>
      </c>
      <c r="D20" s="1">
        <f>IFERROR(__xludf.DUMMYFUNCTION("""COMPUTED_VALUE"""),119.0)</f>
        <v>119</v>
      </c>
      <c r="E20" s="1" t="str">
        <f>IFERROR(__xludf.DUMMYFUNCTION("""COMPUTED_VALUE"""),"Химические свойства алюминия как простого вещества")</f>
        <v>Химические свойства алюминия как простого вещества</v>
      </c>
      <c r="F20" s="1">
        <f>IFERROR(__xludf.DUMMYFUNCTION("""COMPUTED_VALUE"""),220.0)</f>
        <v>220</v>
      </c>
      <c r="G20" s="1" t="str">
        <f>IFERROR(__xludf.DUMMYFUNCTION("""COMPUTED_VALUE"""),"Химические свойства средних солей")</f>
        <v>Химические свойства средних солей</v>
      </c>
      <c r="H20" s="1">
        <f>IFERROR(__xludf.DUMMYFUNCTION("""COMPUTED_VALUE"""),340.0)</f>
        <v>340</v>
      </c>
      <c r="I20" s="1"/>
      <c r="J20" s="1"/>
      <c r="K20" s="1" t="str">
        <f>IFERROR(__xludf.DUMMYFUNCTION("""COMPUTED_VALUE"""),"Биологическая роль фосфатов и нитратов")</f>
        <v>Биологическая роль фосфатов и нитратов</v>
      </c>
      <c r="L20" s="1">
        <f>IFERROR(__xludf.DUMMYFUNCTION("""COMPUTED_VALUE"""),519.0)</f>
        <v>519</v>
      </c>
      <c r="M20" s="1"/>
      <c r="N20" s="1"/>
      <c r="O20" s="1" t="str">
        <f>IFERROR(__xludf.DUMMYFUNCTION("""COMPUTED_VALUE"""),"Строение молекул алкинов")</f>
        <v>Строение молекул алкинов</v>
      </c>
      <c r="P20" s="1">
        <f>IFERROR(__xludf.DUMMYFUNCTION("""COMPUTED_VALUE"""),821.0)</f>
        <v>821</v>
      </c>
      <c r="Q20" s="1" t="str">
        <f>IFERROR(__xludf.DUMMYFUNCTION("""COMPUTED_VALUE"""),"Изомерия фенолов")</f>
        <v>Изомерия фенолов</v>
      </c>
      <c r="R20" s="1">
        <f>IFERROR(__xludf.DUMMYFUNCTION("""COMPUTED_VALUE"""),921.0)</f>
        <v>921</v>
      </c>
      <c r="S20" s="1" t="str">
        <f>IFERROR(__xludf.DUMMYFUNCTION("""COMPUTED_VALUE"""),"Химические свойства белков")</f>
        <v>Химические свойства белков</v>
      </c>
      <c r="T20" s="1">
        <f>IFERROR(__xludf.DUMMYFUNCTION("""COMPUTED_VALUE"""),1019.0)</f>
        <v>1019</v>
      </c>
      <c r="U20" s="1" t="str">
        <f>IFERROR(__xludf.DUMMYFUNCTION("""COMPUTED_VALUE"""),"Гомогенные и гетерогенные смеси")</f>
        <v>Гомогенные и гетерогенные смеси</v>
      </c>
      <c r="V20" s="1">
        <f>IFERROR(__xludf.DUMMYFUNCTION("""COMPUTED_VALUE"""),1122.0)</f>
        <v>1122</v>
      </c>
      <c r="W20" s="1"/>
      <c r="X20" s="1"/>
      <c r="Y20" s="1" t="str">
        <f>IFERROR(__xludf.DUMMYFUNCTION("""COMPUTED_VALUE"""),"Понятие относительной плотности вещества по некоторому другому веществу")</f>
        <v>Понятие относительной плотности вещества по некоторому другому веществу</v>
      </c>
      <c r="Z20" s="1">
        <f>IFERROR(__xludf.DUMMYFUNCTION("""COMPUTED_VALUE"""),1319.0)</f>
        <v>1319</v>
      </c>
      <c r="AA20" s="1" t="str">
        <f>IFERROR(__xludf.DUMMYFUNCTION("""COMPUTED_VALUE"""),"Понятие скорости химической реакции")</f>
        <v>Понятие скорости химической реакции</v>
      </c>
      <c r="AB20" s="1">
        <f>IFERROR(__xludf.DUMMYFUNCTION("""COMPUTED_VALUE"""),1419.0)</f>
        <v>1419</v>
      </c>
    </row>
    <row r="21">
      <c r="A21" s="1" t="str">
        <f>IFERROR(__xludf.DUMMYFUNCTION("""COMPUTED_VALUE"""),"Водородный показатель (pH) раствора, среды растворов")</f>
        <v>Водородный показатель (pH) раствора, среды растворов</v>
      </c>
      <c r="B21" s="1">
        <f>IFERROR(__xludf.DUMMYFUNCTION("""COMPUTED_VALUE"""),28.0)</f>
        <v>28</v>
      </c>
      <c r="C21" s="1" t="str">
        <f>IFERROR(__xludf.DUMMYFUNCTION("""COMPUTED_VALUE"""),"Способы получения фосфора")</f>
        <v>Способы получения фосфора</v>
      </c>
      <c r="D21" s="1">
        <f>IFERROR(__xludf.DUMMYFUNCTION("""COMPUTED_VALUE"""),120.0)</f>
        <v>120</v>
      </c>
      <c r="E21" s="1" t="str">
        <f>IFERROR(__xludf.DUMMYFUNCTION("""COMPUTED_VALUE"""),"Специфические свойства алюминатов металлов")</f>
        <v>Специфические свойства алюминатов металлов</v>
      </c>
      <c r="F21" s="1">
        <f>IFERROR(__xludf.DUMMYFUNCTION("""COMPUTED_VALUE"""),221.0)</f>
        <v>221</v>
      </c>
      <c r="G21" s="1" t="str">
        <f>IFERROR(__xludf.DUMMYFUNCTION("""COMPUTED_VALUE"""),"Биологическая роль фосфатов и нитратов")</f>
        <v>Биологическая роль фосфатов и нитратов</v>
      </c>
      <c r="H21" s="1">
        <f>IFERROR(__xludf.DUMMYFUNCTION("""COMPUTED_VALUE"""),345.0)</f>
        <v>345</v>
      </c>
      <c r="I21" s="1"/>
      <c r="J21" s="1"/>
      <c r="K21" s="1" t="str">
        <f>IFERROR(__xludf.DUMMYFUNCTION("""COMPUTED_VALUE"""),"Карбонаты и гидрокарбонаты, их свойства и получение")</f>
        <v>Карбонаты и гидрокарбонаты, их свойства и получение</v>
      </c>
      <c r="L21" s="1">
        <f>IFERROR(__xludf.DUMMYFUNCTION("""COMPUTED_VALUE"""),520.0)</f>
        <v>520</v>
      </c>
      <c r="M21" s="1"/>
      <c r="N21" s="1"/>
      <c r="O21" s="1" t="str">
        <f>IFERROR(__xludf.DUMMYFUNCTION("""COMPUTED_VALUE"""),"Номенклатура алкинов")</f>
        <v>Номенклатура алкинов</v>
      </c>
      <c r="P21" s="1">
        <f>IFERROR(__xludf.DUMMYFUNCTION("""COMPUTED_VALUE"""),823.0)</f>
        <v>823</v>
      </c>
      <c r="Q21" s="1" t="str">
        <f>IFERROR(__xludf.DUMMYFUNCTION("""COMPUTED_VALUE"""),"Физические свойства фенолов")</f>
        <v>Физические свойства фенолов</v>
      </c>
      <c r="R21" s="1">
        <f>IFERROR(__xludf.DUMMYFUNCTION("""COMPUTED_VALUE"""),922.0)</f>
        <v>922</v>
      </c>
      <c r="S21" s="1" t="str">
        <f>IFERROR(__xludf.DUMMYFUNCTION("""COMPUTED_VALUE"""),"Реакции ароматических аминов по аминогруппе")</f>
        <v>Реакции ароматических аминов по аминогруппе</v>
      </c>
      <c r="T21" s="1">
        <f>IFERROR(__xludf.DUMMYFUNCTION("""COMPUTED_VALUE"""),1020.0)</f>
        <v>1020</v>
      </c>
      <c r="U21" s="1" t="str">
        <f>IFERROR(__xludf.DUMMYFUNCTION("""COMPUTED_VALUE"""),"Правила проведения эксперимента")</f>
        <v>Правила проведения эксперимента</v>
      </c>
      <c r="V21" s="1">
        <f>IFERROR(__xludf.DUMMYFUNCTION("""COMPUTED_VALUE"""),1123.0)</f>
        <v>1123</v>
      </c>
      <c r="W21" s="1"/>
      <c r="X21" s="1"/>
      <c r="Y21" s="1" t="str">
        <f>IFERROR(__xludf.DUMMYFUNCTION("""COMPUTED_VALUE"""),"Умение анализировать молекулярную формулу и химические свойства вещества для определения его класса и построения структурной формулы")</f>
        <v>Умение анализировать молекулярную формулу и химические свойства вещества для определения его класса и построения структурной формулы</v>
      </c>
      <c r="Z21" s="1">
        <f>IFERROR(__xludf.DUMMYFUNCTION("""COMPUTED_VALUE"""),1320.0)</f>
        <v>1320</v>
      </c>
      <c r="AA21" s="1" t="str">
        <f>IFERROR(__xludf.DUMMYFUNCTION("""COMPUTED_VALUE"""),"Природа реагирующих веществ как фактор влияющий на скорость химической реакции")</f>
        <v>Природа реагирующих веществ как фактор влияющий на скорость химической реакции</v>
      </c>
      <c r="AB21" s="1">
        <f>IFERROR(__xludf.DUMMYFUNCTION("""COMPUTED_VALUE"""),1420.0)</f>
        <v>1420</v>
      </c>
    </row>
    <row r="22">
      <c r="A22" s="1" t="str">
        <f>IFERROR(__xludf.DUMMYFUNCTION("""COMPUTED_VALUE"""),"Правила заполнения электронами энергетических уровней, подуровней и орбиталей")</f>
        <v>Правила заполнения электронами энергетических уровней, подуровней и орбиталей</v>
      </c>
      <c r="B22" s="1">
        <f>IFERROR(__xludf.DUMMYFUNCTION("""COMPUTED_VALUE"""),29.0)</f>
        <v>29</v>
      </c>
      <c r="C22" s="1" t="str">
        <f>IFERROR(__xludf.DUMMYFUNCTION("""COMPUTED_VALUE"""),"Систематическая номенклатура простых веществ неметаллов")</f>
        <v>Систематическая номенклатура простых веществ неметаллов</v>
      </c>
      <c r="D22" s="1">
        <f>IFERROR(__xludf.DUMMYFUNCTION("""COMPUTED_VALUE"""),121.0)</f>
        <v>121</v>
      </c>
      <c r="E22" s="1" t="str">
        <f>IFERROR(__xludf.DUMMYFUNCTION("""COMPUTED_VALUE"""),"Применение алюминия и его соединений")</f>
        <v>Применение алюминия и его соединений</v>
      </c>
      <c r="F22" s="1">
        <f>IFERROR(__xludf.DUMMYFUNCTION("""COMPUTED_VALUE"""),222.0)</f>
        <v>222</v>
      </c>
      <c r="G22" s="1" t="str">
        <f>IFERROR(__xludf.DUMMYFUNCTION("""COMPUTED_VALUE"""),"Взаимосвязь неорганических соединений (для неорганических цепочек)")</f>
        <v>Взаимосвязь неорганических соединений (для неорганических цепочек)</v>
      </c>
      <c r="H22" s="1">
        <f>IFERROR(__xludf.DUMMYFUNCTION("""COMPUTED_VALUE"""),350.0)</f>
        <v>350</v>
      </c>
      <c r="I22" s="1"/>
      <c r="J22" s="1"/>
      <c r="K22" s="1" t="str">
        <f>IFERROR(__xludf.DUMMYFUNCTION("""COMPUTED_VALUE"""),"Свойства силикатов и их получение")</f>
        <v>Свойства силикатов и их получение</v>
      </c>
      <c r="L22" s="1">
        <f>IFERROR(__xludf.DUMMYFUNCTION("""COMPUTED_VALUE"""),521.0)</f>
        <v>521</v>
      </c>
      <c r="M22" s="1"/>
      <c r="N22" s="1"/>
      <c r="O22" s="1" t="str">
        <f>IFERROR(__xludf.DUMMYFUNCTION("""COMPUTED_VALUE"""),"Изомерия алкинов")</f>
        <v>Изомерия алкинов</v>
      </c>
      <c r="P22" s="1">
        <f>IFERROR(__xludf.DUMMYFUNCTION("""COMPUTED_VALUE"""),824.0)</f>
        <v>824</v>
      </c>
      <c r="Q22" s="1" t="str">
        <f>IFERROR(__xludf.DUMMYFUNCTION("""COMPUTED_VALUE"""),"Общие способы получения фенолов")</f>
        <v>Общие способы получения фенолов</v>
      </c>
      <c r="R22" s="1">
        <f>IFERROR(__xludf.DUMMYFUNCTION("""COMPUTED_VALUE"""),923.0)</f>
        <v>923</v>
      </c>
      <c r="S22" s="1" t="str">
        <f>IFERROR(__xludf.DUMMYFUNCTION("""COMPUTED_VALUE"""),"Взаимосвязь органических соединений (для органических цепочек)")</f>
        <v>Взаимосвязь органических соединений (для органических цепочек)</v>
      </c>
      <c r="T22" s="1">
        <f>IFERROR(__xludf.DUMMYFUNCTION("""COMPUTED_VALUE"""),1021.0)</f>
        <v>1021</v>
      </c>
      <c r="U22" s="1"/>
      <c r="V22" s="1"/>
      <c r="W22" s="1"/>
      <c r="X22" s="1"/>
      <c r="Y22" s="1" t="str">
        <f>IFERROR(__xludf.DUMMYFUNCTION("""COMPUTED_VALUE"""),"Составление уравнения для решения задачи")</f>
        <v>Составление уравнения для решения задачи</v>
      </c>
      <c r="Z22" s="1">
        <f>IFERROR(__xludf.DUMMYFUNCTION("""COMPUTED_VALUE"""),1321.0)</f>
        <v>1321</v>
      </c>
      <c r="AA22" s="1" t="str">
        <f>IFERROR(__xludf.DUMMYFUNCTION("""COMPUTED_VALUE"""),"Концентрация реагентов как фактор влияющий на скорость реакции")</f>
        <v>Концентрация реагентов как фактор влияющий на скорость реакции</v>
      </c>
      <c r="AB22" s="1">
        <f>IFERROR(__xludf.DUMMYFUNCTION("""COMPUTED_VALUE"""),1421.0)</f>
        <v>1421</v>
      </c>
    </row>
    <row r="23">
      <c r="A23" s="1" t="str">
        <f>IFERROR(__xludf.DUMMYFUNCTION("""COMPUTED_VALUE"""),"Проскок электрона")</f>
        <v>Проскок электрона</v>
      </c>
      <c r="B23" s="1">
        <f>IFERROR(__xludf.DUMMYFUNCTION("""COMPUTED_VALUE"""),30.0)</f>
        <v>30</v>
      </c>
      <c r="C23" s="1" t="str">
        <f>IFERROR(__xludf.DUMMYFUNCTION("""COMPUTED_VALUE"""),"Тривиальная номенклатура простых веществ неметаллов")</f>
        <v>Тривиальная номенклатура простых веществ неметаллов</v>
      </c>
      <c r="D23" s="1">
        <f>IFERROR(__xludf.DUMMYFUNCTION("""COMPUTED_VALUE"""),122.0)</f>
        <v>122</v>
      </c>
      <c r="E23" s="1" t="str">
        <f>IFERROR(__xludf.DUMMYFUNCTION("""COMPUTED_VALUE"""),"Физические свойства железа")</f>
        <v>Физические свойства железа</v>
      </c>
      <c r="F23" s="1">
        <f>IFERROR(__xludf.DUMMYFUNCTION("""COMPUTED_VALUE"""),223.0)</f>
        <v>223</v>
      </c>
      <c r="G23" s="1" t="str">
        <f>IFERROR(__xludf.DUMMYFUNCTION("""COMPUTED_VALUE"""),"Химические свойства кислых солей")</f>
        <v>Химические свойства кислых солей</v>
      </c>
      <c r="H23" s="1">
        <f>IFERROR(__xludf.DUMMYFUNCTION("""COMPUTED_VALUE"""),351.0)</f>
        <v>351</v>
      </c>
      <c r="I23" s="1"/>
      <c r="J23" s="1"/>
      <c r="K23" s="1" t="str">
        <f>IFERROR(__xludf.DUMMYFUNCTION("""COMPUTED_VALUE"""),"Номенклатура солей")</f>
        <v>Номенклатура солей</v>
      </c>
      <c r="L23" s="1">
        <f>IFERROR(__xludf.DUMMYFUNCTION("""COMPUTED_VALUE"""),522.0)</f>
        <v>522</v>
      </c>
      <c r="M23" s="1"/>
      <c r="N23" s="1"/>
      <c r="O23" s="1" t="str">
        <f>IFERROR(__xludf.DUMMYFUNCTION("""COMPUTED_VALUE"""),"Физические свойства алкинов")</f>
        <v>Физические свойства алкинов</v>
      </c>
      <c r="P23" s="1">
        <f>IFERROR(__xludf.DUMMYFUNCTION("""COMPUTED_VALUE"""),825.0)</f>
        <v>825</v>
      </c>
      <c r="Q23" s="1" t="str">
        <f>IFERROR(__xludf.DUMMYFUNCTION("""COMPUTED_VALUE"""),"Применение фенолов")</f>
        <v>Применение фенолов</v>
      </c>
      <c r="R23" s="1">
        <f>IFERROR(__xludf.DUMMYFUNCTION("""COMPUTED_VALUE"""),924.0)</f>
        <v>924</v>
      </c>
      <c r="S23" s="1" t="str">
        <f>IFERROR(__xludf.DUMMYFUNCTION("""COMPUTED_VALUE"""),"Изменение основных свойств в ряду аминов")</f>
        <v>Изменение основных свойств в ряду аминов</v>
      </c>
      <c r="T23" s="1">
        <f>IFERROR(__xludf.DUMMYFUNCTION("""COMPUTED_VALUE"""),1022.0)</f>
        <v>1022</v>
      </c>
      <c r="U23" s="1"/>
      <c r="V23" s="1"/>
      <c r="W23" s="1"/>
      <c r="X23" s="1"/>
      <c r="Y23" s="1" t="str">
        <f>IFERROR(__xludf.DUMMYFUNCTION("""COMPUTED_VALUE"""),"Понятие объемной доли газа")</f>
        <v>Понятие объемной доли газа</v>
      </c>
      <c r="Z23" s="1">
        <f>IFERROR(__xludf.DUMMYFUNCTION("""COMPUTED_VALUE"""),1322.0)</f>
        <v>1322</v>
      </c>
      <c r="AA23" s="1" t="str">
        <f>IFERROR(__xludf.DUMMYFUNCTION("""COMPUTED_VALUE"""),"Температура как фактор влияющий на скорость реакции")</f>
        <v>Температура как фактор влияющий на скорость реакции</v>
      </c>
      <c r="AB23" s="1">
        <f>IFERROR(__xludf.DUMMYFUNCTION("""COMPUTED_VALUE"""),1422.0)</f>
        <v>1422</v>
      </c>
    </row>
    <row r="24">
      <c r="A24" s="1" t="str">
        <f>IFERROR(__xludf.DUMMYFUNCTION("""COMPUTED_VALUE"""),"Основное состояние атома")</f>
        <v>Основное состояние атома</v>
      </c>
      <c r="B24" s="1">
        <f>IFERROR(__xludf.DUMMYFUNCTION("""COMPUTED_VALUE"""),31.0)</f>
        <v>31</v>
      </c>
      <c r="C24" s="1" t="str">
        <f>IFERROR(__xludf.DUMMYFUNCTION("""COMPUTED_VALUE"""),"Качественное обнаружение кислорода")</f>
        <v>Качественное обнаружение кислорода</v>
      </c>
      <c r="D24" s="1">
        <f>IFERROR(__xludf.DUMMYFUNCTION("""COMPUTED_VALUE"""),123.0)</f>
        <v>123</v>
      </c>
      <c r="E24" s="1" t="str">
        <f>IFERROR(__xludf.DUMMYFUNCTION("""COMPUTED_VALUE"""),"Способы получения железа")</f>
        <v>Способы получения железа</v>
      </c>
      <c r="F24" s="1">
        <f>IFERROR(__xludf.DUMMYFUNCTION("""COMPUTED_VALUE"""),224.0)</f>
        <v>224</v>
      </c>
      <c r="G24" s="1" t="str">
        <f>IFERROR(__xludf.DUMMYFUNCTION("""COMPUTED_VALUE"""),"Химические свойства основных солей")</f>
        <v>Химические свойства основных солей</v>
      </c>
      <c r="H24" s="1">
        <f>IFERROR(__xludf.DUMMYFUNCTION("""COMPUTED_VALUE"""),352.0)</f>
        <v>352</v>
      </c>
      <c r="I24" s="1"/>
      <c r="J24" s="1"/>
      <c r="K24" s="1" t="str">
        <f>IFERROR(__xludf.DUMMYFUNCTION("""COMPUTED_VALUE"""),"Составление формул солей (средних, кислых, основных и комплексных)")</f>
        <v>Составление формул солей (средних, кислых, основных и комплексных)</v>
      </c>
      <c r="L24" s="1">
        <f>IFERROR(__xludf.DUMMYFUNCTION("""COMPUTED_VALUE"""),523.0)</f>
        <v>523</v>
      </c>
      <c r="M24" s="1"/>
      <c r="N24" s="1"/>
      <c r="O24" s="1" t="str">
        <f>IFERROR(__xludf.DUMMYFUNCTION("""COMPUTED_VALUE"""),"Общие способы получения алкинов")</f>
        <v>Общие способы получения алкинов</v>
      </c>
      <c r="P24" s="1">
        <f>IFERROR(__xludf.DUMMYFUNCTION("""COMPUTED_VALUE"""),826.0)</f>
        <v>826</v>
      </c>
      <c r="Q24" s="1" t="str">
        <f>IFERROR(__xludf.DUMMYFUNCTION("""COMPUTED_VALUE"""),"Умение определять альдегиды")</f>
        <v>Умение определять альдегиды</v>
      </c>
      <c r="R24" s="1">
        <f>IFERROR(__xludf.DUMMYFUNCTION("""COMPUTED_VALUE"""),925.0)</f>
        <v>925</v>
      </c>
      <c r="S24" s="1" t="str">
        <f>IFERROR(__xludf.DUMMYFUNCTION("""COMPUTED_VALUE"""),"Восстановление нитросоединений как способ получения первичных аминов")</f>
        <v>Восстановление нитросоединений как способ получения первичных аминов</v>
      </c>
      <c r="T24" s="1">
        <f>IFERROR(__xludf.DUMMYFUNCTION("""COMPUTED_VALUE"""),1023.0)</f>
        <v>1023</v>
      </c>
      <c r="U24" s="1"/>
      <c r="V24" s="1"/>
      <c r="W24" s="1"/>
      <c r="X24" s="1"/>
      <c r="Y24" s="1" t="str">
        <f>IFERROR(__xludf.DUMMYFUNCTION("""COMPUTED_VALUE"""),"Молярная масса вещества")</f>
        <v>Молярная масса вещества</v>
      </c>
      <c r="Z24" s="1">
        <f>IFERROR(__xludf.DUMMYFUNCTION("""COMPUTED_VALUE"""),1323.0)</f>
        <v>1323</v>
      </c>
      <c r="AA24" s="1" t="str">
        <f>IFERROR(__xludf.DUMMYFUNCTION("""COMPUTED_VALUE"""),"Площадь реакционной поверхности как фактор влияющий на скорость реакции")</f>
        <v>Площадь реакционной поверхности как фактор влияющий на скорость реакции</v>
      </c>
      <c r="AB24" s="1">
        <f>IFERROR(__xludf.DUMMYFUNCTION("""COMPUTED_VALUE"""),1423.0)</f>
        <v>1423</v>
      </c>
    </row>
    <row r="25">
      <c r="A25" s="1" t="str">
        <f>IFERROR(__xludf.DUMMYFUNCTION("""COMPUTED_VALUE"""),"Возбужденное состояние атома")</f>
        <v>Возбужденное состояние атома</v>
      </c>
      <c r="B25" s="1">
        <f>IFERROR(__xludf.DUMMYFUNCTION("""COMPUTED_VALUE"""),32.0)</f>
        <v>32</v>
      </c>
      <c r="C25" s="1" t="str">
        <f>IFERROR(__xludf.DUMMYFUNCTION("""COMPUTED_VALUE"""),"Качественное обнаружение водорода")</f>
        <v>Качественное обнаружение водорода</v>
      </c>
      <c r="D25" s="1">
        <f>IFERROR(__xludf.DUMMYFUNCTION("""COMPUTED_VALUE"""),124.0)</f>
        <v>124</v>
      </c>
      <c r="E25" s="1" t="str">
        <f>IFERROR(__xludf.DUMMYFUNCTION("""COMPUTED_VALUE"""),"Химические свойства железа как простого вещества")</f>
        <v>Химические свойства железа как простого вещества</v>
      </c>
      <c r="F25" s="1">
        <f>IFERROR(__xludf.DUMMYFUNCTION("""COMPUTED_VALUE"""),225.0)</f>
        <v>225</v>
      </c>
      <c r="G25" s="1" t="str">
        <f>IFERROR(__xludf.DUMMYFUNCTION("""COMPUTED_VALUE"""),"Химические свойства комплексных солей (на примере гидроксокомплексов)")</f>
        <v>Химические свойства комплексных солей (на примере гидроксокомплексов)</v>
      </c>
      <c r="H25" s="1">
        <f>IFERROR(__xludf.DUMMYFUNCTION("""COMPUTED_VALUE"""),353.0)</f>
        <v>353</v>
      </c>
      <c r="I25" s="1"/>
      <c r="J25" s="1"/>
      <c r="K25" s="1" t="str">
        <f>IFERROR(__xludf.DUMMYFUNCTION("""COMPUTED_VALUE"""),"Соли аммония, их свойства и получение")</f>
        <v>Соли аммония, их свойства и получение</v>
      </c>
      <c r="L25" s="1">
        <f>IFERROR(__xludf.DUMMYFUNCTION("""COMPUTED_VALUE"""),524.0)</f>
        <v>524</v>
      </c>
      <c r="M25" s="1"/>
      <c r="N25" s="1"/>
      <c r="O25" s="1" t="str">
        <f>IFERROR(__xludf.DUMMYFUNCTION("""COMPUTED_VALUE"""),"Применение алкинов")</f>
        <v>Применение алкинов</v>
      </c>
      <c r="P25" s="1">
        <f>IFERROR(__xludf.DUMMYFUNCTION("""COMPUTED_VALUE"""),827.0)</f>
        <v>827</v>
      </c>
      <c r="Q25" s="1" t="str">
        <f>IFERROR(__xludf.DUMMYFUNCTION("""COMPUTED_VALUE"""),"Химические свойства альдегидов - реакции присоединения")</f>
        <v>Химические свойства альдегидов - реакции присоединения</v>
      </c>
      <c r="R25" s="1">
        <f>IFERROR(__xludf.DUMMYFUNCTION("""COMPUTED_VALUE"""),926.0)</f>
        <v>926</v>
      </c>
      <c r="S25" s="1" t="str">
        <f>IFERROR(__xludf.DUMMYFUNCTION("""COMPUTED_VALUE"""),"Общая характеристика ароматических аминов")</f>
        <v>Общая характеристика ароматических аминов</v>
      </c>
      <c r="T25" s="1">
        <f>IFERROR(__xludf.DUMMYFUNCTION("""COMPUTED_VALUE"""),1024.0)</f>
        <v>1024</v>
      </c>
      <c r="U25" s="1"/>
      <c r="V25" s="1"/>
      <c r="W25" s="1"/>
      <c r="X25" s="1"/>
      <c r="Y25" s="1" t="str">
        <f>IFERROR(__xludf.DUMMYFUNCTION("""COMPUTED_VALUE"""),"Умение использовать заданное соотношение атомов химических элементов в веществе или смеси веществ для нахождения искомых величин")</f>
        <v>Умение использовать заданное соотношение атомов химических элементов в веществе или смеси веществ для нахождения искомых величин</v>
      </c>
      <c r="Z25" s="1">
        <f>IFERROR(__xludf.DUMMYFUNCTION("""COMPUTED_VALUE"""),1324.0)</f>
        <v>1324</v>
      </c>
      <c r="AA25" s="1" t="str">
        <f>IFERROR(__xludf.DUMMYFUNCTION("""COMPUTED_VALUE"""),"Индикаторы")</f>
        <v>Индикаторы</v>
      </c>
      <c r="AB25" s="1">
        <f>IFERROR(__xludf.DUMMYFUNCTION("""COMPUTED_VALUE"""),1424.0)</f>
        <v>1424</v>
      </c>
    </row>
    <row r="26">
      <c r="A26" s="1" t="str">
        <f>IFERROR(__xludf.DUMMYFUNCTION("""COMPUTED_VALUE"""),"Изменение радиуса атомов в зависимости от положения химического элемента в Периодической системе Д.И. Менделеева")</f>
        <v>Изменение радиуса атомов в зависимости от положения химического элемента в Периодической системе Д.И. Менделеева</v>
      </c>
      <c r="B26" s="1">
        <f>IFERROR(__xludf.DUMMYFUNCTION("""COMPUTED_VALUE"""),33.0)</f>
        <v>33</v>
      </c>
      <c r="C26" s="1" t="str">
        <f>IFERROR(__xludf.DUMMYFUNCTION("""COMPUTED_VALUE"""),"Термическое разложение карбонатов металлов")</f>
        <v>Термическое разложение карбонатов металлов</v>
      </c>
      <c r="D26" s="1">
        <f>IFERROR(__xludf.DUMMYFUNCTION("""COMPUTED_VALUE"""),125.0)</f>
        <v>125</v>
      </c>
      <c r="E26" s="1" t="str">
        <f>IFERROR(__xludf.DUMMYFUNCTION("""COMPUTED_VALUE"""),"Специфические свойства железной окалины")</f>
        <v>Специфические свойства железной окалины</v>
      </c>
      <c r="F26" s="1">
        <f>IFERROR(__xludf.DUMMYFUNCTION("""COMPUTED_VALUE"""),226.0)</f>
        <v>226</v>
      </c>
      <c r="G26" s="1" t="str">
        <f>IFERROR(__xludf.DUMMYFUNCTION("""COMPUTED_VALUE"""),"Двойные (солеобразные) оксиды")</f>
        <v>Двойные (солеобразные) оксиды</v>
      </c>
      <c r="H26" s="1">
        <f>IFERROR(__xludf.DUMMYFUNCTION("""COMPUTED_VALUE"""),354.0)</f>
        <v>354</v>
      </c>
      <c r="I26" s="1"/>
      <c r="J26" s="1"/>
      <c r="K26" s="1" t="str">
        <f>IFERROR(__xludf.DUMMYFUNCTION("""COMPUTED_VALUE"""),"Взаимосвязь неорганических соединений (для неорганических цепочек)")</f>
        <v>Взаимосвязь неорганических соединений (для неорганических цепочек)</v>
      </c>
      <c r="L26" s="1">
        <f>IFERROR(__xludf.DUMMYFUNCTION("""COMPUTED_VALUE"""),525.0)</f>
        <v>525</v>
      </c>
      <c r="M26" s="1"/>
      <c r="N26" s="1"/>
      <c r="O26" s="1" t="str">
        <f>IFERROR(__xludf.DUMMYFUNCTION("""COMPUTED_VALUE"""),"Общая формула и гомологический ряд циклоалканов")</f>
        <v>Общая формула и гомологический ряд циклоалканов</v>
      </c>
      <c r="P26" s="1">
        <f>IFERROR(__xludf.DUMMYFUNCTION("""COMPUTED_VALUE"""),828.0)</f>
        <v>828</v>
      </c>
      <c r="Q26" s="1" t="str">
        <f>IFERROR(__xludf.DUMMYFUNCTION("""COMPUTED_VALUE"""),"Номенклатура альдегидов")</f>
        <v>Номенклатура альдегидов</v>
      </c>
      <c r="R26" s="1">
        <f>IFERROR(__xludf.DUMMYFUNCTION("""COMPUTED_VALUE"""),927.0)</f>
        <v>927</v>
      </c>
      <c r="S26" s="1" t="str">
        <f>IFERROR(__xludf.DUMMYFUNCTION("""COMPUTED_VALUE"""),"Особенности строения ароматических аминов")</f>
        <v>Особенности строения ароматических аминов</v>
      </c>
      <c r="T26" s="1">
        <f>IFERROR(__xludf.DUMMYFUNCTION("""COMPUTED_VALUE"""),1025.0)</f>
        <v>1025</v>
      </c>
      <c r="U26" s="1"/>
      <c r="V26" s="1"/>
      <c r="W26" s="1"/>
      <c r="X26" s="1"/>
      <c r="Y26" s="1" t="str">
        <f>IFERROR(__xludf.DUMMYFUNCTION("""COMPUTED_VALUE"""),"Изменение массовой доли вещества в растворе при разбавлении / выпаривании")</f>
        <v>Изменение массовой доли вещества в растворе при разбавлении / выпаривании</v>
      </c>
      <c r="Z26" s="1">
        <f>IFERROR(__xludf.DUMMYFUNCTION("""COMPUTED_VALUE"""),1325.0)</f>
        <v>1325</v>
      </c>
      <c r="AA26" s="1" t="str">
        <f>IFERROR(__xludf.DUMMYFUNCTION("""COMPUTED_VALUE"""),"Необратимый гидролиз")</f>
        <v>Необратимый гидролиз</v>
      </c>
      <c r="AB26" s="1">
        <f>IFERROR(__xludf.DUMMYFUNCTION("""COMPUTED_VALUE"""),1425.0)</f>
        <v>1425</v>
      </c>
    </row>
    <row r="27">
      <c r="A27" s="1" t="str">
        <f>IFERROR(__xludf.DUMMYFUNCTION("""COMPUTED_VALUE"""),"Случаи несовпадения валентности и степени окисления")</f>
        <v>Случаи несовпадения валентности и степени окисления</v>
      </c>
      <c r="B27" s="1">
        <f>IFERROR(__xludf.DUMMYFUNCTION("""COMPUTED_VALUE"""),36.0)</f>
        <v>36</v>
      </c>
      <c r="C27" s="1" t="str">
        <f>IFERROR(__xludf.DUMMYFUNCTION("""COMPUTED_VALUE"""),"Термическое разложение солей аммония")</f>
        <v>Термическое разложение солей аммония</v>
      </c>
      <c r="D27" s="1">
        <f>IFERROR(__xludf.DUMMYFUNCTION("""COMPUTED_VALUE"""),126.0)</f>
        <v>126</v>
      </c>
      <c r="E27" s="1" t="str">
        <f>IFERROR(__xludf.DUMMYFUNCTION("""COMPUTED_VALUE"""),"Специфические свойства ферритов металлов")</f>
        <v>Специфические свойства ферритов металлов</v>
      </c>
      <c r="F27" s="1">
        <f>IFERROR(__xludf.DUMMYFUNCTION("""COMPUTED_VALUE"""),227.0)</f>
        <v>227</v>
      </c>
      <c r="G27" s="1" t="str">
        <f>IFERROR(__xludf.DUMMYFUNCTION("""COMPUTED_VALUE"""),"Физические свойства оксидов")</f>
        <v>Физические свойства оксидов</v>
      </c>
      <c r="H27" s="1">
        <f>IFERROR(__xludf.DUMMYFUNCTION("""COMPUTED_VALUE"""),355.0)</f>
        <v>355</v>
      </c>
      <c r="I27" s="1"/>
      <c r="J27" s="1"/>
      <c r="K27" s="1" t="str">
        <f>IFERROR(__xludf.DUMMYFUNCTION("""COMPUTED_VALUE"""),"Химические свойства кислых солей")</f>
        <v>Химические свойства кислых солей</v>
      </c>
      <c r="L27" s="1">
        <f>IFERROR(__xludf.DUMMYFUNCTION("""COMPUTED_VALUE"""),526.0)</f>
        <v>526</v>
      </c>
      <c r="M27" s="1"/>
      <c r="N27" s="1"/>
      <c r="O27" s="1" t="str">
        <f>IFERROR(__xludf.DUMMYFUNCTION("""COMPUTED_VALUE"""),"Реакции малых циклоалканов")</f>
        <v>Реакции малых циклоалканов</v>
      </c>
      <c r="P27" s="1">
        <f>IFERROR(__xludf.DUMMYFUNCTION("""COMPUTED_VALUE"""),829.0)</f>
        <v>829</v>
      </c>
      <c r="Q27" s="1" t="str">
        <f>IFERROR(__xludf.DUMMYFUNCTION("""COMPUTED_VALUE"""),"Изомерия карбонильных соединений")</f>
        <v>Изомерия карбонильных соединений</v>
      </c>
      <c r="R27" s="1">
        <f>IFERROR(__xludf.DUMMYFUNCTION("""COMPUTED_VALUE"""),928.0)</f>
        <v>928</v>
      </c>
      <c r="S27" s="1" t="str">
        <f>IFERROR(__xludf.DUMMYFUNCTION("""COMPUTED_VALUE"""),"Физические свойства анилина")</f>
        <v>Физические свойства анилина</v>
      </c>
      <c r="T27" s="1">
        <f>IFERROR(__xludf.DUMMYFUNCTION("""COMPUTED_VALUE"""),1026.0)</f>
        <v>1026</v>
      </c>
      <c r="U27" s="1"/>
      <c r="V27" s="1"/>
      <c r="W27" s="1"/>
      <c r="X27" s="1"/>
      <c r="Y27" s="1" t="str">
        <f>IFERROR(__xludf.DUMMYFUNCTION("""COMPUTED_VALUE"""),"Изменение массовой доли вещества в растворе при добавлении чистого вещества / осаждении чистого вещества")</f>
        <v>Изменение массовой доли вещества в растворе при добавлении чистого вещества / осаждении чистого вещества</v>
      </c>
      <c r="Z27" s="1">
        <f>IFERROR(__xludf.DUMMYFUNCTION("""COMPUTED_VALUE"""),1326.0)</f>
        <v>1326</v>
      </c>
      <c r="AA27" s="1" t="str">
        <f>IFERROR(__xludf.DUMMYFUNCTION("""COMPUTED_VALUE"""),"Совместный гидролиз")</f>
        <v>Совместный гидролиз</v>
      </c>
      <c r="AB27" s="1">
        <f>IFERROR(__xludf.DUMMYFUNCTION("""COMPUTED_VALUE"""),1426.0)</f>
        <v>1426</v>
      </c>
    </row>
    <row r="28">
      <c r="A28" s="1" t="str">
        <f>IFERROR(__xludf.DUMMYFUNCTION("""COMPUTED_VALUE"""),"Характеристики ковалентной связи (длина, энергия, прочность, кратность)")</f>
        <v>Характеристики ковалентной связи (длина, энергия, прочность, кратность)</v>
      </c>
      <c r="B28" s="1">
        <f>IFERROR(__xludf.DUMMYFUNCTION("""COMPUTED_VALUE"""),37.0)</f>
        <v>37</v>
      </c>
      <c r="C28" s="1" t="str">
        <f>IFERROR(__xludf.DUMMYFUNCTION("""COMPUTED_VALUE"""),"Термическое разложение солей кислородсодержащих кислот галогенов")</f>
        <v>Термическое разложение солей кислородсодержащих кислот галогенов</v>
      </c>
      <c r="D28" s="1">
        <f>IFERROR(__xludf.DUMMYFUNCTION("""COMPUTED_VALUE"""),127.0)</f>
        <v>127</v>
      </c>
      <c r="E28" s="1" t="str">
        <f>IFERROR(__xludf.DUMMYFUNCTION("""COMPUTED_VALUE"""),"Специфические свойства ферратов металлов")</f>
        <v>Специфические свойства ферратов металлов</v>
      </c>
      <c r="F28" s="1">
        <f>IFERROR(__xludf.DUMMYFUNCTION("""COMPUTED_VALUE"""),228.0)</f>
        <v>228</v>
      </c>
      <c r="G28" s="1" t="str">
        <f>IFERROR(__xludf.DUMMYFUNCTION("""COMPUTED_VALUE"""),"Физические свойства оснований и амфотерных гидроксидов")</f>
        <v>Физические свойства оснований и амфотерных гидроксидов</v>
      </c>
      <c r="H28" s="1">
        <f>IFERROR(__xludf.DUMMYFUNCTION("""COMPUTED_VALUE"""),356.0)</f>
        <v>356</v>
      </c>
      <c r="I28" s="1"/>
      <c r="J28" s="1"/>
      <c r="K28" s="1" t="str">
        <f>IFERROR(__xludf.DUMMYFUNCTION("""COMPUTED_VALUE"""),"Химические свойства основных солей")</f>
        <v>Химические свойства основных солей</v>
      </c>
      <c r="L28" s="1">
        <f>IFERROR(__xludf.DUMMYFUNCTION("""COMPUTED_VALUE"""),527.0)</f>
        <v>527</v>
      </c>
      <c r="M28" s="1"/>
      <c r="N28" s="1"/>
      <c r="O28" s="1" t="str">
        <f>IFERROR(__xludf.DUMMYFUNCTION("""COMPUTED_VALUE"""),"Строение молекул циклоалканов")</f>
        <v>Строение молекул циклоалканов</v>
      </c>
      <c r="P28" s="1">
        <f>IFERROR(__xludf.DUMMYFUNCTION("""COMPUTED_VALUE"""),830.0)</f>
        <v>830</v>
      </c>
      <c r="Q28" s="1" t="str">
        <f>IFERROR(__xludf.DUMMYFUNCTION("""COMPUTED_VALUE"""),"Строение и гомологический ряд предельных альдегидов")</f>
        <v>Строение и гомологический ряд предельных альдегидов</v>
      </c>
      <c r="R28" s="1">
        <f>IFERROR(__xludf.DUMMYFUNCTION("""COMPUTED_VALUE"""),929.0)</f>
        <v>929</v>
      </c>
      <c r="S28" s="1" t="str">
        <f>IFERROR(__xludf.DUMMYFUNCTION("""COMPUTED_VALUE"""),"Основные аминокислоты, образующие белки")</f>
        <v>Основные аминокислоты, образующие белки</v>
      </c>
      <c r="T28" s="1">
        <f>IFERROR(__xludf.DUMMYFUNCTION("""COMPUTED_VALUE"""),1027.0)</f>
        <v>1027</v>
      </c>
      <c r="U28" s="1"/>
      <c r="V28" s="1"/>
      <c r="W28" s="1"/>
      <c r="X28" s="1"/>
      <c r="Y28" s="1" t="str">
        <f>IFERROR(__xludf.DUMMYFUNCTION("""COMPUTED_VALUE"""),"Изменение массовой доли вещества в растворе при сливании двух растворов")</f>
        <v>Изменение массовой доли вещества в растворе при сливании двух растворов</v>
      </c>
      <c r="Z28" s="1">
        <f>IFERROR(__xludf.DUMMYFUNCTION("""COMPUTED_VALUE"""),1327.0)</f>
        <v>1327</v>
      </c>
      <c r="AA28" s="1" t="str">
        <f>IFERROR(__xludf.DUMMYFUNCTION("""COMPUTED_VALUE"""),"Определение характера среды водных растворов веществ")</f>
        <v>Определение характера среды водных растворов веществ</v>
      </c>
      <c r="AB28" s="1">
        <f>IFERROR(__xludf.DUMMYFUNCTION("""COMPUTED_VALUE"""),1427.0)</f>
        <v>1427</v>
      </c>
    </row>
    <row r="29">
      <c r="A29" s="1" t="str">
        <f>IFERROR(__xludf.DUMMYFUNCTION("""COMPUTED_VALUE"""),"Концентрация реагентов/продуктов как фактор влияющий на химическое равновесие")</f>
        <v>Концентрация реагентов/продуктов как фактор влияющий на химическое равновесие</v>
      </c>
      <c r="B29" s="1">
        <f>IFERROR(__xludf.DUMMYFUNCTION("""COMPUTED_VALUE"""),38.0)</f>
        <v>38</v>
      </c>
      <c r="C29" s="1" t="str">
        <f>IFERROR(__xludf.DUMMYFUNCTION("""COMPUTED_VALUE"""),"Применение водорода")</f>
        <v>Применение водорода</v>
      </c>
      <c r="D29" s="1">
        <f>IFERROR(__xludf.DUMMYFUNCTION("""COMPUTED_VALUE"""),128.0)</f>
        <v>128</v>
      </c>
      <c r="E29" s="1" t="str">
        <f>IFERROR(__xludf.DUMMYFUNCTION("""COMPUTED_VALUE"""),"Применение железа")</f>
        <v>Применение железа</v>
      </c>
      <c r="F29" s="1">
        <f>IFERROR(__xludf.DUMMYFUNCTION("""COMPUTED_VALUE"""),229.0)</f>
        <v>229</v>
      </c>
      <c r="G29" s="1" t="str">
        <f>IFERROR(__xludf.DUMMYFUNCTION("""COMPUTED_VALUE"""),"Способы получения средних солей")</f>
        <v>Способы получения средних солей</v>
      </c>
      <c r="H29" s="1">
        <f>IFERROR(__xludf.DUMMYFUNCTION("""COMPUTED_VALUE"""),357.0)</f>
        <v>357</v>
      </c>
      <c r="I29" s="1"/>
      <c r="J29" s="1"/>
      <c r="K29" s="1" t="str">
        <f>IFERROR(__xludf.DUMMYFUNCTION("""COMPUTED_VALUE"""),"Химические свойства комплексных солей (на примере гидроксокомплексов)")</f>
        <v>Химические свойства комплексных солей (на примере гидроксокомплексов)</v>
      </c>
      <c r="L29" s="1">
        <f>IFERROR(__xludf.DUMMYFUNCTION("""COMPUTED_VALUE"""),528.0)</f>
        <v>528</v>
      </c>
      <c r="M29" s="1"/>
      <c r="N29" s="1"/>
      <c r="O29" s="1" t="str">
        <f>IFERROR(__xludf.DUMMYFUNCTION("""COMPUTED_VALUE"""),"Номенклатура циклоалканов")</f>
        <v>Номенклатура циклоалканов</v>
      </c>
      <c r="P29" s="1">
        <f>IFERROR(__xludf.DUMMYFUNCTION("""COMPUTED_VALUE"""),832.0)</f>
        <v>832</v>
      </c>
      <c r="Q29" s="1" t="str">
        <f>IFERROR(__xludf.DUMMYFUNCTION("""COMPUTED_VALUE"""),"Строение и гомологический ряд предельных кетонов")</f>
        <v>Строение и гомологический ряд предельных кетонов</v>
      </c>
      <c r="R29" s="1">
        <f>IFERROR(__xludf.DUMMYFUNCTION("""COMPUTED_VALUE"""),930.0)</f>
        <v>930</v>
      </c>
      <c r="S29" s="1" t="str">
        <f>IFERROR(__xludf.DUMMYFUNCTION("""COMPUTED_VALUE"""),"Состав и строение белков")</f>
        <v>Состав и строение белков</v>
      </c>
      <c r="T29" s="1">
        <f>IFERROR(__xludf.DUMMYFUNCTION("""COMPUTED_VALUE"""),1028.0)</f>
        <v>1028</v>
      </c>
      <c r="U29" s="1"/>
      <c r="V29" s="1"/>
      <c r="W29" s="1"/>
      <c r="X29" s="1"/>
      <c r="Y29" s="1" t="str">
        <f>IFERROR(__xludf.DUMMYFUNCTION("""COMPUTED_VALUE"""),"Насыщенный раствор")</f>
        <v>Насыщенный раствор</v>
      </c>
      <c r="Z29" s="1">
        <f>IFERROR(__xludf.DUMMYFUNCTION("""COMPUTED_VALUE"""),1328.0)</f>
        <v>1328</v>
      </c>
      <c r="AA29" s="1" t="str">
        <f>IFERROR(__xludf.DUMMYFUNCTION("""COMPUTED_VALUE"""),"Обратимый гидролиз солей")</f>
        <v>Обратимый гидролиз солей</v>
      </c>
      <c r="AB29" s="1">
        <f>IFERROR(__xludf.DUMMYFUNCTION("""COMPUTED_VALUE"""),1428.0)</f>
        <v>1428</v>
      </c>
    </row>
    <row r="30">
      <c r="A30" s="1" t="str">
        <f>IFERROR(__xludf.DUMMYFUNCTION("""COMPUTED_VALUE"""),"Сигма- и пи-связи")</f>
        <v>Сигма- и пи-связи</v>
      </c>
      <c r="B30" s="1">
        <f>IFERROR(__xludf.DUMMYFUNCTION("""COMPUTED_VALUE"""),39.0)</f>
        <v>39</v>
      </c>
      <c r="C30" s="1" t="str">
        <f>IFERROR(__xludf.DUMMYFUNCTION("""COMPUTED_VALUE"""),"Применение кремния и его соединений")</f>
        <v>Применение кремния и его соединений</v>
      </c>
      <c r="D30" s="1">
        <f>IFERROR(__xludf.DUMMYFUNCTION("""COMPUTED_VALUE"""),129.0)</f>
        <v>129</v>
      </c>
      <c r="E30" s="1" t="str">
        <f>IFERROR(__xludf.DUMMYFUNCTION("""COMPUTED_VALUE"""),"Физические свойства цинка")</f>
        <v>Физические свойства цинка</v>
      </c>
      <c r="F30" s="1">
        <f>IFERROR(__xludf.DUMMYFUNCTION("""COMPUTED_VALUE"""),230.0)</f>
        <v>230</v>
      </c>
      <c r="G30" s="1" t="str">
        <f>IFERROR(__xludf.DUMMYFUNCTION("""COMPUTED_VALUE"""),"Способы получения кислых и основных солей")</f>
        <v>Способы получения кислых и основных солей</v>
      </c>
      <c r="H30" s="1">
        <f>IFERROR(__xludf.DUMMYFUNCTION("""COMPUTED_VALUE"""),358.0)</f>
        <v>358</v>
      </c>
      <c r="I30" s="1"/>
      <c r="J30" s="1"/>
      <c r="K30" s="1"/>
      <c r="L30" s="1"/>
      <c r="M30" s="1"/>
      <c r="N30" s="1"/>
      <c r="O30" s="1" t="str">
        <f>IFERROR(__xludf.DUMMYFUNCTION("""COMPUTED_VALUE"""),"Изомерия циклоалканов")</f>
        <v>Изомерия циклоалканов</v>
      </c>
      <c r="P30" s="1">
        <f>IFERROR(__xludf.DUMMYFUNCTION("""COMPUTED_VALUE"""),833.0)</f>
        <v>833</v>
      </c>
      <c r="Q30" s="1" t="str">
        <f>IFERROR(__xludf.DUMMYFUNCTION("""COMPUTED_VALUE"""),"Физические свойства альдегидов")</f>
        <v>Физические свойства альдегидов</v>
      </c>
      <c r="R30" s="1">
        <f>IFERROR(__xludf.DUMMYFUNCTION("""COMPUTED_VALUE"""),931.0)</f>
        <v>931</v>
      </c>
      <c r="S30" s="1" t="str">
        <f>IFERROR(__xludf.DUMMYFUNCTION("""COMPUTED_VALUE"""),"Физические свойства белков")</f>
        <v>Физические свойства белков</v>
      </c>
      <c r="T30" s="1">
        <f>IFERROR(__xludf.DUMMYFUNCTION("""COMPUTED_VALUE"""),1029.0)</f>
        <v>1029</v>
      </c>
      <c r="U30" s="1"/>
      <c r="V30" s="1"/>
      <c r="W30" s="1"/>
      <c r="X30" s="1"/>
      <c r="Y30" s="1" t="str">
        <f>IFERROR(__xludf.DUMMYFUNCTION("""COMPUTED_VALUE"""),"Расчет по уравнению реакции")</f>
        <v>Расчет по уравнению реакции</v>
      </c>
      <c r="Z30" s="1">
        <f>IFERROR(__xludf.DUMMYFUNCTION("""COMPUTED_VALUE"""),1329.0)</f>
        <v>1329</v>
      </c>
      <c r="AA30" s="1" t="str">
        <f>IFERROR(__xludf.DUMMYFUNCTION("""COMPUTED_VALUE"""),"Концентрация реагентов/продуктов как фактор влияющий на химическое равновесие")</f>
        <v>Концентрация реагентов/продуктов как фактор влияющий на химическое равновесие</v>
      </c>
      <c r="AB30" s="1">
        <f>IFERROR(__xludf.DUMMYFUNCTION("""COMPUTED_VALUE"""),1429.0)</f>
        <v>1429</v>
      </c>
    </row>
    <row r="31">
      <c r="A31" s="1" t="str">
        <f>IFERROR(__xludf.DUMMYFUNCTION("""COMPUTED_VALUE"""),"Реакции ионного обмена. Правило Бертолле")</f>
        <v>Реакции ионного обмена. Правило Бертолле</v>
      </c>
      <c r="B31" s="1">
        <f>IFERROR(__xludf.DUMMYFUNCTION("""COMPUTED_VALUE"""),40.0)</f>
        <v>40</v>
      </c>
      <c r="C31" s="1" t="str">
        <f>IFERROR(__xludf.DUMMYFUNCTION("""COMPUTED_VALUE"""),"Применение углерода и его соединений")</f>
        <v>Применение углерода и его соединений</v>
      </c>
      <c r="D31" s="1">
        <f>IFERROR(__xludf.DUMMYFUNCTION("""COMPUTED_VALUE"""),130.0)</f>
        <v>130</v>
      </c>
      <c r="E31" s="1" t="str">
        <f>IFERROR(__xludf.DUMMYFUNCTION("""COMPUTED_VALUE"""),"Способы получения цинка")</f>
        <v>Способы получения цинка</v>
      </c>
      <c r="F31" s="1">
        <f>IFERROR(__xludf.DUMMYFUNCTION("""COMPUTED_VALUE"""),231.0)</f>
        <v>231</v>
      </c>
      <c r="G31" s="1" t="str">
        <f>IFERROR(__xludf.DUMMYFUNCTION("""COMPUTED_VALUE"""),"Способы получения комплексных солей")</f>
        <v>Способы получения комплексных солей</v>
      </c>
      <c r="H31" s="1">
        <f>IFERROR(__xludf.DUMMYFUNCTION("""COMPUTED_VALUE"""),359.0)</f>
        <v>359</v>
      </c>
      <c r="I31" s="1"/>
      <c r="J31" s="1"/>
      <c r="K31" s="1"/>
      <c r="L31" s="1"/>
      <c r="M31" s="1"/>
      <c r="N31" s="1"/>
      <c r="O31" s="1" t="str">
        <f>IFERROR(__xludf.DUMMYFUNCTION("""COMPUTED_VALUE"""),"Физические свойства циклоалканов")</f>
        <v>Физические свойства циклоалканов</v>
      </c>
      <c r="P31" s="1">
        <f>IFERROR(__xludf.DUMMYFUNCTION("""COMPUTED_VALUE"""),834.0)</f>
        <v>834</v>
      </c>
      <c r="Q31" s="1" t="str">
        <f>IFERROR(__xludf.DUMMYFUNCTION("""COMPUTED_VALUE"""),"Способы получения альдегидов")</f>
        <v>Способы получения альдегидов</v>
      </c>
      <c r="R31" s="1">
        <f>IFERROR(__xludf.DUMMYFUNCTION("""COMPUTED_VALUE"""),932.0)</f>
        <v>932</v>
      </c>
      <c r="S31" s="1" t="str">
        <f>IFERROR(__xludf.DUMMYFUNCTION("""COMPUTED_VALUE"""),"Качественные реакции на белки")</f>
        <v>Качественные реакции на белки</v>
      </c>
      <c r="T31" s="1">
        <f>IFERROR(__xludf.DUMMYFUNCTION("""COMPUTED_VALUE"""),1030.0)</f>
        <v>1030</v>
      </c>
      <c r="U31" s="1"/>
      <c r="V31" s="1"/>
      <c r="W31" s="1"/>
      <c r="X31" s="1"/>
      <c r="Y31" s="1" t="str">
        <f>IFERROR(__xludf.DUMMYFUNCTION("""COMPUTED_VALUE"""),"Расчет по термохимическому уравнению реакции")</f>
        <v>Расчет по термохимическому уравнению реакции</v>
      </c>
      <c r="Z31" s="1">
        <f>IFERROR(__xludf.DUMMYFUNCTION("""COMPUTED_VALUE"""),1330.0)</f>
        <v>1330</v>
      </c>
      <c r="AA31" s="1" t="str">
        <f>IFERROR(__xludf.DUMMYFUNCTION("""COMPUTED_VALUE"""),"Добавление сторонних веществ как фактор влияющий на химическое равновесие")</f>
        <v>Добавление сторонних веществ как фактор влияющий на химическое равновесие</v>
      </c>
      <c r="AB31" s="1">
        <f>IFERROR(__xludf.DUMMYFUNCTION("""COMPUTED_VALUE"""),1430.0)</f>
        <v>1430</v>
      </c>
    </row>
    <row r="32">
      <c r="A32" s="1" t="str">
        <f>IFERROR(__xludf.DUMMYFUNCTION("""COMPUTED_VALUE"""),"Причины и закономерности изменения свойств простых веществ по периодам и группам")</f>
        <v>Причины и закономерности изменения свойств простых веществ по периодам и группам</v>
      </c>
      <c r="B32" s="1">
        <f>IFERROR(__xludf.DUMMYFUNCTION("""COMPUTED_VALUE"""),42.0)</f>
        <v>42</v>
      </c>
      <c r="C32" s="1" t="str">
        <f>IFERROR(__xludf.DUMMYFUNCTION("""COMPUTED_VALUE"""),"Применение фосфора и его соединений")</f>
        <v>Применение фосфора и его соединений</v>
      </c>
      <c r="D32" s="1">
        <f>IFERROR(__xludf.DUMMYFUNCTION("""COMPUTED_VALUE"""),131.0)</f>
        <v>131</v>
      </c>
      <c r="E32" s="1" t="str">
        <f>IFERROR(__xludf.DUMMYFUNCTION("""COMPUTED_VALUE"""),"Химические свойства цинка как простого вещества")</f>
        <v>Химические свойства цинка как простого вещества</v>
      </c>
      <c r="F32" s="1">
        <f>IFERROR(__xludf.DUMMYFUNCTION("""COMPUTED_VALUE"""),232.0)</f>
        <v>232</v>
      </c>
      <c r="G32" s="1" t="str">
        <f>IFERROR(__xludf.DUMMYFUNCTION("""COMPUTED_VALUE"""),"Физические свойства кислот")</f>
        <v>Физические свойства кислот</v>
      </c>
      <c r="H32" s="1">
        <f>IFERROR(__xludf.DUMMYFUNCTION("""COMPUTED_VALUE"""),360.0)</f>
        <v>360</v>
      </c>
      <c r="I32" s="1"/>
      <c r="J32" s="1"/>
      <c r="K32" s="1"/>
      <c r="L32" s="1"/>
      <c r="M32" s="1"/>
      <c r="N32" s="1"/>
      <c r="O32" s="1" t="str">
        <f>IFERROR(__xludf.DUMMYFUNCTION("""COMPUTED_VALUE"""),"Общие способы получения циклоалканов")</f>
        <v>Общие способы получения циклоалканов</v>
      </c>
      <c r="P32" s="1">
        <f>IFERROR(__xludf.DUMMYFUNCTION("""COMPUTED_VALUE"""),835.0)</f>
        <v>835</v>
      </c>
      <c r="Q32" s="1" t="str">
        <f>IFERROR(__xludf.DUMMYFUNCTION("""COMPUTED_VALUE"""),"Применение альдегидов и кетонов")</f>
        <v>Применение альдегидов и кетонов</v>
      </c>
      <c r="R32" s="1">
        <f>IFERROR(__xludf.DUMMYFUNCTION("""COMPUTED_VALUE"""),933.0)</f>
        <v>933</v>
      </c>
      <c r="S32" s="1" t="str">
        <f>IFERROR(__xludf.DUMMYFUNCTION("""COMPUTED_VALUE"""),"Свойства аминокислот, общие с карбоновыми кислотами")</f>
        <v>Свойства аминокислот, общие с карбоновыми кислотами</v>
      </c>
      <c r="T32" s="1">
        <f>IFERROR(__xludf.DUMMYFUNCTION("""COMPUTED_VALUE"""),1031.0)</f>
        <v>1031</v>
      </c>
      <c r="U32" s="1"/>
      <c r="V32" s="1"/>
      <c r="W32" s="1"/>
      <c r="X32" s="1"/>
      <c r="Y32" s="1" t="str">
        <f>IFERROR(__xludf.DUMMYFUNCTION("""COMPUTED_VALUE"""),"Определение продуктов реакции по соотношению реагентов")</f>
        <v>Определение продуктов реакции по соотношению реагентов</v>
      </c>
      <c r="Z32" s="1">
        <f>IFERROR(__xludf.DUMMYFUNCTION("""COMPUTED_VALUE"""),1331.0)</f>
        <v>1331</v>
      </c>
      <c r="AA32" s="1" t="str">
        <f>IFERROR(__xludf.DUMMYFUNCTION("""COMPUTED_VALUE"""),"Давление / объем как фактор влияющий на химическое равновесие")</f>
        <v>Давление / объем как фактор влияющий на химическое равновесие</v>
      </c>
      <c r="AB32" s="1">
        <f>IFERROR(__xludf.DUMMYFUNCTION("""COMPUTED_VALUE"""),1431.0)</f>
        <v>1431</v>
      </c>
    </row>
    <row r="33">
      <c r="A33" s="1" t="str">
        <f>IFERROR(__xludf.DUMMYFUNCTION("""COMPUTED_VALUE"""),"Водородные соединения неметаллов и металлов и закономерности изменения их свойств исходя из их положения в Периодической системе Д.И. Менделеева")</f>
        <v>Водородные соединения неметаллов и металлов и закономерности изменения их свойств исходя из их положения в Периодической системе Д.И. Менделеева</v>
      </c>
      <c r="B33" s="1">
        <f>IFERROR(__xludf.DUMMYFUNCTION("""COMPUTED_VALUE"""),43.0)</f>
        <v>43</v>
      </c>
      <c r="C33" s="1" t="str">
        <f>IFERROR(__xludf.DUMMYFUNCTION("""COMPUTED_VALUE"""),"Применение азота и его соединений")</f>
        <v>Применение азота и его соединений</v>
      </c>
      <c r="D33" s="1">
        <f>IFERROR(__xludf.DUMMYFUNCTION("""COMPUTED_VALUE"""),132.0)</f>
        <v>132</v>
      </c>
      <c r="E33" s="1" t="str">
        <f>IFERROR(__xludf.DUMMYFUNCTION("""COMPUTED_VALUE"""),"Специфические свойства цинкатов металлов")</f>
        <v>Специфические свойства цинкатов металлов</v>
      </c>
      <c r="F33" s="1">
        <f>IFERROR(__xludf.DUMMYFUNCTION("""COMPUTED_VALUE"""),233.0)</f>
        <v>233</v>
      </c>
      <c r="G33" s="1" t="str">
        <f>IFERROR(__xludf.DUMMYFUNCTION("""COMPUTED_VALUE"""),"Химические свойства кислот")</f>
        <v>Химические свойства кислот</v>
      </c>
      <c r="H33" s="1">
        <f>IFERROR(__xludf.DUMMYFUNCTION("""COMPUTED_VALUE"""),361.0)</f>
        <v>361</v>
      </c>
      <c r="I33" s="1"/>
      <c r="J33" s="1"/>
      <c r="K33" s="1"/>
      <c r="L33" s="1"/>
      <c r="M33" s="1"/>
      <c r="N33" s="1"/>
      <c r="O33" s="1" t="str">
        <f>IFERROR(__xludf.DUMMYFUNCTION("""COMPUTED_VALUE"""),"Применение циклоалканов")</f>
        <v>Применение циклоалканов</v>
      </c>
      <c r="P33" s="1">
        <f>IFERROR(__xludf.DUMMYFUNCTION("""COMPUTED_VALUE"""),836.0)</f>
        <v>836</v>
      </c>
      <c r="Q33" s="1" t="str">
        <f>IFERROR(__xludf.DUMMYFUNCTION("""COMPUTED_VALUE"""),"Свойства карбоновых кислот, общие с неорганическими кислотами")</f>
        <v>Свойства карбоновых кислот, общие с неорганическими кислотами</v>
      </c>
      <c r="R33" s="1">
        <f>IFERROR(__xludf.DUMMYFUNCTION("""COMPUTED_VALUE"""),934.0)</f>
        <v>934</v>
      </c>
      <c r="S33" s="1" t="str">
        <f>IFERROR(__xludf.DUMMYFUNCTION("""COMPUTED_VALUE"""),"Свойства аминокислот, общие с аминами")</f>
        <v>Свойства аминокислот, общие с аминами</v>
      </c>
      <c r="T33" s="1">
        <f>IFERROR(__xludf.DUMMYFUNCTION("""COMPUTED_VALUE"""),1032.0)</f>
        <v>1032</v>
      </c>
      <c r="U33" s="1"/>
      <c r="V33" s="1"/>
      <c r="W33" s="1"/>
      <c r="X33" s="1"/>
      <c r="Y33" s="1" t="str">
        <f>IFERROR(__xludf.DUMMYFUNCTION("""COMPUTED_VALUE"""),"Определение массы конечного раствора")</f>
        <v>Определение массы конечного раствора</v>
      </c>
      <c r="Z33" s="1">
        <f>IFERROR(__xludf.DUMMYFUNCTION("""COMPUTED_VALUE"""),1332.0)</f>
        <v>1332</v>
      </c>
      <c r="AA33" s="1" t="str">
        <f>IFERROR(__xludf.DUMMYFUNCTION("""COMPUTED_VALUE"""),"Температура как фактор влияющий на химическое равновесие")</f>
        <v>Температура как фактор влияющий на химическое равновесие</v>
      </c>
      <c r="AB33" s="1">
        <f>IFERROR(__xludf.DUMMYFUNCTION("""COMPUTED_VALUE"""),1432.0)</f>
        <v>1432</v>
      </c>
    </row>
    <row r="34">
      <c r="A34" s="1" t="str">
        <f>IFERROR(__xludf.DUMMYFUNCTION("""COMPUTED_VALUE"""),"Степень окисления химических элементов")</f>
        <v>Степень окисления химических элементов</v>
      </c>
      <c r="B34" s="1">
        <f>IFERROR(__xludf.DUMMYFUNCTION("""COMPUTED_VALUE"""),45.0)</f>
        <v>45</v>
      </c>
      <c r="C34" s="1" t="str">
        <f>IFERROR(__xludf.DUMMYFUNCTION("""COMPUTED_VALUE"""),"Применение серы и ее соединений")</f>
        <v>Применение серы и ее соединений</v>
      </c>
      <c r="D34" s="1">
        <f>IFERROR(__xludf.DUMMYFUNCTION("""COMPUTED_VALUE"""),133.0)</f>
        <v>133</v>
      </c>
      <c r="E34" s="1" t="str">
        <f>IFERROR(__xludf.DUMMYFUNCTION("""COMPUTED_VALUE"""),"Применение цинка")</f>
        <v>Применение цинка</v>
      </c>
      <c r="F34" s="1">
        <f>IFERROR(__xludf.DUMMYFUNCTION("""COMPUTED_VALUE"""),234.0)</f>
        <v>234</v>
      </c>
      <c r="G34" s="1" t="str">
        <f>IFERROR(__xludf.DUMMYFUNCTION("""COMPUTED_VALUE"""),"Способы получения кислот")</f>
        <v>Способы получения кислот</v>
      </c>
      <c r="H34" s="1">
        <f>IFERROR(__xludf.DUMMYFUNCTION("""COMPUTED_VALUE"""),362.0)</f>
        <v>362</v>
      </c>
      <c r="I34" s="1"/>
      <c r="J34" s="1"/>
      <c r="K34" s="1"/>
      <c r="L34" s="1"/>
      <c r="M34" s="1"/>
      <c r="N34" s="1"/>
      <c r="O34" s="1" t="str">
        <f>IFERROR(__xludf.DUMMYFUNCTION("""COMPUTED_VALUE"""),"Общая формула и гомологический ряд циклоалкенов")</f>
        <v>Общая формула и гомологический ряд циклоалкенов</v>
      </c>
      <c r="P34" s="1">
        <f>IFERROR(__xludf.DUMMYFUNCTION("""COMPUTED_VALUE"""),837.0)</f>
        <v>837</v>
      </c>
      <c r="Q34" s="1" t="str">
        <f>IFERROR(__xludf.DUMMYFUNCTION("""COMPUTED_VALUE"""),"Умение определять карбоновые кислоты")</f>
        <v>Умение определять карбоновые кислоты</v>
      </c>
      <c r="R34" s="1">
        <f>IFERROR(__xludf.DUMMYFUNCTION("""COMPUTED_VALUE"""),935.0)</f>
        <v>935</v>
      </c>
      <c r="S34" s="1" t="str">
        <f>IFERROR(__xludf.DUMMYFUNCTION("""COMPUTED_VALUE"""),"Конденсация аминокислот как синтез пептидов")</f>
        <v>Конденсация аминокислот как синтез пептидов</v>
      </c>
      <c r="T34" s="1">
        <f>IFERROR(__xludf.DUMMYFUNCTION("""COMPUTED_VALUE"""),1033.0)</f>
        <v>1033</v>
      </c>
      <c r="U34" s="1"/>
      <c r="V34" s="1"/>
      <c r="W34" s="1"/>
      <c r="X34" s="1"/>
      <c r="Y34" s="1" t="str">
        <f>IFERROR(__xludf.DUMMYFUNCTION("""COMPUTED_VALUE"""),"Отбор порции")</f>
        <v>Отбор порции</v>
      </c>
      <c r="Z34" s="1">
        <f>IFERROR(__xludf.DUMMYFUNCTION("""COMPUTED_VALUE"""),1333.0)</f>
        <v>1333</v>
      </c>
      <c r="AA34" s="1"/>
      <c r="AB34" s="1"/>
    </row>
    <row r="35">
      <c r="A35" s="1" t="str">
        <f>IFERROR(__xludf.DUMMYFUNCTION("""COMPUTED_VALUE"""),"Умение определять местоположение химического элемента в Периодической системе Д.И. Менделеева по его свойствам")</f>
        <v>Умение определять местоположение химического элемента в Периодической системе Д.И. Менделеева по его свойствам</v>
      </c>
      <c r="B35" s="1">
        <f>IFERROR(__xludf.DUMMYFUNCTION("""COMPUTED_VALUE"""),46.0)</f>
        <v>46</v>
      </c>
      <c r="C35" s="1" t="str">
        <f>IFERROR(__xludf.DUMMYFUNCTION("""COMPUTED_VALUE"""),"Применение галогенов и их соединений")</f>
        <v>Применение галогенов и их соединений</v>
      </c>
      <c r="D35" s="1">
        <f>IFERROR(__xludf.DUMMYFUNCTION("""COMPUTED_VALUE"""),134.0)</f>
        <v>134</v>
      </c>
      <c r="E35" s="1" t="str">
        <f>IFERROR(__xludf.DUMMYFUNCTION("""COMPUTED_VALUE"""),"Физические свойства хрома")</f>
        <v>Физические свойства хрома</v>
      </c>
      <c r="F35" s="1">
        <f>IFERROR(__xludf.DUMMYFUNCTION("""COMPUTED_VALUE"""),235.0)</f>
        <v>235</v>
      </c>
      <c r="G35" s="1" t="str">
        <f>IFERROR(__xludf.DUMMYFUNCTION("""COMPUTED_VALUE"""),"Общая характеристика и классификация солей")</f>
        <v>Общая характеристика и классификация солей</v>
      </c>
      <c r="H35" s="1">
        <f>IFERROR(__xludf.DUMMYFUNCTION("""COMPUTED_VALUE"""),381.0)</f>
        <v>381</v>
      </c>
      <c r="I35" s="1"/>
      <c r="J35" s="1"/>
      <c r="K35" s="1"/>
      <c r="L35" s="1"/>
      <c r="M35" s="1"/>
      <c r="N35" s="1"/>
      <c r="O35" s="1" t="str">
        <f>IFERROR(__xludf.DUMMYFUNCTION("""COMPUTED_VALUE"""),"Реакции присоединения циклоалкенов")</f>
        <v>Реакции присоединения циклоалкенов</v>
      </c>
      <c r="P35" s="1">
        <f>IFERROR(__xludf.DUMMYFUNCTION("""COMPUTED_VALUE"""),838.0)</f>
        <v>838</v>
      </c>
      <c r="Q35" s="1" t="str">
        <f>IFERROR(__xludf.DUMMYFUNCTION("""COMPUTED_VALUE"""),"Номенклатура предельных одноосновных карбоновых кислот")</f>
        <v>Номенклатура предельных одноосновных карбоновых кислот</v>
      </c>
      <c r="R35" s="1">
        <f>IFERROR(__xludf.DUMMYFUNCTION("""COMPUTED_VALUE"""),936.0)</f>
        <v>936</v>
      </c>
      <c r="S35" s="1" t="str">
        <f>IFERROR(__xludf.DUMMYFUNCTION("""COMPUTED_VALUE"""),"Амины как органические основания: реакции с водой и кислотами")</f>
        <v>Амины как органические основания: реакции с водой и кислотами</v>
      </c>
      <c r="T35" s="1">
        <f>IFERROR(__xludf.DUMMYFUNCTION("""COMPUTED_VALUE"""),1034.0)</f>
        <v>1034</v>
      </c>
      <c r="U35" s="1"/>
      <c r="V35" s="1"/>
      <c r="W35" s="1"/>
      <c r="X35" s="1"/>
      <c r="Y35" s="1" t="str">
        <f>IFERROR(__xludf.DUMMYFUNCTION("""COMPUTED_VALUE"""),"Определение молярной массы кристаллогидрата")</f>
        <v>Определение молярной массы кристаллогидрата</v>
      </c>
      <c r="Z35" s="1">
        <f>IFERROR(__xludf.DUMMYFUNCTION("""COMPUTED_VALUE"""),1334.0)</f>
        <v>1334</v>
      </c>
      <c r="AA35" s="1"/>
      <c r="AB35" s="1"/>
    </row>
    <row r="36">
      <c r="A36" s="1" t="str">
        <f>IFERROR(__xludf.DUMMYFUNCTION("""COMPUTED_VALUE"""),"Правила определения высшей и низшей степени окисления для металлов и неметаллов")</f>
        <v>Правила определения высшей и низшей степени окисления для металлов и неметаллов</v>
      </c>
      <c r="B36" s="1">
        <f>IFERROR(__xludf.DUMMYFUNCTION("""COMPUTED_VALUE"""),47.0)</f>
        <v>47</v>
      </c>
      <c r="C36" s="1" t="str">
        <f>IFERROR(__xludf.DUMMYFUNCTION("""COMPUTED_VALUE"""),"Применение кислорода")</f>
        <v>Применение кислорода</v>
      </c>
      <c r="D36" s="1">
        <f>IFERROR(__xludf.DUMMYFUNCTION("""COMPUTED_VALUE"""),135.0)</f>
        <v>135</v>
      </c>
      <c r="E36" s="1" t="str">
        <f>IFERROR(__xludf.DUMMYFUNCTION("""COMPUTED_VALUE"""),"Способы получения хрома")</f>
        <v>Способы получения хрома</v>
      </c>
      <c r="F36" s="1">
        <f>IFERROR(__xludf.DUMMYFUNCTION("""COMPUTED_VALUE"""),236.0)</f>
        <v>236</v>
      </c>
      <c r="G36" s="1" t="str">
        <f>IFERROR(__xludf.DUMMYFUNCTION("""COMPUTED_VALUE"""),"Классификация неорганических соединений")</f>
        <v>Классификация неорганических соединений</v>
      </c>
      <c r="H36" s="1">
        <f>IFERROR(__xludf.DUMMYFUNCTION("""COMPUTED_VALUE"""),382.0)</f>
        <v>382</v>
      </c>
      <c r="I36" s="1"/>
      <c r="J36" s="1"/>
      <c r="K36" s="1"/>
      <c r="L36" s="1"/>
      <c r="M36" s="1"/>
      <c r="N36" s="1"/>
      <c r="O36" s="1" t="str">
        <f>IFERROR(__xludf.DUMMYFUNCTION("""COMPUTED_VALUE"""),"Строение молекул циклоалкенов")</f>
        <v>Строение молекул циклоалкенов</v>
      </c>
      <c r="P36" s="1">
        <f>IFERROR(__xludf.DUMMYFUNCTION("""COMPUTED_VALUE"""),839.0)</f>
        <v>839</v>
      </c>
      <c r="Q36" s="1" t="str">
        <f>IFERROR(__xludf.DUMMYFUNCTION("""COMPUTED_VALUE"""),"Изомерия предельных одноосновных карбоновых кислот")</f>
        <v>Изомерия предельных одноосновных карбоновых кислот</v>
      </c>
      <c r="R36" s="1">
        <f>IFERROR(__xludf.DUMMYFUNCTION("""COMPUTED_VALUE"""),937.0)</f>
        <v>937</v>
      </c>
      <c r="S36" s="1" t="str">
        <f>IFERROR(__xludf.DUMMYFUNCTION("""COMPUTED_VALUE"""),"Качественные реакции на амины: с азотистой кислотой, с нитритами в кислотной среде")</f>
        <v>Качественные реакции на амины: с азотистой кислотой, с нитритами в кислотной среде</v>
      </c>
      <c r="T36" s="1">
        <f>IFERROR(__xludf.DUMMYFUNCTION("""COMPUTED_VALUE"""),1035.0)</f>
        <v>1035</v>
      </c>
      <c r="U36" s="1"/>
      <c r="V36" s="1"/>
      <c r="W36" s="1"/>
      <c r="X36" s="1"/>
      <c r="Y36" s="1" t="str">
        <f>IFERROR(__xludf.DUMMYFUNCTION("""COMPUTED_VALUE"""),"Определение моль кристаллогидрата и моль безводной соли")</f>
        <v>Определение моль кристаллогидрата и моль безводной соли</v>
      </c>
      <c r="Z36" s="1">
        <f>IFERROR(__xludf.DUMMYFUNCTION("""COMPUTED_VALUE"""),1335.0)</f>
        <v>1335</v>
      </c>
      <c r="AA36" s="1"/>
      <c r="AB36" s="1"/>
    </row>
    <row r="37">
      <c r="A37" s="1" t="str">
        <f>IFERROR(__xludf.DUMMYFUNCTION("""COMPUTED_VALUE"""),"Понятие химического элемента. Свойства химического элемента")</f>
        <v>Понятие химического элемента. Свойства химического элемента</v>
      </c>
      <c r="B37" s="1">
        <f>IFERROR(__xludf.DUMMYFUNCTION("""COMPUTED_VALUE"""),48.0)</f>
        <v>48</v>
      </c>
      <c r="C37" s="1" t="str">
        <f>IFERROR(__xludf.DUMMYFUNCTION("""COMPUTED_VALUE"""),"Способы получения фосфора")</f>
        <v>Способы получения фосфора</v>
      </c>
      <c r="D37" s="1">
        <f>IFERROR(__xludf.DUMMYFUNCTION("""COMPUTED_VALUE"""),136.0)</f>
        <v>136</v>
      </c>
      <c r="E37" s="1" t="str">
        <f>IFERROR(__xludf.DUMMYFUNCTION("""COMPUTED_VALUE"""),"Химические свойства хрома как простого вещества")</f>
        <v>Химические свойства хрома как простого вещества</v>
      </c>
      <c r="F37" s="1">
        <f>IFERROR(__xludf.DUMMYFUNCTION("""COMPUTED_VALUE"""),237.0)</f>
        <v>237</v>
      </c>
      <c r="G37" s="1" t="str">
        <f>IFERROR(__xludf.DUMMYFUNCTION("""COMPUTED_VALUE"""),"Общая характеристика и классификация кислот")</f>
        <v>Общая характеристика и классификация кислот</v>
      </c>
      <c r="H37" s="1">
        <f>IFERROR(__xludf.DUMMYFUNCTION("""COMPUTED_VALUE"""),383.0)</f>
        <v>383</v>
      </c>
      <c r="I37" s="1"/>
      <c r="J37" s="1"/>
      <c r="K37" s="1"/>
      <c r="L37" s="1"/>
      <c r="M37" s="1"/>
      <c r="N37" s="1"/>
      <c r="O37" s="1" t="str">
        <f>IFERROR(__xludf.DUMMYFUNCTION("""COMPUTED_VALUE"""),"Номенклатура циклоалкенов")</f>
        <v>Номенклатура циклоалкенов</v>
      </c>
      <c r="P37" s="1">
        <f>IFERROR(__xludf.DUMMYFUNCTION("""COMPUTED_VALUE"""),841.0)</f>
        <v>841</v>
      </c>
      <c r="Q37" s="1" t="str">
        <f>IFERROR(__xludf.DUMMYFUNCTION("""COMPUTED_VALUE"""),"Физические свойства предельных одноосновных карбоновых кислот")</f>
        <v>Физические свойства предельных одноосновных карбоновых кислот</v>
      </c>
      <c r="R37" s="1">
        <f>IFERROR(__xludf.DUMMYFUNCTION("""COMPUTED_VALUE"""),938.0)</f>
        <v>938</v>
      </c>
      <c r="S37" s="1" t="str">
        <f>IFERROR(__xludf.DUMMYFUNCTION("""COMPUTED_VALUE"""),"Реакции горения аминов")</f>
        <v>Реакции горения аминов</v>
      </c>
      <c r="T37" s="1">
        <f>IFERROR(__xludf.DUMMYFUNCTION("""COMPUTED_VALUE"""),1036.0)</f>
        <v>1036</v>
      </c>
      <c r="U37" s="1"/>
      <c r="V37" s="1"/>
      <c r="W37" s="1"/>
      <c r="X37" s="1"/>
      <c r="Y37" s="1" t="str">
        <f>IFERROR(__xludf.DUMMYFUNCTION("""COMPUTED_VALUE"""),"Работа с растворением кристаллогидрата в воде")</f>
        <v>Работа с растворением кристаллогидрата в воде</v>
      </c>
      <c r="Z37" s="1">
        <f>IFERROR(__xludf.DUMMYFUNCTION("""COMPUTED_VALUE"""),1336.0)</f>
        <v>1336</v>
      </c>
      <c r="AA37" s="1"/>
      <c r="AB37" s="1"/>
    </row>
    <row r="38">
      <c r="A38" s="1" t="str">
        <f>IFERROR(__xludf.DUMMYFUNCTION("""COMPUTED_VALUE"""),"Понятие простого вещества. Свойства простого вещества")</f>
        <v>Понятие простого вещества. Свойства простого вещества</v>
      </c>
      <c r="B38" s="1">
        <f>IFERROR(__xludf.DUMMYFUNCTION("""COMPUTED_VALUE"""),49.0)</f>
        <v>49</v>
      </c>
      <c r="C38" s="1" t="str">
        <f>IFERROR(__xludf.DUMMYFUNCTION("""COMPUTED_VALUE"""),"Способы получения азота")</f>
        <v>Способы получения азота</v>
      </c>
      <c r="D38" s="1">
        <f>IFERROR(__xludf.DUMMYFUNCTION("""COMPUTED_VALUE"""),137.0)</f>
        <v>137</v>
      </c>
      <c r="E38" s="1" t="str">
        <f>IFERROR(__xludf.DUMMYFUNCTION("""COMPUTED_VALUE"""),"Специфические свойства хромитов металлов")</f>
        <v>Специфические свойства хромитов металлов</v>
      </c>
      <c r="F38" s="1">
        <f>IFERROR(__xludf.DUMMYFUNCTION("""COMPUTED_VALUE"""),238.0)</f>
        <v>238</v>
      </c>
      <c r="G38" s="1" t="str">
        <f>IFERROR(__xludf.DUMMYFUNCTION("""COMPUTED_VALUE"""),"Общая характеристика и классификация оснований и амфотерных гидроксидов")</f>
        <v>Общая характеристика и классификация оснований и амфотерных гидроксидов</v>
      </c>
      <c r="H38" s="1">
        <f>IFERROR(__xludf.DUMMYFUNCTION("""COMPUTED_VALUE"""),385.0)</f>
        <v>385</v>
      </c>
      <c r="I38" s="1"/>
      <c r="J38" s="1"/>
      <c r="K38" s="1"/>
      <c r="L38" s="1"/>
      <c r="M38" s="1"/>
      <c r="N38" s="1"/>
      <c r="O38" s="1" t="str">
        <f>IFERROR(__xludf.DUMMYFUNCTION("""COMPUTED_VALUE"""),"Изомерия циклоалкенов")</f>
        <v>Изомерия циклоалкенов</v>
      </c>
      <c r="P38" s="1">
        <f>IFERROR(__xludf.DUMMYFUNCTION("""COMPUTED_VALUE"""),842.0)</f>
        <v>842</v>
      </c>
      <c r="Q38" s="1" t="str">
        <f>IFERROR(__xludf.DUMMYFUNCTION("""COMPUTED_VALUE"""),"Общие способы получения карбоновых кислот")</f>
        <v>Общие способы получения карбоновых кислот</v>
      </c>
      <c r="R38" s="1">
        <f>IFERROR(__xludf.DUMMYFUNCTION("""COMPUTED_VALUE"""),939.0)</f>
        <v>939</v>
      </c>
      <c r="S38" s="1" t="str">
        <f>IFERROR(__xludf.DUMMYFUNCTION("""COMPUTED_VALUE"""),"Реакции ароматических аминов по аминогруппе")</f>
        <v>Реакции ароматических аминов по аминогруппе</v>
      </c>
      <c r="T38" s="1">
        <f>IFERROR(__xludf.DUMMYFUNCTION("""COMPUTED_VALUE"""),1037.0)</f>
        <v>1037</v>
      </c>
      <c r="U38" s="1"/>
      <c r="V38" s="1"/>
      <c r="W38" s="1"/>
      <c r="X38" s="1"/>
      <c r="Y38" s="1" t="str">
        <f>IFERROR(__xludf.DUMMYFUNCTION("""COMPUTED_VALUE"""),"Работа с выпариванием раствора с образованием кристаллогидрата")</f>
        <v>Работа с выпариванием раствора с образованием кристаллогидрата</v>
      </c>
      <c r="Z38" s="1">
        <f>IFERROR(__xludf.DUMMYFUNCTION("""COMPUTED_VALUE"""),1337.0)</f>
        <v>1337</v>
      </c>
      <c r="AA38" s="1"/>
      <c r="AB38" s="1"/>
    </row>
    <row r="39">
      <c r="A39" s="1" t="str">
        <f>IFERROR(__xludf.DUMMYFUNCTION("""COMPUTED_VALUE"""),"Умение определять период и группу, в которых находится химический элемент в Периодической системе Д.И. Менделеева")</f>
        <v>Умение определять период и группу, в которых находится химический элемент в Периодической системе Д.И. Менделеева</v>
      </c>
      <c r="B39" s="1">
        <f>IFERROR(__xludf.DUMMYFUNCTION("""COMPUTED_VALUE"""),50.0)</f>
        <v>50</v>
      </c>
      <c r="C39" s="1" t="str">
        <f>IFERROR(__xludf.DUMMYFUNCTION("""COMPUTED_VALUE"""),"Способы получения серы")</f>
        <v>Способы получения серы</v>
      </c>
      <c r="D39" s="1">
        <f>IFERROR(__xludf.DUMMYFUNCTION("""COMPUTED_VALUE"""),138.0)</f>
        <v>138</v>
      </c>
      <c r="E39" s="1" t="str">
        <f>IFERROR(__xludf.DUMMYFUNCTION("""COMPUTED_VALUE"""),"Специфические свойства хроматов и дихроматов металлов")</f>
        <v>Специфические свойства хроматов и дихроматов металлов</v>
      </c>
      <c r="F39" s="1">
        <f>IFERROR(__xludf.DUMMYFUNCTION("""COMPUTED_VALUE"""),239.0)</f>
        <v>239</v>
      </c>
      <c r="G39" s="1" t="str">
        <f>IFERROR(__xludf.DUMMYFUNCTION("""COMPUTED_VALUE"""),"Общая характеристика и классификакция оксидов")</f>
        <v>Общая характеристика и классификакция оксидов</v>
      </c>
      <c r="H39" s="1">
        <f>IFERROR(__xludf.DUMMYFUNCTION("""COMPUTED_VALUE"""),387.0)</f>
        <v>387</v>
      </c>
      <c r="I39" s="1"/>
      <c r="J39" s="1"/>
      <c r="K39" s="1"/>
      <c r="L39" s="1"/>
      <c r="M39" s="1"/>
      <c r="N39" s="1"/>
      <c r="O39" s="1" t="str">
        <f>IFERROR(__xludf.DUMMYFUNCTION("""COMPUTED_VALUE"""),"Физические свойства циклоалкенов")</f>
        <v>Физические свойства циклоалкенов</v>
      </c>
      <c r="P39" s="1">
        <f>IFERROR(__xludf.DUMMYFUNCTION("""COMPUTED_VALUE"""),843.0)</f>
        <v>843</v>
      </c>
      <c r="Q39" s="1" t="str">
        <f>IFERROR(__xludf.DUMMYFUNCTION("""COMPUTED_VALUE"""),"Применение карбоновых кислот")</f>
        <v>Применение карбоновых кислот</v>
      </c>
      <c r="R39" s="1">
        <f>IFERROR(__xludf.DUMMYFUNCTION("""COMPUTED_VALUE"""),940.0)</f>
        <v>940</v>
      </c>
      <c r="S39" s="1" t="str">
        <f>IFERROR(__xludf.DUMMYFUNCTION("""COMPUTED_VALUE"""),"Реакции ароматических аминов по бензольному кольцу")</f>
        <v>Реакции ароматических аминов по бензольному кольцу</v>
      </c>
      <c r="T39" s="1">
        <f>IFERROR(__xludf.DUMMYFUNCTION("""COMPUTED_VALUE"""),1038.0)</f>
        <v>1038</v>
      </c>
      <c r="U39" s="1"/>
      <c r="V39" s="1"/>
      <c r="W39" s="1"/>
      <c r="X39" s="1"/>
      <c r="Y39" s="1" t="str">
        <f>IFERROR(__xludf.DUMMYFUNCTION("""COMPUTED_VALUE"""),"Определение формулы кристаллогидрата")</f>
        <v>Определение формулы кристаллогидрата</v>
      </c>
      <c r="Z39" s="1">
        <f>IFERROR(__xludf.DUMMYFUNCTION("""COMPUTED_VALUE"""),1338.0)</f>
        <v>1338</v>
      </c>
      <c r="AA39" s="1"/>
      <c r="AB39" s="1"/>
    </row>
    <row r="40">
      <c r="A40" s="1" t="str">
        <f>IFERROR(__xludf.DUMMYFUNCTION("""COMPUTED_VALUE"""),"Умение определять тип связи между атомами химических элементов")</f>
        <v>Умение определять тип связи между атомами химических элементов</v>
      </c>
      <c r="B40" s="1">
        <f>IFERROR(__xludf.DUMMYFUNCTION("""COMPUTED_VALUE"""),52.0)</f>
        <v>52</v>
      </c>
      <c r="C40" s="1" t="str">
        <f>IFERROR(__xludf.DUMMYFUNCTION("""COMPUTED_VALUE"""),"Способы получения водорода")</f>
        <v>Способы получения водорода</v>
      </c>
      <c r="D40" s="1">
        <f>IFERROR(__xludf.DUMMYFUNCTION("""COMPUTED_VALUE"""),139.0)</f>
        <v>139</v>
      </c>
      <c r="E40" s="1" t="str">
        <f>IFERROR(__xludf.DUMMYFUNCTION("""COMPUTED_VALUE"""),"Применение хрома")</f>
        <v>Применение хрома</v>
      </c>
      <c r="F40" s="1">
        <f>IFERROR(__xludf.DUMMYFUNCTION("""COMPUTED_VALUE"""),240.0)</f>
        <v>240</v>
      </c>
      <c r="G40" s="1" t="str">
        <f>IFERROR(__xludf.DUMMYFUNCTION("""COMPUTED_VALUE"""),"Восстановительные свойства галогенидов металлов")</f>
        <v>Восстановительные свойства галогенидов металлов</v>
      </c>
      <c r="H40" s="1">
        <f>IFERROR(__xludf.DUMMYFUNCTION("""COMPUTED_VALUE"""),389.0)</f>
        <v>389</v>
      </c>
      <c r="I40" s="1"/>
      <c r="J40" s="1"/>
      <c r="K40" s="1"/>
      <c r="L40" s="1"/>
      <c r="M40" s="1"/>
      <c r="N40" s="1"/>
      <c r="O40" s="1" t="str">
        <f>IFERROR(__xludf.DUMMYFUNCTION("""COMPUTED_VALUE"""),"Общие способы получения циклоалкенов")</f>
        <v>Общие способы получения циклоалкенов</v>
      </c>
      <c r="P40" s="1">
        <f>IFERROR(__xludf.DUMMYFUNCTION("""COMPUTED_VALUE"""),844.0)</f>
        <v>844</v>
      </c>
      <c r="Q40" s="1" t="str">
        <f>IFERROR(__xludf.DUMMYFUNCTION("""COMPUTED_VALUE"""),"Умение различать одноосновные и многоосновные карбоновые кислоты")</f>
        <v>Умение различать одноосновные и многоосновные карбоновые кислоты</v>
      </c>
      <c r="R40" s="1">
        <f>IFERROR(__xludf.DUMMYFUNCTION("""COMPUTED_VALUE"""),941.0)</f>
        <v>941</v>
      </c>
      <c r="S40" s="1" t="str">
        <f>IFERROR(__xludf.DUMMYFUNCTION("""COMPUTED_VALUE"""),"Реакция Зинина")</f>
        <v>Реакция Зинина</v>
      </c>
      <c r="T40" s="1">
        <f>IFERROR(__xludf.DUMMYFUNCTION("""COMPUTED_VALUE"""),1039.0)</f>
        <v>1039</v>
      </c>
      <c r="U40" s="1"/>
      <c r="V40" s="1"/>
      <c r="W40" s="1"/>
      <c r="X40" s="1"/>
      <c r="Y40" s="1" t="str">
        <f>IFERROR(__xludf.DUMMYFUNCTION("""COMPUTED_VALUE"""),"Определение и состав твёрдого остатка")</f>
        <v>Определение и состав твёрдого остатка</v>
      </c>
      <c r="Z40" s="1">
        <f>IFERROR(__xludf.DUMMYFUNCTION("""COMPUTED_VALUE"""),1339.0)</f>
        <v>1339</v>
      </c>
      <c r="AA40" s="1"/>
      <c r="AB40" s="1"/>
    </row>
    <row r="41">
      <c r="A41" s="1" t="str">
        <f>IFERROR(__xludf.DUMMYFUNCTION("""COMPUTED_VALUE"""),"Валентные электроны в основном и возбуждённом состояниях атома")</f>
        <v>Валентные электроны в основном и возбуждённом состояниях атома</v>
      </c>
      <c r="B41" s="1">
        <f>IFERROR(__xludf.DUMMYFUNCTION("""COMPUTED_VALUE"""),54.0)</f>
        <v>54</v>
      </c>
      <c r="C41" s="1" t="str">
        <f>IFERROR(__xludf.DUMMYFUNCTION("""COMPUTED_VALUE"""),"Способы получения галогенов")</f>
        <v>Способы получения галогенов</v>
      </c>
      <c r="D41" s="1">
        <f>IFERROR(__xludf.DUMMYFUNCTION("""COMPUTED_VALUE"""),140.0)</f>
        <v>140</v>
      </c>
      <c r="E41" s="1" t="str">
        <f>IFERROR(__xludf.DUMMYFUNCTION("""COMPUTED_VALUE"""),"Физические свойства меди")</f>
        <v>Физические свойства меди</v>
      </c>
      <c r="F41" s="1">
        <f>IFERROR(__xludf.DUMMYFUNCTION("""COMPUTED_VALUE"""),241.0)</f>
        <v>241</v>
      </c>
      <c r="G41" s="1" t="str">
        <f>IFERROR(__xludf.DUMMYFUNCTION("""COMPUTED_VALUE"""),"Восстановительные свойства галогеноводородов")</f>
        <v>Восстановительные свойства галогеноводородов</v>
      </c>
      <c r="H41" s="1">
        <f>IFERROR(__xludf.DUMMYFUNCTION("""COMPUTED_VALUE"""),390.0)</f>
        <v>390</v>
      </c>
      <c r="I41" s="1"/>
      <c r="J41" s="1"/>
      <c r="K41" s="1"/>
      <c r="L41" s="1"/>
      <c r="M41" s="1"/>
      <c r="N41" s="1"/>
      <c r="O41" s="1" t="str">
        <f>IFERROR(__xludf.DUMMYFUNCTION("""COMPUTED_VALUE"""),"Применение циклоалкенов")</f>
        <v>Применение циклоалкенов</v>
      </c>
      <c r="P41" s="1">
        <f>IFERROR(__xludf.DUMMYFUNCTION("""COMPUTED_VALUE"""),845.0)</f>
        <v>845</v>
      </c>
      <c r="Q41" s="1" t="str">
        <f>IFERROR(__xludf.DUMMYFUNCTION("""COMPUTED_VALUE"""),"Особенности строения муравьиной кислоты")</f>
        <v>Особенности строения муравьиной кислоты</v>
      </c>
      <c r="R41" s="1">
        <f>IFERROR(__xludf.DUMMYFUNCTION("""COMPUTED_VALUE"""),942.0)</f>
        <v>942</v>
      </c>
      <c r="S41" s="1"/>
      <c r="T41" s="1"/>
      <c r="U41" s="1"/>
      <c r="V41" s="1"/>
      <c r="W41" s="1"/>
      <c r="X41" s="1"/>
      <c r="Y41" s="1" t="str">
        <f>IFERROR(__xludf.DUMMYFUNCTION("""COMPUTED_VALUE"""),"Определение массовой доли/массы вещества в твёрдом остатке")</f>
        <v>Определение массовой доли/массы вещества в твёрдом остатке</v>
      </c>
      <c r="Z41" s="1">
        <f>IFERROR(__xludf.DUMMYFUNCTION("""COMPUTED_VALUE"""),1340.0)</f>
        <v>1340</v>
      </c>
      <c r="AA41" s="1"/>
      <c r="AB41" s="1"/>
    </row>
    <row r="42">
      <c r="A42" s="1" t="str">
        <f>IFERROR(__xludf.DUMMYFUNCTION("""COMPUTED_VALUE"""),"Неспаренные электроны")</f>
        <v>Неспаренные электроны</v>
      </c>
      <c r="B42" s="1">
        <f>IFERROR(__xludf.DUMMYFUNCTION("""COMPUTED_VALUE"""),55.0)</f>
        <v>55</v>
      </c>
      <c r="C42" s="1" t="str">
        <f>IFERROR(__xludf.DUMMYFUNCTION("""COMPUTED_VALUE"""),"Способы получения кислорода")</f>
        <v>Способы получения кислорода</v>
      </c>
      <c r="D42" s="1">
        <f>IFERROR(__xludf.DUMMYFUNCTION("""COMPUTED_VALUE"""),141.0)</f>
        <v>141</v>
      </c>
      <c r="E42" s="1" t="str">
        <f>IFERROR(__xludf.DUMMYFUNCTION("""COMPUTED_VALUE"""),"Способы получения меди")</f>
        <v>Способы получения меди</v>
      </c>
      <c r="F42" s="1">
        <f>IFERROR(__xludf.DUMMYFUNCTION("""COMPUTED_VALUE"""),242.0)</f>
        <v>242</v>
      </c>
      <c r="G42" s="1" t="str">
        <f>IFERROR(__xludf.DUMMYFUNCTION("""COMPUTED_VALUE"""),"Качественные реакции на галогенид-ионы")</f>
        <v>Качественные реакции на галогенид-ионы</v>
      </c>
      <c r="H42" s="1">
        <f>IFERROR(__xludf.DUMMYFUNCTION("""COMPUTED_VALUE"""),391.0)</f>
        <v>391</v>
      </c>
      <c r="I42" s="1"/>
      <c r="J42" s="1"/>
      <c r="K42" s="1"/>
      <c r="L42" s="1"/>
      <c r="M42" s="1"/>
      <c r="N42" s="1"/>
      <c r="O42" s="1" t="str">
        <f>IFERROR(__xludf.DUMMYFUNCTION("""COMPUTED_VALUE"""),"Общая формула и гомологический ряд алкадиенов")</f>
        <v>Общая формула и гомологический ряд алкадиенов</v>
      </c>
      <c r="P42" s="1">
        <f>IFERROR(__xludf.DUMMYFUNCTION("""COMPUTED_VALUE"""),846.0)</f>
        <v>846</v>
      </c>
      <c r="Q42" s="1" t="str">
        <f>IFERROR(__xludf.DUMMYFUNCTION("""COMPUTED_VALUE"""),"Уксусная кислота")</f>
        <v>Уксусная кислота</v>
      </c>
      <c r="R42" s="1">
        <f>IFERROR(__xludf.DUMMYFUNCTION("""COMPUTED_VALUE"""),943.0)</f>
        <v>943</v>
      </c>
      <c r="S42" s="1"/>
      <c r="T42" s="1"/>
      <c r="U42" s="1"/>
      <c r="V42" s="1"/>
      <c r="W42" s="1"/>
      <c r="X42" s="1"/>
      <c r="Y42" s="1" t="str">
        <f>IFERROR(__xludf.DUMMYFUNCTION("""COMPUTED_VALUE"""),"Определение массы оставшегося исходного вещества в твёрдом остатке")</f>
        <v>Определение массы оставшегося исходного вещества в твёрдом остатке</v>
      </c>
      <c r="Z42" s="1">
        <f>IFERROR(__xludf.DUMMYFUNCTION("""COMPUTED_VALUE"""),1341.0)</f>
        <v>1341</v>
      </c>
      <c r="AA42" s="1"/>
      <c r="AB42" s="1"/>
    </row>
    <row r="43">
      <c r="A43" s="1" t="str">
        <f>IFERROR(__xludf.DUMMYFUNCTION("""COMPUTED_VALUE"""),"Электронные конфигурации ионов")</f>
        <v>Электронные конфигурации ионов</v>
      </c>
      <c r="B43" s="1">
        <f>IFERROR(__xludf.DUMMYFUNCTION("""COMPUTED_VALUE"""),56.0)</f>
        <v>56</v>
      </c>
      <c r="C43" s="1" t="str">
        <f>IFERROR(__xludf.DUMMYFUNCTION("""COMPUTED_VALUE"""),"Физические свойства галогеноводородов")</f>
        <v>Физические свойства галогеноводородов</v>
      </c>
      <c r="D43" s="1">
        <f>IFERROR(__xludf.DUMMYFUNCTION("""COMPUTED_VALUE"""),142.0)</f>
        <v>142</v>
      </c>
      <c r="E43" s="1" t="str">
        <f>IFERROR(__xludf.DUMMYFUNCTION("""COMPUTED_VALUE"""),"Химические свойства меди как простого вещества")</f>
        <v>Химические свойства меди как простого вещества</v>
      </c>
      <c r="F43" s="1">
        <f>IFERROR(__xludf.DUMMYFUNCTION("""COMPUTED_VALUE"""),243.0)</f>
        <v>243</v>
      </c>
      <c r="G43" s="1" t="str">
        <f>IFERROR(__xludf.DUMMYFUNCTION("""COMPUTED_VALUE"""),"Качественные реакции на сульфид-ион")</f>
        <v>Качественные реакции на сульфид-ион</v>
      </c>
      <c r="H43" s="1">
        <f>IFERROR(__xludf.DUMMYFUNCTION("""COMPUTED_VALUE"""),392.0)</f>
        <v>392</v>
      </c>
      <c r="I43" s="1"/>
      <c r="J43" s="1"/>
      <c r="K43" s="1"/>
      <c r="L43" s="1"/>
      <c r="M43" s="1"/>
      <c r="N43" s="1"/>
      <c r="O43" s="1" t="str">
        <f>IFERROR(__xludf.DUMMYFUNCTION("""COMPUTED_VALUE"""),"Реакции присоединения сопряженных алкадиенов")</f>
        <v>Реакции присоединения сопряженных алкадиенов</v>
      </c>
      <c r="P43" s="1">
        <f>IFERROR(__xludf.DUMMYFUNCTION("""COMPUTED_VALUE"""),847.0)</f>
        <v>847</v>
      </c>
      <c r="Q43" s="1" t="str">
        <f>IFERROR(__xludf.DUMMYFUNCTION("""COMPUTED_VALUE"""),"Высшие карбоновые кислоты, входящие в состав жиров")</f>
        <v>Высшие карбоновые кислоты, входящие в состав жиров</v>
      </c>
      <c r="R43" s="1">
        <f>IFERROR(__xludf.DUMMYFUNCTION("""COMPUTED_VALUE"""),944.0)</f>
        <v>944</v>
      </c>
      <c r="S43" s="1"/>
      <c r="T43" s="1"/>
      <c r="U43" s="1"/>
      <c r="V43" s="1"/>
      <c r="W43" s="1"/>
      <c r="X43" s="1"/>
      <c r="Y43" s="1" t="str">
        <f>IFERROR(__xludf.DUMMYFUNCTION("""COMPUTED_VALUE"""),"Различие между работой с моль разложившегося и неразложившегося вещества")</f>
        <v>Различие между работой с моль разложившегося и неразложившегося вещества</v>
      </c>
      <c r="Z43" s="1">
        <f>IFERROR(__xludf.DUMMYFUNCTION("""COMPUTED_VALUE"""),1342.0)</f>
        <v>1342</v>
      </c>
      <c r="AA43" s="1"/>
      <c r="AB43" s="1"/>
    </row>
    <row r="44">
      <c r="A44" s="1" t="str">
        <f>IFERROR(__xludf.DUMMYFUNCTION("""COMPUTED_VALUE"""),"Характерные степени окисления металлов и неметаллов в оксидах, гидроксидах, солях и бинарных соединениях")</f>
        <v>Характерные степени окисления металлов и неметаллов в оксидах, гидроксидах, солях и бинарных соединениях</v>
      </c>
      <c r="B44" s="1">
        <f>IFERROR(__xludf.DUMMYFUNCTION("""COMPUTED_VALUE"""),57.0)</f>
        <v>57</v>
      </c>
      <c r="C44" s="1" t="str">
        <f>IFERROR(__xludf.DUMMYFUNCTION("""COMPUTED_VALUE"""),"Способы получения галогеноводородов")</f>
        <v>Способы получения галогеноводородов</v>
      </c>
      <c r="D44" s="1">
        <f>IFERROR(__xludf.DUMMYFUNCTION("""COMPUTED_VALUE"""),143.0)</f>
        <v>143</v>
      </c>
      <c r="E44" s="1" t="str">
        <f>IFERROR(__xludf.DUMMYFUNCTION("""COMPUTED_VALUE"""),"Специфичные свойства соединений меди")</f>
        <v>Специфичные свойства соединений меди</v>
      </c>
      <c r="F44" s="1">
        <f>IFERROR(__xludf.DUMMYFUNCTION("""COMPUTED_VALUE"""),244.0)</f>
        <v>244</v>
      </c>
      <c r="G44" s="1" t="str">
        <f>IFERROR(__xludf.DUMMYFUNCTION("""COMPUTED_VALUE"""),"Качественные реакции на сульфит-ион")</f>
        <v>Качественные реакции на сульфит-ион</v>
      </c>
      <c r="H44" s="1">
        <f>IFERROR(__xludf.DUMMYFUNCTION("""COMPUTED_VALUE"""),393.0)</f>
        <v>393</v>
      </c>
      <c r="I44" s="1"/>
      <c r="J44" s="1"/>
      <c r="K44" s="1"/>
      <c r="L44" s="1"/>
      <c r="M44" s="1"/>
      <c r="N44" s="1"/>
      <c r="O44" s="1" t="str">
        <f>IFERROR(__xludf.DUMMYFUNCTION("""COMPUTED_VALUE"""),"Строение молекул алкадиенов")</f>
        <v>Строение молекул алкадиенов</v>
      </c>
      <c r="P44" s="1">
        <f>IFERROR(__xludf.DUMMYFUNCTION("""COMPUTED_VALUE"""),848.0)</f>
        <v>848</v>
      </c>
      <c r="Q44" s="1" t="str">
        <f>IFERROR(__xludf.DUMMYFUNCTION("""COMPUTED_VALUE"""),"Строение и гомологический ряд предельных двухосновных карбоновых кислот")</f>
        <v>Строение и гомологический ряд предельных двухосновных карбоновых кислот</v>
      </c>
      <c r="R44" s="1">
        <f>IFERROR(__xludf.DUMMYFUNCTION("""COMPUTED_VALUE"""),945.0)</f>
        <v>945</v>
      </c>
      <c r="S44" s="1"/>
      <c r="T44" s="1"/>
      <c r="U44" s="1"/>
      <c r="V44" s="1"/>
      <c r="W44" s="1"/>
      <c r="X44" s="1"/>
      <c r="Y44" s="1" t="str">
        <f>IFERROR(__xludf.DUMMYFUNCTION("""COMPUTED_VALUE"""),"Определение моль атомов через моль вещества и наоборот")</f>
        <v>Определение моль атомов через моль вещества и наоборот</v>
      </c>
      <c r="Z44" s="1">
        <f>IFERROR(__xludf.DUMMYFUNCTION("""COMPUTED_VALUE"""),1343.0)</f>
        <v>1343</v>
      </c>
      <c r="AA44" s="1"/>
      <c r="AB44" s="1"/>
    </row>
    <row r="45">
      <c r="A45" s="1" t="str">
        <f>IFERROR(__xludf.DUMMYFUNCTION("""COMPUTED_VALUE"""),"Общая характеристика и типы кристаллических решёток")</f>
        <v>Общая характеристика и типы кристаллических решёток</v>
      </c>
      <c r="B45" s="1">
        <f>IFERROR(__xludf.DUMMYFUNCTION("""COMPUTED_VALUE"""),58.0)</f>
        <v>58</v>
      </c>
      <c r="C45" s="1" t="str">
        <f>IFERROR(__xludf.DUMMYFUNCTION("""COMPUTED_VALUE"""),"Общая характеристика кислородсодержащих кислот галогенов и их солей")</f>
        <v>Общая характеристика кислородсодержащих кислот галогенов и их солей</v>
      </c>
      <c r="D45" s="1">
        <f>IFERROR(__xludf.DUMMYFUNCTION("""COMPUTED_VALUE"""),144.0)</f>
        <v>144</v>
      </c>
      <c r="E45" s="1" t="str">
        <f>IFERROR(__xludf.DUMMYFUNCTION("""COMPUTED_VALUE"""),"Способы получения аммиакатов меди")</f>
        <v>Способы получения аммиакатов меди</v>
      </c>
      <c r="F45" s="1">
        <f>IFERROR(__xludf.DUMMYFUNCTION("""COMPUTED_VALUE"""),245.0)</f>
        <v>245</v>
      </c>
      <c r="G45" s="1" t="str">
        <f>IFERROR(__xludf.DUMMYFUNCTION("""COMPUTED_VALUE"""),"Качественные реакции на сульфат-ион")</f>
        <v>Качественные реакции на сульфат-ион</v>
      </c>
      <c r="H45" s="1">
        <f>IFERROR(__xludf.DUMMYFUNCTION("""COMPUTED_VALUE"""),394.0)</f>
        <v>394</v>
      </c>
      <c r="I45" s="1"/>
      <c r="J45" s="1"/>
      <c r="K45" s="1"/>
      <c r="L45" s="1"/>
      <c r="M45" s="1"/>
      <c r="N45" s="1"/>
      <c r="O45" s="1" t="str">
        <f>IFERROR(__xludf.DUMMYFUNCTION("""COMPUTED_VALUE"""),"Номенклатура алкадиенов")</f>
        <v>Номенклатура алкадиенов</v>
      </c>
      <c r="P45" s="1">
        <f>IFERROR(__xludf.DUMMYFUNCTION("""COMPUTED_VALUE"""),850.0)</f>
        <v>850</v>
      </c>
      <c r="Q45" s="1" t="str">
        <f>IFERROR(__xludf.DUMMYFUNCTION("""COMPUTED_VALUE"""),"Особенности строения акриловой кислоты")</f>
        <v>Особенности строения акриловой кислоты</v>
      </c>
      <c r="R45" s="1">
        <f>IFERROR(__xludf.DUMMYFUNCTION("""COMPUTED_VALUE"""),946.0)</f>
        <v>946</v>
      </c>
      <c r="S45" s="1"/>
      <c r="T45" s="1"/>
      <c r="U45" s="1"/>
      <c r="V45" s="1"/>
      <c r="W45" s="1"/>
      <c r="X45" s="1"/>
      <c r="Y45" s="1" t="str">
        <f>IFERROR(__xludf.DUMMYFUNCTION("""COMPUTED_VALUE"""),"Определение моль ионов через моль вещества и наоборот")</f>
        <v>Определение моль ионов через моль вещества и наоборот</v>
      </c>
      <c r="Z45" s="1">
        <f>IFERROR(__xludf.DUMMYFUNCTION("""COMPUTED_VALUE"""),1344.0)</f>
        <v>1344</v>
      </c>
      <c r="AA45" s="1"/>
      <c r="AB45" s="1"/>
    </row>
    <row r="46">
      <c r="A46" s="1" t="str">
        <f>IFERROR(__xludf.DUMMYFUNCTION("""COMPUTED_VALUE"""),"Зависимость физических свойств вещества от типа кристаллической решётки")</f>
        <v>Зависимость физических свойств вещества от типа кристаллической решётки</v>
      </c>
      <c r="B46" s="1">
        <f>IFERROR(__xludf.DUMMYFUNCTION("""COMPUTED_VALUE"""),59.0)</f>
        <v>59</v>
      </c>
      <c r="C46" s="1" t="str">
        <f>IFERROR(__xludf.DUMMYFUNCTION("""COMPUTED_VALUE"""),"Окислительные свойства кислородсодержащих кислот галогенов и их солей")</f>
        <v>Окислительные свойства кислородсодержащих кислот галогенов и их солей</v>
      </c>
      <c r="D46" s="1">
        <f>IFERROR(__xludf.DUMMYFUNCTION("""COMPUTED_VALUE"""),145.0)</f>
        <v>145</v>
      </c>
      <c r="E46" s="1" t="str">
        <f>IFERROR(__xludf.DUMMYFUNCTION("""COMPUTED_VALUE"""),"Разрушение аммиакатов меди")</f>
        <v>Разрушение аммиакатов меди</v>
      </c>
      <c r="F46" s="1">
        <f>IFERROR(__xludf.DUMMYFUNCTION("""COMPUTED_VALUE"""),246.0)</f>
        <v>246</v>
      </c>
      <c r="G46" s="1" t="str">
        <f>IFERROR(__xludf.DUMMYFUNCTION("""COMPUTED_VALUE"""),"Качественная реакция на ион аммония")</f>
        <v>Качественная реакция на ион аммония</v>
      </c>
      <c r="H46" s="1">
        <f>IFERROR(__xludf.DUMMYFUNCTION("""COMPUTED_VALUE"""),395.0)</f>
        <v>395</v>
      </c>
      <c r="I46" s="1"/>
      <c r="J46" s="1"/>
      <c r="K46" s="1"/>
      <c r="L46" s="1"/>
      <c r="M46" s="1"/>
      <c r="N46" s="1"/>
      <c r="O46" s="1" t="str">
        <f>IFERROR(__xludf.DUMMYFUNCTION("""COMPUTED_VALUE"""),"Изомерия алкадиенов")</f>
        <v>Изомерия алкадиенов</v>
      </c>
      <c r="P46" s="1">
        <f>IFERROR(__xludf.DUMMYFUNCTION("""COMPUTED_VALUE"""),851.0)</f>
        <v>851</v>
      </c>
      <c r="Q46" s="1" t="str">
        <f>IFERROR(__xludf.DUMMYFUNCTION("""COMPUTED_VALUE"""),"Бензойная кислота")</f>
        <v>Бензойная кислота</v>
      </c>
      <c r="R46" s="1">
        <f>IFERROR(__xludf.DUMMYFUNCTION("""COMPUTED_VALUE"""),947.0)</f>
        <v>947</v>
      </c>
      <c r="S46" s="1"/>
      <c r="T46" s="1"/>
      <c r="U46" s="1"/>
      <c r="V46" s="1"/>
      <c r="W46" s="1"/>
      <c r="X46" s="1"/>
      <c r="Y46" s="1" t="str">
        <f>IFERROR(__xludf.DUMMYFUNCTION("""COMPUTED_VALUE"""),"Определение моль элементарных частиц через моль вещества и наоборот")</f>
        <v>Определение моль элементарных частиц через моль вещества и наоборот</v>
      </c>
      <c r="Z46" s="1">
        <f>IFERROR(__xludf.DUMMYFUNCTION("""COMPUTED_VALUE"""),1345.0)</f>
        <v>1345</v>
      </c>
      <c r="AA46" s="1"/>
      <c r="AB46" s="1"/>
    </row>
    <row r="47">
      <c r="A47" s="1" t="str">
        <f>IFERROR(__xludf.DUMMYFUNCTION("""COMPUTED_VALUE"""),"Высшая и низшая валентность")</f>
        <v>Высшая и низшая валентность</v>
      </c>
      <c r="B47" s="1">
        <f>IFERROR(__xludf.DUMMYFUNCTION("""COMPUTED_VALUE"""),61.0)</f>
        <v>61</v>
      </c>
      <c r="C47" s="1" t="str">
        <f>IFERROR(__xludf.DUMMYFUNCTION("""COMPUTED_VALUE"""),"Физические свойства галогенов")</f>
        <v>Физические свойства галогенов</v>
      </c>
      <c r="D47" s="1">
        <f>IFERROR(__xludf.DUMMYFUNCTION("""COMPUTED_VALUE"""),146.0)</f>
        <v>146</v>
      </c>
      <c r="E47" s="1" t="str">
        <f>IFERROR(__xludf.DUMMYFUNCTION("""COMPUTED_VALUE"""),"Применение меди и ее соединений")</f>
        <v>Применение меди и ее соединений</v>
      </c>
      <c r="F47" s="1">
        <f>IFERROR(__xludf.DUMMYFUNCTION("""COMPUTED_VALUE"""),247.0)</f>
        <v>247</v>
      </c>
      <c r="G47" s="1" t="str">
        <f>IFERROR(__xludf.DUMMYFUNCTION("""COMPUTED_VALUE"""),"Качественная реакция на фосфат-ион")</f>
        <v>Качественная реакция на фосфат-ион</v>
      </c>
      <c r="H47" s="1">
        <f>IFERROR(__xludf.DUMMYFUNCTION("""COMPUTED_VALUE"""),396.0)</f>
        <v>396</v>
      </c>
      <c r="I47" s="1"/>
      <c r="J47" s="1"/>
      <c r="K47" s="1"/>
      <c r="L47" s="1"/>
      <c r="M47" s="1"/>
      <c r="N47" s="1"/>
      <c r="O47" s="1" t="str">
        <f>IFERROR(__xludf.DUMMYFUNCTION("""COMPUTED_VALUE"""),"Физические свойства алкадиенов")</f>
        <v>Физические свойства алкадиенов</v>
      </c>
      <c r="P47" s="1">
        <f>IFERROR(__xludf.DUMMYFUNCTION("""COMPUTED_VALUE"""),852.0)</f>
        <v>852</v>
      </c>
      <c r="Q47" s="1" t="str">
        <f>IFERROR(__xludf.DUMMYFUNCTION("""COMPUTED_VALUE"""),"Фталевые кислоты")</f>
        <v>Фталевые кислоты</v>
      </c>
      <c r="R47" s="1">
        <f>IFERROR(__xludf.DUMMYFUNCTION("""COMPUTED_VALUE"""),948.0)</f>
        <v>948</v>
      </c>
      <c r="S47" s="1"/>
      <c r="T47" s="1"/>
      <c r="U47" s="1"/>
      <c r="V47" s="1"/>
      <c r="W47" s="1"/>
      <c r="X47" s="1"/>
      <c r="Y47" s="1" t="str">
        <f>IFERROR(__xludf.DUMMYFUNCTION("""COMPUTED_VALUE"""),"Написание уравнений реакций электролиза растворов солей металлов средней активности")</f>
        <v>Написание уравнений реакций электролиза растворов солей металлов средней активности</v>
      </c>
      <c r="Z47" s="1">
        <f>IFERROR(__xludf.DUMMYFUNCTION("""COMPUTED_VALUE"""),1346.0)</f>
        <v>1346</v>
      </c>
      <c r="AA47" s="1"/>
      <c r="AB47" s="1"/>
    </row>
    <row r="48">
      <c r="A48" s="1" t="str">
        <f>IFERROR(__xludf.DUMMYFUNCTION("""COMPUTED_VALUE"""),"Общая характеристика и классификация реакций")</f>
        <v>Общая характеристика и классификация реакций</v>
      </c>
      <c r="B48" s="1">
        <f>IFERROR(__xludf.DUMMYFUNCTION("""COMPUTED_VALUE"""),63.0)</f>
        <v>63</v>
      </c>
      <c r="C48" s="1" t="str">
        <f>IFERROR(__xludf.DUMMYFUNCTION("""COMPUTED_VALUE"""),"Химические свойства галогенов как простых веществ")</f>
        <v>Химические свойства галогенов как простых веществ</v>
      </c>
      <c r="D48" s="1">
        <f>IFERROR(__xludf.DUMMYFUNCTION("""COMPUTED_VALUE"""),147.0)</f>
        <v>147</v>
      </c>
      <c r="E48" s="1" t="str">
        <f>IFERROR(__xludf.DUMMYFUNCTION("""COMPUTED_VALUE"""),"Физические свойства серебра")</f>
        <v>Физические свойства серебра</v>
      </c>
      <c r="F48" s="1">
        <f>IFERROR(__xludf.DUMMYFUNCTION("""COMPUTED_VALUE"""),248.0)</f>
        <v>248</v>
      </c>
      <c r="G48" s="1" t="str">
        <f>IFERROR(__xludf.DUMMYFUNCTION("""COMPUTED_VALUE"""),"Качественные реакции на карбонат-ион")</f>
        <v>Качественные реакции на карбонат-ион</v>
      </c>
      <c r="H48" s="1">
        <f>IFERROR(__xludf.DUMMYFUNCTION("""COMPUTED_VALUE"""),397.0)</f>
        <v>397</v>
      </c>
      <c r="I48" s="1"/>
      <c r="J48" s="1"/>
      <c r="K48" s="1"/>
      <c r="L48" s="1"/>
      <c r="M48" s="1"/>
      <c r="N48" s="1"/>
      <c r="O48" s="1" t="str">
        <f>IFERROR(__xludf.DUMMYFUNCTION("""COMPUTED_VALUE"""),"Общие способы получения алкадиенов")</f>
        <v>Общие способы получения алкадиенов</v>
      </c>
      <c r="P48" s="1">
        <f>IFERROR(__xludf.DUMMYFUNCTION("""COMPUTED_VALUE"""),853.0)</f>
        <v>853</v>
      </c>
      <c r="Q48" s="1" t="str">
        <f>IFERROR(__xludf.DUMMYFUNCTION("""COMPUTED_VALUE"""),"Химические свойства сложных эфиров")</f>
        <v>Химические свойства сложных эфиров</v>
      </c>
      <c r="R48" s="1">
        <f>IFERROR(__xludf.DUMMYFUNCTION("""COMPUTED_VALUE"""),949.0)</f>
        <v>949</v>
      </c>
      <c r="S48" s="1"/>
      <c r="T48" s="1"/>
      <c r="U48" s="1"/>
      <c r="V48" s="1"/>
      <c r="W48" s="1"/>
      <c r="X48" s="1"/>
      <c r="Y48" s="1" t="str">
        <f>IFERROR(__xludf.DUMMYFUNCTION("""COMPUTED_VALUE"""),"Определение ситуации, в которой происходит последовательный электролиз воды")</f>
        <v>Определение ситуации, в которой происходит последовательный электролиз воды</v>
      </c>
      <c r="Z48" s="1">
        <f>IFERROR(__xludf.DUMMYFUNCTION("""COMPUTED_VALUE"""),1347.0)</f>
        <v>1347</v>
      </c>
      <c r="AA48" s="1"/>
      <c r="AB48" s="1"/>
    </row>
    <row r="49">
      <c r="A49" s="1" t="str">
        <f>IFERROR(__xludf.DUMMYFUNCTION("""COMPUTED_VALUE"""),"Классификация реакций по обратимости")</f>
        <v>Классификация реакций по обратимости</v>
      </c>
      <c r="B49" s="1">
        <f>IFERROR(__xludf.DUMMYFUNCTION("""COMPUTED_VALUE"""),64.0)</f>
        <v>64</v>
      </c>
      <c r="C49" s="1" t="str">
        <f>IFERROR(__xludf.DUMMYFUNCTION("""COMPUTED_VALUE"""),"Аллотропные модификации кислорода")</f>
        <v>Аллотропные модификации кислорода</v>
      </c>
      <c r="D49" s="1">
        <f>IFERROR(__xludf.DUMMYFUNCTION("""COMPUTED_VALUE"""),148.0)</f>
        <v>148</v>
      </c>
      <c r="E49" s="1" t="str">
        <f>IFERROR(__xludf.DUMMYFUNCTION("""COMPUTED_VALUE"""),"Способы получения серебра")</f>
        <v>Способы получения серебра</v>
      </c>
      <c r="F49" s="1">
        <f>IFERROR(__xludf.DUMMYFUNCTION("""COMPUTED_VALUE"""),249.0)</f>
        <v>249</v>
      </c>
      <c r="G49" s="1" t="str">
        <f>IFERROR(__xludf.DUMMYFUNCTION("""COMPUTED_VALUE"""),"Качественная реакция на силикат-ион")</f>
        <v>Качественная реакция на силикат-ион</v>
      </c>
      <c r="H49" s="1">
        <f>IFERROR(__xludf.DUMMYFUNCTION("""COMPUTED_VALUE"""),398.0)</f>
        <v>398</v>
      </c>
      <c r="I49" s="1"/>
      <c r="J49" s="1"/>
      <c r="K49" s="1"/>
      <c r="L49" s="1"/>
      <c r="M49" s="1"/>
      <c r="N49" s="1"/>
      <c r="O49" s="1" t="str">
        <f>IFERROR(__xludf.DUMMYFUNCTION("""COMPUTED_VALUE"""),"Применение алкадиенов")</f>
        <v>Применение алкадиенов</v>
      </c>
      <c r="P49" s="1">
        <f>IFERROR(__xludf.DUMMYFUNCTION("""COMPUTED_VALUE"""),854.0)</f>
        <v>854</v>
      </c>
      <c r="Q49" s="1" t="str">
        <f>IFERROR(__xludf.DUMMYFUNCTION("""COMPUTED_VALUE"""),"Умение определять сложные эфиры")</f>
        <v>Умение определять сложные эфиры</v>
      </c>
      <c r="R49" s="1">
        <f>IFERROR(__xludf.DUMMYFUNCTION("""COMPUTED_VALUE"""),950.0)</f>
        <v>950</v>
      </c>
      <c r="S49" s="1"/>
      <c r="T49" s="1"/>
      <c r="U49" s="1"/>
      <c r="V49" s="1"/>
      <c r="W49" s="1"/>
      <c r="X49" s="1"/>
      <c r="Y49" s="1" t="str">
        <f>IFERROR(__xludf.DUMMYFUNCTION("""COMPUTED_VALUE"""),"Определение массы раствора после электролиза")</f>
        <v>Определение массы раствора после электролиза</v>
      </c>
      <c r="Z49" s="1">
        <f>IFERROR(__xludf.DUMMYFUNCTION("""COMPUTED_VALUE"""),1348.0)</f>
        <v>1348</v>
      </c>
      <c r="AA49" s="1"/>
      <c r="AB49" s="1"/>
    </row>
    <row r="50">
      <c r="A50" s="1" t="str">
        <f>IFERROR(__xludf.DUMMYFUNCTION("""COMPUTED_VALUE"""),"Классификация реакций по тепловому эффекту")</f>
        <v>Классификация реакций по тепловому эффекту</v>
      </c>
      <c r="B50" s="1">
        <f>IFERROR(__xludf.DUMMYFUNCTION("""COMPUTED_VALUE"""),65.0)</f>
        <v>65</v>
      </c>
      <c r="C50" s="1" t="str">
        <f>IFERROR(__xludf.DUMMYFUNCTION("""COMPUTED_VALUE"""),"Физические свойства кислорода и озона")</f>
        <v>Физические свойства кислорода и озона</v>
      </c>
      <c r="D50" s="1">
        <f>IFERROR(__xludf.DUMMYFUNCTION("""COMPUTED_VALUE"""),149.0)</f>
        <v>149</v>
      </c>
      <c r="E50" s="1" t="str">
        <f>IFERROR(__xludf.DUMMYFUNCTION("""COMPUTED_VALUE"""),"Химические свойства серебра как простого вещества")</f>
        <v>Химические свойства серебра как простого вещества</v>
      </c>
      <c r="F50" s="1">
        <f>IFERROR(__xludf.DUMMYFUNCTION("""COMPUTED_VALUE"""),250.0)</f>
        <v>250</v>
      </c>
      <c r="G50" s="1" t="str">
        <f>IFERROR(__xludf.DUMMYFUNCTION("""COMPUTED_VALUE"""),"Качественные реакции на щелочноземельные металлы")</f>
        <v>Качественные реакции на щелочноземельные металлы</v>
      </c>
      <c r="H50" s="1">
        <f>IFERROR(__xludf.DUMMYFUNCTION("""COMPUTED_VALUE"""),399.0)</f>
        <v>399</v>
      </c>
      <c r="I50" s="1"/>
      <c r="J50" s="1"/>
      <c r="K50" s="1"/>
      <c r="L50" s="1"/>
      <c r="M50" s="1"/>
      <c r="N50" s="1"/>
      <c r="O50" s="1" t="str">
        <f>IFERROR(__xludf.DUMMYFUNCTION("""COMPUTED_VALUE"""),"Классификация алкадиенов")</f>
        <v>Классификация алкадиенов</v>
      </c>
      <c r="P50" s="1">
        <f>IFERROR(__xludf.DUMMYFUNCTION("""COMPUTED_VALUE"""),855.0)</f>
        <v>855</v>
      </c>
      <c r="Q50" s="1" t="str">
        <f>IFERROR(__xludf.DUMMYFUNCTION("""COMPUTED_VALUE"""),"Номенклатура сложных эфиров")</f>
        <v>Номенклатура сложных эфиров</v>
      </c>
      <c r="R50" s="1">
        <f>IFERROR(__xludf.DUMMYFUNCTION("""COMPUTED_VALUE"""),952.0)</f>
        <v>952</v>
      </c>
      <c r="S50" s="1"/>
      <c r="T50" s="1"/>
      <c r="U50" s="1"/>
      <c r="V50" s="1"/>
      <c r="W50" s="1"/>
      <c r="X50" s="1"/>
      <c r="Y50" s="1" t="str">
        <f>IFERROR(__xludf.DUMMYFUNCTION("""COMPUTED_VALUE"""),"Определение количеств веществ (в том числе оставшихся реагентов) в растворе после электролиза")</f>
        <v>Определение количеств веществ (в том числе оставшихся реагентов) в растворе после электролиза</v>
      </c>
      <c r="Z50" s="1">
        <f>IFERROR(__xludf.DUMMYFUNCTION("""COMPUTED_VALUE"""),1349.0)</f>
        <v>1349</v>
      </c>
      <c r="AA50" s="1"/>
      <c r="AB50" s="1"/>
    </row>
    <row r="51">
      <c r="A51" s="1" t="str">
        <f>IFERROR(__xludf.DUMMYFUNCTION("""COMPUTED_VALUE"""),"Классификация реакций по агрегатному состоянию реагентов")</f>
        <v>Классификация реакций по агрегатному состоянию реагентов</v>
      </c>
      <c r="B51" s="1">
        <f>IFERROR(__xludf.DUMMYFUNCTION("""COMPUTED_VALUE"""),66.0)</f>
        <v>66</v>
      </c>
      <c r="C51" s="1" t="str">
        <f>IFERROR(__xludf.DUMMYFUNCTION("""COMPUTED_VALUE"""),"Химические свойства кислорода как простого вещества")</f>
        <v>Химические свойства кислорода как простого вещества</v>
      </c>
      <c r="D51" s="1">
        <f>IFERROR(__xludf.DUMMYFUNCTION("""COMPUTED_VALUE"""),150.0)</f>
        <v>150</v>
      </c>
      <c r="E51" s="1" t="str">
        <f>IFERROR(__xludf.DUMMYFUNCTION("""COMPUTED_VALUE"""),"Способы получения аммиакатов серебра")</f>
        <v>Способы получения аммиакатов серебра</v>
      </c>
      <c r="F51" s="1">
        <f>IFERROR(__xludf.DUMMYFUNCTION("""COMPUTED_VALUE"""),251.0)</f>
        <v>251</v>
      </c>
      <c r="G51" s="1" t="str">
        <f>IFERROR(__xludf.DUMMYFUNCTION("""COMPUTED_VALUE"""),"Качественная реакция на ион алюминия")</f>
        <v>Качественная реакция на ион алюминия</v>
      </c>
      <c r="H51" s="1">
        <f>IFERROR(__xludf.DUMMYFUNCTION("""COMPUTED_VALUE"""),1601.0)</f>
        <v>1601</v>
      </c>
      <c r="I51" s="1"/>
      <c r="J51" s="1"/>
      <c r="K51" s="1"/>
      <c r="L51" s="1"/>
      <c r="M51" s="1"/>
      <c r="N51" s="1"/>
      <c r="O51" s="1" t="str">
        <f>IFERROR(__xludf.DUMMYFUNCTION("""COMPUTED_VALUE"""),"Общая формула и основные представители аренов")</f>
        <v>Общая формула и основные представители аренов</v>
      </c>
      <c r="P51" s="1">
        <f>IFERROR(__xludf.DUMMYFUNCTION("""COMPUTED_VALUE"""),857.0)</f>
        <v>857</v>
      </c>
      <c r="Q51" s="1" t="str">
        <f>IFERROR(__xludf.DUMMYFUNCTION("""COMPUTED_VALUE"""),"Изомерия сложных эфиров")</f>
        <v>Изомерия сложных эфиров</v>
      </c>
      <c r="R51" s="1">
        <f>IFERROR(__xludf.DUMMYFUNCTION("""COMPUTED_VALUE"""),953.0)</f>
        <v>953</v>
      </c>
      <c r="S51" s="1"/>
      <c r="T51" s="1"/>
      <c r="U51" s="1"/>
      <c r="V51" s="1"/>
      <c r="W51" s="1"/>
      <c r="X51" s="1"/>
      <c r="Y51" s="1" t="str">
        <f>IFERROR(__xludf.DUMMYFUNCTION("""COMPUTED_VALUE"""),"Составление пропорции для отбора порции раствора после протекания электролиза")</f>
        <v>Составление пропорции для отбора порции раствора после протекания электролиза</v>
      </c>
      <c r="Z51" s="1">
        <f>IFERROR(__xludf.DUMMYFUNCTION("""COMPUTED_VALUE"""),1350.0)</f>
        <v>1350</v>
      </c>
      <c r="AA51" s="1"/>
      <c r="AB51" s="1"/>
    </row>
    <row r="52">
      <c r="A52" s="1" t="str">
        <f>IFERROR(__xludf.DUMMYFUNCTION("""COMPUTED_VALUE"""),"Умение восстанавливать возможное уравнение реакции по ее сокращенному ионному уравнению")</f>
        <v>Умение восстанавливать возможное уравнение реакции по ее сокращенному ионному уравнению</v>
      </c>
      <c r="B52" s="1">
        <f>IFERROR(__xludf.DUMMYFUNCTION("""COMPUTED_VALUE"""),67.0)</f>
        <v>67</v>
      </c>
      <c r="C52" s="1" t="str">
        <f>IFERROR(__xludf.DUMMYFUNCTION("""COMPUTED_VALUE"""),"Аллотропные модификации серы")</f>
        <v>Аллотропные модификации серы</v>
      </c>
      <c r="D52" s="1">
        <f>IFERROR(__xludf.DUMMYFUNCTION("""COMPUTED_VALUE"""),151.0)</f>
        <v>151</v>
      </c>
      <c r="E52" s="1" t="str">
        <f>IFERROR(__xludf.DUMMYFUNCTION("""COMPUTED_VALUE"""),"Разрушение аммиакатов серебра")</f>
        <v>Разрушение аммиакатов серебра</v>
      </c>
      <c r="F52" s="1">
        <f>IFERROR(__xludf.DUMMYFUNCTION("""COMPUTED_VALUE"""),252.0)</f>
        <v>252</v>
      </c>
      <c r="G52" s="1" t="str">
        <f>IFERROR(__xludf.DUMMYFUNCTION("""COMPUTED_VALUE"""),"Качественная реакция на ион цинка")</f>
        <v>Качественная реакция на ион цинка</v>
      </c>
      <c r="H52" s="1">
        <f>IFERROR(__xludf.DUMMYFUNCTION("""COMPUTED_VALUE"""),1602.0)</f>
        <v>1602</v>
      </c>
      <c r="I52" s="1"/>
      <c r="J52" s="1"/>
      <c r="K52" s="1"/>
      <c r="L52" s="1"/>
      <c r="M52" s="1"/>
      <c r="N52" s="1"/>
      <c r="O52" s="1" t="str">
        <f>IFERROR(__xludf.DUMMYFUNCTION("""COMPUTED_VALUE"""),"Реакции присоединения аренов")</f>
        <v>Реакции присоединения аренов</v>
      </c>
      <c r="P52" s="1">
        <f>IFERROR(__xludf.DUMMYFUNCTION("""COMPUTED_VALUE"""),858.0)</f>
        <v>858</v>
      </c>
      <c r="Q52" s="1" t="str">
        <f>IFERROR(__xludf.DUMMYFUNCTION("""COMPUTED_VALUE"""),"Физические свойства сложных эфиров")</f>
        <v>Физические свойства сложных эфиров</v>
      </c>
      <c r="R52" s="1">
        <f>IFERROR(__xludf.DUMMYFUNCTION("""COMPUTED_VALUE"""),954.0)</f>
        <v>954</v>
      </c>
      <c r="S52" s="1"/>
      <c r="T52" s="1"/>
      <c r="U52" s="1"/>
      <c r="V52" s="1"/>
      <c r="W52" s="1"/>
      <c r="X52" s="1"/>
      <c r="Y52" s="1" t="str">
        <f>IFERROR(__xludf.DUMMYFUNCTION("""COMPUTED_VALUE"""),"Определение количеств веществ в отобранной порции")</f>
        <v>Определение количеств веществ в отобранной порции</v>
      </c>
      <c r="Z52" s="1">
        <f>IFERROR(__xludf.DUMMYFUNCTION("""COMPUTED_VALUE"""),1351.0)</f>
        <v>1351</v>
      </c>
      <c r="AA52" s="1"/>
      <c r="AB52" s="1"/>
    </row>
    <row r="53">
      <c r="A53" s="1" t="str">
        <f>IFERROR(__xludf.DUMMYFUNCTION("""COMPUTED_VALUE"""),"Реакции диспропорционирования и конпропорционирования")</f>
        <v>Реакции диспропорционирования и конпропорционирования</v>
      </c>
      <c r="B53" s="1">
        <f>IFERROR(__xludf.DUMMYFUNCTION("""COMPUTED_VALUE"""),68.0)</f>
        <v>68</v>
      </c>
      <c r="C53" s="1" t="str">
        <f>IFERROR(__xludf.DUMMYFUNCTION("""COMPUTED_VALUE"""),"Физические свойства серы")</f>
        <v>Физические свойства серы</v>
      </c>
      <c r="D53" s="1">
        <f>IFERROR(__xludf.DUMMYFUNCTION("""COMPUTED_VALUE"""),152.0)</f>
        <v>152</v>
      </c>
      <c r="E53" s="1" t="str">
        <f>IFERROR(__xludf.DUMMYFUNCTION("""COMPUTED_VALUE"""),"Физические свойства щелочных и щелочноземельных металлов")</f>
        <v>Физические свойства щелочных и щелочноземельных металлов</v>
      </c>
      <c r="F53" s="1">
        <f>IFERROR(__xludf.DUMMYFUNCTION("""COMPUTED_VALUE"""),253.0)</f>
        <v>253</v>
      </c>
      <c r="G53" s="1" t="str">
        <f>IFERROR(__xludf.DUMMYFUNCTION("""COMPUTED_VALUE"""),"Качественные реакции на ионы железа")</f>
        <v>Качественные реакции на ионы железа</v>
      </c>
      <c r="H53" s="1">
        <f>IFERROR(__xludf.DUMMYFUNCTION("""COMPUTED_VALUE"""),1603.0)</f>
        <v>1603</v>
      </c>
      <c r="I53" s="1"/>
      <c r="J53" s="1"/>
      <c r="K53" s="1"/>
      <c r="L53" s="1"/>
      <c r="M53" s="1"/>
      <c r="N53" s="1"/>
      <c r="O53" s="1" t="str">
        <f>IFERROR(__xludf.DUMMYFUNCTION("""COMPUTED_VALUE"""),"Строение молекул ароматических углеводородов")</f>
        <v>Строение молекул ароматических углеводородов</v>
      </c>
      <c r="P53" s="1">
        <f>IFERROR(__xludf.DUMMYFUNCTION("""COMPUTED_VALUE"""),859.0)</f>
        <v>859</v>
      </c>
      <c r="Q53" s="1" t="str">
        <f>IFERROR(__xludf.DUMMYFUNCTION("""COMPUTED_VALUE"""),"Способы получения сложных эфиров")</f>
        <v>Способы получения сложных эфиров</v>
      </c>
      <c r="R53" s="1">
        <f>IFERROR(__xludf.DUMMYFUNCTION("""COMPUTED_VALUE"""),955.0)</f>
        <v>955</v>
      </c>
      <c r="S53" s="1"/>
      <c r="T53" s="1"/>
      <c r="U53" s="1"/>
      <c r="V53" s="1"/>
      <c r="W53" s="1"/>
      <c r="X53" s="1"/>
      <c r="Y53" s="1" t="str">
        <f>IFERROR(__xludf.DUMMYFUNCTION("""COMPUTED_VALUE"""),"Определение растворимости")</f>
        <v>Определение растворимости</v>
      </c>
      <c r="Z53" s="1">
        <f>IFERROR(__xludf.DUMMYFUNCTION("""COMPUTED_VALUE"""),1352.0)</f>
        <v>1352</v>
      </c>
      <c r="AA53" s="1"/>
      <c r="AB53" s="1"/>
    </row>
    <row r="54">
      <c r="A54" s="1" t="str">
        <f>IFERROR(__xludf.DUMMYFUNCTION("""COMPUTED_VALUE"""),"Составление электронного баланса реакции")</f>
        <v>Составление электронного баланса реакции</v>
      </c>
      <c r="B54" s="1">
        <f>IFERROR(__xludf.DUMMYFUNCTION("""COMPUTED_VALUE"""),69.0)</f>
        <v>69</v>
      </c>
      <c r="C54" s="1" t="str">
        <f>IFERROR(__xludf.DUMMYFUNCTION("""COMPUTED_VALUE"""),"Химические свойства серы как простого вещества")</f>
        <v>Химические свойства серы как простого вещества</v>
      </c>
      <c r="D54" s="1">
        <f>IFERROR(__xludf.DUMMYFUNCTION("""COMPUTED_VALUE"""),153.0)</f>
        <v>153</v>
      </c>
      <c r="E54" s="1" t="str">
        <f>IFERROR(__xludf.DUMMYFUNCTION("""COMPUTED_VALUE"""),"Химические свойства щелочных и щелочноземельных металлов")</f>
        <v>Химические свойства щелочных и щелочноземельных металлов</v>
      </c>
      <c r="F54" s="1">
        <f>IFERROR(__xludf.DUMMYFUNCTION("""COMPUTED_VALUE"""),254.0)</f>
        <v>254</v>
      </c>
      <c r="G54" s="1" t="str">
        <f>IFERROR(__xludf.DUMMYFUNCTION("""COMPUTED_VALUE"""),"Качественные реакции на ионы хрома")</f>
        <v>Качественные реакции на ионы хрома</v>
      </c>
      <c r="H54" s="1">
        <f>IFERROR(__xludf.DUMMYFUNCTION("""COMPUTED_VALUE"""),1604.0)</f>
        <v>1604</v>
      </c>
      <c r="I54" s="1"/>
      <c r="J54" s="1"/>
      <c r="K54" s="1"/>
      <c r="L54" s="1"/>
      <c r="M54" s="1"/>
      <c r="N54" s="1"/>
      <c r="O54" s="1" t="str">
        <f>IFERROR(__xludf.DUMMYFUNCTION("""COMPUTED_VALUE"""),"Номенклатура аренов")</f>
        <v>Номенклатура аренов</v>
      </c>
      <c r="P54" s="1">
        <f>IFERROR(__xludf.DUMMYFUNCTION("""COMPUTED_VALUE"""),861.0)</f>
        <v>861</v>
      </c>
      <c r="Q54" s="1" t="str">
        <f>IFERROR(__xludf.DUMMYFUNCTION("""COMPUTED_VALUE"""),"Применение сложных эфиров")</f>
        <v>Применение сложных эфиров</v>
      </c>
      <c r="R54" s="1">
        <f>IFERROR(__xludf.DUMMYFUNCTION("""COMPUTED_VALUE"""),956.0)</f>
        <v>956</v>
      </c>
      <c r="S54" s="1"/>
      <c r="T54" s="1"/>
      <c r="U54" s="1"/>
      <c r="V54" s="1"/>
      <c r="W54" s="1"/>
      <c r="X54" s="1"/>
      <c r="Y54" s="1" t="str">
        <f>IFERROR(__xludf.DUMMYFUNCTION("""COMPUTED_VALUE"""),"Составление пропорции на основе данных о растворимости")</f>
        <v>Составление пропорции на основе данных о растворимости</v>
      </c>
      <c r="Z54" s="1">
        <f>IFERROR(__xludf.DUMMYFUNCTION("""COMPUTED_VALUE"""),1353.0)</f>
        <v>1353</v>
      </c>
      <c r="AA54" s="1"/>
      <c r="AB54" s="1"/>
    </row>
    <row r="55">
      <c r="A55" s="1" t="str">
        <f>IFERROR(__xludf.DUMMYFUNCTION("""COMPUTED_VALUE"""),"Полное ионное уравнение")</f>
        <v>Полное ионное уравнение</v>
      </c>
      <c r="B55" s="1">
        <f>IFERROR(__xludf.DUMMYFUNCTION("""COMPUTED_VALUE"""),70.0)</f>
        <v>70</v>
      </c>
      <c r="C55" s="1" t="str">
        <f>IFERROR(__xludf.DUMMYFUNCTION("""COMPUTED_VALUE"""),"Физические свойства сероводорода")</f>
        <v>Физические свойства сероводорода</v>
      </c>
      <c r="D55" s="1">
        <f>IFERROR(__xludf.DUMMYFUNCTION("""COMPUTED_VALUE"""),154.0)</f>
        <v>154</v>
      </c>
      <c r="E55" s="1"/>
      <c r="F55" s="1"/>
      <c r="G55" s="1" t="str">
        <f>IFERROR(__xludf.DUMMYFUNCTION("""COMPUTED_VALUE"""),"Качественные реакции на хромат- и дихромат-ионы")</f>
        <v>Качественные реакции на хромат- и дихромат-ионы</v>
      </c>
      <c r="H55" s="1">
        <f>IFERROR(__xludf.DUMMYFUNCTION("""COMPUTED_VALUE"""),1605.0)</f>
        <v>1605</v>
      </c>
      <c r="I55" s="1"/>
      <c r="J55" s="1"/>
      <c r="K55" s="1"/>
      <c r="L55" s="1"/>
      <c r="M55" s="1"/>
      <c r="N55" s="1"/>
      <c r="O55" s="1" t="str">
        <f>IFERROR(__xludf.DUMMYFUNCTION("""COMPUTED_VALUE"""),"Изомерия аренов")</f>
        <v>Изомерия аренов</v>
      </c>
      <c r="P55" s="1">
        <f>IFERROR(__xludf.DUMMYFUNCTION("""COMPUTED_VALUE"""),862.0)</f>
        <v>862</v>
      </c>
      <c r="Q55" s="1" t="str">
        <f>IFERROR(__xludf.DUMMYFUNCTION("""COMPUTED_VALUE"""),"Физические свойства жиров")</f>
        <v>Физические свойства жиров</v>
      </c>
      <c r="R55" s="1">
        <f>IFERROR(__xludf.DUMMYFUNCTION("""COMPUTED_VALUE"""),957.0)</f>
        <v>957</v>
      </c>
      <c r="S55" s="1"/>
      <c r="T55" s="1"/>
      <c r="U55" s="1"/>
      <c r="V55" s="1"/>
      <c r="W55" s="1"/>
      <c r="X55" s="1"/>
      <c r="Y55" s="1" t="str">
        <f>IFERROR(__xludf.DUMMYFUNCTION("""COMPUTED_VALUE"""),"Работа с массовой долей насыщенного раствора")</f>
        <v>Работа с массовой долей насыщенного раствора</v>
      </c>
      <c r="Z55" s="1">
        <f>IFERROR(__xludf.DUMMYFUNCTION("""COMPUTED_VALUE"""),1354.0)</f>
        <v>1354</v>
      </c>
      <c r="AA55" s="1"/>
      <c r="AB55" s="1"/>
    </row>
    <row r="56">
      <c r="A56" s="1" t="str">
        <f>IFERROR(__xludf.DUMMYFUNCTION("""COMPUTED_VALUE"""),"Катализаторы и ингибиторы")</f>
        <v>Катализаторы и ингибиторы</v>
      </c>
      <c r="B56" s="1">
        <f>IFERROR(__xludf.DUMMYFUNCTION("""COMPUTED_VALUE"""),71.0)</f>
        <v>71</v>
      </c>
      <c r="C56" s="1" t="str">
        <f>IFERROR(__xludf.DUMMYFUNCTION("""COMPUTED_VALUE"""),"Способы получения сероводорода")</f>
        <v>Способы получения сероводорода</v>
      </c>
      <c r="D56" s="1">
        <f>IFERROR(__xludf.DUMMYFUNCTION("""COMPUTED_VALUE"""),155.0)</f>
        <v>155</v>
      </c>
      <c r="E56" s="1"/>
      <c r="F56" s="1"/>
      <c r="G56" s="1" t="str">
        <f>IFERROR(__xludf.DUMMYFUNCTION("""COMPUTED_VALUE"""),"Качественные реакции на ион меди")</f>
        <v>Качественные реакции на ион меди</v>
      </c>
      <c r="H56" s="1">
        <f>IFERROR(__xludf.DUMMYFUNCTION("""COMPUTED_VALUE"""),1606.0)</f>
        <v>1606</v>
      </c>
      <c r="I56" s="1"/>
      <c r="J56" s="1"/>
      <c r="K56" s="1"/>
      <c r="L56" s="1"/>
      <c r="M56" s="1"/>
      <c r="N56" s="1"/>
      <c r="O56" s="1" t="str">
        <f>IFERROR(__xludf.DUMMYFUNCTION("""COMPUTED_VALUE"""),"Физические свойства аренов")</f>
        <v>Физические свойства аренов</v>
      </c>
      <c r="P56" s="1">
        <f>IFERROR(__xludf.DUMMYFUNCTION("""COMPUTED_VALUE"""),863.0)</f>
        <v>863</v>
      </c>
      <c r="Q56" s="1" t="str">
        <f>IFERROR(__xludf.DUMMYFUNCTION("""COMPUTED_VALUE"""),"Химические свойства жиров")</f>
        <v>Химические свойства жиров</v>
      </c>
      <c r="R56" s="1">
        <f>IFERROR(__xludf.DUMMYFUNCTION("""COMPUTED_VALUE"""),958.0)</f>
        <v>958</v>
      </c>
      <c r="S56" s="1"/>
      <c r="T56" s="1"/>
      <c r="U56" s="1"/>
      <c r="V56" s="1"/>
      <c r="W56" s="1"/>
      <c r="X56" s="1"/>
      <c r="Y56" s="1" t="str">
        <f>IFERROR(__xludf.DUMMYFUNCTION("""COMPUTED_VALUE"""),"Растворимость газов в воде")</f>
        <v>Растворимость газов в воде</v>
      </c>
      <c r="Z56" s="1">
        <f>IFERROR(__xludf.DUMMYFUNCTION("""COMPUTED_VALUE"""),1355.0)</f>
        <v>1355</v>
      </c>
      <c r="AA56" s="1"/>
      <c r="AB56" s="1"/>
    </row>
    <row r="57">
      <c r="A57" s="1" t="str">
        <f>IFERROR(__xludf.DUMMYFUNCTION("""COMPUTED_VALUE"""),"Классификация веществ по степени их диссоциации")</f>
        <v>Классификация веществ по степени их диссоциации</v>
      </c>
      <c r="B57" s="1">
        <f>IFERROR(__xludf.DUMMYFUNCTION("""COMPUTED_VALUE"""),72.0)</f>
        <v>72</v>
      </c>
      <c r="C57" s="1" t="str">
        <f>IFERROR(__xludf.DUMMYFUNCTION("""COMPUTED_VALUE"""),"Восстановительные свойства сероводорода и сульфидов")</f>
        <v>Восстановительные свойства сероводорода и сульфидов</v>
      </c>
      <c r="D57" s="1">
        <f>IFERROR(__xludf.DUMMYFUNCTION("""COMPUTED_VALUE"""),156.0)</f>
        <v>156</v>
      </c>
      <c r="E57" s="1"/>
      <c r="F57" s="1"/>
      <c r="G57" s="1" t="str">
        <f>IFERROR(__xludf.DUMMYFUNCTION("""COMPUTED_VALUE"""),"Качественные реакции на ион серебра")</f>
        <v>Качественные реакции на ион серебра</v>
      </c>
      <c r="H57" s="1">
        <f>IFERROR(__xludf.DUMMYFUNCTION("""COMPUTED_VALUE"""),1607.0)</f>
        <v>1607</v>
      </c>
      <c r="I57" s="1"/>
      <c r="J57" s="1"/>
      <c r="K57" s="1"/>
      <c r="L57" s="1"/>
      <c r="M57" s="1"/>
      <c r="N57" s="1"/>
      <c r="O57" s="1" t="str">
        <f>IFERROR(__xludf.DUMMYFUNCTION("""COMPUTED_VALUE"""),"Способы получения аренов")</f>
        <v>Способы получения аренов</v>
      </c>
      <c r="P57" s="1">
        <f>IFERROR(__xludf.DUMMYFUNCTION("""COMPUTED_VALUE"""),864.0)</f>
        <v>864</v>
      </c>
      <c r="Q57" s="1" t="str">
        <f>IFERROR(__xludf.DUMMYFUNCTION("""COMPUTED_VALUE"""),"Применение жиров")</f>
        <v>Применение жиров</v>
      </c>
      <c r="R57" s="1">
        <f>IFERROR(__xludf.DUMMYFUNCTION("""COMPUTED_VALUE"""),959.0)</f>
        <v>959</v>
      </c>
      <c r="S57" s="1"/>
      <c r="T57" s="1"/>
      <c r="U57" s="1"/>
      <c r="V57" s="1"/>
      <c r="W57" s="1"/>
      <c r="X57" s="1"/>
      <c r="Y57" s="1" t="str">
        <f>IFERROR(__xludf.DUMMYFUNCTION("""COMPUTED_VALUE"""),"Выпадение осадка при растворении вещества в воде")</f>
        <v>Выпадение осадка при растворении вещества в воде</v>
      </c>
      <c r="Z57" s="1">
        <f>IFERROR(__xludf.DUMMYFUNCTION("""COMPUTED_VALUE"""),1356.0)</f>
        <v>1356</v>
      </c>
      <c r="AA57" s="1"/>
      <c r="AB57" s="1"/>
    </row>
    <row r="58">
      <c r="A58" s="1" t="str">
        <f>IFERROR(__xludf.DUMMYFUNCTION("""COMPUTED_VALUE"""),"Индикаторы")</f>
        <v>Индикаторы</v>
      </c>
      <c r="B58" s="1">
        <f>IFERROR(__xludf.DUMMYFUNCTION("""COMPUTED_VALUE"""),73.0)</f>
        <v>73</v>
      </c>
      <c r="C58" s="1" t="str">
        <f>IFERROR(__xludf.DUMMYFUNCTION("""COMPUTED_VALUE"""),"Окисление сероводорода и сульфидов кислородом")</f>
        <v>Окисление сероводорода и сульфидов кислородом</v>
      </c>
      <c r="D58" s="1">
        <f>IFERROR(__xludf.DUMMYFUNCTION("""COMPUTED_VALUE"""),157.0)</f>
        <v>157</v>
      </c>
      <c r="E58" s="1"/>
      <c r="F58" s="1"/>
      <c r="G58" s="1" t="str">
        <f>IFERROR(__xludf.DUMMYFUNCTION("""COMPUTED_VALUE"""),"Окислительно-восстановительные свойства соединений хрома")</f>
        <v>Окислительно-восстановительные свойства соединений хрома</v>
      </c>
      <c r="H58" s="1">
        <f>IFERROR(__xludf.DUMMYFUNCTION("""COMPUTED_VALUE"""),1608.0)</f>
        <v>1608</v>
      </c>
      <c r="I58" s="1"/>
      <c r="J58" s="1"/>
      <c r="K58" s="1"/>
      <c r="L58" s="1"/>
      <c r="M58" s="1"/>
      <c r="N58" s="1"/>
      <c r="O58" s="1" t="str">
        <f>IFERROR(__xludf.DUMMYFUNCTION("""COMPUTED_VALUE"""),"Применение аренов")</f>
        <v>Применение аренов</v>
      </c>
      <c r="P58" s="1">
        <f>IFERROR(__xludf.DUMMYFUNCTION("""COMPUTED_VALUE"""),865.0)</f>
        <v>865</v>
      </c>
      <c r="Q58" s="1" t="str">
        <f>IFERROR(__xludf.DUMMYFUNCTION("""COMPUTED_VALUE"""),"Общая характеристика и классификация углеводов")</f>
        <v>Общая характеристика и классификация углеводов</v>
      </c>
      <c r="R58" s="1">
        <f>IFERROR(__xludf.DUMMYFUNCTION("""COMPUTED_VALUE"""),960.0)</f>
        <v>960</v>
      </c>
      <c r="S58" s="1"/>
      <c r="T58" s="1"/>
      <c r="U58" s="1"/>
      <c r="V58" s="1"/>
      <c r="W58" s="1"/>
      <c r="X58" s="1"/>
      <c r="Y58" s="1" t="str">
        <f>IFERROR(__xludf.DUMMYFUNCTION("""COMPUTED_VALUE"""),"Выпаривание воды из насыщенного раствора вещества")</f>
        <v>Выпаривание воды из насыщенного раствора вещества</v>
      </c>
      <c r="Z58" s="1">
        <f>IFERROR(__xludf.DUMMYFUNCTION("""COMPUTED_VALUE"""),1357.0)</f>
        <v>1357</v>
      </c>
      <c r="AA58" s="1"/>
      <c r="AB58" s="1"/>
    </row>
    <row r="59">
      <c r="A59" s="1" t="str">
        <f>IFERROR(__xludf.DUMMYFUNCTION("""COMPUTED_VALUE"""),"Электролиз расплавов и растворов веществ")</f>
        <v>Электролиз расплавов и растворов веществ</v>
      </c>
      <c r="B59" s="1">
        <f>IFERROR(__xludf.DUMMYFUNCTION("""COMPUTED_VALUE"""),74.0)</f>
        <v>74</v>
      </c>
      <c r="C59" s="1" t="str">
        <f>IFERROR(__xludf.DUMMYFUNCTION("""COMPUTED_VALUE"""),"Физические свойства сернистого газа")</f>
        <v>Физические свойства сернистого газа</v>
      </c>
      <c r="D59" s="1">
        <f>IFERROR(__xludf.DUMMYFUNCTION("""COMPUTED_VALUE"""),158.0)</f>
        <v>158</v>
      </c>
      <c r="E59" s="1"/>
      <c r="F59" s="1"/>
      <c r="G59" s="1" t="str">
        <f>IFERROR(__xludf.DUMMYFUNCTION("""COMPUTED_VALUE"""),"Окислительно-восстановительные свойства соединений железа")</f>
        <v>Окислительно-восстановительные свойства соединений железа</v>
      </c>
      <c r="H59" s="1">
        <f>IFERROR(__xludf.DUMMYFUNCTION("""COMPUTED_VALUE"""),1609.0)</f>
        <v>1609</v>
      </c>
      <c r="I59" s="1"/>
      <c r="J59" s="1"/>
      <c r="K59" s="1"/>
      <c r="L59" s="1"/>
      <c r="M59" s="1"/>
      <c r="N59" s="1"/>
      <c r="O59" s="1" t="str">
        <f>IFERROR(__xludf.DUMMYFUNCTION("""COMPUTED_VALUE"""),"Правила ориентации в бензольном кольце")</f>
        <v>Правила ориентации в бензольном кольце</v>
      </c>
      <c r="P59" s="1">
        <f>IFERROR(__xludf.DUMMYFUNCTION("""COMPUTED_VALUE"""),866.0)</f>
        <v>866</v>
      </c>
      <c r="Q59" s="1" t="str">
        <f>IFERROR(__xludf.DUMMYFUNCTION("""COMPUTED_VALUE"""),"Глюкоза, рибоза, дезоксирибоза, галактоза как альдегидоспирты")</f>
        <v>Глюкоза, рибоза, дезоксирибоза, галактоза как альдегидоспирты</v>
      </c>
      <c r="R59" s="1">
        <f>IFERROR(__xludf.DUMMYFUNCTION("""COMPUTED_VALUE"""),961.0)</f>
        <v>961</v>
      </c>
      <c r="S59" s="1"/>
      <c r="T59" s="1"/>
      <c r="U59" s="1"/>
      <c r="V59" s="1"/>
      <c r="W59" s="1"/>
      <c r="X59" s="1"/>
      <c r="Y59" s="1" t="str">
        <f>IFERROR(__xludf.DUMMYFUNCTION("""COMPUTED_VALUE"""),"Умение преобразовать массовое соотношение веществ в мольное")</f>
        <v>Умение преобразовать массовое соотношение веществ в мольное</v>
      </c>
      <c r="Z59" s="1">
        <f>IFERROR(__xludf.DUMMYFUNCTION("""COMPUTED_VALUE"""),1358.0)</f>
        <v>1358</v>
      </c>
      <c r="AA59" s="1"/>
      <c r="AB59" s="1"/>
    </row>
    <row r="60">
      <c r="A60" s="1" t="str">
        <f>IFERROR(__xludf.DUMMYFUNCTION("""COMPUTED_VALUE"""),"Основно-кислотные взаимодействия и их принципы")</f>
        <v>Основно-кислотные взаимодействия и их принципы</v>
      </c>
      <c r="B60" s="1">
        <f>IFERROR(__xludf.DUMMYFUNCTION("""COMPUTED_VALUE"""),75.0)</f>
        <v>75</v>
      </c>
      <c r="C60" s="1" t="str">
        <f>IFERROR(__xludf.DUMMYFUNCTION("""COMPUTED_VALUE"""),"Способы получения сернистого газа")</f>
        <v>Способы получения сернистого газа</v>
      </c>
      <c r="D60" s="1">
        <f>IFERROR(__xludf.DUMMYFUNCTION("""COMPUTED_VALUE"""),159.0)</f>
        <v>159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 t="str">
        <f>IFERROR(__xludf.DUMMYFUNCTION("""COMPUTED_VALUE"""),"Природные источники алканов")</f>
        <v>Природные источники алканов</v>
      </c>
      <c r="P60" s="1">
        <f>IFERROR(__xludf.DUMMYFUNCTION("""COMPUTED_VALUE"""),867.0)</f>
        <v>867</v>
      </c>
      <c r="Q60" s="1" t="str">
        <f>IFERROR(__xludf.DUMMYFUNCTION("""COMPUTED_VALUE"""),"Фруктоза как кетоноспирт")</f>
        <v>Фруктоза как кетоноспирт</v>
      </c>
      <c r="R60" s="1">
        <f>IFERROR(__xludf.DUMMYFUNCTION("""COMPUTED_VALUE"""),962.0)</f>
        <v>962</v>
      </c>
      <c r="S60" s="1"/>
      <c r="T60" s="1"/>
      <c r="U60" s="1"/>
      <c r="V60" s="1"/>
      <c r="W60" s="1"/>
      <c r="X60" s="1"/>
      <c r="Y60" s="1" t="str">
        <f>IFERROR(__xludf.DUMMYFUNCTION("""COMPUTED_VALUE"""),"Определение количества вещества из массового соотношения веществ")</f>
        <v>Определение количества вещества из массового соотношения веществ</v>
      </c>
      <c r="Z60" s="1">
        <f>IFERROR(__xludf.DUMMYFUNCTION("""COMPUTED_VALUE"""),1359.0)</f>
        <v>1359</v>
      </c>
      <c r="AA60" s="1"/>
      <c r="AB60" s="1"/>
    </row>
    <row r="61">
      <c r="A61" s="1" t="str">
        <f>IFERROR(__xludf.DUMMYFUNCTION("""COMPUTED_VALUE"""),"Квантовые числа")</f>
        <v>Квантовые числа</v>
      </c>
      <c r="B61" s="1">
        <f>IFERROR(__xludf.DUMMYFUNCTION("""COMPUTED_VALUE"""),76.0)</f>
        <v>76</v>
      </c>
      <c r="C61" s="1" t="str">
        <f>IFERROR(__xludf.DUMMYFUNCTION("""COMPUTED_VALUE"""),"Восстановительные свойства сернистого газа и сульфитов")</f>
        <v>Восстановительные свойства сернистого газа и сульфитов</v>
      </c>
      <c r="D61" s="1">
        <f>IFERROR(__xludf.DUMMYFUNCTION("""COMPUTED_VALUE"""),160.0)</f>
        <v>160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 t="str">
        <f>IFERROR(__xludf.DUMMYFUNCTION("""COMPUTED_VALUE"""),"Реакции электрофильного замещения аренов")</f>
        <v>Реакции электрофильного замещения аренов</v>
      </c>
      <c r="P61" s="1">
        <f>IFERROR(__xludf.DUMMYFUNCTION("""COMPUTED_VALUE"""),868.0)</f>
        <v>868</v>
      </c>
      <c r="Q61" s="1" t="str">
        <f>IFERROR(__xludf.DUMMYFUNCTION("""COMPUTED_VALUE"""),"Сахароза, мальтоза и лактоза")</f>
        <v>Сахароза, мальтоза и лактоза</v>
      </c>
      <c r="R61" s="1">
        <f>IFERROR(__xludf.DUMMYFUNCTION("""COMPUTED_VALUE"""),963.0)</f>
        <v>963</v>
      </c>
      <c r="S61" s="1"/>
      <c r="T61" s="1"/>
      <c r="U61" s="1"/>
      <c r="V61" s="1"/>
      <c r="W61" s="1"/>
      <c r="X61" s="1"/>
      <c r="Y61" s="1" t="str">
        <f>IFERROR(__xludf.DUMMYFUNCTION("""COMPUTED_VALUE"""),"Определение количества вещества из мольного соотношения веществ")</f>
        <v>Определение количества вещества из мольного соотношения веществ</v>
      </c>
      <c r="Z61" s="1">
        <f>IFERROR(__xludf.DUMMYFUNCTION("""COMPUTED_VALUE"""),1360.0)</f>
        <v>1360</v>
      </c>
      <c r="AA61" s="1"/>
      <c r="AB61" s="1"/>
    </row>
    <row r="62">
      <c r="A62" s="1" t="str">
        <f>IFERROR(__xludf.DUMMYFUNCTION("""COMPUTED_VALUE"""),"Элементарные частицы в составе атома")</f>
        <v>Элементарные частицы в составе атома</v>
      </c>
      <c r="B62" s="1">
        <f>IFERROR(__xludf.DUMMYFUNCTION("""COMPUTED_VALUE"""),77.0)</f>
        <v>77</v>
      </c>
      <c r="C62" s="1" t="str">
        <f>IFERROR(__xludf.DUMMYFUNCTION("""COMPUTED_VALUE"""),"Физические свойства серной кислоты")</f>
        <v>Физические свойства серной кислоты</v>
      </c>
      <c r="D62" s="1">
        <f>IFERROR(__xludf.DUMMYFUNCTION("""COMPUTED_VALUE"""),161.0)</f>
        <v>161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 t="str">
        <f>IFERROR(__xludf.DUMMYFUNCTION("""COMPUTED_VALUE"""),"Реакции окисления аренов")</f>
        <v>Реакции окисления аренов</v>
      </c>
      <c r="P62" s="1">
        <f>IFERROR(__xludf.DUMMYFUNCTION("""COMPUTED_VALUE"""),869.0)</f>
        <v>869</v>
      </c>
      <c r="Q62" s="1" t="str">
        <f>IFERROR(__xludf.DUMMYFUNCTION("""COMPUTED_VALUE"""),"Целлюлоза, ее строение и свойства")</f>
        <v>Целлюлоза, ее строение и свойства</v>
      </c>
      <c r="R62" s="1">
        <f>IFERROR(__xludf.DUMMYFUNCTION("""COMPUTED_VALUE"""),964.0)</f>
        <v>964</v>
      </c>
      <c r="S62" s="1"/>
      <c r="T62" s="1"/>
      <c r="U62" s="1"/>
      <c r="V62" s="1"/>
      <c r="W62" s="1"/>
      <c r="X62" s="1"/>
      <c r="Y62" s="1" t="str">
        <f>IFERROR(__xludf.DUMMYFUNCTION("""COMPUTED_VALUE"""),"Избыток и недостаток реагентов")</f>
        <v>Избыток и недостаток реагентов</v>
      </c>
      <c r="Z62" s="1">
        <f>IFERROR(__xludf.DUMMYFUNCTION("""COMPUTED_VALUE"""),1361.0)</f>
        <v>1361</v>
      </c>
      <c r="AA62" s="1"/>
      <c r="AB62" s="1"/>
    </row>
    <row r="63">
      <c r="A63" s="1" t="str">
        <f>IFERROR(__xludf.DUMMYFUNCTION("""COMPUTED_VALUE"""),"Кристаллические и аморфные вещества")</f>
        <v>Кристаллические и аморфные вещества</v>
      </c>
      <c r="B63" s="1">
        <f>IFERROR(__xludf.DUMMYFUNCTION("""COMPUTED_VALUE"""),78.0)</f>
        <v>78</v>
      </c>
      <c r="C63" s="1" t="str">
        <f>IFERROR(__xludf.DUMMYFUNCTION("""COMPUTED_VALUE"""),"Способы получения серной кислоты")</f>
        <v>Способы получения серной кислоты</v>
      </c>
      <c r="D63" s="1">
        <f>IFERROR(__xludf.DUMMYFUNCTION("""COMPUTED_VALUE"""),162.0)</f>
        <v>162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 t="str">
        <f>IFERROR(__xludf.DUMMYFUNCTION("""COMPUTED_VALUE"""),"Реакции полимеризации алкадиенов")</f>
        <v>Реакции полимеризации алкадиенов</v>
      </c>
      <c r="P63" s="1">
        <f>IFERROR(__xludf.DUMMYFUNCTION("""COMPUTED_VALUE"""),870.0)</f>
        <v>870</v>
      </c>
      <c r="Q63" s="1" t="str">
        <f>IFERROR(__xludf.DUMMYFUNCTION("""COMPUTED_VALUE"""),"Применение уксусной кислоты")</f>
        <v>Применение уксусной кислоты</v>
      </c>
      <c r="R63" s="1">
        <f>IFERROR(__xludf.DUMMYFUNCTION("""COMPUTED_VALUE"""),967.0)</f>
        <v>967</v>
      </c>
      <c r="S63" s="1"/>
      <c r="T63" s="1"/>
      <c r="U63" s="1"/>
      <c r="V63" s="1"/>
      <c r="W63" s="1"/>
      <c r="X63" s="1"/>
      <c r="Y63" s="1" t="str">
        <f>IFERROR(__xludf.DUMMYFUNCTION("""COMPUTED_VALUE"""),"Массовая доля элемента в веществе")</f>
        <v>Массовая доля элемента в веществе</v>
      </c>
      <c r="Z63" s="1">
        <f>IFERROR(__xludf.DUMMYFUNCTION("""COMPUTED_VALUE"""),1362.0)</f>
        <v>1362</v>
      </c>
      <c r="AA63" s="1"/>
      <c r="AB63" s="1"/>
    </row>
    <row r="64">
      <c r="A64" s="1" t="str">
        <f>IFERROR(__xludf.DUMMYFUNCTION("""COMPUTED_VALUE"""),"Общая характеристика и типы химической связи")</f>
        <v>Общая характеристика и типы химической связи</v>
      </c>
      <c r="B64" s="1">
        <f>IFERROR(__xludf.DUMMYFUNCTION("""COMPUTED_VALUE"""),79.0)</f>
        <v>79</v>
      </c>
      <c r="C64" s="1" t="str">
        <f>IFERROR(__xludf.DUMMYFUNCTION("""COMPUTED_VALUE"""),"Окислительные свойства сульфатов металлов")</f>
        <v>Окислительные свойства сульфатов металлов</v>
      </c>
      <c r="D64" s="1">
        <f>IFERROR(__xludf.DUMMYFUNCTION("""COMPUTED_VALUE"""),163.0)</f>
        <v>163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 t="str">
        <f>IFERROR(__xludf.DUMMYFUNCTION("""COMPUTED_VALUE"""),"Реакции окисления алкадиенов")</f>
        <v>Реакции окисления алкадиенов</v>
      </c>
      <c r="P64" s="1">
        <f>IFERROR(__xludf.DUMMYFUNCTION("""COMPUTED_VALUE"""),871.0)</f>
        <v>871</v>
      </c>
      <c r="Q64" s="1" t="str">
        <f>IFERROR(__xludf.DUMMYFUNCTION("""COMPUTED_VALUE"""),"Применение сложных эфиров в пищевой и парфюмерной промышленностях")</f>
        <v>Применение сложных эфиров в пищевой и парфюмерной промышленностях</v>
      </c>
      <c r="R64" s="1">
        <f>IFERROR(__xludf.DUMMYFUNCTION("""COMPUTED_VALUE"""),968.0)</f>
        <v>968</v>
      </c>
      <c r="S64" s="1"/>
      <c r="T64" s="1"/>
      <c r="U64" s="1"/>
      <c r="V64" s="1"/>
      <c r="W64" s="1"/>
      <c r="X64" s="1"/>
      <c r="Y64" s="1" t="str">
        <f>IFERROR(__xludf.DUMMYFUNCTION("""COMPUTED_VALUE"""),"Массовая доля вещества в растворе")</f>
        <v>Массовая доля вещества в растворе</v>
      </c>
      <c r="Z64" s="1">
        <f>IFERROR(__xludf.DUMMYFUNCTION("""COMPUTED_VALUE"""),1363.0)</f>
        <v>1363</v>
      </c>
      <c r="AA64" s="1"/>
      <c r="AB64" s="1"/>
    </row>
    <row r="65">
      <c r="A65" s="1" t="str">
        <f>IFERROR(__xludf.DUMMYFUNCTION("""COMPUTED_VALUE"""),"Атомный радиус как характеристика атома")</f>
        <v>Атомный радиус как характеристика атома</v>
      </c>
      <c r="B65" s="1">
        <f>IFERROR(__xludf.DUMMYFUNCTION("""COMPUTED_VALUE"""),80.0)</f>
        <v>80</v>
      </c>
      <c r="C65" s="1" t="str">
        <f>IFERROR(__xludf.DUMMYFUNCTION("""COMPUTED_VALUE"""),"Окислительные свойства концентрированной серной кислоты")</f>
        <v>Окислительные свойства концентрированной серной кислоты</v>
      </c>
      <c r="D65" s="1">
        <f>IFERROR(__xludf.DUMMYFUNCTION("""COMPUTED_VALUE"""),164.0)</f>
        <v>164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 t="str">
        <f>IFERROR(__xludf.DUMMYFUNCTION("""COMPUTED_VALUE"""),"Реакции ди-, три- и полимеризации алкинов")</f>
        <v>Реакции ди-, три- и полимеризации алкинов</v>
      </c>
      <c r="P65" s="1">
        <f>IFERROR(__xludf.DUMMYFUNCTION("""COMPUTED_VALUE"""),872.0)</f>
        <v>872</v>
      </c>
      <c r="Q65" s="1" t="str">
        <f>IFERROR(__xludf.DUMMYFUNCTION("""COMPUTED_VALUE"""),"Умение определять ангидриды карбоновых кислот")</f>
        <v>Умение определять ангидриды карбоновых кислот</v>
      </c>
      <c r="R65" s="1">
        <f>IFERROR(__xludf.DUMMYFUNCTION("""COMPUTED_VALUE"""),971.0)</f>
        <v>971</v>
      </c>
      <c r="S65" s="1"/>
      <c r="T65" s="1"/>
      <c r="U65" s="1"/>
      <c r="V65" s="1"/>
      <c r="W65" s="1"/>
      <c r="X65" s="1"/>
      <c r="Y65" s="1" t="str">
        <f>IFERROR(__xludf.DUMMYFUNCTION("""COMPUTED_VALUE"""),"Использование массовой доли в расчетах")</f>
        <v>Использование массовой доли в расчетах</v>
      </c>
      <c r="Z65" s="1">
        <f>IFERROR(__xludf.DUMMYFUNCTION("""COMPUTED_VALUE"""),1364.0)</f>
        <v>1364</v>
      </c>
      <c r="AA65" s="1"/>
      <c r="AB65" s="1"/>
    </row>
    <row r="66">
      <c r="A66" s="1" t="str">
        <f>IFERROR(__xludf.DUMMYFUNCTION("""COMPUTED_VALUE"""),"Энергия сродства к электрону как характеристика атома")</f>
        <v>Энергия сродства к электрону как характеристика атома</v>
      </c>
      <c r="B66" s="1">
        <f>IFERROR(__xludf.DUMMYFUNCTION("""COMPUTED_VALUE"""),81.0)</f>
        <v>81</v>
      </c>
      <c r="C66" s="1" t="str">
        <f>IFERROR(__xludf.DUMMYFUNCTION("""COMPUTED_VALUE"""),"Способы получения азотной кислоты")</f>
        <v>Способы получения азотной кислоты</v>
      </c>
      <c r="D66" s="1">
        <f>IFERROR(__xludf.DUMMYFUNCTION("""COMPUTED_VALUE"""),165.0)</f>
        <v>165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 t="str">
        <f>IFERROR(__xludf.DUMMYFUNCTION("""COMPUTED_VALUE"""),"Специфические реакции терминальных алкинов")</f>
        <v>Специфические реакции терминальных алкинов</v>
      </c>
      <c r="P66" s="1">
        <f>IFERROR(__xludf.DUMMYFUNCTION("""COMPUTED_VALUE"""),873.0)</f>
        <v>873</v>
      </c>
      <c r="Q66" s="1" t="str">
        <f>IFERROR(__xludf.DUMMYFUNCTION("""COMPUTED_VALUE"""),"Специфические свойства карбоновых кислот")</f>
        <v>Специфические свойства карбоновых кислот</v>
      </c>
      <c r="R66" s="1">
        <f>IFERROR(__xludf.DUMMYFUNCTION("""COMPUTED_VALUE"""),978.0)</f>
        <v>978</v>
      </c>
      <c r="S66" s="1"/>
      <c r="T66" s="1"/>
      <c r="U66" s="1"/>
      <c r="V66" s="1"/>
      <c r="W66" s="1"/>
      <c r="X66" s="1"/>
      <c r="Y66" s="1" t="str">
        <f>IFERROR(__xludf.DUMMYFUNCTION("""COMPUTED_VALUE"""),"Определение массовой доли вещества в растворе или смеси")</f>
        <v>Определение массовой доли вещества в растворе или смеси</v>
      </c>
      <c r="Z66" s="1">
        <f>IFERROR(__xludf.DUMMYFUNCTION("""COMPUTED_VALUE"""),1365.0)</f>
        <v>1365</v>
      </c>
      <c r="AA66" s="1"/>
      <c r="AB66" s="1"/>
    </row>
    <row r="67">
      <c r="A67" s="1" t="str">
        <f>IFERROR(__xludf.DUMMYFUNCTION("""COMPUTED_VALUE"""),"s-, p-, d-, f-элементы")</f>
        <v>s-, p-, d-, f-элементы</v>
      </c>
      <c r="B67" s="1">
        <f>IFERROR(__xludf.DUMMYFUNCTION("""COMPUTED_VALUE"""),82.0)</f>
        <v>82</v>
      </c>
      <c r="C67" s="1" t="str">
        <f>IFERROR(__xludf.DUMMYFUNCTION("""COMPUTED_VALUE"""),"Окислительные свойства азотной кислоты")</f>
        <v>Окислительные свойства азотной кислоты</v>
      </c>
      <c r="D67" s="1">
        <f>IFERROR(__xludf.DUMMYFUNCTION("""COMPUTED_VALUE"""),166.0)</f>
        <v>166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 t="str">
        <f>IFERROR(__xludf.DUMMYFUNCTION("""COMPUTED_VALUE"""),"Термические превращения алкенов")</f>
        <v>Термические превращения алкенов</v>
      </c>
      <c r="P67" s="1">
        <f>IFERROR(__xludf.DUMMYFUNCTION("""COMPUTED_VALUE"""),874.0)</f>
        <v>874</v>
      </c>
      <c r="Q67" s="1" t="str">
        <f>IFERROR(__xludf.DUMMYFUNCTION("""COMPUTED_VALUE"""),"Свойства солей карбоновых кислот")</f>
        <v>Свойства солей карбоновых кислот</v>
      </c>
      <c r="R67" s="1">
        <f>IFERROR(__xludf.DUMMYFUNCTION("""COMPUTED_VALUE"""),979.0)</f>
        <v>979</v>
      </c>
      <c r="S67" s="1"/>
      <c r="T67" s="1"/>
      <c r="U67" s="1"/>
      <c r="V67" s="1"/>
      <c r="W67" s="1"/>
      <c r="X67" s="1"/>
      <c r="Y67" s="1" t="str">
        <f>IFERROR(__xludf.DUMMYFUNCTION("""COMPUTED_VALUE"""),"Алгоритм вывода молекулярной формулы вещества по массовым долям элементов в веществе")</f>
        <v>Алгоритм вывода молекулярной формулы вещества по массовым долям элементов в веществе</v>
      </c>
      <c r="Z67" s="1">
        <f>IFERROR(__xludf.DUMMYFUNCTION("""COMPUTED_VALUE"""),1366.0)</f>
        <v>1366</v>
      </c>
      <c r="AA67" s="1"/>
      <c r="AB67" s="1"/>
    </row>
    <row r="68">
      <c r="A68" s="1" t="str">
        <f>IFERROR(__xludf.DUMMYFUNCTION("""COMPUTED_VALUE"""),"s-, p-, d-, f-электроны")</f>
        <v>s-, p-, d-, f-электроны</v>
      </c>
      <c r="B68" s="1">
        <f>IFERROR(__xludf.DUMMYFUNCTION("""COMPUTED_VALUE"""),83.0)</f>
        <v>83</v>
      </c>
      <c r="C68" s="1" t="str">
        <f>IFERROR(__xludf.DUMMYFUNCTION("""COMPUTED_VALUE"""),"Термическое разложение азотной кислоты и нитратов")</f>
        <v>Термическое разложение азотной кислоты и нитратов</v>
      </c>
      <c r="D68" s="1">
        <f>IFERROR(__xludf.DUMMYFUNCTION("""COMPUTED_VALUE"""),167.0)</f>
        <v>167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 t="str">
        <f>IFERROR(__xludf.DUMMYFUNCTION("""COMPUTED_VALUE"""),"Реакции полимеризации алкенов")</f>
        <v>Реакции полимеризации алкенов</v>
      </c>
      <c r="P68" s="1">
        <f>IFERROR(__xludf.DUMMYFUNCTION("""COMPUTED_VALUE"""),875.0)</f>
        <v>875</v>
      </c>
      <c r="Q68" s="1" t="str">
        <f>IFERROR(__xludf.DUMMYFUNCTION("""COMPUTED_VALUE"""),"Реакции полимеризации и поликонденсации альдегидов")</f>
        <v>Реакции полимеризации и поликонденсации альдегидов</v>
      </c>
      <c r="R68" s="1">
        <f>IFERROR(__xludf.DUMMYFUNCTION("""COMPUTED_VALUE"""),980.0)</f>
        <v>980</v>
      </c>
      <c r="S68" s="1"/>
      <c r="T68" s="1"/>
      <c r="U68" s="1"/>
      <c r="V68" s="1"/>
      <c r="W68" s="1"/>
      <c r="X68" s="1"/>
      <c r="Y68" s="1" t="str">
        <f>IFERROR(__xludf.DUMMYFUNCTION("""COMPUTED_VALUE"""),"Алгоритм вывода молекулярной формулы вещества по массе / объему продуктов сгорания вещества")</f>
        <v>Алгоритм вывода молекулярной формулы вещества по массе / объему продуктов сгорания вещества</v>
      </c>
      <c r="Z68" s="1">
        <f>IFERROR(__xludf.DUMMYFUNCTION("""COMPUTED_VALUE"""),1367.0)</f>
        <v>1367</v>
      </c>
      <c r="AA68" s="1"/>
      <c r="AB68" s="1"/>
    </row>
    <row r="69">
      <c r="A69" s="1" t="str">
        <f>IFERROR(__xludf.DUMMYFUNCTION("""COMPUTED_VALUE"""),"Особенности строения энергетических уровней атомов d-элементов")</f>
        <v>Особенности строения энергетических уровней атомов d-элементов</v>
      </c>
      <c r="B69" s="1">
        <f>IFERROR(__xludf.DUMMYFUNCTION("""COMPUTED_VALUE"""),84.0)</f>
        <v>84</v>
      </c>
      <c r="C69" s="1" t="str">
        <f>IFERROR(__xludf.DUMMYFUNCTION("""COMPUTED_VALUE"""),"Физические свойства азота")</f>
        <v>Физические свойства азота</v>
      </c>
      <c r="D69" s="1">
        <f>IFERROR(__xludf.DUMMYFUNCTION("""COMPUTED_VALUE"""),168.0)</f>
        <v>168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 t="str">
        <f>IFERROR(__xludf.DUMMYFUNCTION("""COMPUTED_VALUE"""),"Реакции замещения алкенов")</f>
        <v>Реакции замещения алкенов</v>
      </c>
      <c r="P69" s="1">
        <f>IFERROR(__xludf.DUMMYFUNCTION("""COMPUTED_VALUE"""),876.0)</f>
        <v>876</v>
      </c>
      <c r="Q69" s="1" t="str">
        <f>IFERROR(__xludf.DUMMYFUNCTION("""COMPUTED_VALUE"""),"Реакции окисления альдегидов")</f>
        <v>Реакции окисления альдегидов</v>
      </c>
      <c r="R69" s="1">
        <f>IFERROR(__xludf.DUMMYFUNCTION("""COMPUTED_VALUE"""),981.0)</f>
        <v>981</v>
      </c>
      <c r="S69" s="1"/>
      <c r="T69" s="1"/>
      <c r="U69" s="1"/>
      <c r="V69" s="1"/>
      <c r="W69" s="1"/>
      <c r="X69" s="1"/>
      <c r="Y69" s="1" t="str">
        <f>IFERROR(__xludf.DUMMYFUNCTION("""COMPUTED_VALUE"""),"Составление уравнения для решения задачи")</f>
        <v>Составление уравнения для решения задачи</v>
      </c>
      <c r="Z69" s="1">
        <f>IFERROR(__xludf.DUMMYFUNCTION("""COMPUTED_VALUE"""),1368.0)</f>
        <v>1368</v>
      </c>
      <c r="AA69" s="1"/>
      <c r="AB69" s="1"/>
    </row>
    <row r="70">
      <c r="A70" s="1" t="str">
        <f>IFERROR(__xludf.DUMMYFUNCTION("""COMPUTED_VALUE"""),"Периодический закон: суть и физический смысл")</f>
        <v>Периодический закон: суть и физический смысл</v>
      </c>
      <c r="B70" s="1">
        <f>IFERROR(__xludf.DUMMYFUNCTION("""COMPUTED_VALUE"""),85.0)</f>
        <v>85</v>
      </c>
      <c r="C70" s="1" t="str">
        <f>IFERROR(__xludf.DUMMYFUNCTION("""COMPUTED_VALUE"""),"Химические свойства азота как простого вещества")</f>
        <v>Химические свойства азота как простого вещества</v>
      </c>
      <c r="D70" s="1">
        <f>IFERROR(__xludf.DUMMYFUNCTION("""COMPUTED_VALUE"""),169.0)</f>
        <v>169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 t="str">
        <f>IFERROR(__xludf.DUMMYFUNCTION("""COMPUTED_VALUE"""),"Окисление алкенов")</f>
        <v>Окисление алкенов</v>
      </c>
      <c r="P70" s="1">
        <f>IFERROR(__xludf.DUMMYFUNCTION("""COMPUTED_VALUE"""),877.0)</f>
        <v>877</v>
      </c>
      <c r="Q70" s="1" t="str">
        <f>IFERROR(__xludf.DUMMYFUNCTION("""COMPUTED_VALUE"""),"Качественные реакции на альдегиды")</f>
        <v>Качественные реакции на альдегиды</v>
      </c>
      <c r="R70" s="1">
        <f>IFERROR(__xludf.DUMMYFUNCTION("""COMPUTED_VALUE"""),982.0)</f>
        <v>982</v>
      </c>
      <c r="S70" s="1"/>
      <c r="T70" s="1"/>
      <c r="U70" s="1"/>
      <c r="V70" s="1"/>
      <c r="W70" s="1"/>
      <c r="X70" s="1"/>
      <c r="Y70" s="1" t="str">
        <f>IFERROR(__xludf.DUMMYFUNCTION("""COMPUTED_VALUE"""),"Составление системы уравнений для решения задачи")</f>
        <v>Составление системы уравнений для решения задачи</v>
      </c>
      <c r="Z70" s="1">
        <f>IFERROR(__xludf.DUMMYFUNCTION("""COMPUTED_VALUE"""),1369.0)</f>
        <v>1369</v>
      </c>
      <c r="AA70" s="1"/>
      <c r="AB70" s="1"/>
    </row>
    <row r="71">
      <c r="A71" s="1" t="str">
        <f>IFERROR(__xludf.DUMMYFUNCTION("""COMPUTED_VALUE"""),"Металлические/неметаллические свойства как характеристика простого вещества")</f>
        <v>Металлические/неметаллические свойства как характеристика простого вещества</v>
      </c>
      <c r="B71" s="1">
        <f>IFERROR(__xludf.DUMMYFUNCTION("""COMPUTED_VALUE"""),86.0)</f>
        <v>86</v>
      </c>
      <c r="C71" s="1" t="str">
        <f>IFERROR(__xludf.DUMMYFUNCTION("""COMPUTED_VALUE"""),"Физические свойства аммиака")</f>
        <v>Физические свойства аммиака</v>
      </c>
      <c r="D71" s="1">
        <f>IFERROR(__xludf.DUMMYFUNCTION("""COMPUTED_VALUE"""),170.0)</f>
        <v>170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 t="str">
        <f>IFERROR(__xludf.DUMMYFUNCTION("""COMPUTED_VALUE"""),"Реакции окисления алканов")</f>
        <v>Реакции окисления алканов</v>
      </c>
      <c r="P71" s="1">
        <f>IFERROR(__xludf.DUMMYFUNCTION("""COMPUTED_VALUE"""),878.0)</f>
        <v>878</v>
      </c>
      <c r="Q71" s="1" t="str">
        <f>IFERROR(__xludf.DUMMYFUNCTION("""COMPUTED_VALUE"""),"Качественные реакции на фенолы")</f>
        <v>Качественные реакции на фенолы</v>
      </c>
      <c r="R71" s="1">
        <f>IFERROR(__xludf.DUMMYFUNCTION("""COMPUTED_VALUE"""),983.0)</f>
        <v>983</v>
      </c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 t="str">
        <f>IFERROR(__xludf.DUMMYFUNCTION("""COMPUTED_VALUE"""),"Восстановительные/окислительные свойства как характеристика атома")</f>
        <v>Восстановительные/окислительные свойства как характеристика атома</v>
      </c>
      <c r="B72" s="1">
        <f>IFERROR(__xludf.DUMMYFUNCTION("""COMPUTED_VALUE"""),87.0)</f>
        <v>87</v>
      </c>
      <c r="C72" s="1" t="str">
        <f>IFERROR(__xludf.DUMMYFUNCTION("""COMPUTED_VALUE"""),"Способы получения аммиака")</f>
        <v>Способы получения аммиака</v>
      </c>
      <c r="D72" s="1">
        <f>IFERROR(__xludf.DUMMYFUNCTION("""COMPUTED_VALUE"""),171.0)</f>
        <v>171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 t="str">
        <f>IFERROR(__xludf.DUMMYFUNCTION("""COMPUTED_VALUE"""),"Термические превращения алканов")</f>
        <v>Термические превращения алканов</v>
      </c>
      <c r="P72" s="1">
        <f>IFERROR(__xludf.DUMMYFUNCTION("""COMPUTED_VALUE"""),879.0)</f>
        <v>879</v>
      </c>
      <c r="Q72" s="1" t="str">
        <f>IFERROR(__xludf.DUMMYFUNCTION("""COMPUTED_VALUE"""),"Реакции замещения спиртов с разрывом связи С-О")</f>
        <v>Реакции замещения спиртов с разрывом связи С-О</v>
      </c>
      <c r="R72" s="1">
        <f>IFERROR(__xludf.DUMMYFUNCTION("""COMPUTED_VALUE"""),984.0)</f>
        <v>984</v>
      </c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 t="str">
        <f>IFERROR(__xludf.DUMMYFUNCTION("""COMPUTED_VALUE"""),"Основные/кислотные свойства как характеристика соединений высших оксидов и гидроксидов")</f>
        <v>Основные/кислотные свойства как характеристика соединений высших оксидов и гидроксидов</v>
      </c>
      <c r="B73" s="1">
        <f>IFERROR(__xludf.DUMMYFUNCTION("""COMPUTED_VALUE"""),88.0)</f>
        <v>88</v>
      </c>
      <c r="C73" s="1" t="str">
        <f>IFERROR(__xludf.DUMMYFUNCTION("""COMPUTED_VALUE"""),"Основные свойства раствора аммиака (нашатырного спирта)")</f>
        <v>Основные свойства раствора аммиака (нашатырного спирта)</v>
      </c>
      <c r="D73" s="1">
        <f>IFERROR(__xludf.DUMMYFUNCTION("""COMPUTED_VALUE"""),172.0)</f>
        <v>172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 t="str">
        <f>IFERROR(__xludf.DUMMYFUNCTION("""COMPUTED_VALUE"""),"Общая характеристика стирола и его гомологов")</f>
        <v>Общая характеристика стирола и его гомологов</v>
      </c>
      <c r="P73" s="1">
        <f>IFERROR(__xludf.DUMMYFUNCTION("""COMPUTED_VALUE"""),880.0)</f>
        <v>880</v>
      </c>
      <c r="Q73" s="1" t="str">
        <f>IFERROR(__xludf.DUMMYFUNCTION("""COMPUTED_VALUE"""),"Реакции окисления спиртов с участием меди и ее соединений")</f>
        <v>Реакции окисления спиртов с участием меди и ее соединений</v>
      </c>
      <c r="R73" s="1">
        <f>IFERROR(__xludf.DUMMYFUNCTION("""COMPUTED_VALUE"""),985.0)</f>
        <v>985</v>
      </c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 t="str">
        <f>IFERROR(__xludf.DUMMYFUNCTION("""COMPUTED_VALUE"""),"Основные/кислотные свойства как характеристика водородных соединений")</f>
        <v>Основные/кислотные свойства как характеристика водородных соединений</v>
      </c>
      <c r="B74" s="1">
        <f>IFERROR(__xludf.DUMMYFUNCTION("""COMPUTED_VALUE"""),89.0)</f>
        <v>89</v>
      </c>
      <c r="C74" s="1" t="str">
        <f>IFERROR(__xludf.DUMMYFUNCTION("""COMPUTED_VALUE"""),"Восстановительные свойства аммиака")</f>
        <v>Восстановительные свойства аммиака</v>
      </c>
      <c r="D74" s="1">
        <f>IFERROR(__xludf.DUMMYFUNCTION("""COMPUTED_VALUE"""),173.0)</f>
        <v>173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 t="str">
        <f>IFERROR(__xludf.DUMMYFUNCTION("""COMPUTED_VALUE"""),"Химические свойства стирола")</f>
        <v>Химические свойства стирола</v>
      </c>
      <c r="P74" s="1">
        <f>IFERROR(__xludf.DUMMYFUNCTION("""COMPUTED_VALUE"""),881.0)</f>
        <v>881</v>
      </c>
      <c r="Q74" s="1" t="str">
        <f>IFERROR(__xludf.DUMMYFUNCTION("""COMPUTED_VALUE"""),"Качественные реакции на предельные одноатомные спирты")</f>
        <v>Качественные реакции на предельные одноатомные спирты</v>
      </c>
      <c r="R74" s="1">
        <f>IFERROR(__xludf.DUMMYFUNCTION("""COMPUTED_VALUE"""),986.0)</f>
        <v>986</v>
      </c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 t="str">
        <f>IFERROR(__xludf.DUMMYFUNCTION("""COMPUTED_VALUE"""),"Распределение электронов по энергетическим уровням")</f>
        <v>Распределение электронов по энергетическим уровням</v>
      </c>
      <c r="B75" s="1">
        <f>IFERROR(__xludf.DUMMYFUNCTION("""COMPUTED_VALUE"""),90.0)</f>
        <v>90</v>
      </c>
      <c r="C75" s="1" t="str">
        <f>IFERROR(__xludf.DUMMYFUNCTION("""COMPUTED_VALUE"""),"Общая характеристика оксидов азота")</f>
        <v>Общая характеристика оксидов азота</v>
      </c>
      <c r="D75" s="1">
        <f>IFERROR(__xludf.DUMMYFUNCTION("""COMPUTED_VALUE"""),174.0)</f>
        <v>174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 t="str">
        <f>IFERROR(__xludf.DUMMYFUNCTION("""COMPUTED_VALUE"""),"Качественные реакции на стирол")</f>
        <v>Качественные реакции на стирол</v>
      </c>
      <c r="P75" s="1">
        <f>IFERROR(__xludf.DUMMYFUNCTION("""COMPUTED_VALUE"""),882.0)</f>
        <v>882</v>
      </c>
      <c r="Q75" s="1" t="str">
        <f>IFERROR(__xludf.DUMMYFUNCTION("""COMPUTED_VALUE"""),"Номенклатура предельных многоатомных спиртов")</f>
        <v>Номенклатура предельных многоатомных спиртов</v>
      </c>
      <c r="R75" s="1">
        <f>IFERROR(__xludf.DUMMYFUNCTION("""COMPUTED_VALUE"""),987.0)</f>
        <v>987</v>
      </c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 t="str">
        <f>IFERROR(__xludf.DUMMYFUNCTION("""COMPUTED_VALUE"""),"Строение электронных оболочек")</f>
        <v>Строение электронных оболочек</v>
      </c>
      <c r="B76" s="1">
        <f>IFERROR(__xludf.DUMMYFUNCTION("""COMPUTED_VALUE"""),91.0)</f>
        <v>91</v>
      </c>
      <c r="C76" s="1" t="str">
        <f>IFERROR(__xludf.DUMMYFUNCTION("""COMPUTED_VALUE"""),"Физические свойства окисдов азота")</f>
        <v>Физические свойства окисдов азота</v>
      </c>
      <c r="D76" s="1">
        <f>IFERROR(__xludf.DUMMYFUNCTION("""COMPUTED_VALUE"""),175.0)</f>
        <v>175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 t="str">
        <f>IFERROR(__xludf.DUMMYFUNCTION("""COMPUTED_VALUE"""),"Способы получения стирола")</f>
        <v>Способы получения стирола</v>
      </c>
      <c r="P76" s="1">
        <f>IFERROR(__xludf.DUMMYFUNCTION("""COMPUTED_VALUE"""),883.0)</f>
        <v>883</v>
      </c>
      <c r="Q76" s="1" t="str">
        <f>IFERROR(__xludf.DUMMYFUNCTION("""COMPUTED_VALUE"""),"Реакции дегидратации спиртов")</f>
        <v>Реакции дегидратации спиртов</v>
      </c>
      <c r="R76" s="1">
        <f>IFERROR(__xludf.DUMMYFUNCTION("""COMPUTED_VALUE"""),988.0)</f>
        <v>988</v>
      </c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 t="str">
        <f>IFERROR(__xludf.DUMMYFUNCTION("""COMPUTED_VALUE"""),"Формы атомных орбиталей")</f>
        <v>Формы атомных орбиталей</v>
      </c>
      <c r="B77" s="1">
        <f>IFERROR(__xludf.DUMMYFUNCTION("""COMPUTED_VALUE"""),92.0)</f>
        <v>92</v>
      </c>
      <c r="C77" s="1" t="str">
        <f>IFERROR(__xludf.DUMMYFUNCTION("""COMPUTED_VALUE"""),"Специфические свойства оксида азота(I)")</f>
        <v>Специфические свойства оксида азота(I)</v>
      </c>
      <c r="D77" s="1">
        <f>IFERROR(__xludf.DUMMYFUNCTION("""COMPUTED_VALUE"""),176.0)</f>
        <v>176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 t="str">
        <f>IFERROR(__xludf.DUMMYFUNCTION("""COMPUTED_VALUE"""),"Применение стирола")</f>
        <v>Применение стирола</v>
      </c>
      <c r="P77" s="1">
        <f>IFERROR(__xludf.DUMMYFUNCTION("""COMPUTED_VALUE"""),884.0)</f>
        <v>884</v>
      </c>
      <c r="Q77" s="1" t="str">
        <f>IFERROR(__xludf.DUMMYFUNCTION("""COMPUTED_VALUE"""),"Реакция этерификации спиртов с кислотами")</f>
        <v>Реакция этерификации спиртов с кислотами</v>
      </c>
      <c r="R77" s="1">
        <f>IFERROR(__xludf.DUMMYFUNCTION("""COMPUTED_VALUE"""),989.0)</f>
        <v>989</v>
      </c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 t="str">
        <f>IFERROR(__xludf.DUMMYFUNCTION("""COMPUTED_VALUE"""),"Правила заполнения электронами энергетических уровней, подуровней и орбиталей")</f>
        <v>Правила заполнения электронами энергетических уровней, подуровней и орбиталей</v>
      </c>
      <c r="B78" s="1">
        <f>IFERROR(__xludf.DUMMYFUNCTION("""COMPUTED_VALUE"""),93.0)</f>
        <v>93</v>
      </c>
      <c r="C78" s="1" t="str">
        <f>IFERROR(__xludf.DUMMYFUNCTION("""COMPUTED_VALUE"""),"Специфические свойства оксида азота(II)")</f>
        <v>Специфические свойства оксида азота(II)</v>
      </c>
      <c r="D78" s="1">
        <f>IFERROR(__xludf.DUMMYFUNCTION("""COMPUTED_VALUE"""),177.0)</f>
        <v>177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 t="str">
        <f>IFERROR(__xludf.DUMMYFUNCTION("""COMPUTED_VALUE"""),"Полистирол, бутадиен-стирольный каучук")</f>
        <v>Полистирол, бутадиен-стирольный каучук</v>
      </c>
      <c r="P78" s="1">
        <f>IFERROR(__xludf.DUMMYFUNCTION("""COMPUTED_VALUE"""),885.0)</f>
        <v>885</v>
      </c>
      <c r="Q78" s="1" t="str">
        <f>IFERROR(__xludf.DUMMYFUNCTION("""COMPUTED_VALUE"""),"Реакция Вильямсона как способ получения простых эфиров")</f>
        <v>Реакция Вильямсона как способ получения простых эфиров</v>
      </c>
      <c r="R78" s="1">
        <f>IFERROR(__xludf.DUMMYFUNCTION("""COMPUTED_VALUE"""),990.0)</f>
        <v>990</v>
      </c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 t="str">
        <f>IFERROR(__xludf.DUMMYFUNCTION("""COMPUTED_VALUE"""),"Правила заполнения электронами энергетических уровней, подуровней и орбиталей")</f>
        <v>Правила заполнения электронами энергетических уровней, подуровней и орбиталей</v>
      </c>
      <c r="B79" s="1">
        <f>IFERROR(__xludf.DUMMYFUNCTION("""COMPUTED_VALUE"""),94.0)</f>
        <v>94</v>
      </c>
      <c r="C79" s="1" t="str">
        <f>IFERROR(__xludf.DUMMYFUNCTION("""COMPUTED_VALUE"""),"Специфические свойства оксида азота(IV)")</f>
        <v>Специфические свойства оксида азота(IV)</v>
      </c>
      <c r="D79" s="1">
        <f>IFERROR(__xludf.DUMMYFUNCTION("""COMPUTED_VALUE"""),178.0)</f>
        <v>178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 t="str">
        <f>IFERROR(__xludf.DUMMYFUNCTION("""COMPUTED_VALUE"""),"Реакции окисления алкинов")</f>
        <v>Реакции окисления алкинов</v>
      </c>
      <c r="P79" s="1">
        <f>IFERROR(__xludf.DUMMYFUNCTION("""COMPUTED_VALUE"""),886.0)</f>
        <v>886</v>
      </c>
      <c r="Q79" s="1" t="str">
        <f>IFERROR(__xludf.DUMMYFUNCTION("""COMPUTED_VALUE"""),"Общая характеристика и номенклатура простых эфиров")</f>
        <v>Общая характеристика и номенклатура простых эфиров</v>
      </c>
      <c r="R79" s="1">
        <f>IFERROR(__xludf.DUMMYFUNCTION("""COMPUTED_VALUE"""),991.0)</f>
        <v>991</v>
      </c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 t="str">
        <f>IFERROR(__xludf.DUMMYFUNCTION("""COMPUTED_VALUE"""),"Правила изображения электронно-графических формул")</f>
        <v>Правила изображения электронно-графических формул</v>
      </c>
      <c r="B80" s="1">
        <f>IFERROR(__xludf.DUMMYFUNCTION("""COMPUTED_VALUE"""),95.0)</f>
        <v>95</v>
      </c>
      <c r="C80" s="1" t="str">
        <f>IFERROR(__xludf.DUMMYFUNCTION("""COMPUTED_VALUE"""),"Окислительно-восстановительные свойства нитритов металлов")</f>
        <v>Окислительно-восстановительные свойства нитритов металлов</v>
      </c>
      <c r="D80" s="1">
        <f>IFERROR(__xludf.DUMMYFUNCTION("""COMPUTED_VALUE"""),179.0)</f>
        <v>179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 t="str">
        <f>IFERROR(__xludf.DUMMYFUNCTION("""COMPUTED_VALUE"""),"Полиэтилен, полипропилен")</f>
        <v>Полиэтилен, полипропилен</v>
      </c>
      <c r="P80" s="1">
        <f>IFERROR(__xludf.DUMMYFUNCTION("""COMPUTED_VALUE"""),887.0)</f>
        <v>887</v>
      </c>
      <c r="Q80" s="1" t="str">
        <f>IFERROR(__xludf.DUMMYFUNCTION("""COMPUTED_VALUE"""),"Общая характеристика и классификация жиров")</f>
        <v>Общая характеристика и классификация жиров</v>
      </c>
      <c r="R80" s="1">
        <f>IFERROR(__xludf.DUMMYFUNCTION("""COMPUTED_VALUE"""),992.0)</f>
        <v>992</v>
      </c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 t="str">
        <f>IFERROR(__xludf.DUMMYFUNCTION("""COMPUTED_VALUE"""),"Правила составления электронных формул")</f>
        <v>Правила составления электронных формул</v>
      </c>
      <c r="B81" s="1">
        <f>IFERROR(__xludf.DUMMYFUNCTION("""COMPUTED_VALUE"""),96.0)</f>
        <v>96</v>
      </c>
      <c r="C81" s="1" t="str">
        <f>IFERROR(__xludf.DUMMYFUNCTION("""COMPUTED_VALUE"""),"Окислительные свойства нитратов металлов")</f>
        <v>Окислительные свойства нитратов металлов</v>
      </c>
      <c r="D81" s="1">
        <f>IFERROR(__xludf.DUMMYFUNCTION("""COMPUTED_VALUE"""),180.0)</f>
        <v>180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 t="str">
        <f>IFERROR(__xludf.DUMMYFUNCTION("""COMPUTED_VALUE"""),"Общие способы получения алканов")</f>
        <v>Общие способы получения алканов</v>
      </c>
      <c r="P81" s="1">
        <f>IFERROR(__xludf.DUMMYFUNCTION("""COMPUTED_VALUE"""),888.0)</f>
        <v>888</v>
      </c>
      <c r="Q81" s="1" t="str">
        <f>IFERROR(__xludf.DUMMYFUNCTION("""COMPUTED_VALUE"""),"Особенности строения жиров")</f>
        <v>Особенности строения жиров</v>
      </c>
      <c r="R81" s="1">
        <f>IFERROR(__xludf.DUMMYFUNCTION("""COMPUTED_VALUE"""),993.0)</f>
        <v>993</v>
      </c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 t="str">
        <f>IFERROR(__xludf.DUMMYFUNCTION("""COMPUTED_VALUE"""),"Электроотрицательность как характеристика атома")</f>
        <v>Электроотрицательность как характеристика атома</v>
      </c>
      <c r="B82" s="1">
        <f>IFERROR(__xludf.DUMMYFUNCTION("""COMPUTED_VALUE"""),97.0)</f>
        <v>97</v>
      </c>
      <c r="C82" s="1" t="str">
        <f>IFERROR(__xludf.DUMMYFUNCTION("""COMPUTED_VALUE"""),"Аллотропные модификации фосфора")</f>
        <v>Аллотропные модификации фосфора</v>
      </c>
      <c r="D82" s="1">
        <f>IFERROR(__xludf.DUMMYFUNCTION("""COMPUTED_VALUE"""),181.0)</f>
        <v>181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 t="str">
        <f>IFERROR(__xludf.DUMMYFUNCTION("""COMPUTED_VALUE"""),"Специфические способы получения метана")</f>
        <v>Специфические способы получения метана</v>
      </c>
      <c r="P82" s="1">
        <f>IFERROR(__xludf.DUMMYFUNCTION("""COMPUTED_VALUE"""),889.0)</f>
        <v>889</v>
      </c>
      <c r="Q82" s="1" t="str">
        <f>IFERROR(__xludf.DUMMYFUNCTION("""COMPUTED_VALUE"""),"Номенклатура жиров")</f>
        <v>Номенклатура жиров</v>
      </c>
      <c r="R82" s="1">
        <f>IFERROR(__xludf.DUMMYFUNCTION("""COMPUTED_VALUE"""),994.0)</f>
        <v>994</v>
      </c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 t="str">
        <f>IFERROR(__xludf.DUMMYFUNCTION("""COMPUTED_VALUE"""),"Энергия ионизации как характеристика атома")</f>
        <v>Энергия ионизации как характеристика атома</v>
      </c>
      <c r="B83" s="1">
        <f>IFERROR(__xludf.DUMMYFUNCTION("""COMPUTED_VALUE"""),98.0)</f>
        <v>98</v>
      </c>
      <c r="C83" s="1" t="str">
        <f>IFERROR(__xludf.DUMMYFUNCTION("""COMPUTED_VALUE"""),"Физические свойства фосфора")</f>
        <v>Физические свойства фосфора</v>
      </c>
      <c r="D83" s="1">
        <f>IFERROR(__xludf.DUMMYFUNCTION("""COMPUTED_VALUE"""),182.0)</f>
        <v>182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 t="str">
        <f>IFERROR(__xludf.DUMMYFUNCTION("""COMPUTED_VALUE"""),"Реакции малых циклоалканов")</f>
        <v>Реакции малых циклоалканов</v>
      </c>
      <c r="P83" s="1">
        <f>IFERROR(__xludf.DUMMYFUNCTION("""COMPUTED_VALUE"""),890.0)</f>
        <v>890</v>
      </c>
      <c r="Q83" s="1" t="str">
        <f>IFERROR(__xludf.DUMMYFUNCTION("""COMPUTED_VALUE"""),"Способы получения жиров")</f>
        <v>Способы получения жиров</v>
      </c>
      <c r="R83" s="1">
        <f>IFERROR(__xludf.DUMMYFUNCTION("""COMPUTED_VALUE"""),995.0)</f>
        <v>995</v>
      </c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 t="str">
        <f>IFERROR(__xludf.DUMMYFUNCTION("""COMPUTED_VALUE"""),"Ковалентная полярная связь")</f>
        <v>Ковалентная полярная связь</v>
      </c>
      <c r="B84" s="1">
        <f>IFERROR(__xludf.DUMMYFUNCTION("""COMPUTED_VALUE"""),99.0)</f>
        <v>99</v>
      </c>
      <c r="C84" s="1" t="str">
        <f>IFERROR(__xludf.DUMMYFUNCTION("""COMPUTED_VALUE"""),"Химические свойства фосфора как простого вещества")</f>
        <v>Химические свойства фосфора как простого вещества</v>
      </c>
      <c r="D84" s="1">
        <f>IFERROR(__xludf.DUMMYFUNCTION("""COMPUTED_VALUE"""),183.0)</f>
        <v>183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 t="str">
        <f>IFERROR(__xludf.DUMMYFUNCTION("""COMPUTED_VALUE"""),"Реакции больших циклоалканов")</f>
        <v>Реакции больших циклоалканов</v>
      </c>
      <c r="P84" s="1">
        <f>IFERROR(__xludf.DUMMYFUNCTION("""COMPUTED_VALUE"""),891.0)</f>
        <v>891</v>
      </c>
      <c r="Q84" s="1" t="str">
        <f>IFERROR(__xludf.DUMMYFUNCTION("""COMPUTED_VALUE"""),"Мыла и их моющее действие")</f>
        <v>Мыла и их моющее действие</v>
      </c>
      <c r="R84" s="1">
        <f>IFERROR(__xludf.DUMMYFUNCTION("""COMPUTED_VALUE"""),996.0)</f>
        <v>996</v>
      </c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 t="str">
        <f>IFERROR(__xludf.DUMMYFUNCTION("""COMPUTED_VALUE"""),"Ковалентная неполярная связь")</f>
        <v>Ковалентная неполярная связь</v>
      </c>
      <c r="B85" s="1">
        <f>IFERROR(__xludf.DUMMYFUNCTION("""COMPUTED_VALUE"""),601.0)</f>
        <v>601</v>
      </c>
      <c r="C85" s="1" t="str">
        <f>IFERROR(__xludf.DUMMYFUNCTION("""COMPUTED_VALUE"""),"Физические свойства фосфина")</f>
        <v>Физические свойства фосфина</v>
      </c>
      <c r="D85" s="1">
        <f>IFERROR(__xludf.DUMMYFUNCTION("""COMPUTED_VALUE"""),184.0)</f>
        <v>184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 t="str">
        <f>IFERROR(__xludf.DUMMYFUNCTION("""COMPUTED_VALUE"""),"Реакции окисления циклоалканов")</f>
        <v>Реакции окисления циклоалканов</v>
      </c>
      <c r="P85" s="1">
        <f>IFERROR(__xludf.DUMMYFUNCTION("""COMPUTED_VALUE"""),892.0)</f>
        <v>892</v>
      </c>
      <c r="Q85" s="1" t="str">
        <f>IFERROR(__xludf.DUMMYFUNCTION("""COMPUTED_VALUE"""),"Специфические способы получения метаналя и этаналя")</f>
        <v>Специфические способы получения метаналя и этаналя</v>
      </c>
      <c r="R85" s="1">
        <f>IFERROR(__xludf.DUMMYFUNCTION("""COMPUTED_VALUE"""),997.0)</f>
        <v>997</v>
      </c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 t="str">
        <f>IFERROR(__xludf.DUMMYFUNCTION("""COMPUTED_VALUE"""),"Валентность химических элементов")</f>
        <v>Валентность химических элементов</v>
      </c>
      <c r="B86" s="1">
        <f>IFERROR(__xludf.DUMMYFUNCTION("""COMPUTED_VALUE"""),602.0)</f>
        <v>602</v>
      </c>
      <c r="C86" s="1" t="str">
        <f>IFERROR(__xludf.DUMMYFUNCTION("""COMPUTED_VALUE"""),"Способы получения фосфина")</f>
        <v>Способы получения фосфина</v>
      </c>
      <c r="D86" s="1">
        <f>IFERROR(__xludf.DUMMYFUNCTION("""COMPUTED_VALUE"""),185.0)</f>
        <v>185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 t="str">
        <f>IFERROR(__xludf.DUMMYFUNCTION("""COMPUTED_VALUE"""),"Реакции присоединения алкенов")</f>
        <v>Реакции присоединения алкенов</v>
      </c>
      <c r="P86" s="1">
        <f>IFERROR(__xludf.DUMMYFUNCTION("""COMPUTED_VALUE"""),893.0)</f>
        <v>893</v>
      </c>
      <c r="Q86" s="1" t="str">
        <f>IFERROR(__xludf.DUMMYFUNCTION("""COMPUTED_VALUE"""),"Фенолформальдегидная смола")</f>
        <v>Фенолформальдегидная смола</v>
      </c>
      <c r="R86" s="1">
        <f>IFERROR(__xludf.DUMMYFUNCTION("""COMPUTED_VALUE"""),998.0)</f>
        <v>998</v>
      </c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 t="str">
        <f>IFERROR(__xludf.DUMMYFUNCTION("""COMPUTED_VALUE"""),"Валентные возможности кислорода, азота, фтора")</f>
        <v>Валентные возможности кислорода, азота, фтора</v>
      </c>
      <c r="B87" s="1">
        <f>IFERROR(__xludf.DUMMYFUNCTION("""COMPUTED_VALUE"""),603.0)</f>
        <v>603</v>
      </c>
      <c r="C87" s="1" t="str">
        <f>IFERROR(__xludf.DUMMYFUNCTION("""COMPUTED_VALUE"""),"Химические свойства фосфина")</f>
        <v>Химические свойства фосфина</v>
      </c>
      <c r="D87" s="1">
        <f>IFERROR(__xludf.DUMMYFUNCTION("""COMPUTED_VALUE"""),186.0)</f>
        <v>186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 t="str">
        <f>IFERROR(__xludf.DUMMYFUNCTION("""COMPUTED_VALUE"""),"Правило Марковникова")</f>
        <v>Правило Марковникова</v>
      </c>
      <c r="P87" s="1">
        <f>IFERROR(__xludf.DUMMYFUNCTION("""COMPUTED_VALUE"""),894.0)</f>
        <v>894</v>
      </c>
      <c r="Q87" s="1" t="str">
        <f>IFERROR(__xludf.DUMMYFUNCTION("""COMPUTED_VALUE"""),"Специфические способы получения муравьиной и уксусной кислот")</f>
        <v>Специфические способы получения муравьиной и уксусной кислот</v>
      </c>
      <c r="R87" s="1">
        <f>IFERROR(__xludf.DUMMYFUNCTION("""COMPUTED_VALUE"""),999.0)</f>
        <v>999</v>
      </c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 t="str">
        <f>IFERROR(__xludf.DUMMYFUNCTION("""COMPUTED_VALUE"""),"Закономерности изменения валентности по периодической системе")</f>
        <v>Закономерности изменения валентности по периодической системе</v>
      </c>
      <c r="B88" s="1">
        <f>IFERROR(__xludf.DUMMYFUNCTION("""COMPUTED_VALUE"""),604.0)</f>
        <v>604</v>
      </c>
      <c r="C88" s="1" t="str">
        <f>IFERROR(__xludf.DUMMYFUNCTION("""COMPUTED_VALUE"""),"Общая характеристика оксидов фосфора")</f>
        <v>Общая характеристика оксидов фосфора</v>
      </c>
      <c r="D88" s="1">
        <f>IFERROR(__xludf.DUMMYFUNCTION("""COMPUTED_VALUE"""),187.0)</f>
        <v>187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 t="str">
        <f>IFERROR(__xludf.DUMMYFUNCTION("""COMPUTED_VALUE"""),"Качественные реакции на алкены")</f>
        <v>Качественные реакции на алкены</v>
      </c>
      <c r="P88" s="1">
        <f>IFERROR(__xludf.DUMMYFUNCTION("""COMPUTED_VALUE"""),895.0)</f>
        <v>895</v>
      </c>
      <c r="Q88" s="1" t="str">
        <f>IFERROR(__xludf.DUMMYFUNCTION("""COMPUTED_VALUE"""),"Реакции брожения глюкозы")</f>
        <v>Реакции брожения глюкозы</v>
      </c>
      <c r="R88" s="1">
        <f>IFERROR(__xludf.DUMMYFUNCTION("""COMPUTED_VALUE"""),1.0000764E7)</f>
        <v>10000764</v>
      </c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 t="str">
        <f>IFERROR(__xludf.DUMMYFUNCTION("""COMPUTED_VALUE"""),"Высшая и низшая валентность")</f>
        <v>Высшая и низшая валентность</v>
      </c>
      <c r="B89" s="1">
        <f>IFERROR(__xludf.DUMMYFUNCTION("""COMPUTED_VALUE"""),605.0)</f>
        <v>605</v>
      </c>
      <c r="C89" s="1" t="str">
        <f>IFERROR(__xludf.DUMMYFUNCTION("""COMPUTED_VALUE"""),"Общая характеристика кислородсодержащих кислот фосфора и их солей")</f>
        <v>Общая характеристика кислородсодержащих кислот фосфора и их солей</v>
      </c>
      <c r="D89" s="1">
        <f>IFERROR(__xludf.DUMMYFUNCTION("""COMPUTED_VALUE"""),188.0)</f>
        <v>188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 t="str">
        <f>IFERROR(__xludf.DUMMYFUNCTION("""COMPUTED_VALUE"""),"Общие способы получения алкенов")</f>
        <v>Общие способы получения алкенов</v>
      </c>
      <c r="P89" s="1">
        <f>IFERROR(__xludf.DUMMYFUNCTION("""COMPUTED_VALUE"""),896.0)</f>
        <v>896</v>
      </c>
      <c r="Q89" s="1" t="str">
        <f>IFERROR(__xludf.DUMMYFUNCTION("""COMPUTED_VALUE"""),"Качественные реакции на углеводы")</f>
        <v>Качественные реакции на углеводы</v>
      </c>
      <c r="R89" s="1">
        <f>IFERROR(__xludf.DUMMYFUNCTION("""COMPUTED_VALUE"""),1.0000765E7)</f>
        <v>10000765</v>
      </c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 t="str">
        <f>IFERROR(__xludf.DUMMYFUNCTION("""COMPUTED_VALUE"""),"Особые случаи образования высшей валентности кислорода и азота в соединениях с участием донорно-акцепторного механизма")</f>
        <v>Особые случаи образования высшей валентности кислорода и азота в соединениях с участием донорно-акцепторного механизма</v>
      </c>
      <c r="B90" s="1">
        <f>IFERROR(__xludf.DUMMYFUNCTION("""COMPUTED_VALUE"""),606.0)</f>
        <v>606</v>
      </c>
      <c r="C90" s="1" t="str">
        <f>IFERROR(__xludf.DUMMYFUNCTION("""COMPUTED_VALUE"""),"Специфические свойства фосфорной кислоты")</f>
        <v>Специфические свойства фосфорной кислоты</v>
      </c>
      <c r="D90" s="1">
        <f>IFERROR(__xludf.DUMMYFUNCTION("""COMPUTED_VALUE"""),189.0)</f>
        <v>189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 t="str">
        <f>IFERROR(__xludf.DUMMYFUNCTION("""COMPUTED_VALUE"""),"Правило Зайцева")</f>
        <v>Правило Зайцева</v>
      </c>
      <c r="P90" s="1">
        <f>IFERROR(__xludf.DUMMYFUNCTION("""COMPUTED_VALUE"""),897.0)</f>
        <v>897</v>
      </c>
      <c r="Q90" s="1" t="str">
        <f>IFERROR(__xludf.DUMMYFUNCTION("""COMPUTED_VALUE"""),"Применение и биологическая роль углеводов")</f>
        <v>Применение и биологическая роль углеводов</v>
      </c>
      <c r="R90" s="1">
        <f>IFERROR(__xludf.DUMMYFUNCTION("""COMPUTED_VALUE"""),1.0000766E7)</f>
        <v>10000766</v>
      </c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 t="str">
        <f>IFERROR(__xludf.DUMMYFUNCTION("""COMPUTED_VALUE"""),"Степень окисления химических элементов")</f>
        <v>Степень окисления химических элементов</v>
      </c>
      <c r="B91" s="1">
        <f>IFERROR(__xludf.DUMMYFUNCTION("""COMPUTED_VALUE"""),607.0)</f>
        <v>607</v>
      </c>
      <c r="C91" s="1" t="str">
        <f>IFERROR(__xludf.DUMMYFUNCTION("""COMPUTED_VALUE"""),"Аллотропные модификации углерода")</f>
        <v>Аллотропные модификации углерода</v>
      </c>
      <c r="D91" s="1">
        <f>IFERROR(__xludf.DUMMYFUNCTION("""COMPUTED_VALUE"""),190.0)</f>
        <v>190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 t="str">
        <f>IFERROR(__xludf.DUMMYFUNCTION("""COMPUTED_VALUE"""),"Термические превращения алкенов")</f>
        <v>Термические превращения алкенов</v>
      </c>
      <c r="P91" s="1">
        <f>IFERROR(__xludf.DUMMYFUNCTION("""COMPUTED_VALUE"""),898.0)</f>
        <v>898</v>
      </c>
      <c r="Q91" s="1" t="str">
        <f>IFERROR(__xludf.DUMMYFUNCTION("""COMPUTED_VALUE"""),"Общие способы получения предельных одноатомных спиртов")</f>
        <v>Общие способы получения предельных одноатомных спиртов</v>
      </c>
      <c r="R91" s="1">
        <f>IFERROR(__xludf.DUMMYFUNCTION("""COMPUTED_VALUE"""),1.0001096E7)</f>
        <v>10001096</v>
      </c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 t="str">
        <f>IFERROR(__xludf.DUMMYFUNCTION("""COMPUTED_VALUE"""),"Особые случаи степени окисления для фтора, кислорода, водорода")</f>
        <v>Особые случаи степени окисления для фтора, кислорода, водорода</v>
      </c>
      <c r="B92" s="1">
        <f>IFERROR(__xludf.DUMMYFUNCTION("""COMPUTED_VALUE"""),608.0)</f>
        <v>608</v>
      </c>
      <c r="C92" s="1" t="str">
        <f>IFERROR(__xludf.DUMMYFUNCTION("""COMPUTED_VALUE"""),"Физические свойства углерода")</f>
        <v>Физические свойства углерода</v>
      </c>
      <c r="D92" s="1">
        <f>IFERROR(__xludf.DUMMYFUNCTION("""COMPUTED_VALUE"""),191.0)</f>
        <v>191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 t="str">
        <f>IFERROR(__xludf.DUMMYFUNCTION("""COMPUTED_VALUE"""),"Реакции окисления алкенов кислородом (горение и каталитическое окисление)")</f>
        <v>Реакции окисления алкенов кислородом (горение и каталитическое окисление)</v>
      </c>
      <c r="P92" s="1">
        <f>IFERROR(__xludf.DUMMYFUNCTION("""COMPUTED_VALUE"""),899.0)</f>
        <v>899</v>
      </c>
      <c r="Q92" s="1" t="str">
        <f>IFERROR(__xludf.DUMMYFUNCTION("""COMPUTED_VALUE"""),"Специфические способы получения метанола и этанола")</f>
        <v>Специфические способы получения метанола и этанола</v>
      </c>
      <c r="R92" s="1">
        <f>IFERROR(__xludf.DUMMYFUNCTION("""COMPUTED_VALUE"""),1.0001097E7)</f>
        <v>10001097</v>
      </c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1"/>
      <c r="C93" s="1" t="str">
        <f>IFERROR(__xludf.DUMMYFUNCTION("""COMPUTED_VALUE"""),"Химические свойства углерода как простого вещества")</f>
        <v>Химические свойства углерода как простого вещества</v>
      </c>
      <c r="D93" s="1">
        <f>IFERROR(__xludf.DUMMYFUNCTION("""COMPUTED_VALUE"""),192.0)</f>
        <v>192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 t="str">
        <f>IFERROR(__xludf.DUMMYFUNCTION("""COMPUTED_VALUE"""),"Реакции жесткого и мягкого окисления алкенов")</f>
        <v>Реакции жесткого и мягкого окисления алкенов</v>
      </c>
      <c r="P93" s="1">
        <f>IFERROR(__xludf.DUMMYFUNCTION("""COMPUTED_VALUE"""),1701.0)</f>
        <v>1701</v>
      </c>
      <c r="Q93" s="1" t="str">
        <f>IFERROR(__xludf.DUMMYFUNCTION("""COMPUTED_VALUE"""),"Реакции окисления спиртов с участием меди и ее соединений")</f>
        <v>Реакции окисления спиртов с участием меди и ее соединений</v>
      </c>
      <c r="R93" s="1">
        <f>IFERROR(__xludf.DUMMYFUNCTION("""COMPUTED_VALUE"""),1.0001098E7)</f>
        <v>10001098</v>
      </c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1"/>
      <c r="C94" s="1" t="str">
        <f>IFERROR(__xludf.DUMMYFUNCTION("""COMPUTED_VALUE"""),"Специфические свойства карбидов металлов")</f>
        <v>Специфические свойства карбидов металлов</v>
      </c>
      <c r="D94" s="1">
        <f>IFERROR(__xludf.DUMMYFUNCTION("""COMPUTED_VALUE"""),193.0)</f>
        <v>193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 t="str">
        <f>IFERROR(__xludf.DUMMYFUNCTION("""COMPUTED_VALUE"""),"Реакции присоединения циклоалкенов")</f>
        <v>Реакции присоединения циклоалкенов</v>
      </c>
      <c r="P94" s="1">
        <f>IFERROR(__xludf.DUMMYFUNCTION("""COMPUTED_VALUE"""),1702.0)</f>
        <v>1702</v>
      </c>
      <c r="Q94" s="1" t="str">
        <f>IFERROR(__xludf.DUMMYFUNCTION("""COMPUTED_VALUE"""),"Реакции окисления спиртов с сильными окислителями")</f>
        <v>Реакции окисления спиртов с сильными окислителями</v>
      </c>
      <c r="R94" s="1">
        <f>IFERROR(__xludf.DUMMYFUNCTION("""COMPUTED_VALUE"""),1.0001099E7)</f>
        <v>10001099</v>
      </c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1"/>
      <c r="C95" s="1" t="str">
        <f>IFERROR(__xludf.DUMMYFUNCTION("""COMPUTED_VALUE"""),"Физические свойства оксидов углерода")</f>
        <v>Физические свойства оксидов углерода</v>
      </c>
      <c r="D95" s="1">
        <f>IFERROR(__xludf.DUMMYFUNCTION("""COMPUTED_VALUE"""),194.0)</f>
        <v>194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 t="str">
        <f>IFERROR(__xludf.DUMMYFUNCTION("""COMPUTED_VALUE"""),"Реакции окисления циклоалкенов")</f>
        <v>Реакции окисления циклоалкенов</v>
      </c>
      <c r="P95" s="1">
        <f>IFERROR(__xludf.DUMMYFUNCTION("""COMPUTED_VALUE"""),1703.0)</f>
        <v>1703</v>
      </c>
      <c r="Q95" s="1" t="str">
        <f>IFERROR(__xludf.DUMMYFUNCTION("""COMPUTED_VALUE"""),"Номенклатура альдегидов")</f>
        <v>Номенклатура альдегидов</v>
      </c>
      <c r="R95" s="1">
        <f>IFERROR(__xludf.DUMMYFUNCTION("""COMPUTED_VALUE"""),1.00011E7)</f>
        <v>10001100</v>
      </c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1"/>
      <c r="C96" s="1" t="str">
        <f>IFERROR(__xludf.DUMMYFUNCTION("""COMPUTED_VALUE"""),"Способы получения оксидов углерода")</f>
        <v>Способы получения оксидов углерода</v>
      </c>
      <c r="D96" s="1">
        <f>IFERROR(__xludf.DUMMYFUNCTION("""COMPUTED_VALUE"""),195.0)</f>
        <v>195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 t="str">
        <f>IFERROR(__xludf.DUMMYFUNCTION("""COMPUTED_VALUE"""),"Качественные реакции на циклоалкены")</f>
        <v>Качественные реакции на циклоалкены</v>
      </c>
      <c r="P96" s="1">
        <f>IFERROR(__xludf.DUMMYFUNCTION("""COMPUTED_VALUE"""),1704.0)</f>
        <v>1704</v>
      </c>
      <c r="Q96" s="1" t="str">
        <f>IFERROR(__xludf.DUMMYFUNCTION("""COMPUTED_VALUE"""),"Номенклатура кетонов")</f>
        <v>Номенклатура кетонов</v>
      </c>
      <c r="R96" s="1">
        <f>IFERROR(__xludf.DUMMYFUNCTION("""COMPUTED_VALUE"""),1.0001101E7)</f>
        <v>10001101</v>
      </c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1"/>
      <c r="C97" s="1" t="str">
        <f>IFERROR(__xludf.DUMMYFUNCTION("""COMPUTED_VALUE"""),"Специфические свойства оксидов углерода")</f>
        <v>Специфические свойства оксидов углерода</v>
      </c>
      <c r="D97" s="1">
        <f>IFERROR(__xludf.DUMMYFUNCTION("""COMPUTED_VALUE"""),196.0)</f>
        <v>196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 t="str">
        <f>IFERROR(__xludf.DUMMYFUNCTION("""COMPUTED_VALUE"""),"Специфические реакции терминальных алкинов")</f>
        <v>Специфические реакции терминальных алкинов</v>
      </c>
      <c r="P97" s="1">
        <f>IFERROR(__xludf.DUMMYFUNCTION("""COMPUTED_VALUE"""),1705.0)</f>
        <v>1705</v>
      </c>
      <c r="Q97" s="1" t="str">
        <f>IFERROR(__xludf.DUMMYFUNCTION("""COMPUTED_VALUE"""),"Реакции фенолов по гидроксильной группе")</f>
        <v>Реакции фенолов по гидроксильной группе</v>
      </c>
      <c r="R97" s="1">
        <f>IFERROR(__xludf.DUMMYFUNCTION("""COMPUTED_VALUE"""),1.0001102E7)</f>
        <v>10001102</v>
      </c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1"/>
      <c r="C98" s="1" t="str">
        <f>IFERROR(__xludf.DUMMYFUNCTION("""COMPUTED_VALUE"""),"Аллотропные модификации кремния")</f>
        <v>Аллотропные модификации кремния</v>
      </c>
      <c r="D98" s="1">
        <f>IFERROR(__xludf.DUMMYFUNCTION("""COMPUTED_VALUE"""),197.0)</f>
        <v>197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 t="str">
        <f>IFERROR(__xludf.DUMMYFUNCTION("""COMPUTED_VALUE"""),"Качественные реакции на алкины")</f>
        <v>Качественные реакции на алкины</v>
      </c>
      <c r="P98" s="1">
        <f>IFERROR(__xludf.DUMMYFUNCTION("""COMPUTED_VALUE"""),1706.0)</f>
        <v>1706</v>
      </c>
      <c r="Q98" s="1" t="str">
        <f>IFERROR(__xludf.DUMMYFUNCTION("""COMPUTED_VALUE"""),"Реакции фенолов по бензольному кольцу")</f>
        <v>Реакции фенолов по бензольному кольцу</v>
      </c>
      <c r="R98" s="1">
        <f>IFERROR(__xludf.DUMMYFUNCTION("""COMPUTED_VALUE"""),1.0001103E7)</f>
        <v>10001103</v>
      </c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1"/>
      <c r="C99" s="1" t="str">
        <f>IFERROR(__xludf.DUMMYFUNCTION("""COMPUTED_VALUE"""),"Физические свойства кремния")</f>
        <v>Физические свойства кремния</v>
      </c>
      <c r="D99" s="1">
        <f>IFERROR(__xludf.DUMMYFUNCTION("""COMPUTED_VALUE"""),198.0)</f>
        <v>198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 t="str">
        <f>IFERROR(__xludf.DUMMYFUNCTION("""COMPUTED_VALUE"""),"Общие способы получения алкинов")</f>
        <v>Общие способы получения алкинов</v>
      </c>
      <c r="P99" s="1">
        <f>IFERROR(__xludf.DUMMYFUNCTION("""COMPUTED_VALUE"""),1707.0)</f>
        <v>1707</v>
      </c>
      <c r="Q99" s="1" t="str">
        <f>IFERROR(__xludf.DUMMYFUNCTION("""COMPUTED_VALUE"""),"Общие способы получения фенолов")</f>
        <v>Общие способы получения фенолов</v>
      </c>
      <c r="R99" s="1">
        <f>IFERROR(__xludf.DUMMYFUNCTION("""COMPUTED_VALUE"""),1.0001104E7)</f>
        <v>10001104</v>
      </c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1"/>
      <c r="C100" s="1" t="str">
        <f>IFERROR(__xludf.DUMMYFUNCTION("""COMPUTED_VALUE"""),"Химические свойства кремния как простого вещества")</f>
        <v>Химические свойства кремния как простого вещества</v>
      </c>
      <c r="D100" s="1">
        <f>IFERROR(__xludf.DUMMYFUNCTION("""COMPUTED_VALUE"""),199.0)</f>
        <v>199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 t="str">
        <f>IFERROR(__xludf.DUMMYFUNCTION("""COMPUTED_VALUE"""),"Специфический способ получения ацетилена")</f>
        <v>Специфический способ получения ацетилена</v>
      </c>
      <c r="P100" s="1">
        <f>IFERROR(__xludf.DUMMYFUNCTION("""COMPUTED_VALUE"""),1708.0)</f>
        <v>1708</v>
      </c>
      <c r="Q100" s="1" t="str">
        <f>IFERROR(__xludf.DUMMYFUNCTION("""COMPUTED_VALUE"""),"Кумольный способ получения фенола и ацетона")</f>
        <v>Кумольный способ получения фенола и ацетона</v>
      </c>
      <c r="R100" s="1">
        <f>IFERROR(__xludf.DUMMYFUNCTION("""COMPUTED_VALUE"""),1.0001105E7)</f>
        <v>10001105</v>
      </c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1"/>
      <c r="C101" s="1" t="str">
        <f>IFERROR(__xludf.DUMMYFUNCTION("""COMPUTED_VALUE"""),"Физические свойства водорода")</f>
        <v>Физические свойства водорода</v>
      </c>
      <c r="D101" s="1">
        <f>IFERROR(__xludf.DUMMYFUNCTION("""COMPUTED_VALUE"""),1501.0)</f>
        <v>1501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 t="str">
        <f>IFERROR(__xludf.DUMMYFUNCTION("""COMPUTED_VALUE"""),"Общие способы получения алкадиенов")</f>
        <v>Общие способы получения алкадиенов</v>
      </c>
      <c r="P101" s="1">
        <f>IFERROR(__xludf.DUMMYFUNCTION("""COMPUTED_VALUE"""),1709.0)</f>
        <v>1709</v>
      </c>
      <c r="Q101" s="1" t="str">
        <f>IFERROR(__xludf.DUMMYFUNCTION("""COMPUTED_VALUE"""),"Особенности строения муравьиной кислоты")</f>
        <v>Особенности строения муравьиной кислоты</v>
      </c>
      <c r="R101" s="1">
        <f>IFERROR(__xludf.DUMMYFUNCTION("""COMPUTED_VALUE"""),1.0001106E7)</f>
        <v>10001106</v>
      </c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1"/>
      <c r="C102" s="1" t="str">
        <f>IFERROR(__xludf.DUMMYFUNCTION("""COMPUTED_VALUE"""),"Химические свойства водорода как простого вещества")</f>
        <v>Химические свойства водорода как простого вещества</v>
      </c>
      <c r="D102" s="1">
        <f>IFERROR(__xludf.DUMMYFUNCTION("""COMPUTED_VALUE"""),1502.0)</f>
        <v>1502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 t="str">
        <f>IFERROR(__xludf.DUMMYFUNCTION("""COMPUTED_VALUE"""),"Специфический способ получения дивинила из этилового спирта")</f>
        <v>Специфический способ получения дивинила из этилового спирта</v>
      </c>
      <c r="P102" s="1">
        <f>IFERROR(__xludf.DUMMYFUNCTION("""COMPUTED_VALUE"""),1710.0)</f>
        <v>1710</v>
      </c>
      <c r="Q102" s="1" t="str">
        <f>IFERROR(__xludf.DUMMYFUNCTION("""COMPUTED_VALUE"""),"Специфические свойства муравьиной кислоты")</f>
        <v>Специфические свойства муравьиной кислоты</v>
      </c>
      <c r="R102" s="1">
        <f>IFERROR(__xludf.DUMMYFUNCTION("""COMPUTED_VALUE"""),1.0001107E7)</f>
        <v>10001107</v>
      </c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1"/>
      <c r="C103" s="1" t="str">
        <f>IFERROR(__xludf.DUMMYFUNCTION("""COMPUTED_VALUE"""),"Общая характеристика пероксида водорода")</f>
        <v>Общая характеристика пероксида водорода</v>
      </c>
      <c r="D103" s="1">
        <f>IFERROR(__xludf.DUMMYFUNCTION("""COMPUTED_VALUE"""),1503.0)</f>
        <v>1503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 t="str">
        <f>IFERROR(__xludf.DUMMYFUNCTION("""COMPUTED_VALUE"""),"Реакции присоединения сопряженных алкадиенов")</f>
        <v>Реакции присоединения сопряженных алкадиенов</v>
      </c>
      <c r="P103" s="1">
        <f>IFERROR(__xludf.DUMMYFUNCTION("""COMPUTED_VALUE"""),1711.0)</f>
        <v>1711</v>
      </c>
      <c r="Q103" s="1" t="str">
        <f>IFERROR(__xludf.DUMMYFUNCTION("""COMPUTED_VALUE"""),"Особенности строения акриловой кислоты")</f>
        <v>Особенности строения акриловой кислоты</v>
      </c>
      <c r="R103" s="1">
        <f>IFERROR(__xludf.DUMMYFUNCTION("""COMPUTED_VALUE"""),1.0001108E7)</f>
        <v>10001108</v>
      </c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1"/>
      <c r="C104" s="1" t="str">
        <f>IFERROR(__xludf.DUMMYFUNCTION("""COMPUTED_VALUE"""),"Специфические свойства пероксида водорода")</f>
        <v>Специфические свойства пероксида водорода</v>
      </c>
      <c r="D104" s="1">
        <f>IFERROR(__xludf.DUMMYFUNCTION("""COMPUTED_VALUE"""),1504.0)</f>
        <v>1504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 t="str">
        <f>IFERROR(__xludf.DUMMYFUNCTION("""COMPUTED_VALUE"""),"Качественнные реакции на алкадиены")</f>
        <v>Качественнные реакции на алкадиены</v>
      </c>
      <c r="P104" s="1">
        <f>IFERROR(__xludf.DUMMYFUNCTION("""COMPUTED_VALUE"""),1712.0)</f>
        <v>1712</v>
      </c>
      <c r="Q104" s="1" t="str">
        <f>IFERROR(__xludf.DUMMYFUNCTION("""COMPUTED_VALUE"""),"Специфические свойства непредельных карбоновых кислот")</f>
        <v>Специфические свойства непредельных карбоновых кислот</v>
      </c>
      <c r="R104" s="1">
        <f>IFERROR(__xludf.DUMMYFUNCTION("""COMPUTED_VALUE"""),1.0001109E7)</f>
        <v>10001109</v>
      </c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 t="str">
        <f>IFERROR(__xludf.DUMMYFUNCTION("""COMPUTED_VALUE"""),"Реакции электрофильного замещения аренов")</f>
        <v>Реакции электрофильного замещения аренов</v>
      </c>
      <c r="P105" s="1">
        <f>IFERROR(__xludf.DUMMYFUNCTION("""COMPUTED_VALUE"""),1713.0)</f>
        <v>1713</v>
      </c>
      <c r="Q105" s="1" t="str">
        <f>IFERROR(__xludf.DUMMYFUNCTION("""COMPUTED_VALUE"""),"Строение и гомологический ряд предельных двухосновных карбоновых кислот")</f>
        <v>Строение и гомологический ряд предельных двухосновных карбоновых кислот</v>
      </c>
      <c r="R105" s="1">
        <f>IFERROR(__xludf.DUMMYFUNCTION("""COMPUTED_VALUE"""),1.000111E7)</f>
        <v>10001110</v>
      </c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 t="str">
        <f>IFERROR(__xludf.DUMMYFUNCTION("""COMPUTED_VALUE"""),"Реакции радикального замещения аренов")</f>
        <v>Реакции радикального замещения аренов</v>
      </c>
      <c r="P106" s="1">
        <f>IFERROR(__xludf.DUMMYFUNCTION("""COMPUTED_VALUE"""),1714.0)</f>
        <v>1714</v>
      </c>
      <c r="Q106" s="1" t="str">
        <f>IFERROR(__xludf.DUMMYFUNCTION("""COMPUTED_VALUE"""),"Физические свойства предельных двухосновных карбоновых кислот")</f>
        <v>Физические свойства предельных двухосновных карбоновых кислот</v>
      </c>
      <c r="R106" s="1">
        <f>IFERROR(__xludf.DUMMYFUNCTION("""COMPUTED_VALUE"""),1.0001111E7)</f>
        <v>10001111</v>
      </c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 t="str">
        <f>IFERROR(__xludf.DUMMYFUNCTION("""COMPUTED_VALUE"""),"Реакции окисления аренов")</f>
        <v>Реакции окисления аренов</v>
      </c>
      <c r="P107" s="1">
        <f>IFERROR(__xludf.DUMMYFUNCTION("""COMPUTED_VALUE"""),1715.0)</f>
        <v>1715</v>
      </c>
      <c r="Q107" s="1" t="str">
        <f>IFERROR(__xludf.DUMMYFUNCTION("""COMPUTED_VALUE"""),"Специфические свойства предельных двухосновных карбоновых кислот")</f>
        <v>Специфические свойства предельных двухосновных карбоновых кислот</v>
      </c>
      <c r="R107" s="1">
        <f>IFERROR(__xludf.DUMMYFUNCTION("""COMPUTED_VALUE"""),1.0001112E7)</f>
        <v>10001112</v>
      </c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 t="str">
        <f>IFERROR(__xludf.DUMMYFUNCTION("""COMPUTED_VALUE"""),"Качественные реакции на гомологи бензола")</f>
        <v>Качественные реакции на гомологи бензола</v>
      </c>
      <c r="P108" s="1">
        <f>IFERROR(__xludf.DUMMYFUNCTION("""COMPUTED_VALUE"""),1716.0)</f>
        <v>1716</v>
      </c>
      <c r="Q108" s="1" t="str">
        <f>IFERROR(__xludf.DUMMYFUNCTION("""COMPUTED_VALUE"""),"Общая характеристика и классификация углеводов")</f>
        <v>Общая характеристика и классификация углеводов</v>
      </c>
      <c r="R108" s="1">
        <f>IFERROR(__xludf.DUMMYFUNCTION("""COMPUTED_VALUE"""),1.0001113E7)</f>
        <v>10001113</v>
      </c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 t="str">
        <f>IFERROR(__xludf.DUMMYFUNCTION("""COMPUTED_VALUE"""),"Механизм протекания реакций электрофильного замещения")</f>
        <v>Механизм протекания реакций электрофильного замещения</v>
      </c>
      <c r="P109" s="1">
        <f>IFERROR(__xludf.DUMMYFUNCTION("""COMPUTED_VALUE"""),1717.0)</f>
        <v>1717</v>
      </c>
      <c r="Q109" s="1" t="str">
        <f>IFERROR(__xludf.DUMMYFUNCTION("""COMPUTED_VALUE"""),"Особенности строения моносахаридов")</f>
        <v>Особенности строения моносахаридов</v>
      </c>
      <c r="R109" s="1">
        <f>IFERROR(__xludf.DUMMYFUNCTION("""COMPUTED_VALUE"""),1.0001114E7)</f>
        <v>10001114</v>
      </c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 t="str">
        <f>IFERROR(__xludf.DUMMYFUNCTION("""COMPUTED_VALUE"""),"Механизм протекания реакций радикального замещения")</f>
        <v>Механизм протекания реакций радикального замещения</v>
      </c>
      <c r="P110" s="1">
        <f>IFERROR(__xludf.DUMMYFUNCTION("""COMPUTED_VALUE"""),1718.0)</f>
        <v>1718</v>
      </c>
      <c r="Q110" s="1" t="str">
        <f>IFERROR(__xludf.DUMMYFUNCTION("""COMPUTED_VALUE"""),"Особенности строения предельных одноатомных спиртов")</f>
        <v>Особенности строения предельных одноатомных спиртов</v>
      </c>
      <c r="R110" s="1">
        <f>IFERROR(__xludf.DUMMYFUNCTION("""COMPUTED_VALUE"""),1.0001115E7)</f>
        <v>10001115</v>
      </c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 t="str">
        <f>IFERROR(__xludf.DUMMYFUNCTION("""COMPUTED_VALUE"""),"Природные и синтетические каучуки, их получение и применение")</f>
        <v>Природные и синтетические каучуки, их получение и применение</v>
      </c>
      <c r="P111" s="1">
        <f>IFERROR(__xludf.DUMMYFUNCTION("""COMPUTED_VALUE"""),1719.0)</f>
        <v>1719</v>
      </c>
      <c r="Q111" s="1" t="str">
        <f>IFERROR(__xludf.DUMMYFUNCTION("""COMPUTED_VALUE"""),"Общая формула и гомологический ряд предельных одноатомных спиртов")</f>
        <v>Общая формула и гомологический ряд предельных одноатомных спиртов</v>
      </c>
      <c r="R111" s="1">
        <f>IFERROR(__xludf.DUMMYFUNCTION("""COMPUTED_VALUE"""),1.0001116E7)</f>
        <v>10001116</v>
      </c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drawing r:id="rId1"/>
</worksheet>
</file>