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IFERROR(__xludf.DUMMYFUNCTION("IMPORTRANGE(""https://docs.google.com/spreadsheets/d/13TEKQLew6a4snWHLJnY6kEJlLowKLqbaQsWiScwU3v4/edit"",""УМИТЫ!A:Z"")"),"Древность-Древнерусское государство")</f>
        <v>Древность-Древнерусское государство</v>
      </c>
      <c r="B1" s="1"/>
      <c r="C1" s="1" t="str">
        <f>IFERROR(__xludf.DUMMYFUNCTION("""COMPUTED_VALUE"""),"Раздробленность, монголы, возвышение Москвы")</f>
        <v>Раздробленность, монголы, возвышение Москвы</v>
      </c>
      <c r="D1" s="1"/>
      <c r="E1" s="1" t="str">
        <f>IFERROR(__xludf.DUMMYFUNCTION("""COMPUTED_VALUE"""),"Иван Грозный - Смута")</f>
        <v>Иван Грозный - Смута</v>
      </c>
      <c r="F1" s="1"/>
      <c r="G1" s="1" t="str">
        <f>IFERROR(__xludf.DUMMYFUNCTION("""COMPUTED_VALUE"""),"Бунташный век - Дворцовые перевороты")</f>
        <v>Бунташный век - Дворцовые перевороты</v>
      </c>
      <c r="H1" s="1"/>
      <c r="I1" s="1" t="str">
        <f>IFERROR(__xludf.DUMMYFUNCTION("""COMPUTED_VALUE"""),"Екатерина Вторая - Николай Первый (1762-1855)")</f>
        <v>Екатерина Вторая - Николай Первый (1762-1855)</v>
      </c>
      <c r="J1" s="1"/>
      <c r="K1" s="1" t="str">
        <f>IFERROR(__xludf.DUMMYFUNCTION("""COMPUTED_VALUE"""),"Александр Второй - Николай Второй (1855-1917)")</f>
        <v>Александр Второй - Николай Второй (1855-1917)</v>
      </c>
      <c r="L1" s="1"/>
      <c r="M1" s="1" t="str">
        <f>IFERROR(__xludf.DUMMYFUNCTION("""COMPUTED_VALUE"""),"Становление советской Власти и Сталин (1917-1953)")</f>
        <v>Становление советской Власти и Сталин (1917-1953)</v>
      </c>
      <c r="N1" s="1"/>
      <c r="O1" s="1" t="str">
        <f>IFERROR(__xludf.DUMMYFUNCTION("""COMPUTED_VALUE"""),"Хрущев - Горбачев (1953-1991)")</f>
        <v>Хрущев - Горбачев (1953-1991)</v>
      </c>
      <c r="P1" s="1"/>
      <c r="Q1" s="1" t="str">
        <f>IFERROR(__xludf.DUMMYFUNCTION("""COMPUTED_VALUE"""),"Новая Россия")</f>
        <v>Новая Россия</v>
      </c>
      <c r="R1" s="1"/>
      <c r="S1" s="1" t="str">
        <f>IFERROR(__xludf.DUMMYFUNCTION("""COMPUTED_VALUE"""),"Всемирная История")</f>
        <v>Всемирная История</v>
      </c>
      <c r="T1" s="1"/>
      <c r="U1" s="1" t="str">
        <f>IFERROR(__xludf.DUMMYFUNCTION("""COMPUTED_VALUE"""),"Навыки и умения")</f>
        <v>Навыки и умения</v>
      </c>
      <c r="V1" s="1"/>
      <c r="W1" s="1"/>
      <c r="X1" s="1"/>
      <c r="Y1" s="1"/>
      <c r="Z1" s="1"/>
    </row>
    <row r="2">
      <c r="A2" s="1" t="str">
        <f>IFERROR(__xludf.DUMMYFUNCTION("""COMPUTED_VALUE"""),"Экономика до появления государства Торговые пути")</f>
        <v>Экономика до появления государства Торговые пути</v>
      </c>
      <c r="B2" s="1">
        <f>IFERROR(__xludf.DUMMYFUNCTION("""COMPUTED_VALUE"""),1.0)</f>
        <v>1</v>
      </c>
      <c r="C2" s="1" t="str">
        <f>IFERROR(__xludf.DUMMYFUNCTION("""COMPUTED_VALUE"""),"Раздробленность 1132-1263 гг. (причины/последствия, плюсы и минусы, характерные черты)")</f>
        <v>Раздробленность 1132-1263 гг. (причины/последствия, плюсы и минусы, характерные черты)</v>
      </c>
      <c r="D2" s="1">
        <f>IFERROR(__xludf.DUMMYFUNCTION("""COMPUTED_VALUE"""),101.0)</f>
        <v>101</v>
      </c>
      <c r="E2" s="1" t="str">
        <f>IFERROR(__xludf.DUMMYFUNCTION("""COMPUTED_VALUE"""),"Елена Глинская и Боярское правление")</f>
        <v>Елена Глинская и Боярское правление</v>
      </c>
      <c r="F2" s="1">
        <f>IFERROR(__xludf.DUMMYFUNCTION("""COMPUTED_VALUE"""),201.0)</f>
        <v>201</v>
      </c>
      <c r="G2" s="1" t="str">
        <f>IFERROR(__xludf.DUMMYFUNCTION("""COMPUTED_VALUE"""),"Михаил Федорович внутренняя политика")</f>
        <v>Михаил Федорович внутренняя политика</v>
      </c>
      <c r="H2" s="1">
        <f>IFERROR(__xludf.DUMMYFUNCTION("""COMPUTED_VALUE"""),301.0)</f>
        <v>301</v>
      </c>
      <c r="I2" s="1" t="str">
        <f>IFERROR(__xludf.DUMMYFUNCTION("""COMPUTED_VALUE"""),"Екатерина II внутренняя политика")</f>
        <v>Екатерина II внутренняя политика</v>
      </c>
      <c r="J2" s="1">
        <f>IFERROR(__xludf.DUMMYFUNCTION("""COMPUTED_VALUE"""),401.0)</f>
        <v>401</v>
      </c>
      <c r="K2" s="1" t="str">
        <f>IFERROR(__xludf.DUMMYFUNCTION("""COMPUTED_VALUE"""),"Отмена крепостного права")</f>
        <v>Отмена крепостного права</v>
      </c>
      <c r="L2" s="1">
        <f>IFERROR(__xludf.DUMMYFUNCTION("""COMPUTED_VALUE"""),501.0)</f>
        <v>501</v>
      </c>
      <c r="M2" s="1" t="str">
        <f>IFERROR(__xludf.DUMMYFUNCTION("""COMPUTED_VALUE"""),"Становление советской власти (первые декреты, учредительное собрание)")</f>
        <v>Становление советской власти (первые декреты, учредительное собрание)</v>
      </c>
      <c r="N2" s="1">
        <f>IFERROR(__xludf.DUMMYFUNCTION("""COMPUTED_VALUE"""),601.0)</f>
        <v>601</v>
      </c>
      <c r="O2" s="1" t="str">
        <f>IFERROR(__xludf.DUMMYFUNCTION("""COMPUTED_VALUE"""),"Хрущев внутренняя политика")</f>
        <v>Хрущев внутренняя политика</v>
      </c>
      <c r="P2" s="1">
        <f>IFERROR(__xludf.DUMMYFUNCTION("""COMPUTED_VALUE"""),701.0)</f>
        <v>701</v>
      </c>
      <c r="Q2" s="1" t="str">
        <f>IFERROR(__xludf.DUMMYFUNCTION("""COMPUTED_VALUE"""),"Ельцин внутренняя политика")</f>
        <v>Ельцин внутренняя политика</v>
      </c>
      <c r="R2" s="1">
        <f>IFERROR(__xludf.DUMMYFUNCTION("""COMPUTED_VALUE"""),801.0)</f>
        <v>801</v>
      </c>
      <c r="S2" s="1" t="str">
        <f>IFERROR(__xludf.DUMMYFUNCTION("""COMPUTED_VALUE"""),"Всемирная история Средних веков")</f>
        <v>Всемирная история Средних веков</v>
      </c>
      <c r="T2" s="1">
        <f>IFERROR(__xludf.DUMMYFUNCTION("""COMPUTED_VALUE"""),902.0)</f>
        <v>902</v>
      </c>
      <c r="U2" s="1" t="str">
        <f>IFERROR(__xludf.DUMMYFUNCTION("""COMPUTED_VALUE"""),"Знание основных фактов, процессов и явлений, характеризующих целостность истории")</f>
        <v>Знание основных фактов, процессов и явлений, характеризующих целостность истории</v>
      </c>
      <c r="V2" s="1">
        <f>IFERROR(__xludf.DUMMYFUNCTION("""COMPUTED_VALUE"""),1001.0)</f>
        <v>1001</v>
      </c>
      <c r="W2" s="1"/>
      <c r="X2" s="1"/>
      <c r="Y2" s="1"/>
      <c r="Z2" s="1"/>
    </row>
    <row r="3">
      <c r="A3" s="1" t="str">
        <f>IFERROR(__xludf.DUMMYFUNCTION("""COMPUTED_VALUE"""),"Славяне")</f>
        <v>Славяне</v>
      </c>
      <c r="B3" s="1">
        <f>IFERROR(__xludf.DUMMYFUNCTION("""COMPUTED_VALUE"""),2.0)</f>
        <v>2</v>
      </c>
      <c r="C3" s="1" t="str">
        <f>IFERROR(__xludf.DUMMYFUNCTION("""COMPUTED_VALUE"""),"Галицко-Волынское княжество")</f>
        <v>Галицко-Волынское княжество</v>
      </c>
      <c r="D3" s="1">
        <f>IFERROR(__xludf.DUMMYFUNCTION("""COMPUTED_VALUE"""),103.0)</f>
        <v>103</v>
      </c>
      <c r="E3" s="1" t="str">
        <f>IFERROR(__xludf.DUMMYFUNCTION("""COMPUTED_VALUE"""),"Иван Грозный внутренняя политика 1547-1565 гг.")</f>
        <v>Иван Грозный внутренняя политика 1547-1565 гг.</v>
      </c>
      <c r="F3" s="1">
        <f>IFERROR(__xludf.DUMMYFUNCTION("""COMPUTED_VALUE"""),204.0)</f>
        <v>204</v>
      </c>
      <c r="G3" s="1" t="str">
        <f>IFERROR(__xludf.DUMMYFUNCTION("""COMPUTED_VALUE"""),"Внешняя политика Михаила Федоровича ")</f>
        <v>Внешняя политика Михаила Федоровича </v>
      </c>
      <c r="H3" s="1">
        <f>IFERROR(__xludf.DUMMYFUNCTION("""COMPUTED_VALUE"""),303.0)</f>
        <v>303</v>
      </c>
      <c r="I3" s="1" t="str">
        <f>IFERROR(__xludf.DUMMYFUNCTION("""COMPUTED_VALUE"""),"Пугачевщина")</f>
        <v>Пугачевщина</v>
      </c>
      <c r="J3" s="1">
        <f>IFERROR(__xludf.DUMMYFUNCTION("""COMPUTED_VALUE"""),408.0)</f>
        <v>408</v>
      </c>
      <c r="K3" s="1" t="str">
        <f>IFERROR(__xludf.DUMMYFUNCTION("""COMPUTED_VALUE"""),"Великие реформы (кроме отмены КП)")</f>
        <v>Великие реформы (кроме отмены КП)</v>
      </c>
      <c r="L3" s="1">
        <f>IFERROR(__xludf.DUMMYFUNCTION("""COMPUTED_VALUE"""),502.0)</f>
        <v>502</v>
      </c>
      <c r="M3" s="1" t="str">
        <f>IFERROR(__xludf.DUMMYFUNCTION("""COMPUTED_VALUE"""),"Гражданская война. Советско-польская война")</f>
        <v>Гражданская война. Советско-польская война</v>
      </c>
      <c r="N3" s="1">
        <f>IFERROR(__xludf.DUMMYFUNCTION("""COMPUTED_VALUE"""),610.0)</f>
        <v>610</v>
      </c>
      <c r="O3" s="1" t="str">
        <f>IFERROR(__xludf.DUMMYFUNCTION("""COMPUTED_VALUE"""),"Экономика при Хрущеве")</f>
        <v>Экономика при Хрущеве</v>
      </c>
      <c r="P3" s="1">
        <f>IFERROR(__xludf.DUMMYFUNCTION("""COMPUTED_VALUE"""),705.0)</f>
        <v>705</v>
      </c>
      <c r="Q3" s="1" t="str">
        <f>IFERROR(__xludf.DUMMYFUNCTION("""COMPUTED_VALUE"""),"Путин внутренняя политика 2000-2008 гг. и 2012-2014 гг.")</f>
        <v>Путин внутренняя политика 2000-2008 гг. и 2012-2014 гг.</v>
      </c>
      <c r="R3" s="1">
        <f>IFERROR(__xludf.DUMMYFUNCTION("""COMPUTED_VALUE"""),817.0)</f>
        <v>817</v>
      </c>
      <c r="S3" s="1" t="str">
        <f>IFERROR(__xludf.DUMMYFUNCTION("""COMPUTED_VALUE"""),"Всемирная история XVIII века")</f>
        <v>Всемирная история XVIII века</v>
      </c>
      <c r="T3" s="1">
        <f>IFERROR(__xludf.DUMMYFUNCTION("""COMPUTED_VALUE"""),906.0)</f>
        <v>906</v>
      </c>
      <c r="U3" s="1" t="str">
        <f>IFERROR(__xludf.DUMMYFUNCTION("""COMPUTED_VALUE"""),"Умение проводить поиск исторической информации в письменных исторических источниках")</f>
        <v>Умение проводить поиск исторической информации в письменных исторических источниках</v>
      </c>
      <c r="V3" s="1">
        <f>IFERROR(__xludf.DUMMYFUNCTION("""COMPUTED_VALUE"""),1002.0)</f>
        <v>1002</v>
      </c>
      <c r="W3" s="1"/>
      <c r="X3" s="1"/>
      <c r="Y3" s="1"/>
      <c r="Z3" s="1"/>
    </row>
    <row r="4">
      <c r="A4" s="1" t="str">
        <f>IFERROR(__xludf.DUMMYFUNCTION("""COMPUTED_VALUE"""),"Соседи славян")</f>
        <v>Соседи славян</v>
      </c>
      <c r="B4" s="1">
        <f>IFERROR(__xludf.DUMMYFUNCTION("""COMPUTED_VALUE"""),8.0)</f>
        <v>8</v>
      </c>
      <c r="C4" s="1" t="str">
        <f>IFERROR(__xludf.DUMMYFUNCTION("""COMPUTED_VALUE"""),"Новгородское княжество и Псков")</f>
        <v>Новгородское княжество и Псков</v>
      </c>
      <c r="D4" s="1">
        <f>IFERROR(__xludf.DUMMYFUNCTION("""COMPUTED_VALUE"""),104.0)</f>
        <v>104</v>
      </c>
      <c r="E4" s="1" t="str">
        <f>IFERROR(__xludf.DUMMYFUNCTION("""COMPUTED_VALUE"""),"Опричнина и последние годы")</f>
        <v>Опричнина и последние годы</v>
      </c>
      <c r="F4" s="1">
        <f>IFERROR(__xludf.DUMMYFUNCTION("""COMPUTED_VALUE"""),212.0)</f>
        <v>212</v>
      </c>
      <c r="G4" s="1" t="str">
        <f>IFERROR(__xludf.DUMMYFUNCTION("""COMPUTED_VALUE"""),"Алексей Михайлович внутренняя политика")</f>
        <v>Алексей Михайлович внутренняя политика</v>
      </c>
      <c r="H4" s="1">
        <f>IFERROR(__xludf.DUMMYFUNCTION("""COMPUTED_VALUE"""),304.0)</f>
        <v>304</v>
      </c>
      <c r="I4" s="1" t="str">
        <f>IFERROR(__xludf.DUMMYFUNCTION("""COMPUTED_VALUE"""),"Русско-турецкие войны при Екатерине II")</f>
        <v>Русско-турецкие войны при Екатерине II</v>
      </c>
      <c r="J4" s="1">
        <f>IFERROR(__xludf.DUMMYFUNCTION("""COMPUTED_VALUE"""),409.0)</f>
        <v>409</v>
      </c>
      <c r="K4" s="1" t="str">
        <f>IFERROR(__xludf.DUMMYFUNCTION("""COMPUTED_VALUE"""),"Александр II внутренняя политика в последние годы")</f>
        <v>Александр II внутренняя политика в последние годы</v>
      </c>
      <c r="L4" s="1">
        <f>IFERROR(__xludf.DUMMYFUNCTION("""COMPUTED_VALUE"""),504.0)</f>
        <v>504</v>
      </c>
      <c r="M4" s="1" t="str">
        <f>IFERROR(__xludf.DUMMYFUNCTION("""COMPUTED_VALUE"""),"1920-е гг. внутренняя политика")</f>
        <v>1920-е гг. внутренняя политика</v>
      </c>
      <c r="N4" s="1">
        <f>IFERROR(__xludf.DUMMYFUNCTION("""COMPUTED_VALUE"""),616.0)</f>
        <v>616</v>
      </c>
      <c r="O4" s="1" t="str">
        <f>IFERROR(__xludf.DUMMYFUNCTION("""COMPUTED_VALUE"""),"Хрущев внешняя политика")</f>
        <v>Хрущев внешняя политика</v>
      </c>
      <c r="P4" s="1">
        <f>IFERROR(__xludf.DUMMYFUNCTION("""COMPUTED_VALUE"""),711.0)</f>
        <v>711</v>
      </c>
      <c r="Q4" s="1" t="str">
        <f>IFERROR(__xludf.DUMMYFUNCTION("""COMPUTED_VALUE"""),"Эпоха тандема 2008-2012 гг.")</f>
        <v>Эпоха тандема 2008-2012 гг.</v>
      </c>
      <c r="R4" s="1">
        <f>IFERROR(__xludf.DUMMYFUNCTION("""COMPUTED_VALUE"""),825.0)</f>
        <v>825</v>
      </c>
      <c r="S4" s="1" t="str">
        <f>IFERROR(__xludf.DUMMYFUNCTION("""COMPUTED_VALUE"""),"Всемирная история XVI-XVII веков")</f>
        <v>Всемирная история XVI-XVII веков</v>
      </c>
      <c r="T4" s="1">
        <f>IFERROR(__xludf.DUMMYFUNCTION("""COMPUTED_VALUE"""),910.0)</f>
        <v>910</v>
      </c>
      <c r="U4" s="1" t="str">
        <f>IFERROR(__xludf.DUMMYFUNCTION("""COMPUTED_VALUE"""),"Умение осуществлять внешнюю и внутреннюю критику источника")</f>
        <v>Умение осуществлять внешнюю и внутреннюю критику источника</v>
      </c>
      <c r="V4" s="1">
        <f>IFERROR(__xludf.DUMMYFUNCTION("""COMPUTED_VALUE"""),1003.0)</f>
        <v>1003</v>
      </c>
      <c r="W4" s="1"/>
      <c r="X4" s="1"/>
      <c r="Y4" s="1"/>
      <c r="Z4" s="1"/>
    </row>
    <row r="5">
      <c r="A5" s="1" t="str">
        <f>IFERROR(__xludf.DUMMYFUNCTION("""COMPUTED_VALUE"""),"Рюрик. Норманнская, антинорманнская теория")</f>
        <v>Рюрик. Норманнская, антинорманнская теория</v>
      </c>
      <c r="B5" s="1">
        <f>IFERROR(__xludf.DUMMYFUNCTION("""COMPUTED_VALUE"""),13.0)</f>
        <v>13</v>
      </c>
      <c r="C5" s="1" t="str">
        <f>IFERROR(__xludf.DUMMYFUNCTION("""COMPUTED_VALUE"""),"Киевское княжество")</f>
        <v>Киевское княжество</v>
      </c>
      <c r="D5" s="1">
        <f>IFERROR(__xludf.DUMMYFUNCTION("""COMPUTED_VALUE"""),105.0)</f>
        <v>105</v>
      </c>
      <c r="E5" s="1" t="str">
        <f>IFERROR(__xludf.DUMMYFUNCTION("""COMPUTED_VALUE"""),"Иван Грозный внешняя политика")</f>
        <v>Иван Грозный внешняя политика</v>
      </c>
      <c r="F5" s="1">
        <f>IFERROR(__xludf.DUMMYFUNCTION("""COMPUTED_VALUE"""),213.0)</f>
        <v>213</v>
      </c>
      <c r="G5" s="1" t="str">
        <f>IFERROR(__xludf.DUMMYFUNCTION("""COMPUTED_VALUE"""),"Алексей Михайлович внешняя политика")</f>
        <v>Алексей Михайлович внешняя политика</v>
      </c>
      <c r="H5" s="1">
        <f>IFERROR(__xludf.DUMMYFUNCTION("""COMPUTED_VALUE"""),309.0)</f>
        <v>309</v>
      </c>
      <c r="I5" s="1" t="str">
        <f>IFERROR(__xludf.DUMMYFUNCTION("""COMPUTED_VALUE"""),"Екатерина II внешняя политика")</f>
        <v>Екатерина II внешняя политика</v>
      </c>
      <c r="J5" s="1">
        <f>IFERROR(__xludf.DUMMYFUNCTION("""COMPUTED_VALUE"""),410.0)</f>
        <v>410</v>
      </c>
      <c r="K5" s="1" t="str">
        <f>IFERROR(__xludf.DUMMYFUNCTION("""COMPUTED_VALUE"""),"Общественная мысль при Александре II")</f>
        <v>Общественная мысль при Александре II</v>
      </c>
      <c r="L5" s="1">
        <f>IFERROR(__xludf.DUMMYFUNCTION("""COMPUTED_VALUE"""),505.0)</f>
        <v>505</v>
      </c>
      <c r="M5" s="1" t="str">
        <f>IFERROR(__xludf.DUMMYFUNCTION("""COMPUTED_VALUE"""),"1920-е гг. внешняя политика")</f>
        <v>1920-е гг. внешняя политика</v>
      </c>
      <c r="N5" s="1">
        <f>IFERROR(__xludf.DUMMYFUNCTION("""COMPUTED_VALUE"""),621.0)</f>
        <v>621</v>
      </c>
      <c r="O5" s="1" t="str">
        <f>IFERROR(__xludf.DUMMYFUNCTION("""COMPUTED_VALUE"""),"Культура при Хрущеве")</f>
        <v>Культура при Хрущеве</v>
      </c>
      <c r="P5" s="1">
        <f>IFERROR(__xludf.DUMMYFUNCTION("""COMPUTED_VALUE"""),716.0)</f>
        <v>716</v>
      </c>
      <c r="Q5" s="1" t="str">
        <f>IFERROR(__xludf.DUMMYFUNCTION("""COMPUTED_VALUE"""),"Внешняя политика Новой России")</f>
        <v>Внешняя политика Новой России</v>
      </c>
      <c r="R5" s="1">
        <f>IFERROR(__xludf.DUMMYFUNCTION("""COMPUTED_VALUE"""),827.0)</f>
        <v>827</v>
      </c>
      <c r="S5" s="1" t="str">
        <f>IFERROR(__xludf.DUMMYFUNCTION("""COMPUTED_VALUE"""),"Европейские страны в XIX – начале XX в.")</f>
        <v>Европейские страны в XIX – начале XX в.</v>
      </c>
      <c r="T5" s="1">
        <f>IFERROR(__xludf.DUMMYFUNCTION("""COMPUTED_VALUE"""),911.0)</f>
        <v>911</v>
      </c>
      <c r="U5" s="1" t="str">
        <f>IFERROR(__xludf.DUMMYFUNCTION("""COMPUTED_VALUE"""),"Умение анализировать историческую информацию, представленную в разных знаковых системах (работа с картой, таблицей, схемой)")</f>
        <v>Умение анализировать историческую информацию, представленную в разных знаковых системах (работа с картой, таблицей, схемой)</v>
      </c>
      <c r="V5" s="1">
        <f>IFERROR(__xludf.DUMMYFUNCTION("""COMPUTED_VALUE"""),1004.0)</f>
        <v>1004</v>
      </c>
      <c r="W5" s="1"/>
      <c r="X5" s="1"/>
      <c r="Y5" s="1"/>
      <c r="Z5" s="1"/>
    </row>
    <row r="6">
      <c r="A6" s="1" t="str">
        <f>IFERROR(__xludf.DUMMYFUNCTION("""COMPUTED_VALUE"""),"Олег Вещий — Игорь Рюрикович")</f>
        <v>Олег Вещий — Игорь Рюрикович</v>
      </c>
      <c r="B6" s="1">
        <f>IFERROR(__xludf.DUMMYFUNCTION("""COMPUTED_VALUE"""),14.0)</f>
        <v>14</v>
      </c>
      <c r="C6" s="1" t="str">
        <f>IFERROR(__xludf.DUMMYFUNCTION("""COMPUTED_VALUE"""),"Князья Владимиро-Суздальского княжества")</f>
        <v>Князья Владимиро-Суздальского княжества</v>
      </c>
      <c r="D6" s="1">
        <f>IFERROR(__xludf.DUMMYFUNCTION("""COMPUTED_VALUE"""),106.0)</f>
        <v>106</v>
      </c>
      <c r="E6" s="1" t="str">
        <f>IFERROR(__xludf.DUMMYFUNCTION("""COMPUTED_VALUE"""),"Ливонская война 1558-1583 гг.")</f>
        <v>Ливонская война 1558-1583 гг.</v>
      </c>
      <c r="F6" s="1">
        <f>IFERROR(__xludf.DUMMYFUNCTION("""COMPUTED_VALUE"""),216.0)</f>
        <v>216</v>
      </c>
      <c r="G6" s="1" t="str">
        <f>IFERROR(__xludf.DUMMYFUNCTION("""COMPUTED_VALUE"""),"Русско-польская война 1654-1667 гг.")</f>
        <v>Русско-польская война 1654-1667 гг.</v>
      </c>
      <c r="H6" s="1">
        <f>IFERROR(__xludf.DUMMYFUNCTION("""COMPUTED_VALUE"""),310.0)</f>
        <v>310</v>
      </c>
      <c r="I6" s="1" t="str">
        <f>IFERROR(__xludf.DUMMYFUNCTION("""COMPUTED_VALUE"""),"Павел I внутренняя политика")</f>
        <v>Павел I внутренняя политика</v>
      </c>
      <c r="J6" s="1">
        <f>IFERROR(__xludf.DUMMYFUNCTION("""COMPUTED_VALUE"""),416.0)</f>
        <v>416</v>
      </c>
      <c r="K6" s="1" t="str">
        <f>IFERROR(__xludf.DUMMYFUNCTION("""COMPUTED_VALUE"""),"Александр II внешняя политика")</f>
        <v>Александр II внешняя политика</v>
      </c>
      <c r="L6" s="1">
        <f>IFERROR(__xludf.DUMMYFUNCTION("""COMPUTED_VALUE"""),509.0)</f>
        <v>509</v>
      </c>
      <c r="M6" s="1" t="str">
        <f>IFERROR(__xludf.DUMMYFUNCTION("""COMPUTED_VALUE"""),"1930-е гг. внутренняя политика")</f>
        <v>1930-е гг. внутренняя политика</v>
      </c>
      <c r="N6" s="1">
        <f>IFERROR(__xludf.DUMMYFUNCTION("""COMPUTED_VALUE"""),625.0)</f>
        <v>625</v>
      </c>
      <c r="O6" s="1" t="str">
        <f>IFERROR(__xludf.DUMMYFUNCTION("""COMPUTED_VALUE"""),"Брежнев внутренняя политика")</f>
        <v>Брежнев внутренняя политика</v>
      </c>
      <c r="P6" s="1">
        <f>IFERROR(__xludf.DUMMYFUNCTION("""COMPUTED_VALUE"""),717.0)</f>
        <v>717</v>
      </c>
      <c r="Q6" s="1" t="str">
        <f>IFERROR(__xludf.DUMMYFUNCTION("""COMPUTED_VALUE"""),"Культура Новой России")</f>
        <v>Культура Новой России</v>
      </c>
      <c r="R6" s="1">
        <f>IFERROR(__xludf.DUMMYFUNCTION("""COMPUTED_VALUE"""),832.0)</f>
        <v>832</v>
      </c>
      <c r="S6" s="1" t="str">
        <f>IFERROR(__xludf.DUMMYFUNCTION("""COMPUTED_VALUE"""),"США в XIX – начале XX в.")</f>
        <v>США в XIX – начале XX в.</v>
      </c>
      <c r="T6" s="1">
        <f>IFERROR(__xludf.DUMMYFUNCTION("""COMPUTED_VALUE"""),916.0)</f>
        <v>916</v>
      </c>
      <c r="U6" s="1" t="str">
        <f>IFERROR(__xludf.DUMMYFUNCTION("""COMPUTED_VALUE"""),"Умение выстраивать причинно-следственные связи для изучения исторических процессов/событий")</f>
        <v>Умение выстраивать причинно-следственные связи для изучения исторических процессов/событий</v>
      </c>
      <c r="V6" s="1">
        <f>IFERROR(__xludf.DUMMYFUNCTION("""COMPUTED_VALUE"""),1005.0)</f>
        <v>1005</v>
      </c>
      <c r="W6" s="1"/>
      <c r="X6" s="1"/>
      <c r="Y6" s="1"/>
      <c r="Z6" s="1"/>
    </row>
    <row r="7">
      <c r="A7" s="1" t="str">
        <f>IFERROR(__xludf.DUMMYFUNCTION("""COMPUTED_VALUE"""),"Ольга — Святослав")</f>
        <v>Ольга — Святослав</v>
      </c>
      <c r="B7" s="1">
        <f>IFERROR(__xludf.DUMMYFUNCTION("""COMPUTED_VALUE"""),20.0)</f>
        <v>20</v>
      </c>
      <c r="C7" s="1" t="str">
        <f>IFERROR(__xludf.DUMMYFUNCTION("""COMPUTED_VALUE"""),"Архитектура раздробленности и возвышения Москвы 1132-1533 гг.")</f>
        <v>Архитектура раздробленности и возвышения Москвы 1132-1533 гг.</v>
      </c>
      <c r="D7" s="1">
        <f>IFERROR(__xludf.DUMMYFUNCTION("""COMPUTED_VALUE"""),109.0)</f>
        <v>109</v>
      </c>
      <c r="E7" s="1" t="str">
        <f>IFERROR(__xludf.DUMMYFUNCTION("""COMPUTED_VALUE"""),"Федор Иоаннович")</f>
        <v>Федор Иоаннович</v>
      </c>
      <c r="F7" s="1">
        <f>IFERROR(__xludf.DUMMYFUNCTION("""COMPUTED_VALUE"""),217.0)</f>
        <v>217</v>
      </c>
      <c r="G7" s="1" t="str">
        <f>IFERROR(__xludf.DUMMYFUNCTION("""COMPUTED_VALUE"""),"Экономика 17 века, первопроходцы, торговля")</f>
        <v>Экономика 17 века, первопроходцы, торговля</v>
      </c>
      <c r="H7" s="1">
        <f>IFERROR(__xludf.DUMMYFUNCTION("""COMPUTED_VALUE"""),313.0)</f>
        <v>313</v>
      </c>
      <c r="I7" s="1" t="str">
        <f>IFERROR(__xludf.DUMMYFUNCTION("""COMPUTED_VALUE"""),"Павел I внешняя политика")</f>
        <v>Павел I внешняя политика</v>
      </c>
      <c r="J7" s="1">
        <f>IFERROR(__xludf.DUMMYFUNCTION("""COMPUTED_VALUE"""),422.0)</f>
        <v>422</v>
      </c>
      <c r="K7" s="1" t="str">
        <f>IFERROR(__xludf.DUMMYFUNCTION("""COMPUTED_VALUE"""),"Александр III внутренняя политика")</f>
        <v>Александр III внутренняя политика</v>
      </c>
      <c r="L7" s="1">
        <f>IFERROR(__xludf.DUMMYFUNCTION("""COMPUTED_VALUE"""),513.0)</f>
        <v>513</v>
      </c>
      <c r="M7" s="1" t="str">
        <f>IFERROR(__xludf.DUMMYFUNCTION("""COMPUTED_VALUE"""),"1930-е гг. внешняя политика")</f>
        <v>1930-е гг. внешняя политика</v>
      </c>
      <c r="N7" s="1">
        <f>IFERROR(__xludf.DUMMYFUNCTION("""COMPUTED_VALUE"""),637.0)</f>
        <v>637</v>
      </c>
      <c r="O7" s="1" t="str">
        <f>IFERROR(__xludf.DUMMYFUNCTION("""COMPUTED_VALUE"""),"Экономика при Брежневе")</f>
        <v>Экономика при Брежневе</v>
      </c>
      <c r="P7" s="1">
        <f>IFERROR(__xludf.DUMMYFUNCTION("""COMPUTED_VALUE"""),723.0)</f>
        <v>723</v>
      </c>
      <c r="Q7" s="1" t="str">
        <f>IFERROR(__xludf.DUMMYFUNCTION("""COMPUTED_VALUE"""),"Ельцин внутренняя политика")</f>
        <v>Ельцин внутренняя политика</v>
      </c>
      <c r="R7" s="1">
        <f>IFERROR(__xludf.DUMMYFUNCTION("""COMPUTED_VALUE"""),833.0)</f>
        <v>833</v>
      </c>
      <c r="S7" s="1" t="str">
        <f>IFERROR(__xludf.DUMMYFUNCTION("""COMPUTED_VALUE"""),"Латинская Америка и Восток в XIX – начале XX в.")</f>
        <v>Латинская Америка и Восток в XIX – начале XX в.</v>
      </c>
      <c r="T7" s="1">
        <f>IFERROR(__xludf.DUMMYFUNCTION("""COMPUTED_VALUE"""),917.0)</f>
        <v>917</v>
      </c>
      <c r="U7" s="1" t="str">
        <f>IFERROR(__xludf.DUMMYFUNCTION("""COMPUTED_VALUE"""),"Умение систематизировать разнообразную историческую информацию")</f>
        <v>Умение систематизировать разнообразную историческую информацию</v>
      </c>
      <c r="V7" s="1">
        <f>IFERROR(__xludf.DUMMYFUNCTION("""COMPUTED_VALUE"""),1006.0)</f>
        <v>1006</v>
      </c>
      <c r="W7" s="1"/>
      <c r="X7" s="1"/>
      <c r="Y7" s="1"/>
      <c r="Z7" s="1"/>
    </row>
    <row r="8">
      <c r="A8" s="1" t="str">
        <f>IFERROR(__xludf.DUMMYFUNCTION("""COMPUTED_VALUE"""),"Владимир Святой")</f>
        <v>Владимир Святой</v>
      </c>
      <c r="B8" s="1">
        <f>IFERROR(__xludf.DUMMYFUNCTION("""COMPUTED_VALUE"""),26.0)</f>
        <v>26</v>
      </c>
      <c r="C8" s="1" t="str">
        <f>IFERROR(__xludf.DUMMYFUNCTION("""COMPUTED_VALUE"""),"Монголы (древность – 1237 гг.)")</f>
        <v>Монголы (древность – 1237 гг.)</v>
      </c>
      <c r="D8" s="1">
        <f>IFERROR(__xludf.DUMMYFUNCTION("""COMPUTED_VALUE"""),112.0)</f>
        <v>112</v>
      </c>
      <c r="E8" s="1" t="str">
        <f>IFERROR(__xludf.DUMMYFUNCTION("""COMPUTED_VALUE"""),"Смута 1598-1613 гг. (причины/последствия/основные черты)")</f>
        <v>Смута 1598-1613 гг. (причины/последствия/основные черты)</v>
      </c>
      <c r="F8" s="1">
        <f>IFERROR(__xludf.DUMMYFUNCTION("""COMPUTED_VALUE"""),220.0)</f>
        <v>220</v>
      </c>
      <c r="G8" s="1" t="str">
        <f>IFERROR(__xludf.DUMMYFUNCTION("""COMPUTED_VALUE"""),"Федор Алексеевич")</f>
        <v>Федор Алексеевич</v>
      </c>
      <c r="H8" s="1">
        <f>IFERROR(__xludf.DUMMYFUNCTION("""COMPUTED_VALUE"""),314.0)</f>
        <v>314</v>
      </c>
      <c r="I8" s="1" t="str">
        <f>IFERROR(__xludf.DUMMYFUNCTION("""COMPUTED_VALUE"""),"Литература 18 века")</f>
        <v>Литература 18 века</v>
      </c>
      <c r="J8" s="1">
        <f>IFERROR(__xludf.DUMMYFUNCTION("""COMPUTED_VALUE"""),424.0)</f>
        <v>424</v>
      </c>
      <c r="K8" s="1" t="str">
        <f>IFERROR(__xludf.DUMMYFUNCTION("""COMPUTED_VALUE"""),"Александр III внешняя политика")</f>
        <v>Александр III внешняя политика</v>
      </c>
      <c r="L8" s="1">
        <f>IFERROR(__xludf.DUMMYFUNCTION("""COMPUTED_VALUE"""),522.0)</f>
        <v>522</v>
      </c>
      <c r="M8" s="1" t="str">
        <f>IFERROR(__xludf.DUMMYFUNCTION("""COMPUTED_VALUE"""),"Великая Отечественная война 1941-1943 гг.")</f>
        <v>Великая Отечественная война 1941-1943 гг.</v>
      </c>
      <c r="N8" s="1">
        <f>IFERROR(__xludf.DUMMYFUNCTION("""COMPUTED_VALUE"""),644.0)</f>
        <v>644</v>
      </c>
      <c r="O8" s="1" t="str">
        <f>IFERROR(__xludf.DUMMYFUNCTION("""COMPUTED_VALUE"""),"Брежнев внешняя политика")</f>
        <v>Брежнев внешняя политика</v>
      </c>
      <c r="P8" s="1">
        <f>IFERROR(__xludf.DUMMYFUNCTION("""COMPUTED_VALUE"""),735.0)</f>
        <v>735</v>
      </c>
      <c r="Q8" s="1" t="str">
        <f>IFERROR(__xludf.DUMMYFUNCTION("""COMPUTED_VALUE"""),"Ельцин внешняя политика")</f>
        <v>Ельцин внешняя политика</v>
      </c>
      <c r="R8" s="1">
        <f>IFERROR(__xludf.DUMMYFUNCTION("""COMPUTED_VALUE"""),834.0)</f>
        <v>834</v>
      </c>
      <c r="S8" s="1" t="str">
        <f>IFERROR(__xludf.DUMMYFUNCTION("""COMPUTED_VALUE"""),"Первая мировая война")</f>
        <v>Первая мировая война</v>
      </c>
      <c r="T8" s="1">
        <f>IFERROR(__xludf.DUMMYFUNCTION("""COMPUTED_VALUE"""),920.0)</f>
        <v>920</v>
      </c>
      <c r="U8" s="1" t="str">
        <f>IFERROR(__xludf.DUMMYFUNCTION("""COMPUTED_VALUE"""),"Знание исторических понятий, умение их использовать")</f>
        <v>Знание исторических понятий, умение их использовать</v>
      </c>
      <c r="V8" s="1">
        <f>IFERROR(__xludf.DUMMYFUNCTION("""COMPUTED_VALUE"""),1007.0)</f>
        <v>1007</v>
      </c>
      <c r="W8" s="1"/>
      <c r="X8" s="1"/>
      <c r="Y8" s="1"/>
      <c r="Z8" s="1"/>
    </row>
    <row r="9">
      <c r="A9" s="1" t="str">
        <f>IFERROR(__xludf.DUMMYFUNCTION("""COMPUTED_VALUE"""),"Ярослав Мудрый")</f>
        <v>Ярослав Мудрый</v>
      </c>
      <c r="B9" s="1">
        <f>IFERROR(__xludf.DUMMYFUNCTION("""COMPUTED_VALUE"""),30.0)</f>
        <v>30</v>
      </c>
      <c r="C9" s="1" t="str">
        <f>IFERROR(__xludf.DUMMYFUNCTION("""COMPUTED_VALUE"""),"Александр Невский")</f>
        <v>Александр Невский</v>
      </c>
      <c r="D9" s="1">
        <f>IFERROR(__xludf.DUMMYFUNCTION("""COMPUTED_VALUE"""),117.0)</f>
        <v>117</v>
      </c>
      <c r="E9" s="1" t="str">
        <f>IFERROR(__xludf.DUMMYFUNCTION("""COMPUTED_VALUE"""),"Борис Годунов (1598-1605 гг.) и Федор Годунов")</f>
        <v>Борис Годунов (1598-1605 гг.) и Федор Годунов</v>
      </c>
      <c r="F9" s="1">
        <f>IFERROR(__xludf.DUMMYFUNCTION("""COMPUTED_VALUE"""),221.0)</f>
        <v>221</v>
      </c>
      <c r="G9" s="1" t="str">
        <f>IFERROR(__xludf.DUMMYFUNCTION("""COMPUTED_VALUE"""),"Экономика XVII века")</f>
        <v>Экономика XVII века</v>
      </c>
      <c r="H9" s="1">
        <f>IFERROR(__xludf.DUMMYFUNCTION("""COMPUTED_VALUE"""),316.0)</f>
        <v>316</v>
      </c>
      <c r="I9" s="1" t="str">
        <f>IFERROR(__xludf.DUMMYFUNCTION("""COMPUTED_VALUE"""),"Александр I внутренняя политика")</f>
        <v>Александр I внутренняя политика</v>
      </c>
      <c r="J9" s="1">
        <f>IFERROR(__xludf.DUMMYFUNCTION("""COMPUTED_VALUE"""),429.0)</f>
        <v>429</v>
      </c>
      <c r="K9" s="1" t="str">
        <f>IFERROR(__xludf.DUMMYFUNCTION("""COMPUTED_VALUE"""),"Общественная мысль при Александре III")</f>
        <v>Общественная мысль при Александре III</v>
      </c>
      <c r="L9" s="1">
        <f>IFERROR(__xludf.DUMMYFUNCTION("""COMPUTED_VALUE"""),525.0)</f>
        <v>525</v>
      </c>
      <c r="M9" s="1" t="str">
        <f>IFERROR(__xludf.DUMMYFUNCTION("""COMPUTED_VALUE"""),"Великая Отечественная война 1943-1945 гг. Герои ВОВ")</f>
        <v>Великая Отечественная война 1943-1945 гг. Герои ВОВ</v>
      </c>
      <c r="N9" s="1">
        <f>IFERROR(__xludf.DUMMYFUNCTION("""COMPUTED_VALUE"""),652.0)</f>
        <v>652</v>
      </c>
      <c r="O9" s="1" t="str">
        <f>IFERROR(__xludf.DUMMYFUNCTION("""COMPUTED_VALUE"""),"Культура при Брежневе")</f>
        <v>Культура при Брежневе</v>
      </c>
      <c r="P9" s="1">
        <f>IFERROR(__xludf.DUMMYFUNCTION("""COMPUTED_VALUE"""),739.0)</f>
        <v>739</v>
      </c>
      <c r="Q9" s="1" t="str">
        <f>IFERROR(__xludf.DUMMYFUNCTION("""COMPUTED_VALUE"""),"Путин внутренняя политика 2000-2008 гг. и 2012-2014 гг.")</f>
        <v>Путин внутренняя политика 2000-2008 гг. и 2012-2014 гг.</v>
      </c>
      <c r="R9" s="1">
        <f>IFERROR(__xludf.DUMMYFUNCTION("""COMPUTED_VALUE"""),835.0)</f>
        <v>835</v>
      </c>
      <c r="S9" s="1" t="str">
        <f>IFERROR(__xludf.DUMMYFUNCTION("""COMPUTED_VALUE"""),"Европейские страны в 20-30-е годы XX в.")</f>
        <v>Европейские страны в 20-30-е годы XX в.</v>
      </c>
      <c r="T9" s="1">
        <f>IFERROR(__xludf.DUMMYFUNCTION("""COMPUTED_VALUE"""),923.0)</f>
        <v>923</v>
      </c>
      <c r="U9" s="1" t="str">
        <f>IFERROR(__xludf.DUMMYFUNCTION("""COMPUTED_VALUE"""),"Умение использовать исторические сведения для аргументации в ходе дискуссии")</f>
        <v>Умение использовать исторические сведения для аргументации в ходе дискуссии</v>
      </c>
      <c r="V9" s="1">
        <f>IFERROR(__xludf.DUMMYFUNCTION("""COMPUTED_VALUE"""),1008.0)</f>
        <v>1008</v>
      </c>
      <c r="W9" s="1"/>
      <c r="X9" s="1"/>
      <c r="Y9" s="1"/>
      <c r="Z9" s="1"/>
    </row>
    <row r="10">
      <c r="A10" s="1" t="str">
        <f>IFERROR(__xludf.DUMMYFUNCTION("""COMPUTED_VALUE"""),"Триумвират Ярославичей. Святополк Изяславич")</f>
        <v>Триумвират Ярославичей. Святополк Изяславич</v>
      </c>
      <c r="B10" s="1">
        <f>IFERROR(__xludf.DUMMYFUNCTION("""COMPUTED_VALUE"""),33.0)</f>
        <v>33</v>
      </c>
      <c r="C10" s="1" t="str">
        <f>IFERROR(__xludf.DUMMYFUNCTION("""COMPUTED_VALUE"""),"Русь и Литва")</f>
        <v>Русь и Литва</v>
      </c>
      <c r="D10" s="1">
        <f>IFERROR(__xludf.DUMMYFUNCTION("""COMPUTED_VALUE"""),122.0)</f>
        <v>122</v>
      </c>
      <c r="E10" s="1" t="str">
        <f>IFERROR(__xludf.DUMMYFUNCTION("""COMPUTED_VALUE"""),"Лжедмитрий I")</f>
        <v>Лжедмитрий I</v>
      </c>
      <c r="F10" s="1">
        <f>IFERROR(__xludf.DUMMYFUNCTION("""COMPUTED_VALUE"""),224.0)</f>
        <v>224</v>
      </c>
      <c r="G10" s="1" t="str">
        <f>IFERROR(__xludf.DUMMYFUNCTION("""COMPUTED_VALUE"""),"Этапы закрепощения, виды крестьян")</f>
        <v>Этапы закрепощения, виды крестьян</v>
      </c>
      <c r="H10" s="1">
        <f>IFERROR(__xludf.DUMMYFUNCTION("""COMPUTED_VALUE"""),317.0)</f>
        <v>317</v>
      </c>
      <c r="I10" s="1" t="str">
        <f>IFERROR(__xludf.DUMMYFUNCTION("""COMPUTED_VALUE"""),"Декабристы")</f>
        <v>Декабристы</v>
      </c>
      <c r="J10" s="1">
        <f>IFERROR(__xludf.DUMMYFUNCTION("""COMPUTED_VALUE"""),434.0)</f>
        <v>434</v>
      </c>
      <c r="K10" s="1" t="str">
        <f>IFERROR(__xludf.DUMMYFUNCTION("""COMPUTED_VALUE"""),"Николай II до 1905 г. внутренняя политика")</f>
        <v>Николай II до 1905 г. внутренняя политика</v>
      </c>
      <c r="L10" s="1">
        <f>IFERROR(__xludf.DUMMYFUNCTION("""COMPUTED_VALUE"""),526.0)</f>
        <v>526</v>
      </c>
      <c r="M10" s="1" t="str">
        <f>IFERROR(__xludf.DUMMYFUNCTION("""COMPUTED_VALUE"""),"Послевоенный период: внутренняя политика")</f>
        <v>Послевоенный период: внутренняя политика</v>
      </c>
      <c r="N10" s="1">
        <f>IFERROR(__xludf.DUMMYFUNCTION("""COMPUTED_VALUE"""),666.0)</f>
        <v>666</v>
      </c>
      <c r="O10" s="1" t="str">
        <f>IFERROR(__xludf.DUMMYFUNCTION("""COMPUTED_VALUE"""),"Андропов. Черненко")</f>
        <v>Андропов. Черненко</v>
      </c>
      <c r="P10" s="1">
        <f>IFERROR(__xludf.DUMMYFUNCTION("""COMPUTED_VALUE"""),740.0)</f>
        <v>740</v>
      </c>
      <c r="Q10" s="1" t="str">
        <f>IFERROR(__xludf.DUMMYFUNCTION("""COMPUTED_VALUE"""),"Эпоха тандема 2008-2012 гг.")</f>
        <v>Эпоха тандема 2008-2012 гг.</v>
      </c>
      <c r="R10" s="1">
        <f>IFERROR(__xludf.DUMMYFUNCTION("""COMPUTED_VALUE"""),836.0)</f>
        <v>836</v>
      </c>
      <c r="S10" s="1" t="str">
        <f>IFERROR(__xludf.DUMMYFUNCTION("""COMPUTED_VALUE"""),"Латинская Америка и Восток в XX в.")</f>
        <v>Латинская Америка и Восток в XX в.</v>
      </c>
      <c r="T10" s="1">
        <f>IFERROR(__xludf.DUMMYFUNCTION("""COMPUTED_VALUE"""),925.0)</f>
        <v>925</v>
      </c>
      <c r="U10" s="1" t="str">
        <f>IFERROR(__xludf.DUMMYFUNCTION("""COMPUTED_VALUE"""),"Знание исторических деятелей")</f>
        <v>Знание исторических деятелей</v>
      </c>
      <c r="V10" s="1">
        <f>IFERROR(__xludf.DUMMYFUNCTION("""COMPUTED_VALUE"""),1009.0)</f>
        <v>1009</v>
      </c>
      <c r="W10" s="1"/>
      <c r="X10" s="1"/>
      <c r="Y10" s="1"/>
      <c r="Z10" s="1"/>
    </row>
    <row r="11">
      <c r="A11" s="1" t="str">
        <f>IFERROR(__xludf.DUMMYFUNCTION("""COMPUTED_VALUE"""),"Владимир Мономах — Мстислав Великий")</f>
        <v>Владимир Мономах — Мстислав Великий</v>
      </c>
      <c r="B11" s="1">
        <f>IFERROR(__xludf.DUMMYFUNCTION("""COMPUTED_VALUE"""),36.0)</f>
        <v>36</v>
      </c>
      <c r="C11" s="1" t="str">
        <f>IFERROR(__xludf.DUMMYFUNCTION("""COMPUTED_VALUE"""),"Образование Литвы. Союзы Польши и Литвы")</f>
        <v>Образование Литвы. Союзы Польши и Литвы</v>
      </c>
      <c r="D11" s="1">
        <f>IFERROR(__xludf.DUMMYFUNCTION("""COMPUTED_VALUE"""),123.0)</f>
        <v>123</v>
      </c>
      <c r="E11" s="1" t="str">
        <f>IFERROR(__xludf.DUMMYFUNCTION("""COMPUTED_VALUE"""),"Василий Шуйский")</f>
        <v>Василий Шуйский</v>
      </c>
      <c r="F11" s="1">
        <f>IFERROR(__xludf.DUMMYFUNCTION("""COMPUTED_VALUE"""),230.0)</f>
        <v>230</v>
      </c>
      <c r="G11" s="1" t="str">
        <f>IFERROR(__xludf.DUMMYFUNCTION("""COMPUTED_VALUE"""),"Литература 17 в.")</f>
        <v>Литература 17 в.</v>
      </c>
      <c r="H11" s="1">
        <f>IFERROR(__xludf.DUMMYFUNCTION("""COMPUTED_VALUE"""),319.0)</f>
        <v>319</v>
      </c>
      <c r="I11" s="1" t="str">
        <f>IFERROR(__xludf.DUMMYFUNCTION("""COMPUTED_VALUE"""),"Александр I внешняя политика")</f>
        <v>Александр I внешняя политика</v>
      </c>
      <c r="J11" s="1">
        <f>IFERROR(__xludf.DUMMYFUNCTION("""COMPUTED_VALUE"""),435.0)</f>
        <v>435</v>
      </c>
      <c r="K11" s="1" t="str">
        <f>IFERROR(__xludf.DUMMYFUNCTION("""COMPUTED_VALUE"""),"Николай II до 1905 г. внешняя политика")</f>
        <v>Николай II до 1905 г. внешняя политика</v>
      </c>
      <c r="L11" s="1">
        <f>IFERROR(__xludf.DUMMYFUNCTION("""COMPUTED_VALUE"""),528.0)</f>
        <v>528</v>
      </c>
      <c r="M11" s="1" t="str">
        <f>IFERROR(__xludf.DUMMYFUNCTION("""COMPUTED_VALUE"""),"Послевоенный период: внешняя политика")</f>
        <v>Послевоенный период: внешняя политика</v>
      </c>
      <c r="N11" s="1">
        <f>IFERROR(__xludf.DUMMYFUNCTION("""COMPUTED_VALUE"""),675.0)</f>
        <v>675</v>
      </c>
      <c r="O11" s="1" t="str">
        <f>IFERROR(__xludf.DUMMYFUNCTION("""COMPUTED_VALUE"""),"Горбачев внутренняя политика")</f>
        <v>Горбачев внутренняя политика</v>
      </c>
      <c r="P11" s="1">
        <f>IFERROR(__xludf.DUMMYFUNCTION("""COMPUTED_VALUE"""),744.0)</f>
        <v>744</v>
      </c>
      <c r="Q11" s="1" t="str">
        <f>IFERROR(__xludf.DUMMYFUNCTION("""COMPUTED_VALUE"""),"Путин внешняя политика")</f>
        <v>Путин внешняя политика</v>
      </c>
      <c r="R11" s="1">
        <f>IFERROR(__xludf.DUMMYFUNCTION("""COMPUTED_VALUE"""),837.0)</f>
        <v>837</v>
      </c>
      <c r="S11" s="1" t="str">
        <f>IFERROR(__xludf.DUMMYFUNCTION("""COMPUTED_VALUE"""),"США в 20-30-е годы XX в.")</f>
        <v>США в 20-30-е годы XX в.</v>
      </c>
      <c r="T11" s="1">
        <f>IFERROR(__xludf.DUMMYFUNCTION("""COMPUTED_VALUE"""),926.0)</f>
        <v>926</v>
      </c>
      <c r="U11" s="1" t="str">
        <f>IFERROR(__xludf.DUMMYFUNCTION("""COMPUTED_VALUE"""),"Знание дат")</f>
        <v>Знание дат</v>
      </c>
      <c r="V11" s="1">
        <f>IFERROR(__xludf.DUMMYFUNCTION("""COMPUTED_VALUE"""),1010.0)</f>
        <v>1010</v>
      </c>
      <c r="W11" s="1"/>
      <c r="X11" s="1"/>
      <c r="Y11" s="1"/>
      <c r="Z11" s="1"/>
    </row>
    <row r="12">
      <c r="A12" s="1" t="str">
        <f>IFERROR(__xludf.DUMMYFUNCTION("""COMPUTED_VALUE"""),"Культура Древнерусского государства")</f>
        <v>Культура Древнерусского государства</v>
      </c>
      <c r="B12" s="1">
        <f>IFERROR(__xludf.DUMMYFUNCTION("""COMPUTED_VALUE"""),40.0)</f>
        <v>40</v>
      </c>
      <c r="C12" s="1" t="str">
        <f>IFERROR(__xludf.DUMMYFUNCTION("""COMPUTED_VALUE"""),"Возвышение Москвы (причины/последствия, плюсы и минусы, характерные черты)")</f>
        <v>Возвышение Москвы (причины/последствия, плюсы и минусы, характерные черты)</v>
      </c>
      <c r="D12" s="1">
        <f>IFERROR(__xludf.DUMMYFUNCTION("""COMPUTED_VALUE"""),124.0)</f>
        <v>124</v>
      </c>
      <c r="E12" s="1" t="str">
        <f>IFERROR(__xludf.DUMMYFUNCTION("""COMPUTED_VALUE"""),"Лжедмитрий 2")</f>
        <v>Лжедмитрий 2</v>
      </c>
      <c r="F12" s="1">
        <f>IFERROR(__xludf.DUMMYFUNCTION("""COMPUTED_VALUE"""),235.0)</f>
        <v>235</v>
      </c>
      <c r="G12" s="1" t="str">
        <f>IFERROR(__xludf.DUMMYFUNCTION("""COMPUTED_VALUE"""),"Архитектура 17 века")</f>
        <v>Архитектура 17 века</v>
      </c>
      <c r="H12" s="1">
        <f>IFERROR(__xludf.DUMMYFUNCTION("""COMPUTED_VALUE"""),321.0)</f>
        <v>321</v>
      </c>
      <c r="I12" s="1" t="str">
        <f>IFERROR(__xludf.DUMMYFUNCTION("""COMPUTED_VALUE"""),"Отечественная война. Освободительный поход. Венский конгресс")</f>
        <v>Отечественная война. Освободительный поход. Венский конгресс</v>
      </c>
      <c r="J12" s="1">
        <f>IFERROR(__xludf.DUMMYFUNCTION("""COMPUTED_VALUE"""),437.0)</f>
        <v>437</v>
      </c>
      <c r="K12" s="1" t="str">
        <f>IFERROR(__xludf.DUMMYFUNCTION("""COMPUTED_VALUE"""),"Первая Русская революция")</f>
        <v>Первая Русская революция</v>
      </c>
      <c r="L12" s="1">
        <f>IFERROR(__xludf.DUMMYFUNCTION("""COMPUTED_VALUE"""),531.0)</f>
        <v>531</v>
      </c>
      <c r="M12" s="1" t="str">
        <f>IFERROR(__xludf.DUMMYFUNCTION("""COMPUTED_VALUE"""),"Литература первой половины 20 века")</f>
        <v>Литература первой половины 20 века</v>
      </c>
      <c r="N12" s="1">
        <f>IFERROR(__xludf.DUMMYFUNCTION("""COMPUTED_VALUE"""),679.0)</f>
        <v>679</v>
      </c>
      <c r="O12" s="1" t="str">
        <f>IFERROR(__xludf.DUMMYFUNCTION("""COMPUTED_VALUE"""),"Горбачев внешняя политика")</f>
        <v>Горбачев внешняя политика</v>
      </c>
      <c r="P12" s="1">
        <f>IFERROR(__xludf.DUMMYFUNCTION("""COMPUTED_VALUE"""),753.0)</f>
        <v>753</v>
      </c>
      <c r="Q12" s="1" t="str">
        <f>IFERROR(__xludf.DUMMYFUNCTION("""COMPUTED_VALUE"""),"Литература второй половины 20 века - начала 21 века")</f>
        <v>Литература второй половины 20 века - начала 21 века</v>
      </c>
      <c r="R12" s="1">
        <f>IFERROR(__xludf.DUMMYFUNCTION("""COMPUTED_VALUE"""),838.0)</f>
        <v>838</v>
      </c>
      <c r="S12" s="1" t="str">
        <f>IFERROR(__xludf.DUMMYFUNCTION("""COMPUTED_VALUE"""),"Вторая мировая война")</f>
        <v>Вторая мировая война</v>
      </c>
      <c r="T12" s="1">
        <f>IFERROR(__xludf.DUMMYFUNCTION("""COMPUTED_VALUE"""),932.0)</f>
        <v>932</v>
      </c>
      <c r="U12" s="1" t="str">
        <f>IFERROR(__xludf.DUMMYFUNCTION("""COMPUTED_VALUE"""),"Знание фактов истории культуры")</f>
        <v>Знание фактов истории культуры</v>
      </c>
      <c r="V12" s="1">
        <f>IFERROR(__xludf.DUMMYFUNCTION("""COMPUTED_VALUE"""),1011.0)</f>
        <v>1011</v>
      </c>
      <c r="W12" s="1"/>
      <c r="X12" s="1"/>
      <c r="Y12" s="1"/>
      <c r="Z12" s="1"/>
    </row>
    <row r="13">
      <c r="A13" s="1" t="str">
        <f>IFERROR(__xludf.DUMMYFUNCTION("""COMPUTED_VALUE"""),"Елена Глинская и Боярское правление")</f>
        <v>Елена Глинская и Боярское правление</v>
      </c>
      <c r="B13" s="1">
        <f>IFERROR(__xludf.DUMMYFUNCTION("""COMPUTED_VALUE"""),47.0)</f>
        <v>47</v>
      </c>
      <c r="C13" s="1" t="str">
        <f>IFERROR(__xludf.DUMMYFUNCTION("""COMPUTED_VALUE"""),"Даниил Московский. Юрий Данилович")</f>
        <v>Даниил Московский. Юрий Данилович</v>
      </c>
      <c r="D13" s="1">
        <f>IFERROR(__xludf.DUMMYFUNCTION("""COMPUTED_VALUE"""),125.0)</f>
        <v>125</v>
      </c>
      <c r="E13" s="1" t="str">
        <f>IFERROR(__xludf.DUMMYFUNCTION("""COMPUTED_VALUE"""),"Семибоярщина")</f>
        <v>Семибоярщина</v>
      </c>
      <c r="F13" s="1">
        <f>IFERROR(__xludf.DUMMYFUNCTION("""COMPUTED_VALUE"""),237.0)</f>
        <v>237</v>
      </c>
      <c r="G13" s="1" t="str">
        <f>IFERROR(__xludf.DUMMYFUNCTION("""COMPUTED_VALUE"""),"Образование и наука 17 в.")</f>
        <v>Образование и наука 17 в.</v>
      </c>
      <c r="H13" s="1">
        <f>IFERROR(__xludf.DUMMYFUNCTION("""COMPUTED_VALUE"""),322.0)</f>
        <v>322</v>
      </c>
      <c r="I13" s="1" t="str">
        <f>IFERROR(__xludf.DUMMYFUNCTION("""COMPUTED_VALUE"""),"Николай I внутренняя политика")</f>
        <v>Николай I внутренняя политика</v>
      </c>
      <c r="J13" s="1">
        <f>IFERROR(__xludf.DUMMYFUNCTION("""COMPUTED_VALUE"""),443.0)</f>
        <v>443</v>
      </c>
      <c r="K13" s="1" t="str">
        <f>IFERROR(__xludf.DUMMYFUNCTION("""COMPUTED_VALUE"""),"Общественная мысль, партии при Николае II")</f>
        <v>Общественная мысль, партии при Николае II</v>
      </c>
      <c r="L13" s="1">
        <f>IFERROR(__xludf.DUMMYFUNCTION("""COMPUTED_VALUE"""),535.0)</f>
        <v>535</v>
      </c>
      <c r="M13" s="1" t="str">
        <f>IFERROR(__xludf.DUMMYFUNCTION("""COMPUTED_VALUE"""),"Архитектура первой половины 20 века")</f>
        <v>Архитектура первой половины 20 века</v>
      </c>
      <c r="N13" s="1">
        <f>IFERROR(__xludf.DUMMYFUNCTION("""COMPUTED_VALUE"""),681.0)</f>
        <v>681</v>
      </c>
      <c r="O13" s="1" t="str">
        <f>IFERROR(__xludf.DUMMYFUNCTION("""COMPUTED_VALUE"""),"1991 год: ГКЧП, Распад СССР, национальные процессы")</f>
        <v>1991 год: ГКЧП, Распад СССР, национальные процессы</v>
      </c>
      <c r="P13" s="1">
        <f>IFERROR(__xludf.DUMMYFUNCTION("""COMPUTED_VALUE"""),755.0)</f>
        <v>755</v>
      </c>
      <c r="Q13" s="1" t="str">
        <f>IFERROR(__xludf.DUMMYFUNCTION("""COMPUTED_VALUE"""),"Архитектура второй половины 20 века - начала 21 века")</f>
        <v>Архитектура второй половины 20 века - начала 21 века</v>
      </c>
      <c r="R13" s="1">
        <f>IFERROR(__xludf.DUMMYFUNCTION("""COMPUTED_VALUE"""),839.0)</f>
        <v>839</v>
      </c>
      <c r="S13" s="1" t="str">
        <f>IFERROR(__xludf.DUMMYFUNCTION("""COMPUTED_VALUE"""),"Европейские страны в второй половине XX в.")</f>
        <v>Европейские страны в второй половине XX в.</v>
      </c>
      <c r="T13" s="1">
        <f>IFERROR(__xludf.DUMMYFUNCTION("""COMPUTED_VALUE"""),936.0)</f>
        <v>936</v>
      </c>
      <c r="U13" s="1" t="str">
        <f>IFERROR(__xludf.DUMMYFUNCTION("""COMPUTED_VALUE"""),"Умение сравнивать исторические события, процессы, явления")</f>
        <v>Умение сравнивать исторические события, процессы, явления</v>
      </c>
      <c r="V13" s="1">
        <f>IFERROR(__xludf.DUMMYFUNCTION("""COMPUTED_VALUE"""),1012.0)</f>
        <v>1012</v>
      </c>
      <c r="W13" s="1"/>
      <c r="X13" s="1"/>
      <c r="Y13" s="1"/>
      <c r="Z13" s="1"/>
    </row>
    <row r="14">
      <c r="A14" s="1" t="str">
        <f>IFERROR(__xludf.DUMMYFUNCTION("""COMPUTED_VALUE"""),"Иван Грозный внутренняя политика 1547-1565 гг.")</f>
        <v>Иван Грозный внутренняя политика 1547-1565 гг.</v>
      </c>
      <c r="B14" s="1">
        <f>IFERROR(__xludf.DUMMYFUNCTION("""COMPUTED_VALUE"""),48.0)</f>
        <v>48</v>
      </c>
      <c r="C14" s="1" t="str">
        <f>IFERROR(__xludf.DUMMYFUNCTION("""COMPUTED_VALUE"""),"Иван Калита. Симеон Гордый и Иван Красный")</f>
        <v>Иван Калита. Симеон Гордый и Иван Красный</v>
      </c>
      <c r="D14" s="1">
        <f>IFERROR(__xludf.DUMMYFUNCTION("""COMPUTED_VALUE"""),127.0)</f>
        <v>127</v>
      </c>
      <c r="E14" s="1" t="str">
        <f>IFERROR(__xludf.DUMMYFUNCTION("""COMPUTED_VALUE"""),"Народные ополчения и интервенции + земский собор 1613 г.")</f>
        <v>Народные ополчения и интервенции + земский собор 1613 г.</v>
      </c>
      <c r="F14" s="1">
        <f>IFERROR(__xludf.DUMMYFUNCTION("""COMPUTED_VALUE"""),239.0)</f>
        <v>239</v>
      </c>
      <c r="G14" s="1" t="str">
        <f>IFERROR(__xludf.DUMMYFUNCTION("""COMPUTED_VALUE"""),"Живопись 17 века")</f>
        <v>Живопись 17 века</v>
      </c>
      <c r="H14" s="1">
        <f>IFERROR(__xludf.DUMMYFUNCTION("""COMPUTED_VALUE"""),323.0)</f>
        <v>323</v>
      </c>
      <c r="I14" s="1" t="str">
        <f>IFERROR(__xludf.DUMMYFUNCTION("""COMPUTED_VALUE"""),"Николай I внешняя политика")</f>
        <v>Николай I внешняя политика</v>
      </c>
      <c r="J14" s="1">
        <f>IFERROR(__xludf.DUMMYFUNCTION("""COMPUTED_VALUE"""),450.0)</f>
        <v>450</v>
      </c>
      <c r="K14" s="1" t="str">
        <f>IFERROR(__xludf.DUMMYFUNCTION("""COMPUTED_VALUE"""),"Николай II 1907-1917 гг. внутренняя политика")</f>
        <v>Николай II 1907-1917 гг. внутренняя политика</v>
      </c>
      <c r="L14" s="1">
        <f>IFERROR(__xludf.DUMMYFUNCTION("""COMPUTED_VALUE"""),538.0)</f>
        <v>538</v>
      </c>
      <c r="M14" s="1" t="str">
        <f>IFERROR(__xludf.DUMMYFUNCTION("""COMPUTED_VALUE"""),"Образование и наука первой половины 20 века")</f>
        <v>Образование и наука первой половины 20 века</v>
      </c>
      <c r="N14" s="1">
        <f>IFERROR(__xludf.DUMMYFUNCTION("""COMPUTED_VALUE"""),682.0)</f>
        <v>682</v>
      </c>
      <c r="O14" s="1" t="str">
        <f>IFERROR(__xludf.DUMMYFUNCTION("""COMPUTED_VALUE"""),"Культура 1980-х")</f>
        <v>Культура 1980-х</v>
      </c>
      <c r="P14" s="1">
        <f>IFERROR(__xludf.DUMMYFUNCTION("""COMPUTED_VALUE"""),763.0)</f>
        <v>763</v>
      </c>
      <c r="Q14" s="1" t="str">
        <f>IFERROR(__xludf.DUMMYFUNCTION("""COMPUTED_VALUE"""),"Живопись второй половины 20 века - начала 21 века")</f>
        <v>Живопись второй половины 20 века - начала 21 века</v>
      </c>
      <c r="R14" s="1">
        <f>IFERROR(__xludf.DUMMYFUNCTION("""COMPUTED_VALUE"""),840.0)</f>
        <v>840</v>
      </c>
      <c r="S14" s="1" t="str">
        <f>IFERROR(__xludf.DUMMYFUNCTION("""COMPUTED_VALUE"""),"Всемирная История до Рюрика")</f>
        <v>Всемирная История до Рюрика</v>
      </c>
      <c r="T14" s="1">
        <f>IFERROR(__xludf.DUMMYFUNCTION("""COMPUTED_VALUE"""),945.0)</f>
        <v>945</v>
      </c>
      <c r="U14" s="1"/>
      <c r="V14" s="1"/>
      <c r="W14" s="1"/>
      <c r="X14" s="1"/>
      <c r="Y14" s="1"/>
      <c r="Z14" s="1"/>
    </row>
    <row r="15">
      <c r="A15" s="1" t="str">
        <f>IFERROR(__xludf.DUMMYFUNCTION("""COMPUTED_VALUE"""),"Опричнина и последние годы")</f>
        <v>Опричнина и последние годы</v>
      </c>
      <c r="B15" s="1">
        <f>IFERROR(__xludf.DUMMYFUNCTION("""COMPUTED_VALUE"""),49.0)</f>
        <v>49</v>
      </c>
      <c r="C15" s="1" t="str">
        <f>IFERROR(__xludf.DUMMYFUNCTION("""COMPUTED_VALUE"""),"Борьба с Литвой Симеона Гордого")</f>
        <v>Борьба с Литвой Симеона Гордого</v>
      </c>
      <c r="D15" s="1">
        <f>IFERROR(__xludf.DUMMYFUNCTION("""COMPUTED_VALUE"""),128.0)</f>
        <v>128</v>
      </c>
      <c r="E15" s="1" t="str">
        <f>IFERROR(__xludf.DUMMYFUNCTION("""COMPUTED_VALUE"""),"Литература 16 в.")</f>
        <v>Литература 16 в.</v>
      </c>
      <c r="F15" s="1">
        <f>IFERROR(__xludf.DUMMYFUNCTION("""COMPUTED_VALUE"""),246.0)</f>
        <v>246</v>
      </c>
      <c r="G15" s="1" t="str">
        <f>IFERROR(__xludf.DUMMYFUNCTION("""COMPUTED_VALUE"""),"Софья Алексеевна")</f>
        <v>Софья Алексеевна</v>
      </c>
      <c r="H15" s="1">
        <f>IFERROR(__xludf.DUMMYFUNCTION("""COMPUTED_VALUE"""),324.0)</f>
        <v>324</v>
      </c>
      <c r="I15" s="1" t="str">
        <f>IFERROR(__xludf.DUMMYFUNCTION("""COMPUTED_VALUE"""),"Крымская война")</f>
        <v>Крымская война</v>
      </c>
      <c r="J15" s="1">
        <f>IFERROR(__xludf.DUMMYFUNCTION("""COMPUTED_VALUE"""),453.0)</f>
        <v>453</v>
      </c>
      <c r="K15" s="1" t="str">
        <f>IFERROR(__xludf.DUMMYFUNCTION("""COMPUTED_VALUE"""),"Итоги революции  1905-1907")</f>
        <v>Итоги революции  1905-1907</v>
      </c>
      <c r="L15" s="1">
        <f>IFERROR(__xludf.DUMMYFUNCTION("""COMPUTED_VALUE"""),540.0)</f>
        <v>540</v>
      </c>
      <c r="M15" s="1" t="str">
        <f>IFERROR(__xludf.DUMMYFUNCTION("""COMPUTED_VALUE"""),"Живопись первой половины 20 века")</f>
        <v>Живопись первой половины 20 века</v>
      </c>
      <c r="N15" s="1">
        <f>IFERROR(__xludf.DUMMYFUNCTION("""COMPUTED_VALUE"""),683.0)</f>
        <v>683</v>
      </c>
      <c r="O15" s="1" t="str">
        <f>IFERROR(__xludf.DUMMYFUNCTION("""COMPUTED_VALUE"""),"Кино в XX веке")</f>
        <v>Кино в XX веке</v>
      </c>
      <c r="P15" s="1">
        <f>IFERROR(__xludf.DUMMYFUNCTION("""COMPUTED_VALUE"""),765.0)</f>
        <v>765</v>
      </c>
      <c r="Q15" s="1" t="str">
        <f>IFERROR(__xludf.DUMMYFUNCTION("""COMPUTED_VALUE"""),"Образование и наука второй половины 20 века - начала 21 века")</f>
        <v>Образование и наука второй половины 20 века - начала 21 века</v>
      </c>
      <c r="R15" s="1">
        <f>IFERROR(__xludf.DUMMYFUNCTION("""COMPUTED_VALUE"""),841.0)</f>
        <v>841</v>
      </c>
      <c r="S15" s="1" t="str">
        <f>IFERROR(__xludf.DUMMYFUNCTION("""COMPUTED_VALUE"""),"Всемирная история Средних веков")</f>
        <v>Всемирная история Средних веков</v>
      </c>
      <c r="T15" s="1">
        <f>IFERROR(__xludf.DUMMYFUNCTION("""COMPUTED_VALUE"""),946.0)</f>
        <v>946</v>
      </c>
      <c r="U15" s="1"/>
      <c r="V15" s="1"/>
      <c r="W15" s="1"/>
      <c r="X15" s="1"/>
      <c r="Y15" s="1"/>
      <c r="Z15" s="1"/>
    </row>
    <row r="16">
      <c r="A16" s="1" t="str">
        <f>IFERROR(__xludf.DUMMYFUNCTION("""COMPUTED_VALUE"""),"Иван Грозный внешняя политика")</f>
        <v>Иван Грозный внешняя политика</v>
      </c>
      <c r="B16" s="1">
        <f>IFERROR(__xludf.DUMMYFUNCTION("""COMPUTED_VALUE"""),50.0)</f>
        <v>50</v>
      </c>
      <c r="C16" s="1" t="str">
        <f>IFERROR(__xludf.DUMMYFUNCTION("""COMPUTED_VALUE"""),"Правление Ивана Красного")</f>
        <v>Правление Ивана Красного</v>
      </c>
      <c r="D16" s="1">
        <f>IFERROR(__xludf.DUMMYFUNCTION("""COMPUTED_VALUE"""),129.0)</f>
        <v>129</v>
      </c>
      <c r="E16" s="1" t="str">
        <f>IFERROR(__xludf.DUMMYFUNCTION("""COMPUTED_VALUE"""),"Архитектура 16 в.")</f>
        <v>Архитектура 16 в.</v>
      </c>
      <c r="F16" s="1">
        <f>IFERROR(__xludf.DUMMYFUNCTION("""COMPUTED_VALUE"""),248.0)</f>
        <v>248</v>
      </c>
      <c r="G16" s="1" t="str">
        <f>IFERROR(__xludf.DUMMYFUNCTION("""COMPUTED_VALUE"""),"Петр Первый внутренняя политика")</f>
        <v>Петр Первый внутренняя политика</v>
      </c>
      <c r="H16" s="1">
        <f>IFERROR(__xludf.DUMMYFUNCTION("""COMPUTED_VALUE"""),327.0)</f>
        <v>327</v>
      </c>
      <c r="I16" s="1" t="str">
        <f>IFERROR(__xludf.DUMMYFUNCTION("""COMPUTED_VALUE"""),"Общественная мысль при Николае I")</f>
        <v>Общественная мысль при Николае I</v>
      </c>
      <c r="J16" s="1">
        <f>IFERROR(__xludf.DUMMYFUNCTION("""COMPUTED_VALUE"""),454.0)</f>
        <v>454</v>
      </c>
      <c r="K16" s="1" t="str">
        <f>IFERROR(__xludf.DUMMYFUNCTION("""COMPUTED_VALUE"""),"Николай II 1907-1914 гг. внешняя политика")</f>
        <v>Николай II 1907-1914 гг. внешняя политика</v>
      </c>
      <c r="L16" s="1">
        <f>IFERROR(__xludf.DUMMYFUNCTION("""COMPUTED_VALUE"""),544.0)</f>
        <v>544</v>
      </c>
      <c r="M16" s="1" t="str">
        <f>IFERROR(__xludf.DUMMYFUNCTION("""COMPUTED_VALUE"""),"Становление советской власти (первые декреты, учредительное собрание)")</f>
        <v>Становление советской власти (первые декреты, учредительное собрание)</v>
      </c>
      <c r="N16" s="1">
        <f>IFERROR(__xludf.DUMMYFUNCTION("""COMPUTED_VALUE"""),684.0)</f>
        <v>684</v>
      </c>
      <c r="O16" s="1" t="str">
        <f>IFERROR(__xludf.DUMMYFUNCTION("""COMPUTED_VALUE"""),"Хрущев внутренняя политика")</f>
        <v>Хрущев внутренняя политика</v>
      </c>
      <c r="P16" s="1">
        <f>IFERROR(__xludf.DUMMYFUNCTION("""COMPUTED_VALUE"""),766.0)</f>
        <v>766</v>
      </c>
      <c r="Q16" s="1" t="str">
        <f>IFERROR(__xludf.DUMMYFUNCTION("""COMPUTED_VALUE"""),"Кинематограф второй половины 20 века - начала 21 века")</f>
        <v>Кинематограф второй половины 20 века - начала 21 века</v>
      </c>
      <c r="R16" s="1">
        <f>IFERROR(__xludf.DUMMYFUNCTION("""COMPUTED_VALUE"""),842.0)</f>
        <v>842</v>
      </c>
      <c r="S16" s="1" t="str">
        <f>IFERROR(__xludf.DUMMYFUNCTION("""COMPUTED_VALUE"""),"Всемирная история XVI-XVII веков")</f>
        <v>Всемирная история XVI-XVII веков</v>
      </c>
      <c r="T16" s="1">
        <f>IFERROR(__xludf.DUMMYFUNCTION("""COMPUTED_VALUE"""),947.0)</f>
        <v>947</v>
      </c>
      <c r="U16" s="1"/>
      <c r="V16" s="1"/>
      <c r="W16" s="1"/>
      <c r="X16" s="1"/>
      <c r="Y16" s="1"/>
      <c r="Z16" s="1"/>
    </row>
    <row r="17">
      <c r="A17" s="1" t="str">
        <f>IFERROR(__xludf.DUMMYFUNCTION("""COMPUTED_VALUE"""),"Ливонская война")</f>
        <v>Ливонская война</v>
      </c>
      <c r="B17" s="1">
        <f>IFERROR(__xludf.DUMMYFUNCTION("""COMPUTED_VALUE"""),51.0)</f>
        <v>51</v>
      </c>
      <c r="C17" s="1" t="str">
        <f>IFERROR(__xludf.DUMMYFUNCTION("""COMPUTED_VALUE"""),"Дмитрий Донской")</f>
        <v>Дмитрий Донской</v>
      </c>
      <c r="D17" s="1">
        <f>IFERROR(__xludf.DUMMYFUNCTION("""COMPUTED_VALUE"""),132.0)</f>
        <v>132</v>
      </c>
      <c r="E17" s="1" t="str">
        <f>IFERROR(__xludf.DUMMYFUNCTION("""COMPUTED_VALUE"""),"Живопись 16 в.")</f>
        <v>Живопись 16 в.</v>
      </c>
      <c r="F17" s="1">
        <f>IFERROR(__xludf.DUMMYFUNCTION("""COMPUTED_VALUE"""),249.0)</f>
        <v>249</v>
      </c>
      <c r="G17" s="1" t="str">
        <f>IFERROR(__xludf.DUMMYFUNCTION("""COMPUTED_VALUE"""),"Азовские походы")</f>
        <v>Азовские походы</v>
      </c>
      <c r="H17" s="1">
        <f>IFERROR(__xludf.DUMMYFUNCTION("""COMPUTED_VALUE"""),328.0)</f>
        <v>328</v>
      </c>
      <c r="I17" s="1" t="str">
        <f>IFERROR(__xludf.DUMMYFUNCTION("""COMPUTED_VALUE"""),"Живопись второй половины 19 века – начала 20 века
")</f>
        <v>Живопись второй половины 19 века – начала 20 века
</v>
      </c>
      <c r="J17" s="1">
        <f>IFERROR(__xludf.DUMMYFUNCTION("""COMPUTED_VALUE"""),457.0)</f>
        <v>457</v>
      </c>
      <c r="K17" s="1" t="str">
        <f>IFERROR(__xludf.DUMMYFUNCTION("""COMPUTED_VALUE"""),"Первая мировая война")</f>
        <v>Первая мировая война</v>
      </c>
      <c r="L17" s="1">
        <f>IFERROR(__xludf.DUMMYFUNCTION("""COMPUTED_VALUE"""),545.0)</f>
        <v>545</v>
      </c>
      <c r="M17" s="1" t="str">
        <f>IFERROR(__xludf.DUMMYFUNCTION("""COMPUTED_VALUE"""),"Гражданская война. Советско-польская война")</f>
        <v>Гражданская война. Советско-польская война</v>
      </c>
      <c r="N17" s="1">
        <f>IFERROR(__xludf.DUMMYFUNCTION("""COMPUTED_VALUE"""),685.0)</f>
        <v>685</v>
      </c>
      <c r="O17" s="1" t="str">
        <f>IFERROR(__xludf.DUMMYFUNCTION("""COMPUTED_VALUE"""),"Экономика при Хрущеве")</f>
        <v>Экономика при Хрущеве</v>
      </c>
      <c r="P17" s="1">
        <f>IFERROR(__xludf.DUMMYFUNCTION("""COMPUTED_VALUE"""),767.0)</f>
        <v>767</v>
      </c>
      <c r="Q17" s="1"/>
      <c r="R17" s="1"/>
      <c r="S17" s="1" t="str">
        <f>IFERROR(__xludf.DUMMYFUNCTION("""COMPUTED_VALUE"""),"Всемирная история XVIII века")</f>
        <v>Всемирная история XVIII века</v>
      </c>
      <c r="T17" s="1">
        <f>IFERROR(__xludf.DUMMYFUNCTION("""COMPUTED_VALUE"""),948.0)</f>
        <v>948</v>
      </c>
      <c r="U17" s="1"/>
      <c r="V17" s="1"/>
      <c r="W17" s="1"/>
      <c r="X17" s="1"/>
      <c r="Y17" s="1"/>
      <c r="Z17" s="1"/>
    </row>
    <row r="18">
      <c r="A18" s="1" t="str">
        <f>IFERROR(__xludf.DUMMYFUNCTION("""COMPUTED_VALUE"""),"Федор Иоаннович
")</f>
        <v>Федор Иоаннович
</v>
      </c>
      <c r="B18" s="1">
        <f>IFERROR(__xludf.DUMMYFUNCTION("""COMPUTED_VALUE"""),52.0)</f>
        <v>52</v>
      </c>
      <c r="C18" s="1" t="str">
        <f>IFERROR(__xludf.DUMMYFUNCTION("""COMPUTED_VALUE"""),"Литература раздробленности и возвышения Москвы 1132-1533 гг.")</f>
        <v>Литература раздробленности и возвышения Москвы 1132-1533 гг.</v>
      </c>
      <c r="D18" s="1">
        <f>IFERROR(__xludf.DUMMYFUNCTION("""COMPUTED_VALUE"""),137.0)</f>
        <v>137</v>
      </c>
      <c r="E18" s="1" t="str">
        <f>IFERROR(__xludf.DUMMYFUNCTION("""COMPUTED_VALUE"""),"Митрополиты (Иларион-Филипп)")</f>
        <v>Митрополиты (Иларион-Филипп)</v>
      </c>
      <c r="F18" s="1">
        <f>IFERROR(__xludf.DUMMYFUNCTION("""COMPUTED_VALUE"""),250.0)</f>
        <v>250</v>
      </c>
      <c r="G18" s="1" t="str">
        <f>IFERROR(__xludf.DUMMYFUNCTION("""COMPUTED_VALUE"""),"Великое посольство ")</f>
        <v>Великое посольство </v>
      </c>
      <c r="H18" s="1">
        <f>IFERROR(__xludf.DUMMYFUNCTION("""COMPUTED_VALUE"""),329.0)</f>
        <v>329</v>
      </c>
      <c r="I18" s="1" t="str">
        <f>IFERROR(__xludf.DUMMYFUNCTION("""COMPUTED_VALUE"""),"Образование и наука второй половины 19 века – начала 20 века
")</f>
        <v>Образование и наука второй половины 19 века – начала 20 века
</v>
      </c>
      <c r="J18" s="1">
        <f>IFERROR(__xludf.DUMMYFUNCTION("""COMPUTED_VALUE"""),458.0)</f>
        <v>458</v>
      </c>
      <c r="K18" s="1" t="str">
        <f>IFERROR(__xludf.DUMMYFUNCTION("""COMPUTED_VALUE"""),"Февральская революция")</f>
        <v>Февральская революция</v>
      </c>
      <c r="L18" s="1">
        <f>IFERROR(__xludf.DUMMYFUNCTION("""COMPUTED_VALUE"""),549.0)</f>
        <v>549</v>
      </c>
      <c r="M18" s="1" t="str">
        <f>IFERROR(__xludf.DUMMYFUNCTION("""COMPUTED_VALUE"""),"1920-е гг. внутренняя политика")</f>
        <v>1920-е гг. внутренняя политика</v>
      </c>
      <c r="N18" s="1">
        <f>IFERROR(__xludf.DUMMYFUNCTION("""COMPUTED_VALUE"""),686.0)</f>
        <v>686</v>
      </c>
      <c r="O18" s="1" t="str">
        <f>IFERROR(__xludf.DUMMYFUNCTION("""COMPUTED_VALUE"""),"Хрущев внешняя политика")</f>
        <v>Хрущев внешняя политика</v>
      </c>
      <c r="P18" s="1">
        <f>IFERROR(__xludf.DUMMYFUNCTION("""COMPUTED_VALUE"""),768.0)</f>
        <v>768</v>
      </c>
      <c r="Q18" s="1"/>
      <c r="R18" s="1"/>
      <c r="S18" s="1" t="str">
        <f>IFERROR(__xludf.DUMMYFUNCTION("""COMPUTED_VALUE"""),"Французская революция")</f>
        <v>Французская революция</v>
      </c>
      <c r="T18" s="1">
        <f>IFERROR(__xludf.DUMMYFUNCTION("""COMPUTED_VALUE"""),949.0)</f>
        <v>949</v>
      </c>
      <c r="U18" s="1"/>
      <c r="V18" s="1"/>
      <c r="W18" s="1"/>
      <c r="X18" s="1"/>
      <c r="Y18" s="1"/>
      <c r="Z18" s="1"/>
    </row>
    <row r="19">
      <c r="A19" s="1" t="str">
        <f>IFERROR(__xludf.DUMMYFUNCTION("""COMPUTED_VALUE"""),"Смута 1598-1613 гг. (причины/последствия/основные черты)")</f>
        <v>Смута 1598-1613 гг. (причины/последствия/основные черты)</v>
      </c>
      <c r="B19" s="1">
        <f>IFERROR(__xludf.DUMMYFUNCTION("""COMPUTED_VALUE"""),53.0)</f>
        <v>53</v>
      </c>
      <c r="C19" s="1" t="str">
        <f>IFERROR(__xludf.DUMMYFUNCTION("""COMPUTED_VALUE"""),"Живопись раздробленности и возвышения Москвы 1132-1533 гг.")</f>
        <v>Живопись раздробленности и возвышения Москвы 1132-1533 гг.</v>
      </c>
      <c r="D19" s="1">
        <f>IFERROR(__xludf.DUMMYFUNCTION("""COMPUTED_VALUE"""),140.0)</f>
        <v>140</v>
      </c>
      <c r="E19" s="1" t="str">
        <f>IFERROR(__xludf.DUMMYFUNCTION("""COMPUTED_VALUE"""),"Кинематограф второй половины 20 века - начала 21 века
")</f>
        <v>Кинематограф второй половины 20 века - начала 21 века
</v>
      </c>
      <c r="F19" s="1">
        <f>IFERROR(__xludf.DUMMYFUNCTION("""COMPUTED_VALUE"""),251.0)</f>
        <v>251</v>
      </c>
      <c r="G19" s="1" t="str">
        <f>IFERROR(__xludf.DUMMYFUNCTION("""COMPUTED_VALUE"""),"Петр Первый внешняя политика")</f>
        <v>Петр Первый внешняя политика</v>
      </c>
      <c r="H19" s="1">
        <f>IFERROR(__xludf.DUMMYFUNCTION("""COMPUTED_VALUE"""),333.0)</f>
        <v>333</v>
      </c>
      <c r="I19" s="1" t="str">
        <f>IFERROR(__xludf.DUMMYFUNCTION("""COMPUTED_VALUE"""),"Февральская революция
")</f>
        <v>Февральская революция
</v>
      </c>
      <c r="J19" s="1">
        <f>IFERROR(__xludf.DUMMYFUNCTION("""COMPUTED_VALUE"""),459.0)</f>
        <v>459</v>
      </c>
      <c r="K19" s="1" t="str">
        <f>IFERROR(__xludf.DUMMYFUNCTION("""COMPUTED_VALUE"""),"Временное правительство")</f>
        <v>Временное правительство</v>
      </c>
      <c r="L19" s="1">
        <f>IFERROR(__xludf.DUMMYFUNCTION("""COMPUTED_VALUE"""),552.0)</f>
        <v>552</v>
      </c>
      <c r="M19" s="1" t="str">
        <f>IFERROR(__xludf.DUMMYFUNCTION("""COMPUTED_VALUE"""),"1920-е гг. внешняя политика")</f>
        <v>1920-е гг. внешняя политика</v>
      </c>
      <c r="N19" s="1">
        <f>IFERROR(__xludf.DUMMYFUNCTION("""COMPUTED_VALUE"""),687.0)</f>
        <v>687</v>
      </c>
      <c r="O19" s="1" t="str">
        <f>IFERROR(__xludf.DUMMYFUNCTION("""COMPUTED_VALUE"""),"Брежнев внутренняя политика")</f>
        <v>Брежнев внутренняя политика</v>
      </c>
      <c r="P19" s="1">
        <f>IFERROR(__xludf.DUMMYFUNCTION("""COMPUTED_VALUE"""),769.0)</f>
        <v>769</v>
      </c>
      <c r="Q19" s="1"/>
      <c r="R19" s="1"/>
      <c r="S19" s="1" t="str">
        <f>IFERROR(__xludf.DUMMYFUNCTION("""COMPUTED_VALUE"""),"Европейские страны в XIX – начале XX в.")</f>
        <v>Европейские страны в XIX – начале XX в.</v>
      </c>
      <c r="T19" s="1">
        <f>IFERROR(__xludf.DUMMYFUNCTION("""COMPUTED_VALUE"""),950.0)</f>
        <v>950</v>
      </c>
      <c r="U19" s="1"/>
      <c r="V19" s="1"/>
      <c r="W19" s="1"/>
      <c r="X19" s="1"/>
      <c r="Y19" s="1"/>
      <c r="Z19" s="1"/>
    </row>
    <row r="20">
      <c r="A20" s="1" t="str">
        <f>IFERROR(__xludf.DUMMYFUNCTION("""COMPUTED_VALUE"""),"Борис Годунов (1598-1605 гг.) и Федор Годунов
")</f>
        <v>Борис Годунов (1598-1605 гг.) и Федор Годунов
</v>
      </c>
      <c r="B20" s="1">
        <f>IFERROR(__xludf.DUMMYFUNCTION("""COMPUTED_VALUE"""),54.0)</f>
        <v>54</v>
      </c>
      <c r="C20" s="1" t="str">
        <f>IFERROR(__xludf.DUMMYFUNCTION("""COMPUTED_VALUE"""),"Василий I")</f>
        <v>Василий I</v>
      </c>
      <c r="D20" s="1">
        <f>IFERROR(__xludf.DUMMYFUNCTION("""COMPUTED_VALUE"""),141.0)</f>
        <v>141</v>
      </c>
      <c r="E20" s="1" t="str">
        <f>IFERROR(__xludf.DUMMYFUNCTION("""COMPUTED_VALUE"""),"Всемирная История до Рюрика
")</f>
        <v>Всемирная История до Рюрика
</v>
      </c>
      <c r="F20" s="1">
        <f>IFERROR(__xludf.DUMMYFUNCTION("""COMPUTED_VALUE"""),252.0)</f>
        <v>252</v>
      </c>
      <c r="G20" s="1" t="str">
        <f>IFERROR(__xludf.DUMMYFUNCTION("""COMPUTED_VALUE"""),"Эпоха дворцовых переворотов")</f>
        <v>Эпоха дворцовых переворотов</v>
      </c>
      <c r="H20" s="1">
        <f>IFERROR(__xludf.DUMMYFUNCTION("""COMPUTED_VALUE"""),340.0)</f>
        <v>340</v>
      </c>
      <c r="I20" s="1" t="str">
        <f>IFERROR(__xludf.DUMMYFUNCTION("""COMPUTED_VALUE"""),"Временное правительство
")</f>
        <v>Временное правительство
</v>
      </c>
      <c r="J20" s="1">
        <f>IFERROR(__xludf.DUMMYFUNCTION("""COMPUTED_VALUE"""),460.0)</f>
        <v>460</v>
      </c>
      <c r="K20" s="1" t="str">
        <f>IFERROR(__xludf.DUMMYFUNCTION("""COMPUTED_VALUE"""),"Октябрьская революция")</f>
        <v>Октябрьская революция</v>
      </c>
      <c r="L20" s="1">
        <f>IFERROR(__xludf.DUMMYFUNCTION("""COMPUTED_VALUE"""),554.0)</f>
        <v>554</v>
      </c>
      <c r="M20" s="1" t="str">
        <f>IFERROR(__xludf.DUMMYFUNCTION("""COMPUTED_VALUE"""),"1930-е гг. внутренняя политика")</f>
        <v>1930-е гг. внутренняя политика</v>
      </c>
      <c r="N20" s="1">
        <f>IFERROR(__xludf.DUMMYFUNCTION("""COMPUTED_VALUE"""),688.0)</f>
        <v>688</v>
      </c>
      <c r="O20" s="1" t="str">
        <f>IFERROR(__xludf.DUMMYFUNCTION("""COMPUTED_VALUE"""),"Экономика при Брежневе")</f>
        <v>Экономика при Брежневе</v>
      </c>
      <c r="P20" s="1">
        <f>IFERROR(__xludf.DUMMYFUNCTION("""COMPUTED_VALUE"""),770.0)</f>
        <v>770</v>
      </c>
      <c r="Q20" s="1"/>
      <c r="R20" s="1"/>
      <c r="S20" s="1" t="str">
        <f>IFERROR(__xludf.DUMMYFUNCTION("""COMPUTED_VALUE"""),"США в XIX – начале XX в.")</f>
        <v>США в XIX – начале XX в.</v>
      </c>
      <c r="T20" s="1">
        <f>IFERROR(__xludf.DUMMYFUNCTION("""COMPUTED_VALUE"""),951.0)</f>
        <v>951</v>
      </c>
      <c r="U20" s="1"/>
      <c r="V20" s="1"/>
      <c r="W20" s="1"/>
      <c r="X20" s="1"/>
      <c r="Y20" s="1"/>
      <c r="Z20" s="1"/>
    </row>
    <row r="21">
      <c r="A21" s="1" t="str">
        <f>IFERROR(__xludf.DUMMYFUNCTION("""COMPUTED_VALUE"""),"Лжедмитрий I")</f>
        <v>Лжедмитрий I</v>
      </c>
      <c r="B21" s="1">
        <f>IFERROR(__xludf.DUMMYFUNCTION("""COMPUTED_VALUE"""),55.0)</f>
        <v>55</v>
      </c>
      <c r="C21" s="1" t="str">
        <f>IFERROR(__xludf.DUMMYFUNCTION("""COMPUTED_VALUE"""),"Василий II")</f>
        <v>Василий II</v>
      </c>
      <c r="D21" s="1">
        <f>IFERROR(__xludf.DUMMYFUNCTION("""COMPUTED_VALUE"""),145.0)</f>
        <v>145</v>
      </c>
      <c r="E21" s="1" t="str">
        <f>IFERROR(__xludf.DUMMYFUNCTION("""COMPUTED_VALUE"""),"Всемирная история Средних веков
")</f>
        <v>Всемирная история Средних веков
</v>
      </c>
      <c r="F21" s="1">
        <f>IFERROR(__xludf.DUMMYFUNCTION("""COMPUTED_VALUE"""),253.0)</f>
        <v>253</v>
      </c>
      <c r="G21" s="1" t="str">
        <f>IFERROR(__xludf.DUMMYFUNCTION("""COMPUTED_VALUE"""),"Екатерина I. Петр II")</f>
        <v>Екатерина I. Петр II</v>
      </c>
      <c r="H21" s="1">
        <f>IFERROR(__xludf.DUMMYFUNCTION("""COMPUTED_VALUE"""),341.0)</f>
        <v>341</v>
      </c>
      <c r="I21" s="1" t="str">
        <f>IFERROR(__xludf.DUMMYFUNCTION("""COMPUTED_VALUE"""),"Октябрьская революция
")</f>
        <v>Октябрьская революция
</v>
      </c>
      <c r="J21" s="1">
        <f>IFERROR(__xludf.DUMMYFUNCTION("""COMPUTED_VALUE"""),461.0)</f>
        <v>461</v>
      </c>
      <c r="K21" s="1" t="str">
        <f>IFERROR(__xludf.DUMMYFUNCTION("""COMPUTED_VALUE"""),"Литература 19 века – начала 20 века")</f>
        <v>Литература 19 века – начала 20 века</v>
      </c>
      <c r="L21" s="1">
        <f>IFERROR(__xludf.DUMMYFUNCTION("""COMPUTED_VALUE"""),557.0)</f>
        <v>557</v>
      </c>
      <c r="M21" s="1" t="str">
        <f>IFERROR(__xludf.DUMMYFUNCTION("""COMPUTED_VALUE"""),"1930-е гг. внешняя политика")</f>
        <v>1930-е гг. внешняя политика</v>
      </c>
      <c r="N21" s="1">
        <f>IFERROR(__xludf.DUMMYFUNCTION("""COMPUTED_VALUE"""),689.0)</f>
        <v>689</v>
      </c>
      <c r="O21" s="1" t="str">
        <f>IFERROR(__xludf.DUMMYFUNCTION("""COMPUTED_VALUE"""),"Брежнев внешняя политика")</f>
        <v>Брежнев внешняя политика</v>
      </c>
      <c r="P21" s="1">
        <f>IFERROR(__xludf.DUMMYFUNCTION("""COMPUTED_VALUE"""),771.0)</f>
        <v>771</v>
      </c>
      <c r="Q21" s="1"/>
      <c r="R21" s="1"/>
      <c r="S21" s="1" t="str">
        <f>IFERROR(__xludf.DUMMYFUNCTION("""COMPUTED_VALUE"""),"Первая мировая война")</f>
        <v>Первая мировая война</v>
      </c>
      <c r="T21" s="1">
        <f>IFERROR(__xludf.DUMMYFUNCTION("""COMPUTED_VALUE"""),952.0)</f>
        <v>952</v>
      </c>
      <c r="U21" s="1"/>
      <c r="V21" s="1"/>
      <c r="W21" s="1"/>
      <c r="X21" s="1"/>
      <c r="Y21" s="1"/>
      <c r="Z21" s="1"/>
    </row>
    <row r="22">
      <c r="A22" s="1" t="str">
        <f>IFERROR(__xludf.DUMMYFUNCTION("""COMPUTED_VALUE"""),"Василий Шуйский
")</f>
        <v>Василий Шуйский
</v>
      </c>
      <c r="B22" s="1">
        <f>IFERROR(__xludf.DUMMYFUNCTION("""COMPUTED_VALUE"""),56.0)</f>
        <v>56</v>
      </c>
      <c r="C22" s="1" t="str">
        <f>IFERROR(__xludf.DUMMYFUNCTION("""COMPUTED_VALUE"""),"
Иван III внутренняя политика")</f>
        <v>
Иван III внутренняя политика</v>
      </c>
      <c r="D22" s="1">
        <f>IFERROR(__xludf.DUMMYFUNCTION("""COMPUTED_VALUE"""),150.0)</f>
        <v>150</v>
      </c>
      <c r="E22" s="1" t="str">
        <f>IFERROR(__xludf.DUMMYFUNCTION("""COMPUTED_VALUE"""),"Всемирная история XVI-XVII веков
")</f>
        <v>Всемирная история XVI-XVII веков
</v>
      </c>
      <c r="F22" s="1">
        <f>IFERROR(__xludf.DUMMYFUNCTION("""COMPUTED_VALUE"""),254.0)</f>
        <v>254</v>
      </c>
      <c r="G22" s="1" t="str">
        <f>IFERROR(__xludf.DUMMYFUNCTION("""COMPUTED_VALUE"""),"Анна Иоанновна внутренняя политика")</f>
        <v>Анна Иоанновна внутренняя политика</v>
      </c>
      <c r="H22" s="1">
        <f>IFERROR(__xludf.DUMMYFUNCTION("""COMPUTED_VALUE"""),345.0)</f>
        <v>345</v>
      </c>
      <c r="I22" s="1" t="str">
        <f>IFERROR(__xludf.DUMMYFUNCTION("""COMPUTED_VALUE"""),"Присоединение земель Дмитрием Донским")</f>
        <v>Присоединение земель Дмитрием Донским</v>
      </c>
      <c r="J22" s="1">
        <f>IFERROR(__xludf.DUMMYFUNCTION("""COMPUTED_VALUE"""),462.0)</f>
        <v>462</v>
      </c>
      <c r="K22" s="1" t="str">
        <f>IFERROR(__xludf.DUMMYFUNCTION("""COMPUTED_VALUE"""),"Отмена крепостного права")</f>
        <v>Отмена крепостного права</v>
      </c>
      <c r="L22" s="1">
        <f>IFERROR(__xludf.DUMMYFUNCTION("""COMPUTED_VALUE"""),562.0)</f>
        <v>562</v>
      </c>
      <c r="M22" s="1" t="str">
        <f>IFERROR(__xludf.DUMMYFUNCTION("""COMPUTED_VALUE"""),"Великая Отечественная война 1941-1943 гг. Великая Отечественная война 1943-1945 гг. Герои ВОВ")</f>
        <v>Великая Отечественная война 1941-1943 гг. Великая Отечественная война 1943-1945 гг. Герои ВОВ</v>
      </c>
      <c r="N22" s="1">
        <f>IFERROR(__xludf.DUMMYFUNCTION("""COMPUTED_VALUE"""),690.0)</f>
        <v>690</v>
      </c>
      <c r="O22" s="1" t="str">
        <f>IFERROR(__xludf.DUMMYFUNCTION("""COMPUTED_VALUE"""),"Андропов. Черненко")</f>
        <v>Андропов. Черненко</v>
      </c>
      <c r="P22" s="1">
        <f>IFERROR(__xludf.DUMMYFUNCTION("""COMPUTED_VALUE"""),772.0)</f>
        <v>772</v>
      </c>
      <c r="Q22" s="1"/>
      <c r="R22" s="1"/>
      <c r="S22" s="1" t="str">
        <f>IFERROR(__xludf.DUMMYFUNCTION("""COMPUTED_VALUE"""),"Латинская Америка и Восток в XIX – начале XX в.")</f>
        <v>Латинская Америка и Восток в XIX – начале XX в.</v>
      </c>
      <c r="T22" s="1">
        <f>IFERROR(__xludf.DUMMYFUNCTION("""COMPUTED_VALUE"""),953.0)</f>
        <v>953</v>
      </c>
      <c r="U22" s="1"/>
      <c r="V22" s="1"/>
      <c r="W22" s="1"/>
      <c r="X22" s="1"/>
      <c r="Y22" s="1"/>
      <c r="Z22" s="1"/>
    </row>
    <row r="23">
      <c r="A23" s="1" t="str">
        <f>IFERROR(__xludf.DUMMYFUNCTION("""COMPUTED_VALUE"""),"Лжедмитрий II
")</f>
        <v>Лжедмитрий II
</v>
      </c>
      <c r="B23" s="1">
        <f>IFERROR(__xludf.DUMMYFUNCTION("""COMPUTED_VALUE"""),57.0)</f>
        <v>57</v>
      </c>
      <c r="C23" s="1" t="str">
        <f>IFERROR(__xludf.DUMMYFUNCTION("""COMPUTED_VALUE"""),"Иван III внешняя политика")</f>
        <v>Иван III внешняя политика</v>
      </c>
      <c r="D23" s="1">
        <f>IFERROR(__xludf.DUMMYFUNCTION("""COMPUTED_VALUE"""),151.0)</f>
        <v>151</v>
      </c>
      <c r="E23" s="1" t="str">
        <f>IFERROR(__xludf.DUMMYFUNCTION("""COMPUTED_VALUE"""),"Всемирная история XVIII века
")</f>
        <v>Всемирная история XVIII века
</v>
      </c>
      <c r="F23" s="1">
        <f>IFERROR(__xludf.DUMMYFUNCTION("""COMPUTED_VALUE"""),255.0)</f>
        <v>255</v>
      </c>
      <c r="G23" s="1" t="str">
        <f>IFERROR(__xludf.DUMMYFUNCTION("""COMPUTED_VALUE"""),"Внешняя политика Анны Иоанновны")</f>
        <v>Внешняя политика Анны Иоанновны</v>
      </c>
      <c r="H23" s="1">
        <f>IFERROR(__xludf.DUMMYFUNCTION("""COMPUTED_VALUE"""),348.0)</f>
        <v>348</v>
      </c>
      <c r="I23" s="1" t="str">
        <f>IFERROR(__xludf.DUMMYFUNCTION("""COMPUTED_VALUE"""),"Непременный совет")</f>
        <v>Непременный совет</v>
      </c>
      <c r="J23" s="1">
        <f>IFERROR(__xludf.DUMMYFUNCTION("""COMPUTED_VALUE"""),463.0)</f>
        <v>463</v>
      </c>
      <c r="K23" s="1" t="str">
        <f>IFERROR(__xludf.DUMMYFUNCTION("""COMPUTED_VALUE"""),"Великие реформы (кроме отмены КП)")</f>
        <v>Великие реформы (кроме отмены КП)</v>
      </c>
      <c r="L23" s="1">
        <f>IFERROR(__xludf.DUMMYFUNCTION("""COMPUTED_VALUE"""),563.0)</f>
        <v>563</v>
      </c>
      <c r="M23" s="1" t="str">
        <f>IFERROR(__xludf.DUMMYFUNCTION("""COMPUTED_VALUE"""),"Послевоенный период: внутренняя политика")</f>
        <v>Послевоенный период: внутренняя политика</v>
      </c>
      <c r="N23" s="1">
        <f>IFERROR(__xludf.DUMMYFUNCTION("""COMPUTED_VALUE"""),691.0)</f>
        <v>691</v>
      </c>
      <c r="O23" s="1" t="str">
        <f>IFERROR(__xludf.DUMMYFUNCTION("""COMPUTED_VALUE"""),"Горбачев внутренняя политика. Экономика")</f>
        <v>Горбачев внутренняя политика. Экономика</v>
      </c>
      <c r="P23" s="1">
        <f>IFERROR(__xludf.DUMMYFUNCTION("""COMPUTED_VALUE"""),773.0)</f>
        <v>773</v>
      </c>
      <c r="Q23" s="1"/>
      <c r="R23" s="1"/>
      <c r="S23" s="1" t="str">
        <f>IFERROR(__xludf.DUMMYFUNCTION("""COMPUTED_VALUE"""),"Европейские страны в 20-30-е годы XX в.")</f>
        <v>Европейские страны в 20-30-е годы XX в.</v>
      </c>
      <c r="T23" s="1">
        <f>IFERROR(__xludf.DUMMYFUNCTION("""COMPUTED_VALUE"""),954.0)</f>
        <v>954</v>
      </c>
      <c r="U23" s="1"/>
      <c r="V23" s="1"/>
      <c r="W23" s="1"/>
      <c r="X23" s="1"/>
      <c r="Y23" s="1"/>
      <c r="Z23" s="1"/>
    </row>
    <row r="24">
      <c r="A24" s="1" t="str">
        <f>IFERROR(__xludf.DUMMYFUNCTION("""COMPUTED_VALUE"""),"Семибоярщина
")</f>
        <v>Семибоярщина
</v>
      </c>
      <c r="B24" s="1">
        <f>IFERROR(__xludf.DUMMYFUNCTION("""COMPUTED_VALUE"""),58.0)</f>
        <v>58</v>
      </c>
      <c r="C24" s="1" t="str">
        <f>IFERROR(__xludf.DUMMYFUNCTION("""COMPUTED_VALUE"""),"Василий III")</f>
        <v>Василий III</v>
      </c>
      <c r="D24" s="1">
        <f>IFERROR(__xludf.DUMMYFUNCTION("""COMPUTED_VALUE"""),156.0)</f>
        <v>156</v>
      </c>
      <c r="E24" s="1" t="str">
        <f>IFERROR(__xludf.DUMMYFUNCTION("""COMPUTED_VALUE"""),"Французская революция
")</f>
        <v>Французская революция
</v>
      </c>
      <c r="F24" s="1">
        <f>IFERROR(__xludf.DUMMYFUNCTION("""COMPUTED_VALUE"""),256.0)</f>
        <v>256</v>
      </c>
      <c r="G24" s="1" t="str">
        <f>IFERROR(__xludf.DUMMYFUNCTION("""COMPUTED_VALUE"""),"Иван Антонович")</f>
        <v>Иван Антонович</v>
      </c>
      <c r="H24" s="1">
        <f>IFERROR(__xludf.DUMMYFUNCTION("""COMPUTED_VALUE"""),349.0)</f>
        <v>349</v>
      </c>
      <c r="I24" s="1" t="str">
        <f>IFERROR(__xludf.DUMMYFUNCTION("""COMPUTED_VALUE"""),"Екатерина II внутренняя политика")</f>
        <v>Екатерина II внутренняя политика</v>
      </c>
      <c r="J24" s="1">
        <f>IFERROR(__xludf.DUMMYFUNCTION("""COMPUTED_VALUE"""),464.0)</f>
        <v>464</v>
      </c>
      <c r="K24" s="1" t="str">
        <f>IFERROR(__xludf.DUMMYFUNCTION("""COMPUTED_VALUE"""),"Александр II внутренняя политика в последние годы")</f>
        <v>Александр II внутренняя политика в последние годы</v>
      </c>
      <c r="L24" s="1">
        <f>IFERROR(__xludf.DUMMYFUNCTION("""COMPUTED_VALUE"""),564.0)</f>
        <v>564</v>
      </c>
      <c r="M24" s="1" t="str">
        <f>IFERROR(__xludf.DUMMYFUNCTION("""COMPUTED_VALUE"""),"Послевоенный период: внешняя политика")</f>
        <v>Послевоенный период: внешняя политика</v>
      </c>
      <c r="N24" s="1">
        <f>IFERROR(__xludf.DUMMYFUNCTION("""COMPUTED_VALUE"""),692.0)</f>
        <v>692</v>
      </c>
      <c r="O24" s="1" t="str">
        <f>IFERROR(__xludf.DUMMYFUNCTION("""COMPUTED_VALUE"""),"Горбачев внутренняя политика. Политика")</f>
        <v>Горбачев внутренняя политика. Политика</v>
      </c>
      <c r="P24" s="1">
        <f>IFERROR(__xludf.DUMMYFUNCTION("""COMPUTED_VALUE"""),774.0)</f>
        <v>774</v>
      </c>
      <c r="Q24" s="1"/>
      <c r="R24" s="1"/>
      <c r="S24" s="1" t="str">
        <f>IFERROR(__xludf.DUMMYFUNCTION("""COMPUTED_VALUE"""),"США в 20-30-е годы XX в.")</f>
        <v>США в 20-30-е годы XX в.</v>
      </c>
      <c r="T24" s="1">
        <f>IFERROR(__xludf.DUMMYFUNCTION("""COMPUTED_VALUE"""),955.0)</f>
        <v>955</v>
      </c>
      <c r="U24" s="1"/>
      <c r="V24" s="1"/>
      <c r="W24" s="1"/>
      <c r="X24" s="1"/>
      <c r="Y24" s="1"/>
      <c r="Z24" s="1"/>
    </row>
    <row r="25">
      <c r="A25" s="1" t="str">
        <f>IFERROR(__xludf.DUMMYFUNCTION("""COMPUTED_VALUE"""),"Народные ополчения и интервенции + земский собор 1613 г.
")</f>
        <v>Народные ополчения и интервенции + земский собор 1613 г.
</v>
      </c>
      <c r="B25" s="1">
        <f>IFERROR(__xludf.DUMMYFUNCTION("""COMPUTED_VALUE"""),59.0)</f>
        <v>59</v>
      </c>
      <c r="C25" s="1" t="str">
        <f>IFERROR(__xludf.DUMMYFUNCTION("""COMPUTED_VALUE"""),"Литература Возвышения Москвы 1263-1533 гг.
")</f>
        <v>Литература Возвышения Москвы 1263-1533 гг.
</v>
      </c>
      <c r="D25" s="1">
        <f>IFERROR(__xludf.DUMMYFUNCTION("""COMPUTED_VALUE"""),163.0)</f>
        <v>163</v>
      </c>
      <c r="E25" s="1" t="str">
        <f>IFERROR(__xludf.DUMMYFUNCTION("""COMPUTED_VALUE"""),"Европейские страны в XIX – начале XX в.
")</f>
        <v>Европейские страны в XIX – начале XX в.
</v>
      </c>
      <c r="F25" s="1">
        <f>IFERROR(__xludf.DUMMYFUNCTION("""COMPUTED_VALUE"""),257.0)</f>
        <v>257</v>
      </c>
      <c r="G25" s="1" t="str">
        <f>IFERROR(__xludf.DUMMYFUNCTION("""COMPUTED_VALUE"""),"Елизавета Петровна внутренняя политика")</f>
        <v>Елизавета Петровна внутренняя политика</v>
      </c>
      <c r="H25" s="1">
        <f>IFERROR(__xludf.DUMMYFUNCTION("""COMPUTED_VALUE"""),350.0)</f>
        <v>350</v>
      </c>
      <c r="I25" s="1" t="str">
        <f>IFERROR(__xludf.DUMMYFUNCTION("""COMPUTED_VALUE"""),"Пугачевщина")</f>
        <v>Пугачевщина</v>
      </c>
      <c r="J25" s="1">
        <f>IFERROR(__xludf.DUMMYFUNCTION("""COMPUTED_VALUE"""),465.0)</f>
        <v>465</v>
      </c>
      <c r="K25" s="1" t="str">
        <f>IFERROR(__xludf.DUMMYFUNCTION("""COMPUTED_VALUE"""),"Общественное мысль при Александре II")</f>
        <v>Общественное мысль при Александре II</v>
      </c>
      <c r="L25" s="1">
        <f>IFERROR(__xludf.DUMMYFUNCTION("""COMPUTED_VALUE"""),565.0)</f>
        <v>565</v>
      </c>
      <c r="M25" s="1" t="str">
        <f>IFERROR(__xludf.DUMMYFUNCTION("""COMPUTED_VALUE"""),"Литература первой половины 20 века")</f>
        <v>Литература первой половины 20 века</v>
      </c>
      <c r="N25" s="1">
        <f>IFERROR(__xludf.DUMMYFUNCTION("""COMPUTED_VALUE"""),693.0)</f>
        <v>693</v>
      </c>
      <c r="O25" s="1" t="str">
        <f>IFERROR(__xludf.DUMMYFUNCTION("""COMPUTED_VALUE"""),"Горбачев внешняя политика")</f>
        <v>Горбачев внешняя политика</v>
      </c>
      <c r="P25" s="1">
        <f>IFERROR(__xludf.DUMMYFUNCTION("""COMPUTED_VALUE"""),775.0)</f>
        <v>775</v>
      </c>
      <c r="Q25" s="1"/>
      <c r="R25" s="1"/>
      <c r="S25" s="1" t="str">
        <f>IFERROR(__xludf.DUMMYFUNCTION("""COMPUTED_VALUE"""),"Латинская Америка и Восток в XX в.")</f>
        <v>Латинская Америка и Восток в XX в.</v>
      </c>
      <c r="T25" s="1">
        <f>IFERROR(__xludf.DUMMYFUNCTION("""COMPUTED_VALUE"""),956.0)</f>
        <v>956</v>
      </c>
      <c r="U25" s="1"/>
      <c r="V25" s="1"/>
      <c r="W25" s="1"/>
      <c r="X25" s="1"/>
      <c r="Y25" s="1"/>
      <c r="Z25" s="1"/>
    </row>
    <row r="26">
      <c r="A26" s="1" t="str">
        <f>IFERROR(__xludf.DUMMYFUNCTION("""COMPUTED_VALUE"""),"Литература 16 в.
")</f>
        <v>Литература 16 в.
</v>
      </c>
      <c r="B26" s="1">
        <f>IFERROR(__xludf.DUMMYFUNCTION("""COMPUTED_VALUE"""),60.0)</f>
        <v>60</v>
      </c>
      <c r="C26" s="1" t="str">
        <f>IFERROR(__xludf.DUMMYFUNCTION("""COMPUTED_VALUE"""),"Архитектура раздробленности 1132-1263 гг.
")</f>
        <v>Архитектура раздробленности 1132-1263 гг.
</v>
      </c>
      <c r="D26" s="1">
        <f>IFERROR(__xludf.DUMMYFUNCTION("""COMPUTED_VALUE"""),164.0)</f>
        <v>164</v>
      </c>
      <c r="E26" s="1" t="str">
        <f>IFERROR(__xludf.DUMMYFUNCTION("""COMPUTED_VALUE"""),"США в XIX – начале XX в.")</f>
        <v>США в XIX – начале XX в.</v>
      </c>
      <c r="F26" s="1">
        <f>IFERROR(__xludf.DUMMYFUNCTION("""COMPUTED_VALUE"""),258.0)</f>
        <v>258</v>
      </c>
      <c r="G26" s="1" t="str">
        <f>IFERROR(__xludf.DUMMYFUNCTION("""COMPUTED_VALUE"""),"Елизавета Петровна внешняя политика")</f>
        <v>Елизавета Петровна внешняя политика</v>
      </c>
      <c r="H26" s="1">
        <f>IFERROR(__xludf.DUMMYFUNCTION("""COMPUTED_VALUE"""),353.0)</f>
        <v>353</v>
      </c>
      <c r="I26" s="1" t="str">
        <f>IFERROR(__xludf.DUMMYFUNCTION("""COMPUTED_VALUE"""),"Екатерина II внешняя политика")</f>
        <v>Екатерина II внешняя политика</v>
      </c>
      <c r="J26" s="1">
        <f>IFERROR(__xludf.DUMMYFUNCTION("""COMPUTED_VALUE"""),466.0)</f>
        <v>466</v>
      </c>
      <c r="K26" s="1" t="str">
        <f>IFERROR(__xludf.DUMMYFUNCTION("""COMPUTED_VALUE"""),"Александр II внешняя политика")</f>
        <v>Александр II внешняя политика</v>
      </c>
      <c r="L26" s="1">
        <f>IFERROR(__xludf.DUMMYFUNCTION("""COMPUTED_VALUE"""),566.0)</f>
        <v>566</v>
      </c>
      <c r="M26" s="1" t="str">
        <f>IFERROR(__xludf.DUMMYFUNCTION("""COMPUTED_VALUE"""),"Архитектура первой половины 20 века")</f>
        <v>Архитектура первой половины 20 века</v>
      </c>
      <c r="N26" s="1">
        <f>IFERROR(__xludf.DUMMYFUNCTION("""COMPUTED_VALUE"""),694.0)</f>
        <v>694</v>
      </c>
      <c r="O26" s="1" t="str">
        <f>IFERROR(__xludf.DUMMYFUNCTION("""COMPUTED_VALUE"""),"1991 год: ГКЧП, Распад СССР, национальные процессы")</f>
        <v>1991 год: ГКЧП, Распад СССР, национальные процессы</v>
      </c>
      <c r="P26" s="1">
        <f>IFERROR(__xludf.DUMMYFUNCTION("""COMPUTED_VALUE"""),776.0)</f>
        <v>776</v>
      </c>
      <c r="Q26" s="1"/>
      <c r="R26" s="1"/>
      <c r="S26" s="1" t="str">
        <f>IFERROR(__xludf.DUMMYFUNCTION("""COMPUTED_VALUE"""),"Вторая мировая война")</f>
        <v>Вторая мировая война</v>
      </c>
      <c r="T26" s="1">
        <f>IFERROR(__xludf.DUMMYFUNCTION("""COMPUTED_VALUE"""),957.0)</f>
        <v>957</v>
      </c>
      <c r="U26" s="1"/>
      <c r="V26" s="1"/>
      <c r="W26" s="1"/>
      <c r="X26" s="1"/>
      <c r="Y26" s="1"/>
      <c r="Z26" s="1"/>
    </row>
    <row r="27">
      <c r="A27" s="1" t="str">
        <f>IFERROR(__xludf.DUMMYFUNCTION("""COMPUTED_VALUE"""),"Архитектура 16 в.
")</f>
        <v>Архитектура 16 в.
</v>
      </c>
      <c r="B27" s="1">
        <f>IFERROR(__xludf.DUMMYFUNCTION("""COMPUTED_VALUE"""),61.0)</f>
        <v>61</v>
      </c>
      <c r="C27" s="1" t="str">
        <f>IFERROR(__xludf.DUMMYFUNCTION("""COMPUTED_VALUE"""),"Архитектура Возвышения Москвы 1263-1533 гг.
")</f>
        <v>Архитектура Возвышения Москвы 1263-1533 гг.
</v>
      </c>
      <c r="D27" s="1">
        <f>IFERROR(__xludf.DUMMYFUNCTION("""COMPUTED_VALUE"""),165.0)</f>
        <v>165</v>
      </c>
      <c r="E27" s="1" t="str">
        <f>IFERROR(__xludf.DUMMYFUNCTION("""COMPUTED_VALUE"""),"Первая мировая война
")</f>
        <v>Первая мировая война
</v>
      </c>
      <c r="F27" s="1">
        <f>IFERROR(__xludf.DUMMYFUNCTION("""COMPUTED_VALUE"""),259.0)</f>
        <v>259</v>
      </c>
      <c r="G27" s="1" t="str">
        <f>IFERROR(__xludf.DUMMYFUNCTION("""COMPUTED_VALUE"""),"Семилетняя война")</f>
        <v>Семилетняя война</v>
      </c>
      <c r="H27" s="1">
        <f>IFERROR(__xludf.DUMMYFUNCTION("""COMPUTED_VALUE"""),354.0)</f>
        <v>354</v>
      </c>
      <c r="I27" s="1" t="str">
        <f>IFERROR(__xludf.DUMMYFUNCTION("""COMPUTED_VALUE"""),"Русско-турецкие войны при Екатерине II")</f>
        <v>Русско-турецкие войны при Екатерине II</v>
      </c>
      <c r="J27" s="1">
        <f>IFERROR(__xludf.DUMMYFUNCTION("""COMPUTED_VALUE"""),467.0)</f>
        <v>467</v>
      </c>
      <c r="K27" s="1" t="str">
        <f>IFERROR(__xludf.DUMMYFUNCTION("""COMPUTED_VALUE"""),"Александр III внутренняя политика")</f>
        <v>Александр III внутренняя политика</v>
      </c>
      <c r="L27" s="1">
        <f>IFERROR(__xludf.DUMMYFUNCTION("""COMPUTED_VALUE"""),567.0)</f>
        <v>567</v>
      </c>
      <c r="M27" s="1" t="str">
        <f>IFERROR(__xludf.DUMMYFUNCTION("""COMPUTED_VALUE"""),"Живопись первой половины 20 века")</f>
        <v>Живопись первой половины 20 века</v>
      </c>
      <c r="N27" s="1">
        <f>IFERROR(__xludf.DUMMYFUNCTION("""COMPUTED_VALUE"""),695.0)</f>
        <v>695</v>
      </c>
      <c r="O27" s="1"/>
      <c r="P27" s="1"/>
      <c r="Q27" s="1"/>
      <c r="R27" s="1"/>
      <c r="S27" s="1" t="str">
        <f>IFERROR(__xludf.DUMMYFUNCTION("""COMPUTED_VALUE"""),"США в второй половине XX в. Холодная война")</f>
        <v>США в второй половине XX в. Холодная война</v>
      </c>
      <c r="T27" s="1">
        <f>IFERROR(__xludf.DUMMYFUNCTION("""COMPUTED_VALUE"""),958.0)</f>
        <v>958</v>
      </c>
      <c r="U27" s="1"/>
      <c r="V27" s="1"/>
      <c r="W27" s="1"/>
      <c r="X27" s="1"/>
      <c r="Y27" s="1"/>
      <c r="Z27" s="1"/>
    </row>
    <row r="28">
      <c r="A28" s="1" t="str">
        <f>IFERROR(__xludf.DUMMYFUNCTION("""COMPUTED_VALUE"""),"Живопись 16 в.
")</f>
        <v>Живопись 16 в.
</v>
      </c>
      <c r="B28" s="1">
        <f>IFERROR(__xludf.DUMMYFUNCTION("""COMPUTED_VALUE"""),62.0)</f>
        <v>62</v>
      </c>
      <c r="C28" s="1" t="str">
        <f>IFERROR(__xludf.DUMMYFUNCTION("""COMPUTED_VALUE"""),"Живопись раздробленности 1132-1263 гг.
")</f>
        <v>Живопись раздробленности 1132-1263 гг.
</v>
      </c>
      <c r="D28" s="1">
        <f>IFERROR(__xludf.DUMMYFUNCTION("""COMPUTED_VALUE"""),166.0)</f>
        <v>166</v>
      </c>
      <c r="E28" s="1" t="str">
        <f>IFERROR(__xludf.DUMMYFUNCTION("""COMPUTED_VALUE"""),"Латинская Америка и Восток в XIX – начале XX в.
")</f>
        <v>Латинская Америка и Восток в XIX – начале XX в.
</v>
      </c>
      <c r="F28" s="1">
        <f>IFERROR(__xludf.DUMMYFUNCTION("""COMPUTED_VALUE"""),260.0)</f>
        <v>260</v>
      </c>
      <c r="G28" s="1" t="str">
        <f>IFERROR(__xludf.DUMMYFUNCTION("""COMPUTED_VALUE"""),"Пётр III")</f>
        <v>Пётр III</v>
      </c>
      <c r="H28" s="1">
        <f>IFERROR(__xludf.DUMMYFUNCTION("""COMPUTED_VALUE"""),355.0)</f>
        <v>355</v>
      </c>
      <c r="I28" s="1" t="str">
        <f>IFERROR(__xludf.DUMMYFUNCTION("""COMPUTED_VALUE"""),"Павел I внутренняя политика")</f>
        <v>Павел I внутренняя политика</v>
      </c>
      <c r="J28" s="1">
        <f>IFERROR(__xludf.DUMMYFUNCTION("""COMPUTED_VALUE"""),468.0)</f>
        <v>468</v>
      </c>
      <c r="K28" s="1" t="str">
        <f>IFERROR(__xludf.DUMMYFUNCTION("""COMPUTED_VALUE"""),"Александр III внешняя политика")</f>
        <v>Александр III внешняя политика</v>
      </c>
      <c r="L28" s="1">
        <f>IFERROR(__xludf.DUMMYFUNCTION("""COMPUTED_VALUE"""),568.0)</f>
        <v>568</v>
      </c>
      <c r="M28" s="1" t="str">
        <f>IFERROR(__xludf.DUMMYFUNCTION("""COMPUTED_VALUE"""),"Образование и наука первой половины 20 века")</f>
        <v>Образование и наука первой половины 20 века</v>
      </c>
      <c r="N28" s="1">
        <f>IFERROR(__xludf.DUMMYFUNCTION("""COMPUTED_VALUE"""),696.0)</f>
        <v>696</v>
      </c>
      <c r="O28" s="1"/>
      <c r="P28" s="1"/>
      <c r="Q28" s="1"/>
      <c r="R28" s="1"/>
      <c r="S28" s="1" t="str">
        <f>IFERROR(__xludf.DUMMYFUNCTION("""COMPUTED_VALUE"""),"Европейские страны в второй половине XX в.")</f>
        <v>Европейские страны в второй половине XX в.</v>
      </c>
      <c r="T28" s="1">
        <f>IFERROR(__xludf.DUMMYFUNCTION("""COMPUTED_VALUE"""),959.0)</f>
        <v>959</v>
      </c>
      <c r="U28" s="1"/>
      <c r="V28" s="1"/>
      <c r="W28" s="1"/>
      <c r="X28" s="1"/>
      <c r="Y28" s="1"/>
      <c r="Z28" s="1"/>
    </row>
    <row r="29">
      <c r="A29" s="1" t="str">
        <f>IFERROR(__xludf.DUMMYFUNCTION("""COMPUTED_VALUE"""),"Образование и наука 16 в.
")</f>
        <v>Образование и наука 16 в.
</v>
      </c>
      <c r="B29" s="1">
        <f>IFERROR(__xludf.DUMMYFUNCTION("""COMPUTED_VALUE"""),63.0)</f>
        <v>63</v>
      </c>
      <c r="C29" s="1" t="str">
        <f>IFERROR(__xludf.DUMMYFUNCTION("""COMPUTED_VALUE"""),"Живопись Возвышения Москвы 1263-1533 гг.
")</f>
        <v>Живопись Возвышения Москвы 1263-1533 гг.
</v>
      </c>
      <c r="D29" s="1">
        <f>IFERROR(__xludf.DUMMYFUNCTION("""COMPUTED_VALUE"""),167.0)</f>
        <v>167</v>
      </c>
      <c r="E29" s="1" t="str">
        <f>IFERROR(__xludf.DUMMYFUNCTION("""COMPUTED_VALUE"""),"Европейские страны в 20-30-е годы XX в.
")</f>
        <v>Европейские страны в 20-30-е годы XX в.
</v>
      </c>
      <c r="F29" s="1">
        <f>IFERROR(__xludf.DUMMYFUNCTION("""COMPUTED_VALUE"""),261.0)</f>
        <v>261</v>
      </c>
      <c r="G29" s="1" t="str">
        <f>IFERROR(__xludf.DUMMYFUNCTION("""COMPUTED_VALUE"""),"Архитектура первой половины 18 века
")</f>
        <v>Архитектура первой половины 18 века
</v>
      </c>
      <c r="H29" s="1">
        <f>IFERROR(__xludf.DUMMYFUNCTION("""COMPUTED_VALUE"""),360.0)</f>
        <v>360</v>
      </c>
      <c r="I29" s="1" t="str">
        <f>IFERROR(__xludf.DUMMYFUNCTION("""COMPUTED_VALUE"""),"Павел I внешняя политика")</f>
        <v>Павел I внешняя политика</v>
      </c>
      <c r="J29" s="1">
        <f>IFERROR(__xludf.DUMMYFUNCTION("""COMPUTED_VALUE"""),469.0)</f>
        <v>469</v>
      </c>
      <c r="K29" s="1" t="str">
        <f>IFERROR(__xludf.DUMMYFUNCTION("""COMPUTED_VALUE"""),"Общественное мысль при Александре III")</f>
        <v>Общественное мысль при Александре III</v>
      </c>
      <c r="L29" s="1">
        <f>IFERROR(__xludf.DUMMYFUNCTION("""COMPUTED_VALUE"""),569.0)</f>
        <v>569</v>
      </c>
      <c r="M29" s="1" t="str">
        <f>IFERROR(__xludf.DUMMYFUNCTION("""COMPUTED_VALUE"""),"Кинематограф первой половины 20 века")</f>
        <v>Кинематограф первой половины 20 века</v>
      </c>
      <c r="N29" s="1">
        <f>IFERROR(__xludf.DUMMYFUNCTION("""COMPUTED_VALUE"""),697.0)</f>
        <v>697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tr">
        <f>IFERROR(__xludf.DUMMYFUNCTION("""COMPUTED_VALUE"""),"Хрущев внутренняя политика
")</f>
        <v>Хрущев внутренняя политика
</v>
      </c>
      <c r="B30" s="1">
        <f>IFERROR(__xludf.DUMMYFUNCTION("""COMPUTED_VALUE"""),64.0)</f>
        <v>64</v>
      </c>
      <c r="C30" s="1" t="str">
        <f>IFERROR(__xludf.DUMMYFUNCTION("""COMPUTED_VALUE"""),"Михаил Федорович внутренняя политика
")</f>
        <v>Михаил Федорович внутренняя политика
</v>
      </c>
      <c r="D30" s="1">
        <f>IFERROR(__xludf.DUMMYFUNCTION("""COMPUTED_VALUE"""),168.0)</f>
        <v>168</v>
      </c>
      <c r="E30" s="1" t="str">
        <f>IFERROR(__xludf.DUMMYFUNCTION("""COMPUTED_VALUE"""),"США в 20-30-е годы XX в.
")</f>
        <v>США в 20-30-е годы XX в.
</v>
      </c>
      <c r="F30" s="1">
        <f>IFERROR(__xludf.DUMMYFUNCTION("""COMPUTED_VALUE"""),262.0)</f>
        <v>262</v>
      </c>
      <c r="G30" s="1" t="str">
        <f>IFERROR(__xludf.DUMMYFUNCTION("""COMPUTED_VALUE"""),"Живопись первой половины 18 века
")</f>
        <v>Живопись первой половины 18 века
</v>
      </c>
      <c r="H30" s="1">
        <f>IFERROR(__xludf.DUMMYFUNCTION("""COMPUTED_VALUE"""),361.0)</f>
        <v>361</v>
      </c>
      <c r="I30" s="1" t="str">
        <f>IFERROR(__xludf.DUMMYFUNCTION("""COMPUTED_VALUE"""),"Литература первой половины 18 века")</f>
        <v>Литература первой половины 18 века</v>
      </c>
      <c r="J30" s="1">
        <f>IFERROR(__xludf.DUMMYFUNCTION("""COMPUTED_VALUE"""),470.0)</f>
        <v>470</v>
      </c>
      <c r="K30" s="1" t="str">
        <f>IFERROR(__xludf.DUMMYFUNCTION("""COMPUTED_VALUE"""),"Николай II до 1905 г. внутренняя политика")</f>
        <v>Николай II до 1905 г. внутренняя политика</v>
      </c>
      <c r="L30" s="1">
        <f>IFERROR(__xludf.DUMMYFUNCTION("""COMPUTED_VALUE"""),570.0)</f>
        <v>570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tr">
        <f>IFERROR(__xludf.DUMMYFUNCTION("""COMPUTED_VALUE"""),"Экономика при Хрущеве
")</f>
        <v>Экономика при Хрущеве
</v>
      </c>
      <c r="B31" s="1">
        <f>IFERROR(__xludf.DUMMYFUNCTION("""COMPUTED_VALUE"""),65.0)</f>
        <v>65</v>
      </c>
      <c r="C31" s="1" t="str">
        <f>IFERROR(__xludf.DUMMYFUNCTION("""COMPUTED_VALUE"""),"Михаил Федорович внешняя политика
")</f>
        <v>Михаил Федорович внешняя политика
</v>
      </c>
      <c r="D31" s="1">
        <f>IFERROR(__xludf.DUMMYFUNCTION("""COMPUTED_VALUE"""),169.0)</f>
        <v>169</v>
      </c>
      <c r="E31" s="1" t="str">
        <f>IFERROR(__xludf.DUMMYFUNCTION("""COMPUTED_VALUE"""),"Латинская Америка и Восток в XX в.
")</f>
        <v>Латинская Америка и Восток в XX в.
</v>
      </c>
      <c r="F31" s="1">
        <f>IFERROR(__xludf.DUMMYFUNCTION("""COMPUTED_VALUE"""),263.0)</f>
        <v>263</v>
      </c>
      <c r="G31" s="1" t="str">
        <f>IFERROR(__xludf.DUMMYFUNCTION("""COMPUTED_VALUE"""),"Образование и наука первой половины 18 века
")</f>
        <v>Образование и наука первой половины 18 века
</v>
      </c>
      <c r="H31" s="1">
        <f>IFERROR(__xludf.DUMMYFUNCTION("""COMPUTED_VALUE"""),362.0)</f>
        <v>362</v>
      </c>
      <c r="I31" s="1" t="str">
        <f>IFERROR(__xludf.DUMMYFUNCTION("""COMPUTED_VALUE"""),"Литература второй половины 18 века")</f>
        <v>Литература второй половины 18 века</v>
      </c>
      <c r="J31" s="1">
        <f>IFERROR(__xludf.DUMMYFUNCTION("""COMPUTED_VALUE"""),471.0)</f>
        <v>471</v>
      </c>
      <c r="K31" s="1" t="str">
        <f>IFERROR(__xludf.DUMMYFUNCTION("""COMPUTED_VALUE"""),"Николай II до 1905 г. внешняя политика")</f>
        <v>Николай II до 1905 г. внешняя политика</v>
      </c>
      <c r="L31" s="1">
        <f>IFERROR(__xludf.DUMMYFUNCTION("""COMPUTED_VALUE"""),571.0)</f>
        <v>571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tr">
        <f>IFERROR(__xludf.DUMMYFUNCTION("""COMPUTED_VALUE"""),"Хрущев внешняя политика
")</f>
        <v>Хрущев внешняя политика
</v>
      </c>
      <c r="B32" s="1">
        <f>IFERROR(__xludf.DUMMYFUNCTION("""COMPUTED_VALUE"""),66.0)</f>
        <v>66</v>
      </c>
      <c r="C32" s="1" t="str">
        <f>IFERROR(__xludf.DUMMYFUNCTION("""COMPUTED_VALUE"""),"Алексей Михайлович внутренняя политика
")</f>
        <v>Алексей Михайлович внутренняя политика
</v>
      </c>
      <c r="D32" s="1">
        <f>IFERROR(__xludf.DUMMYFUNCTION("""COMPUTED_VALUE"""),170.0)</f>
        <v>170</v>
      </c>
      <c r="E32" s="1" t="str">
        <f>IFERROR(__xludf.DUMMYFUNCTION("""COMPUTED_VALUE"""),"Вторая мировая война
")</f>
        <v>Вторая мировая война
</v>
      </c>
      <c r="F32" s="1">
        <f>IFERROR(__xludf.DUMMYFUNCTION("""COMPUTED_VALUE"""),264.0)</f>
        <v>264</v>
      </c>
      <c r="G32" s="1" t="str">
        <f>IFERROR(__xludf.DUMMYFUNCTION("""COMPUTED_VALUE"""),"Литература второй половины 18 века
")</f>
        <v>Литература второй половины 18 века
</v>
      </c>
      <c r="H32" s="1">
        <f>IFERROR(__xludf.DUMMYFUNCTION("""COMPUTED_VALUE"""),363.0)</f>
        <v>363</v>
      </c>
      <c r="I32" s="1" t="str">
        <f>IFERROR(__xludf.DUMMYFUNCTION("""COMPUTED_VALUE"""),"Архитектура первой половины 18 века")</f>
        <v>Архитектура первой половины 18 века</v>
      </c>
      <c r="J32" s="1">
        <f>IFERROR(__xludf.DUMMYFUNCTION("""COMPUTED_VALUE"""),472.0)</f>
        <v>472</v>
      </c>
      <c r="K32" s="1" t="str">
        <f>IFERROR(__xludf.DUMMYFUNCTION("""COMPUTED_VALUE"""),"Первая Русская революция")</f>
        <v>Первая Русская революция</v>
      </c>
      <c r="L32" s="1">
        <f>IFERROR(__xludf.DUMMYFUNCTION("""COMPUTED_VALUE"""),572.0)</f>
        <v>572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tr">
        <f>IFERROR(__xludf.DUMMYFUNCTION("""COMPUTED_VALUE"""),"Брежнев внутренняя политика
")</f>
        <v>Брежнев внутренняя политика
</v>
      </c>
      <c r="B33" s="1">
        <f>IFERROR(__xludf.DUMMYFUNCTION("""COMPUTED_VALUE"""),67.0)</f>
        <v>67</v>
      </c>
      <c r="C33" s="1" t="str">
        <f>IFERROR(__xludf.DUMMYFUNCTION("""COMPUTED_VALUE"""),"Алексей Михайлович внешняя политика
")</f>
        <v>Алексей Михайлович внешняя политика
</v>
      </c>
      <c r="D33" s="1">
        <f>IFERROR(__xludf.DUMMYFUNCTION("""COMPUTED_VALUE"""),171.0)</f>
        <v>171</v>
      </c>
      <c r="E33" s="1" t="str">
        <f>IFERROR(__xludf.DUMMYFUNCTION("""COMPUTED_VALUE"""),"США в второй половине XX в. Холодная война
")</f>
        <v>США в второй половине XX в. Холодная война
</v>
      </c>
      <c r="F33" s="1">
        <f>IFERROR(__xludf.DUMMYFUNCTION("""COMPUTED_VALUE"""),265.0)</f>
        <v>265</v>
      </c>
      <c r="G33" s="1" t="str">
        <f>IFERROR(__xludf.DUMMYFUNCTION("""COMPUTED_VALUE"""),"Архитектура второй половины 18 века
")</f>
        <v>Архитектура второй половины 18 века
</v>
      </c>
      <c r="H33" s="1">
        <f>IFERROR(__xludf.DUMMYFUNCTION("""COMPUTED_VALUE"""),364.0)</f>
        <v>364</v>
      </c>
      <c r="I33" s="1" t="str">
        <f>IFERROR(__xludf.DUMMYFUNCTION("""COMPUTED_VALUE"""),"Живопись первой половины 18 века")</f>
        <v>Живопись первой половины 18 века</v>
      </c>
      <c r="J33" s="1">
        <f>IFERROR(__xludf.DUMMYFUNCTION("""COMPUTED_VALUE"""),473.0)</f>
        <v>473</v>
      </c>
      <c r="K33" s="1" t="str">
        <f>IFERROR(__xludf.DUMMYFUNCTION("""COMPUTED_VALUE"""),"Николай II 1907-1917 гг. внутренняя политика")</f>
        <v>Николай II 1907-1917 гг. внутренняя политика</v>
      </c>
      <c r="L33" s="1">
        <f>IFERROR(__xludf.DUMMYFUNCTION("""COMPUTED_VALUE"""),573.0)</f>
        <v>573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tr">
        <f>IFERROR(__xludf.DUMMYFUNCTION("""COMPUTED_VALUE"""),"Экономика при Брежневе
")</f>
        <v>Экономика при Брежневе
</v>
      </c>
      <c r="B34" s="1">
        <f>IFERROR(__xludf.DUMMYFUNCTION("""COMPUTED_VALUE"""),68.0)</f>
        <v>68</v>
      </c>
      <c r="C34" s="1" t="str">
        <f>IFERROR(__xludf.DUMMYFUNCTION("""COMPUTED_VALUE"""),"Русско-польская война 1654-1667 гг.
")</f>
        <v>Русско-польская война 1654-1667 гг.
</v>
      </c>
      <c r="D34" s="1">
        <f>IFERROR(__xludf.DUMMYFUNCTION("""COMPUTED_VALUE"""),172.0)</f>
        <v>172</v>
      </c>
      <c r="E34" s="1" t="str">
        <f>IFERROR(__xludf.DUMMYFUNCTION("""COMPUTED_VALUE"""),"Европейские страны в второй половине XX в.")</f>
        <v>Европейские страны в второй половине XX в.</v>
      </c>
      <c r="F34" s="1">
        <f>IFERROR(__xludf.DUMMYFUNCTION("""COMPUTED_VALUE"""),266.0)</f>
        <v>266</v>
      </c>
      <c r="G34" s="1" t="str">
        <f>IFERROR(__xludf.DUMMYFUNCTION("""COMPUTED_VALUE"""),"Живопись второй половины 18 века
")</f>
        <v>Живопись второй половины 18 века
</v>
      </c>
      <c r="H34" s="1">
        <f>IFERROR(__xludf.DUMMYFUNCTION("""COMPUTED_VALUE"""),365.0)</f>
        <v>365</v>
      </c>
      <c r="I34" s="1" t="str">
        <f>IFERROR(__xludf.DUMMYFUNCTION("""COMPUTED_VALUE"""),"Образование и наука первой половины 18 века")</f>
        <v>Образование и наука первой половины 18 века</v>
      </c>
      <c r="J34" s="1">
        <f>IFERROR(__xludf.DUMMYFUNCTION("""COMPUTED_VALUE"""),474.0)</f>
        <v>474</v>
      </c>
      <c r="K34" s="1" t="str">
        <f>IFERROR(__xludf.DUMMYFUNCTION("""COMPUTED_VALUE"""),"Николай II до 1907-1914 гг. внешняя политика")</f>
        <v>Николай II до 1907-1914 гг. внешняя политика</v>
      </c>
      <c r="L34" s="1">
        <f>IFERROR(__xludf.DUMMYFUNCTION("""COMPUTED_VALUE"""),574.0)</f>
        <v>574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tr">
        <f>IFERROR(__xludf.DUMMYFUNCTION("""COMPUTED_VALUE"""),"Брежнев внешняя политика
")</f>
        <v>Брежнев внешняя политика
</v>
      </c>
      <c r="B35" s="1">
        <f>IFERROR(__xludf.DUMMYFUNCTION("""COMPUTED_VALUE"""),69.0)</f>
        <v>69</v>
      </c>
      <c r="C35" s="1" t="str">
        <f>IFERROR(__xludf.DUMMYFUNCTION("""COMPUTED_VALUE"""),"Федор Алексеевич
")</f>
        <v>Федор Алексеевич
</v>
      </c>
      <c r="D35" s="1">
        <f>IFERROR(__xludf.DUMMYFUNCTION("""COMPUTED_VALUE"""),173.0)</f>
        <v>173</v>
      </c>
      <c r="E35" s="1" t="str">
        <f>IFERROR(__xludf.DUMMYFUNCTION("""COMPUTED_VALUE"""),"Соседи славян")</f>
        <v>Соседи славян</v>
      </c>
      <c r="F35" s="1">
        <f>IFERROR(__xludf.DUMMYFUNCTION("""COMPUTED_VALUE"""),267.0)</f>
        <v>267</v>
      </c>
      <c r="G35" s="1" t="str">
        <f>IFERROR(__xludf.DUMMYFUNCTION("""COMPUTED_VALUE"""),"Образование и наука второй половины 18 века
")</f>
        <v>Образование и наука второй половины 18 века
</v>
      </c>
      <c r="H35" s="1">
        <f>IFERROR(__xludf.DUMMYFUNCTION("""COMPUTED_VALUE"""),366.0)</f>
        <v>366</v>
      </c>
      <c r="I35" s="1" t="str">
        <f>IFERROR(__xludf.DUMMYFUNCTION("""COMPUTED_VALUE"""),"Литература второй половины 18 века")</f>
        <v>Литература второй половины 18 века</v>
      </c>
      <c r="J35" s="1">
        <f>IFERROR(__xludf.DUMMYFUNCTION("""COMPUTED_VALUE"""),475.0)</f>
        <v>475</v>
      </c>
      <c r="K35" s="1" t="str">
        <f>IFERROR(__xludf.DUMMYFUNCTION("""COMPUTED_VALUE"""),"Первая мировая война")</f>
        <v>Первая мировая война</v>
      </c>
      <c r="L35" s="1">
        <f>IFERROR(__xludf.DUMMYFUNCTION("""COMPUTED_VALUE"""),575.0)</f>
        <v>575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tr">
        <f>IFERROR(__xludf.DUMMYFUNCTION("""COMPUTED_VALUE"""),"Андропов. Черненко
")</f>
        <v>Андропов. Черненко
</v>
      </c>
      <c r="B36" s="1">
        <f>IFERROR(__xludf.DUMMYFUNCTION("""COMPUTED_VALUE"""),70.0)</f>
        <v>70</v>
      </c>
      <c r="C36" s="1" t="str">
        <f>IFERROR(__xludf.DUMMYFUNCTION("""COMPUTED_VALUE"""),"Экономика 17 века, первопроходцы, торговля
")</f>
        <v>Экономика 17 века, первопроходцы, торговля
</v>
      </c>
      <c r="D36" s="1">
        <f>IFERROR(__xludf.DUMMYFUNCTION("""COMPUTED_VALUE"""),174.0)</f>
        <v>174</v>
      </c>
      <c r="E36" s="1" t="str">
        <f>IFERROR(__xludf.DUMMYFUNCTION("""COMPUTED_VALUE"""),"Экономика до появления государства")</f>
        <v>Экономика до появления государства</v>
      </c>
      <c r="F36" s="1">
        <f>IFERROR(__xludf.DUMMYFUNCTION("""COMPUTED_VALUE"""),268.0)</f>
        <v>268</v>
      </c>
      <c r="G36" s="1" t="str">
        <f>IFERROR(__xludf.DUMMYFUNCTION("""COMPUTED_VALUE"""),"Александр I (либеральный) внутренняя политика
")</f>
        <v>Александр I (либеральный) внутренняя политика
</v>
      </c>
      <c r="H36" s="1">
        <f>IFERROR(__xludf.DUMMYFUNCTION("""COMPUTED_VALUE"""),367.0)</f>
        <v>367</v>
      </c>
      <c r="I36" s="1" t="str">
        <f>IFERROR(__xludf.DUMMYFUNCTION("""COMPUTED_VALUE"""),"Архитектура второй половины 18 века")</f>
        <v>Архитектура второй половины 18 века</v>
      </c>
      <c r="J36" s="1">
        <f>IFERROR(__xludf.DUMMYFUNCTION("""COMPUTED_VALUE"""),476.0)</f>
        <v>476</v>
      </c>
      <c r="K36" s="1" t="str">
        <f>IFERROR(__xludf.DUMMYFUNCTION("""COMPUTED_VALUE"""),"Общественное мысль, партии при Николае II")</f>
        <v>Общественное мысль, партии при Николае II</v>
      </c>
      <c r="L36" s="1">
        <f>IFERROR(__xludf.DUMMYFUNCTION("""COMPUTED_VALUE"""),576.0)</f>
        <v>576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tr">
        <f>IFERROR(__xludf.DUMMYFUNCTION("""COMPUTED_VALUE"""),"Горбачев внутренняя политика. Экономика
")</f>
        <v>Горбачев внутренняя политика. Экономика
</v>
      </c>
      <c r="B37" s="1">
        <f>IFERROR(__xludf.DUMMYFUNCTION("""COMPUTED_VALUE"""),71.0)</f>
        <v>71</v>
      </c>
      <c r="C37" s="1" t="str">
        <f>IFERROR(__xludf.DUMMYFUNCTION("""COMPUTED_VALUE"""),"Этапы закрепощения, виды крестьян
")</f>
        <v>Этапы закрепощения, виды крестьян
</v>
      </c>
      <c r="D37" s="1">
        <f>IFERROR(__xludf.DUMMYFUNCTION("""COMPUTED_VALUE"""),175.0)</f>
        <v>175</v>
      </c>
      <c r="E37" s="1" t="str">
        <f>IFERROR(__xludf.DUMMYFUNCTION("""COMPUTED_VALUE"""),"Торговые пути")</f>
        <v>Торговые пути</v>
      </c>
      <c r="F37" s="1">
        <f>IFERROR(__xludf.DUMMYFUNCTION("""COMPUTED_VALUE"""),269.0)</f>
        <v>269</v>
      </c>
      <c r="G37" s="1" t="str">
        <f>IFERROR(__xludf.DUMMYFUNCTION("""COMPUTED_VALUE"""),"Александр I (либеральный) внешняя политика
")</f>
        <v>Александр I (либеральный) внешняя политика
</v>
      </c>
      <c r="H37" s="1">
        <f>IFERROR(__xludf.DUMMYFUNCTION("""COMPUTED_VALUE"""),368.0)</f>
        <v>368</v>
      </c>
      <c r="I37" s="1" t="str">
        <f>IFERROR(__xludf.DUMMYFUNCTION("""COMPUTED_VALUE"""),"Живопись второй половины 18 века")</f>
        <v>Живопись второй половины 18 века</v>
      </c>
      <c r="J37" s="1">
        <f>IFERROR(__xludf.DUMMYFUNCTION("""COMPUTED_VALUE"""),477.0)</f>
        <v>477</v>
      </c>
      <c r="K37" s="1" t="str">
        <f>IFERROR(__xludf.DUMMYFUNCTION("""COMPUTED_VALUE"""),"Литература второй половины 19 века")</f>
        <v>Литература второй половины 19 века</v>
      </c>
      <c r="L37" s="1">
        <f>IFERROR(__xludf.DUMMYFUNCTION("""COMPUTED_VALUE"""),577.0)</f>
        <v>577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tr">
        <f>IFERROR(__xludf.DUMMYFUNCTION("""COMPUTED_VALUE"""),"Горбачев внутренняя политика. Политика
")</f>
        <v>Горбачев внутренняя политика. Политика
</v>
      </c>
      <c r="B38" s="1">
        <f>IFERROR(__xludf.DUMMYFUNCTION("""COMPUTED_VALUE"""),72.0)</f>
        <v>72</v>
      </c>
      <c r="C38" s="1" t="str">
        <f>IFERROR(__xludf.DUMMYFUNCTION("""COMPUTED_VALUE"""),"Литература 17 в.
")</f>
        <v>Литература 17 в.
</v>
      </c>
      <c r="D38" s="1">
        <f>IFERROR(__xludf.DUMMYFUNCTION("""COMPUTED_VALUE"""),176.0)</f>
        <v>176</v>
      </c>
      <c r="E38" s="1" t="str">
        <f>IFERROR(__xludf.DUMMYFUNCTION("""COMPUTED_VALUE"""),"Рюрик. Норманнская, антинорманнская теория
")</f>
        <v>Рюрик. Норманнская, антинорманнская теория
</v>
      </c>
      <c r="F38" s="1">
        <f>IFERROR(__xludf.DUMMYFUNCTION("""COMPUTED_VALUE"""),270.0)</f>
        <v>270</v>
      </c>
      <c r="G38" s="1" t="str">
        <f>IFERROR(__xludf.DUMMYFUNCTION("""COMPUTED_VALUE"""),"Отечественная война. Освободительный поход. Венский конгресс
")</f>
        <v>Отечественная война. Освободительный поход. Венский конгресс
</v>
      </c>
      <c r="H38" s="1">
        <f>IFERROR(__xludf.DUMMYFUNCTION("""COMPUTED_VALUE"""),369.0)</f>
        <v>369</v>
      </c>
      <c r="I38" s="1" t="str">
        <f>IFERROR(__xludf.DUMMYFUNCTION("""COMPUTED_VALUE"""),"Образование и наука второй половины 18 века")</f>
        <v>Образование и наука второй половины 18 века</v>
      </c>
      <c r="J38" s="1">
        <f>IFERROR(__xludf.DUMMYFUNCTION("""COMPUTED_VALUE"""),478.0)</f>
        <v>478</v>
      </c>
      <c r="K38" s="1" t="str">
        <f>IFERROR(__xludf.DUMMYFUNCTION("""COMPUTED_VALUE"""),"Литература начала 20 века (1894-1917 гг.)")</f>
        <v>Литература начала 20 века (1894-1917 гг.)</v>
      </c>
      <c r="L38" s="1">
        <f>IFERROR(__xludf.DUMMYFUNCTION("""COMPUTED_VALUE"""),578.0)</f>
        <v>578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tr">
        <f>IFERROR(__xludf.DUMMYFUNCTION("""COMPUTED_VALUE"""),"Горбачев внешняя политика
")</f>
        <v>Горбачев внешняя политика
</v>
      </c>
      <c r="B39" s="1">
        <f>IFERROR(__xludf.DUMMYFUNCTION("""COMPUTED_VALUE"""),73.0)</f>
        <v>73</v>
      </c>
      <c r="C39" s="1" t="str">
        <f>IFERROR(__xludf.DUMMYFUNCTION("""COMPUTED_VALUE"""),"Архитектура 17 в.
")</f>
        <v>Архитектура 17 в.
</v>
      </c>
      <c r="D39" s="1">
        <f>IFERROR(__xludf.DUMMYFUNCTION("""COMPUTED_VALUE"""),177.0)</f>
        <v>177</v>
      </c>
      <c r="E39" s="1" t="str">
        <f>IFERROR(__xludf.DUMMYFUNCTION("""COMPUTED_VALUE"""),"Олег Вещий — Игорь Рюрикович
")</f>
        <v>Олег Вещий — Игорь Рюрикович
</v>
      </c>
      <c r="F39" s="1">
        <f>IFERROR(__xludf.DUMMYFUNCTION("""COMPUTED_VALUE"""),271.0)</f>
        <v>271</v>
      </c>
      <c r="G39" s="1" t="str">
        <f>IFERROR(__xludf.DUMMYFUNCTION("""COMPUTED_VALUE"""),"Александр I (консервативный) внутренняя политика
")</f>
        <v>Александр I (консервативный) внутренняя политика
</v>
      </c>
      <c r="H39" s="1">
        <f>IFERROR(__xludf.DUMMYFUNCTION("""COMPUTED_VALUE"""),370.0)</f>
        <v>370</v>
      </c>
      <c r="I39" s="1" t="str">
        <f>IFERROR(__xludf.DUMMYFUNCTION("""COMPUTED_VALUE"""),"Александр I (либеральный) внутренняя политика")</f>
        <v>Александр I (либеральный) внутренняя политика</v>
      </c>
      <c r="J39" s="1">
        <f>IFERROR(__xludf.DUMMYFUNCTION("""COMPUTED_VALUE"""),479.0)</f>
        <v>479</v>
      </c>
      <c r="K39" s="1" t="str">
        <f>IFERROR(__xludf.DUMMYFUNCTION("""COMPUTED_VALUE"""),"Архитектура второй половины 19 века – начала 20 века")</f>
        <v>Архитектура второй половины 19 века – начала 20 века</v>
      </c>
      <c r="L39" s="1">
        <f>IFERROR(__xludf.DUMMYFUNCTION("""COMPUTED_VALUE"""),579.0)</f>
        <v>579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tr">
        <f>IFERROR(__xludf.DUMMYFUNCTION("""COMPUTED_VALUE"""),"1991 год: ГКЧП, Распад СССР, национальные процессы
")</f>
        <v>1991 год: ГКЧП, Распад СССР, национальные процессы
</v>
      </c>
      <c r="B40" s="1">
        <f>IFERROR(__xludf.DUMMYFUNCTION("""COMPUTED_VALUE"""),74.0)</f>
        <v>74</v>
      </c>
      <c r="C40" s="1" t="str">
        <f>IFERROR(__xludf.DUMMYFUNCTION("""COMPUTED_VALUE"""),"Живопись 17 в.
")</f>
        <v>Живопись 17 в.
</v>
      </c>
      <c r="D40" s="1">
        <f>IFERROR(__xludf.DUMMYFUNCTION("""COMPUTED_VALUE"""),178.0)</f>
        <v>178</v>
      </c>
      <c r="E40" s="1" t="str">
        <f>IFERROR(__xludf.DUMMYFUNCTION("""COMPUTED_VALUE"""),"Ольга — Святослав
")</f>
        <v>Ольга — Святослав
</v>
      </c>
      <c r="F40" s="1">
        <f>IFERROR(__xludf.DUMMYFUNCTION("""COMPUTED_VALUE"""),272.0)</f>
        <v>272</v>
      </c>
      <c r="G40" s="1" t="str">
        <f>IFERROR(__xludf.DUMMYFUNCTION("""COMPUTED_VALUE"""),"Александр I (консервативный) внешняя политика
")</f>
        <v>Александр I (консервативный) внешняя политика
</v>
      </c>
      <c r="H40" s="1">
        <f>IFERROR(__xludf.DUMMYFUNCTION("""COMPUTED_VALUE"""),371.0)</f>
        <v>371</v>
      </c>
      <c r="I40" s="1" t="str">
        <f>IFERROR(__xludf.DUMMYFUNCTION("""COMPUTED_VALUE"""),"Александр I (либеральный) внешняя политика")</f>
        <v>Александр I (либеральный) внешняя политика</v>
      </c>
      <c r="J40" s="1">
        <f>IFERROR(__xludf.DUMMYFUNCTION("""COMPUTED_VALUE"""),480.0)</f>
        <v>480</v>
      </c>
      <c r="K40" s="1" t="str">
        <f>IFERROR(__xludf.DUMMYFUNCTION("""COMPUTED_VALUE"""),"Живопись второй половины 19 века – начала 20 века")</f>
        <v>Живопись второй половины 19 века – начала 20 века</v>
      </c>
      <c r="L40" s="1">
        <f>IFERROR(__xludf.DUMMYFUNCTION("""COMPUTED_VALUE"""),580.0)</f>
        <v>580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tr">
        <f>IFERROR(__xludf.DUMMYFUNCTION("""COMPUTED_VALUE"""),"Становление советской власти (первые декреты, учредительное собрание)
")</f>
        <v>Становление советской власти (первые декреты, учредительное собрание)
</v>
      </c>
      <c r="B41" s="1">
        <f>IFERROR(__xludf.DUMMYFUNCTION("""COMPUTED_VALUE"""),75.0)</f>
        <v>75</v>
      </c>
      <c r="C41" s="1" t="str">
        <f>IFERROR(__xludf.DUMMYFUNCTION("""COMPUTED_VALUE"""),"Образование и наука 17 в.
")</f>
        <v>Образование и наука 17 в.
</v>
      </c>
      <c r="D41" s="1">
        <f>IFERROR(__xludf.DUMMYFUNCTION("""COMPUTED_VALUE"""),179.0)</f>
        <v>179</v>
      </c>
      <c r="E41" s="1" t="str">
        <f>IFERROR(__xludf.DUMMYFUNCTION("""COMPUTED_VALUE"""),"Владимир Святой
")</f>
        <v>Владимир Святой
</v>
      </c>
      <c r="F41" s="1">
        <f>IFERROR(__xludf.DUMMYFUNCTION("""COMPUTED_VALUE"""),273.0)</f>
        <v>273</v>
      </c>
      <c r="G41" s="1" t="str">
        <f>IFERROR(__xludf.DUMMYFUNCTION("""COMPUTED_VALUE"""),"Николай I внутренняя политика
")</f>
        <v>Николай I внутренняя политика
</v>
      </c>
      <c r="H41" s="1">
        <f>IFERROR(__xludf.DUMMYFUNCTION("""COMPUTED_VALUE"""),372.0)</f>
        <v>372</v>
      </c>
      <c r="I41" s="1" t="str">
        <f>IFERROR(__xludf.DUMMYFUNCTION("""COMPUTED_VALUE"""),"Отечественная война. Освободительный поход. Венский конгресс")</f>
        <v>Отечественная война. Освободительный поход. Венский конгресс</v>
      </c>
      <c r="J41" s="1">
        <f>IFERROR(__xludf.DUMMYFUNCTION("""COMPUTED_VALUE"""),481.0)</f>
        <v>481</v>
      </c>
      <c r="K41" s="1" t="str">
        <f>IFERROR(__xludf.DUMMYFUNCTION("""COMPUTED_VALUE"""),"Образование и наука второй половины 19 века – начала 20 века")</f>
        <v>Образование и наука второй половины 19 века – начала 20 века</v>
      </c>
      <c r="L41" s="1">
        <f>IFERROR(__xludf.DUMMYFUNCTION("""COMPUTED_VALUE"""),581.0)</f>
        <v>581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tr">
        <f>IFERROR(__xludf.DUMMYFUNCTION("""COMPUTED_VALUE"""),"Гражданская война. Советско-польская война")</f>
        <v>Гражданская война. Советско-польская война</v>
      </c>
      <c r="B42" s="1">
        <f>IFERROR(__xludf.DUMMYFUNCTION("""COMPUTED_VALUE"""),76.0)</f>
        <v>76</v>
      </c>
      <c r="C42" s="1" t="str">
        <f>IFERROR(__xludf.DUMMYFUNCTION("""COMPUTED_VALUE"""),"Софья Алексеевна
")</f>
        <v>Софья Алексеевна
</v>
      </c>
      <c r="D42" s="1">
        <f>IFERROR(__xludf.DUMMYFUNCTION("""COMPUTED_VALUE"""),180.0)</f>
        <v>180</v>
      </c>
      <c r="E42" s="1" t="str">
        <f>IFERROR(__xludf.DUMMYFUNCTION("""COMPUTED_VALUE"""),"Ярослав Мудрый
")</f>
        <v>Ярослав Мудрый
</v>
      </c>
      <c r="F42" s="1">
        <f>IFERROR(__xludf.DUMMYFUNCTION("""COMPUTED_VALUE"""),274.0)</f>
        <v>274</v>
      </c>
      <c r="G42" s="1" t="str">
        <f>IFERROR(__xludf.DUMMYFUNCTION("""COMPUTED_VALUE"""),"Декабристы
")</f>
        <v>Декабристы
</v>
      </c>
      <c r="H42" s="1">
        <f>IFERROR(__xludf.DUMMYFUNCTION("""COMPUTED_VALUE"""),373.0)</f>
        <v>373</v>
      </c>
      <c r="I42" s="1" t="str">
        <f>IFERROR(__xludf.DUMMYFUNCTION("""COMPUTED_VALUE"""),"Александр I (консервативный) внутренняя политика")</f>
        <v>Александр I (консервативный) внутренняя политика</v>
      </c>
      <c r="J42" s="1">
        <f>IFERROR(__xludf.DUMMYFUNCTION("""COMPUTED_VALUE"""),482.0)</f>
        <v>482</v>
      </c>
      <c r="K42" s="1" t="str">
        <f>IFERROR(__xludf.DUMMYFUNCTION("""COMPUTED_VALUE"""),"Февральская революция")</f>
        <v>Февральская революция</v>
      </c>
      <c r="L42" s="1">
        <f>IFERROR(__xludf.DUMMYFUNCTION("""COMPUTED_VALUE"""),582.0)</f>
        <v>582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tr">
        <f>IFERROR(__xludf.DUMMYFUNCTION("""COMPUTED_VALUE"""),"1920-е гг. внутренняя политика
")</f>
        <v>1920-е гг. внутренняя политика
</v>
      </c>
      <c r="B43" s="1">
        <f>IFERROR(__xludf.DUMMYFUNCTION("""COMPUTED_VALUE"""),77.0)</f>
        <v>77</v>
      </c>
      <c r="C43" s="1" t="str">
        <f>IFERROR(__xludf.DUMMYFUNCTION("""COMPUTED_VALUE"""),"Петр Первый внутренняя политика
")</f>
        <v>Петр Первый внутренняя политика
</v>
      </c>
      <c r="D43" s="1">
        <f>IFERROR(__xludf.DUMMYFUNCTION("""COMPUTED_VALUE"""),181.0)</f>
        <v>181</v>
      </c>
      <c r="E43" s="1" t="str">
        <f>IFERROR(__xludf.DUMMYFUNCTION("""COMPUTED_VALUE"""),"Триумвират Ярославичей. Святополк Изяславич
")</f>
        <v>Триумвират Ярославичей. Святополк Изяславич
</v>
      </c>
      <c r="F43" s="1">
        <f>IFERROR(__xludf.DUMMYFUNCTION("""COMPUTED_VALUE"""),275.0)</f>
        <v>275</v>
      </c>
      <c r="G43" s="1" t="str">
        <f>IFERROR(__xludf.DUMMYFUNCTION("""COMPUTED_VALUE"""),"Общественное мысль при Николае I
")</f>
        <v>Общественное мысль при Николае I
</v>
      </c>
      <c r="H43" s="1">
        <f>IFERROR(__xludf.DUMMYFUNCTION("""COMPUTED_VALUE"""),374.0)</f>
        <v>374</v>
      </c>
      <c r="I43" s="1" t="str">
        <f>IFERROR(__xludf.DUMMYFUNCTION("""COMPUTED_VALUE"""),"Александр I (консервативный) внешняя политика")</f>
        <v>Александр I (консервативный) внешняя политика</v>
      </c>
      <c r="J43" s="1">
        <f>IFERROR(__xludf.DUMMYFUNCTION("""COMPUTED_VALUE"""),483.0)</f>
        <v>483</v>
      </c>
      <c r="K43" s="1" t="str">
        <f>IFERROR(__xludf.DUMMYFUNCTION("""COMPUTED_VALUE"""),"Временное правительство")</f>
        <v>Временное правительство</v>
      </c>
      <c r="L43" s="1">
        <f>IFERROR(__xludf.DUMMYFUNCTION("""COMPUTED_VALUE"""),583.0)</f>
        <v>583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tr">
        <f>IFERROR(__xludf.DUMMYFUNCTION("""COMPUTED_VALUE"""),"1920-е гг. внешняя политика
")</f>
        <v>1920-е гг. внешняя политика
</v>
      </c>
      <c r="B44" s="1">
        <f>IFERROR(__xludf.DUMMYFUNCTION("""COMPUTED_VALUE"""),78.0)</f>
        <v>78</v>
      </c>
      <c r="C44" s="1" t="str">
        <f>IFERROR(__xludf.DUMMYFUNCTION("""COMPUTED_VALUE"""),"Петр Первый внешняя политика
")</f>
        <v>Петр Первый внешняя политика
</v>
      </c>
      <c r="D44" s="1">
        <f>IFERROR(__xludf.DUMMYFUNCTION("""COMPUTED_VALUE"""),182.0)</f>
        <v>182</v>
      </c>
      <c r="E44" s="1" t="str">
        <f>IFERROR(__xludf.DUMMYFUNCTION("""COMPUTED_VALUE"""),"Владимир Мономах — Мстислав Великий
")</f>
        <v>Владимир Мономах — Мстислав Великий
</v>
      </c>
      <c r="F44" s="1">
        <f>IFERROR(__xludf.DUMMYFUNCTION("""COMPUTED_VALUE"""),276.0)</f>
        <v>276</v>
      </c>
      <c r="G44" s="1" t="str">
        <f>IFERROR(__xludf.DUMMYFUNCTION("""COMPUTED_VALUE"""),"Николай I внешняя политика
")</f>
        <v>Николай I внешняя политика
</v>
      </c>
      <c r="H44" s="1">
        <f>IFERROR(__xludf.DUMMYFUNCTION("""COMPUTED_VALUE"""),375.0)</f>
        <v>375</v>
      </c>
      <c r="I44" s="1" t="str">
        <f>IFERROR(__xludf.DUMMYFUNCTION("""COMPUTED_VALUE"""),"Декабристы")</f>
        <v>Декабристы</v>
      </c>
      <c r="J44" s="1">
        <f>IFERROR(__xludf.DUMMYFUNCTION("""COMPUTED_VALUE"""),484.0)</f>
        <v>484</v>
      </c>
      <c r="K44" s="1" t="str">
        <f>IFERROR(__xludf.DUMMYFUNCTION("""COMPUTED_VALUE"""),"Октябрьская революция")</f>
        <v>Октябрьская революция</v>
      </c>
      <c r="L44" s="1">
        <f>IFERROR(__xludf.DUMMYFUNCTION("""COMPUTED_VALUE"""),584.0)</f>
        <v>584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tr">
        <f>IFERROR(__xludf.DUMMYFUNCTION("""COMPUTED_VALUE"""),"1930-е гг. внутренняя политика
")</f>
        <v>1930-е гг. внутренняя политика
</v>
      </c>
      <c r="B45" s="1">
        <f>IFERROR(__xludf.DUMMYFUNCTION("""COMPUTED_VALUE"""),79.0)</f>
        <v>79</v>
      </c>
      <c r="C45" s="1" t="str">
        <f>IFERROR(__xludf.DUMMYFUNCTION("""COMPUTED_VALUE"""),"Эпоха дворцовых переворотов
")</f>
        <v>Эпоха дворцовых переворотов
</v>
      </c>
      <c r="D45" s="1">
        <f>IFERROR(__xludf.DUMMYFUNCTION("""COMPUTED_VALUE"""),183.0)</f>
        <v>183</v>
      </c>
      <c r="E45" s="1" t="str">
        <f>IFERROR(__xludf.DUMMYFUNCTION("""COMPUTED_VALUE"""),"Экономика Древнерусского государства
")</f>
        <v>Экономика Древнерусского государства
</v>
      </c>
      <c r="F45" s="1">
        <f>IFERROR(__xludf.DUMMYFUNCTION("""COMPUTED_VALUE"""),277.0)</f>
        <v>277</v>
      </c>
      <c r="G45" s="1" t="str">
        <f>IFERROR(__xludf.DUMMYFUNCTION("""COMPUTED_VALUE"""),"Крымская война
")</f>
        <v>Крымская война
</v>
      </c>
      <c r="H45" s="1">
        <f>IFERROR(__xludf.DUMMYFUNCTION("""COMPUTED_VALUE"""),376.0)</f>
        <v>376</v>
      </c>
      <c r="I45" s="1" t="str">
        <f>IFERROR(__xludf.DUMMYFUNCTION("""COMPUTED_VALUE"""),"Николай I внутренняя политика")</f>
        <v>Николай I внутренняя политика</v>
      </c>
      <c r="J45" s="1">
        <f>IFERROR(__xludf.DUMMYFUNCTION("""COMPUTED_VALUE"""),485.0)</f>
        <v>485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tr">
        <f>IFERROR(__xludf.DUMMYFUNCTION("""COMPUTED_VALUE"""),"1930-е гг. внешняя политика
")</f>
        <v>1930-е гг. внешняя политика
</v>
      </c>
      <c r="B46" s="1">
        <f>IFERROR(__xludf.DUMMYFUNCTION("""COMPUTED_VALUE"""),80.0)</f>
        <v>80</v>
      </c>
      <c r="C46" s="1" t="str">
        <f>IFERROR(__xludf.DUMMYFUNCTION("""COMPUTED_VALUE"""),"Екатерина I. Петр II
")</f>
        <v>Екатерина I. Петр II
</v>
      </c>
      <c r="D46" s="1">
        <f>IFERROR(__xludf.DUMMYFUNCTION("""COMPUTED_VALUE"""),184.0)</f>
        <v>184</v>
      </c>
      <c r="E46" s="1" t="str">
        <f>IFERROR(__xludf.DUMMYFUNCTION("""COMPUTED_VALUE"""),"Русская правда
")</f>
        <v>Русская правда
</v>
      </c>
      <c r="F46" s="1">
        <f>IFERROR(__xludf.DUMMYFUNCTION("""COMPUTED_VALUE"""),278.0)</f>
        <v>278</v>
      </c>
      <c r="G46" s="1" t="str">
        <f>IFERROR(__xludf.DUMMYFUNCTION("""COMPUTED_VALUE"""),"Кавказская война
")</f>
        <v>Кавказская война
</v>
      </c>
      <c r="H46" s="1">
        <f>IFERROR(__xludf.DUMMYFUNCTION("""COMPUTED_VALUE"""),377.0)</f>
        <v>377</v>
      </c>
      <c r="I46" s="1" t="str">
        <f>IFERROR(__xludf.DUMMYFUNCTION("""COMPUTED_VALUE"""),"Общественное мысль при Николае I")</f>
        <v>Общественное мысль при Николае I</v>
      </c>
      <c r="J46" s="1">
        <f>IFERROR(__xludf.DUMMYFUNCTION("""COMPUTED_VALUE"""),486.0)</f>
        <v>486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tr">
        <f>IFERROR(__xludf.DUMMYFUNCTION("""COMPUTED_VALUE"""),"Великая Отечественная война 1941-1943 гг")</f>
        <v>Великая Отечественная война 1941-1943 гг</v>
      </c>
      <c r="B47" s="1">
        <f>IFERROR(__xludf.DUMMYFUNCTION("""COMPUTED_VALUE"""),81.0)</f>
        <v>81</v>
      </c>
      <c r="C47" s="1" t="str">
        <f>IFERROR(__xludf.DUMMYFUNCTION("""COMPUTED_VALUE"""),"Анна Иоанновна внутренняя политика
")</f>
        <v>Анна Иоанновна внутренняя политика
</v>
      </c>
      <c r="D47" s="1">
        <f>IFERROR(__xludf.DUMMYFUNCTION("""COMPUTED_VALUE"""),185.0)</f>
        <v>185</v>
      </c>
      <c r="E47" s="1" t="str">
        <f>IFERROR(__xludf.DUMMYFUNCTION("""COMPUTED_VALUE"""),"Печенеги и половцы")</f>
        <v>Печенеги и половцы</v>
      </c>
      <c r="F47" s="1">
        <f>IFERROR(__xludf.DUMMYFUNCTION("""COMPUTED_VALUE"""),279.0)</f>
        <v>279</v>
      </c>
      <c r="G47" s="1" t="str">
        <f>IFERROR(__xludf.DUMMYFUNCTION("""COMPUTED_VALUE"""),"Литература первой половины 19 века
")</f>
        <v>Литература первой половины 19 века
</v>
      </c>
      <c r="H47" s="1">
        <f>IFERROR(__xludf.DUMMYFUNCTION("""COMPUTED_VALUE"""),378.0)</f>
        <v>378</v>
      </c>
      <c r="I47" s="1" t="str">
        <f>IFERROR(__xludf.DUMMYFUNCTION("""COMPUTED_VALUE"""),"Николай I внешняя политика")</f>
        <v>Николай I внешняя политика</v>
      </c>
      <c r="J47" s="1">
        <f>IFERROR(__xludf.DUMMYFUNCTION("""COMPUTED_VALUE"""),487.0)</f>
        <v>487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tr">
        <f>IFERROR(__xludf.DUMMYFUNCTION("""COMPUTED_VALUE"""),"Великая Отечественная война 1943-1945 гг")</f>
        <v>Великая Отечественная война 1943-1945 гг</v>
      </c>
      <c r="B48" s="1">
        <f>IFERROR(__xludf.DUMMYFUNCTION("""COMPUTED_VALUE"""),82.0)</f>
        <v>82</v>
      </c>
      <c r="C48" s="1" t="str">
        <f>IFERROR(__xludf.DUMMYFUNCTION("""COMPUTED_VALUE"""),"Анна Иоанновна внешняя политика
")</f>
        <v>Анна Иоанновна внешняя политика
</v>
      </c>
      <c r="D48" s="1">
        <f>IFERROR(__xludf.DUMMYFUNCTION("""COMPUTED_VALUE"""),186.0)</f>
        <v>186</v>
      </c>
      <c r="E48" s="1" t="str">
        <f>IFERROR(__xludf.DUMMYFUNCTION("""COMPUTED_VALUE"""),"Литература Древнерусского государства")</f>
        <v>Литература Древнерусского государства</v>
      </c>
      <c r="F48" s="1">
        <f>IFERROR(__xludf.DUMMYFUNCTION("""COMPUTED_VALUE"""),280.0)</f>
        <v>280</v>
      </c>
      <c r="G48" s="1" t="str">
        <f>IFERROR(__xludf.DUMMYFUNCTION("""COMPUTED_VALUE"""),"Архитектура первой половины 19 века
")</f>
        <v>Архитектура первой половины 19 века
</v>
      </c>
      <c r="H48" s="1">
        <f>IFERROR(__xludf.DUMMYFUNCTION("""COMPUTED_VALUE"""),379.0)</f>
        <v>379</v>
      </c>
      <c r="I48" s="1" t="str">
        <f>IFERROR(__xludf.DUMMYFUNCTION("""COMPUTED_VALUE"""),"Крымская война")</f>
        <v>Крымская война</v>
      </c>
      <c r="J48" s="1">
        <f>IFERROR(__xludf.DUMMYFUNCTION("""COMPUTED_VALUE"""),488.0)</f>
        <v>488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tr">
        <f>IFERROR(__xludf.DUMMYFUNCTION("""COMPUTED_VALUE"""),"Герои ВОВ")</f>
        <v>Герои ВОВ</v>
      </c>
      <c r="B49" s="1">
        <f>IFERROR(__xludf.DUMMYFUNCTION("""COMPUTED_VALUE"""),83.0)</f>
        <v>83</v>
      </c>
      <c r="C49" s="1" t="str">
        <f>IFERROR(__xludf.DUMMYFUNCTION("""COMPUTED_VALUE"""),"Иван Антонович
")</f>
        <v>Иван Антонович
</v>
      </c>
      <c r="D49" s="1">
        <f>IFERROR(__xludf.DUMMYFUNCTION("""COMPUTED_VALUE"""),187.0)</f>
        <v>187</v>
      </c>
      <c r="E49" s="1" t="str">
        <f>IFERROR(__xludf.DUMMYFUNCTION("""COMPUTED_VALUE"""),"Архитектура Древнерусского государства
")</f>
        <v>Архитектура Древнерусского государства
</v>
      </c>
      <c r="F49" s="1">
        <f>IFERROR(__xludf.DUMMYFUNCTION("""COMPUTED_VALUE"""),281.0)</f>
        <v>281</v>
      </c>
      <c r="G49" s="1" t="str">
        <f>IFERROR(__xludf.DUMMYFUNCTION("""COMPUTED_VALUE"""),"Живопись первой половины 19 века
")</f>
        <v>Живопись первой половины 19 века
</v>
      </c>
      <c r="H49" s="1">
        <f>IFERROR(__xludf.DUMMYFUNCTION("""COMPUTED_VALUE"""),380.0)</f>
        <v>380</v>
      </c>
      <c r="I49" s="1" t="str">
        <f>IFERROR(__xludf.DUMMYFUNCTION("""COMPUTED_VALUE"""),"Кавказская война ")</f>
        <v>Кавказская война </v>
      </c>
      <c r="J49" s="1">
        <f>IFERROR(__xludf.DUMMYFUNCTION("""COMPUTED_VALUE"""),489.0)</f>
        <v>489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tr">
        <f>IFERROR(__xludf.DUMMYFUNCTION("""COMPUTED_VALUE"""),"Послевоенный период: внутренняя политика
")</f>
        <v>Послевоенный период: внутренняя политика
</v>
      </c>
      <c r="B50" s="1">
        <f>IFERROR(__xludf.DUMMYFUNCTION("""COMPUTED_VALUE"""),84.0)</f>
        <v>84</v>
      </c>
      <c r="C50" s="1" t="str">
        <f>IFERROR(__xludf.DUMMYFUNCTION("""COMPUTED_VALUE"""),"Елизавета Петровна внутренняя политика
")</f>
        <v>Елизавета Петровна внутренняя политика
</v>
      </c>
      <c r="D50" s="1">
        <f>IFERROR(__xludf.DUMMYFUNCTION("""COMPUTED_VALUE"""),188.0)</f>
        <v>188</v>
      </c>
      <c r="E50" s="1" t="str">
        <f>IFERROR(__xludf.DUMMYFUNCTION("""COMPUTED_VALUE"""),"Раздробленность 1132-1263 гг. (причины/последствия, плюсы и минусы, характерные черты)
")</f>
        <v>Раздробленность 1132-1263 гг. (причины/последствия, плюсы и минусы, характерные черты)
</v>
      </c>
      <c r="F50" s="1">
        <f>IFERROR(__xludf.DUMMYFUNCTION("""COMPUTED_VALUE"""),282.0)</f>
        <v>282</v>
      </c>
      <c r="G50" s="1" t="str">
        <f>IFERROR(__xludf.DUMMYFUNCTION("""COMPUTED_VALUE"""),"Образование и наука первой половины 19 века
")</f>
        <v>Образование и наука первой половины 19 века
</v>
      </c>
      <c r="H50" s="1">
        <f>IFERROR(__xludf.DUMMYFUNCTION("""COMPUTED_VALUE"""),381.0)</f>
        <v>381</v>
      </c>
      <c r="I50" s="1" t="str">
        <f>IFERROR(__xludf.DUMMYFUNCTION("""COMPUTED_VALUE"""),"Литература первой половины 19 века")</f>
        <v>Литература первой половины 19 века</v>
      </c>
      <c r="J50" s="1">
        <f>IFERROR(__xludf.DUMMYFUNCTION("""COMPUTED_VALUE"""),490.0)</f>
        <v>490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tr">
        <f>IFERROR(__xludf.DUMMYFUNCTION("""COMPUTED_VALUE"""),"Послевоенный период: внешняя политика
")</f>
        <v>Послевоенный период: внешняя политика
</v>
      </c>
      <c r="B51" s="1">
        <f>IFERROR(__xludf.DUMMYFUNCTION("""COMPUTED_VALUE"""),85.0)</f>
        <v>85</v>
      </c>
      <c r="C51" s="1" t="str">
        <f>IFERROR(__xludf.DUMMYFUNCTION("""COMPUTED_VALUE"""),"Елизавета Петровна внешняя политика
")</f>
        <v>Елизавета Петровна внешняя политика
</v>
      </c>
      <c r="D51" s="1">
        <f>IFERROR(__xludf.DUMMYFUNCTION("""COMPUTED_VALUE"""),189.0)</f>
        <v>189</v>
      </c>
      <c r="E51" s="1" t="str">
        <f>IFERROR(__xludf.DUMMYFUNCTION("""COMPUTED_VALUE"""),"Князья Владимиро-Суздальского княжества
")</f>
        <v>Князья Владимиро-Суздальского княжества
</v>
      </c>
      <c r="F51" s="1">
        <f>IFERROR(__xludf.DUMMYFUNCTION("""COMPUTED_VALUE"""),283.0)</f>
        <v>283</v>
      </c>
      <c r="G51" s="1" t="str">
        <f>IFERROR(__xludf.DUMMYFUNCTION("""COMPUTED_VALUE"""),"Отмена крепостного права
")</f>
        <v>Отмена крепостного права
</v>
      </c>
      <c r="H51" s="1">
        <f>IFERROR(__xludf.DUMMYFUNCTION("""COMPUTED_VALUE"""),382.0)</f>
        <v>382</v>
      </c>
      <c r="I51" s="1" t="str">
        <f>IFERROR(__xludf.DUMMYFUNCTION("""COMPUTED_VALUE"""),"Архитектура первой половины 19 века")</f>
        <v>Архитектура первой половины 19 века</v>
      </c>
      <c r="J51" s="1">
        <f>IFERROR(__xludf.DUMMYFUNCTION("""COMPUTED_VALUE"""),491.0)</f>
        <v>491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tr">
        <f>IFERROR(__xludf.DUMMYFUNCTION("""COMPUTED_VALUE"""),"Литература первой половины 20 века
")</f>
        <v>Литература первой половины 20 века
</v>
      </c>
      <c r="B52" s="1">
        <f>IFERROR(__xludf.DUMMYFUNCTION("""COMPUTED_VALUE"""),86.0)</f>
        <v>86</v>
      </c>
      <c r="C52" s="1" t="str">
        <f>IFERROR(__xludf.DUMMYFUNCTION("""COMPUTED_VALUE"""),"Семилетняя война
")</f>
        <v>Семилетняя война
</v>
      </c>
      <c r="D52" s="1">
        <f>IFERROR(__xludf.DUMMYFUNCTION("""COMPUTED_VALUE"""),190.0)</f>
        <v>190</v>
      </c>
      <c r="E52" s="1" t="str">
        <f>IFERROR(__xludf.DUMMYFUNCTION("""COMPUTED_VALUE"""),"Новгородское княжество и Псков
")</f>
        <v>Новгородское княжество и Псков
</v>
      </c>
      <c r="F52" s="1">
        <f>IFERROR(__xludf.DUMMYFUNCTION("""COMPUTED_VALUE"""),284.0)</f>
        <v>284</v>
      </c>
      <c r="G52" s="1" t="str">
        <f>IFERROR(__xludf.DUMMYFUNCTION("""COMPUTED_VALUE"""),"Великие реформы Александра II (кроме отмены КП)")</f>
        <v>Великие реформы Александра II (кроме отмены КП)</v>
      </c>
      <c r="H52" s="1">
        <f>IFERROR(__xludf.DUMMYFUNCTION("""COMPUTED_VALUE"""),383.0)</f>
        <v>383</v>
      </c>
      <c r="I52" s="1" t="str">
        <f>IFERROR(__xludf.DUMMYFUNCTION("""COMPUTED_VALUE"""),"Живопись первой половины 19 века")</f>
        <v>Живопись первой половины 19 века</v>
      </c>
      <c r="J52" s="1">
        <f>IFERROR(__xludf.DUMMYFUNCTION("""COMPUTED_VALUE"""),492.0)</f>
        <v>492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tr">
        <f>IFERROR(__xludf.DUMMYFUNCTION("""COMPUTED_VALUE"""),"Архитектура первой половины 20 века
")</f>
        <v>Архитектура первой половины 20 века
</v>
      </c>
      <c r="B53" s="1">
        <f>IFERROR(__xludf.DUMMYFUNCTION("""COMPUTED_VALUE"""),87.0)</f>
        <v>87</v>
      </c>
      <c r="C53" s="1" t="str">
        <f>IFERROR(__xludf.DUMMYFUNCTION("""COMPUTED_VALUE"""),"Пётр III
")</f>
        <v>Пётр III
</v>
      </c>
      <c r="D53" s="1">
        <f>IFERROR(__xludf.DUMMYFUNCTION("""COMPUTED_VALUE"""),191.0)</f>
        <v>191</v>
      </c>
      <c r="E53" s="1" t="str">
        <f>IFERROR(__xludf.DUMMYFUNCTION("""COMPUTED_VALUE"""),"Киевское княжество
")</f>
        <v>Киевское княжество
</v>
      </c>
      <c r="F53" s="1">
        <f>IFERROR(__xludf.DUMMYFUNCTION("""COMPUTED_VALUE"""),285.0)</f>
        <v>285</v>
      </c>
      <c r="G53" s="1" t="str">
        <f>IFERROR(__xludf.DUMMYFUNCTION("""COMPUTED_VALUE"""),"Александр II внутренняя политика в последние годы
")</f>
        <v>Александр II внутренняя политика в последние годы
</v>
      </c>
      <c r="H53" s="1">
        <f>IFERROR(__xludf.DUMMYFUNCTION("""COMPUTED_VALUE"""),384.0)</f>
        <v>384</v>
      </c>
      <c r="I53" s="1" t="str">
        <f>IFERROR(__xludf.DUMMYFUNCTION("""COMPUTED_VALUE"""),"Образование и наука первой половины 19 века")</f>
        <v>Образование и наука первой половины 19 века</v>
      </c>
      <c r="J53" s="1">
        <f>IFERROR(__xludf.DUMMYFUNCTION("""COMPUTED_VALUE"""),493.0)</f>
        <v>493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tr">
        <f>IFERROR(__xludf.DUMMYFUNCTION("""COMPUTED_VALUE"""),"Живопись первой половины 20 века
")</f>
        <v>Живопись первой половины 20 века
</v>
      </c>
      <c r="B54" s="1">
        <f>IFERROR(__xludf.DUMMYFUNCTION("""COMPUTED_VALUE"""),88.0)</f>
        <v>88</v>
      </c>
      <c r="C54" s="1" t="str">
        <f>IFERROR(__xludf.DUMMYFUNCTION("""COMPUTED_VALUE"""),"Екатерина II внутренняя политика")</f>
        <v>Екатерина II внутренняя политика</v>
      </c>
      <c r="D54" s="1">
        <f>IFERROR(__xludf.DUMMYFUNCTION("""COMPUTED_VALUE"""),192.0)</f>
        <v>192</v>
      </c>
      <c r="E54" s="1" t="str">
        <f>IFERROR(__xludf.DUMMYFUNCTION("""COMPUTED_VALUE"""),"Галицко-Волынское княжество
")</f>
        <v>Галицко-Волынское княжество
</v>
      </c>
      <c r="F54" s="1">
        <f>IFERROR(__xludf.DUMMYFUNCTION("""COMPUTED_VALUE"""),286.0)</f>
        <v>286</v>
      </c>
      <c r="G54" s="1" t="str">
        <f>IFERROR(__xludf.DUMMYFUNCTION("""COMPUTED_VALUE"""),"Общественное мысль при Александре II
")</f>
        <v>Общественное мысль при Александре II
</v>
      </c>
      <c r="H54" s="1">
        <f>IFERROR(__xludf.DUMMYFUNCTION("""COMPUTED_VALUE"""),385.0)</f>
        <v>385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tr">
        <f>IFERROR(__xludf.DUMMYFUNCTION("""COMPUTED_VALUE"""),"Образование и наука первой половины 20 века
")</f>
        <v>Образование и наука первой половины 20 века
</v>
      </c>
      <c r="B55" s="1">
        <f>IFERROR(__xludf.DUMMYFUNCTION("""COMPUTED_VALUE"""),89.0)</f>
        <v>89</v>
      </c>
      <c r="C55" s="1" t="str">
        <f>IFERROR(__xludf.DUMMYFUNCTION("""COMPUTED_VALUE"""),"Пугачевщина")</f>
        <v>Пугачевщина</v>
      </c>
      <c r="D55" s="1">
        <f>IFERROR(__xludf.DUMMYFUNCTION("""COMPUTED_VALUE"""),193.0)</f>
        <v>193</v>
      </c>
      <c r="E55" s="1" t="str">
        <f>IFERROR(__xludf.DUMMYFUNCTION("""COMPUTED_VALUE"""),"Монголы (древность – 1237 гг.)
")</f>
        <v>Монголы (древность – 1237 гг.)
</v>
      </c>
      <c r="F55" s="1">
        <f>IFERROR(__xludf.DUMMYFUNCTION("""COMPUTED_VALUE"""),287.0)</f>
        <v>287</v>
      </c>
      <c r="G55" s="1" t="str">
        <f>IFERROR(__xludf.DUMMYFUNCTION("""COMPUTED_VALUE"""),"Александр II внешняя политика
")</f>
        <v>Александр II внешняя политика
</v>
      </c>
      <c r="H55" s="1">
        <f>IFERROR(__xludf.DUMMYFUNCTION("""COMPUTED_VALUE"""),386.0)</f>
        <v>386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tr">
        <f>IFERROR(__xludf.DUMMYFUNCTION("""COMPUTED_VALUE"""),"Кинематограф первой половины 20 века
")</f>
        <v>Кинематограф первой половины 20 века
</v>
      </c>
      <c r="B56" s="1">
        <f>IFERROR(__xludf.DUMMYFUNCTION("""COMPUTED_VALUE"""),90.0)</f>
        <v>90</v>
      </c>
      <c r="C56" s="1" t="str">
        <f>IFERROR(__xludf.DUMMYFUNCTION("""COMPUTED_VALUE"""),"Екатерина II внешняя политика
")</f>
        <v>Екатерина II внешняя политика
</v>
      </c>
      <c r="D56" s="1">
        <f>IFERROR(__xludf.DUMMYFUNCTION("""COMPUTED_VALUE"""),194.0)</f>
        <v>194</v>
      </c>
      <c r="E56" s="1" t="str">
        <f>IFERROR(__xludf.DUMMYFUNCTION("""COMPUTED_VALUE"""),"Нашествие Монголов. Золотая орда (1237-1480 гг.)
")</f>
        <v>Нашествие Монголов. Золотая орда (1237-1480 гг.)
</v>
      </c>
      <c r="F56" s="1">
        <f>IFERROR(__xludf.DUMMYFUNCTION("""COMPUTED_VALUE"""),288.0)</f>
        <v>288</v>
      </c>
      <c r="G56" s="1" t="str">
        <f>IFERROR(__xludf.DUMMYFUNCTION("""COMPUTED_VALUE"""),"Александр III внутренняя политика
")</f>
        <v>Александр III внутренняя политика
</v>
      </c>
      <c r="H56" s="1">
        <f>IFERROR(__xludf.DUMMYFUNCTION("""COMPUTED_VALUE"""),387.0)</f>
        <v>387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tr">
        <f>IFERROR(__xludf.DUMMYFUNCTION("""COMPUTED_VALUE"""),"Ельцин внутренняя политика
")</f>
        <v>Ельцин внутренняя политика
</v>
      </c>
      <c r="B57" s="1">
        <f>IFERROR(__xludf.DUMMYFUNCTION("""COMPUTED_VALUE"""),91.0)</f>
        <v>91</v>
      </c>
      <c r="C57" s="1" t="str">
        <f>IFERROR(__xludf.DUMMYFUNCTION("""COMPUTED_VALUE"""),"Русско-турецкие войны при Екатерине II
")</f>
        <v>Русско-турецкие войны при Екатерине II
</v>
      </c>
      <c r="D57" s="1">
        <f>IFERROR(__xludf.DUMMYFUNCTION("""COMPUTED_VALUE"""),195.0)</f>
        <v>195</v>
      </c>
      <c r="E57" s="1" t="str">
        <f>IFERROR(__xludf.DUMMYFUNCTION("""COMPUTED_VALUE"""),"Александр Невский
")</f>
        <v>Александр Невский
</v>
      </c>
      <c r="F57" s="1">
        <f>IFERROR(__xludf.DUMMYFUNCTION("""COMPUTED_VALUE"""),289.0)</f>
        <v>289</v>
      </c>
      <c r="G57" s="1" t="str">
        <f>IFERROR(__xludf.DUMMYFUNCTION("""COMPUTED_VALUE"""),"Александр III внешняя политика
")</f>
        <v>Александр III внешняя политика
</v>
      </c>
      <c r="H57" s="1">
        <f>IFERROR(__xludf.DUMMYFUNCTION("""COMPUTED_VALUE"""),388.0)</f>
        <v>388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tr">
        <f>IFERROR(__xludf.DUMMYFUNCTION("""COMPUTED_VALUE"""),"Ельцин внешняя политика
")</f>
        <v>Ельцин внешняя политика
</v>
      </c>
      <c r="B58" s="1">
        <f>IFERROR(__xludf.DUMMYFUNCTION("""COMPUTED_VALUE"""),92.0)</f>
        <v>92</v>
      </c>
      <c r="C58" s="1" t="str">
        <f>IFERROR(__xludf.DUMMYFUNCTION("""COMPUTED_VALUE"""),"Павел I внутренняя политика
")</f>
        <v>Павел I внутренняя политика
</v>
      </c>
      <c r="D58" s="1">
        <f>IFERROR(__xludf.DUMMYFUNCTION("""COMPUTED_VALUE"""),196.0)</f>
        <v>196</v>
      </c>
      <c r="E58" s="1" t="str">
        <f>IFERROR(__xludf.DUMMYFUNCTION("""COMPUTED_VALUE"""),"Возвышение Москвы (причины/последствия, плюсы и минусы, характерные черты)
")</f>
        <v>Возвышение Москвы (причины/последствия, плюсы и минусы, характерные черты)
</v>
      </c>
      <c r="F58" s="1">
        <f>IFERROR(__xludf.DUMMYFUNCTION("""COMPUTED_VALUE"""),290.0)</f>
        <v>290</v>
      </c>
      <c r="G58" s="1" t="str">
        <f>IFERROR(__xludf.DUMMYFUNCTION("""COMPUTED_VALUE"""),"Общественное мысль при Александре III
")</f>
        <v>Общественное мысль при Александре III
</v>
      </c>
      <c r="H58" s="1">
        <f>IFERROR(__xludf.DUMMYFUNCTION("""COMPUTED_VALUE"""),389.0)</f>
        <v>389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tr">
        <f>IFERROR(__xludf.DUMMYFUNCTION("""COMPUTED_VALUE"""),"Путин внутренняя политика 2000-2008 гг. и 2012-2014 гг.
")</f>
        <v>Путин внутренняя политика 2000-2008 гг. и 2012-2014 гг.
</v>
      </c>
      <c r="B59" s="1">
        <f>IFERROR(__xludf.DUMMYFUNCTION("""COMPUTED_VALUE"""),93.0)</f>
        <v>93</v>
      </c>
      <c r="C59" s="1" t="str">
        <f>IFERROR(__xludf.DUMMYFUNCTION("""COMPUTED_VALUE"""),"Павел I внешняя политика
")</f>
        <v>Павел I внешняя политика
</v>
      </c>
      <c r="D59" s="1">
        <f>IFERROR(__xludf.DUMMYFUNCTION("""COMPUTED_VALUE"""),197.0)</f>
        <v>197</v>
      </c>
      <c r="E59" s="1" t="str">
        <f>IFERROR(__xludf.DUMMYFUNCTION("""COMPUTED_VALUE"""),"Даниил Московский. Юрий Данилович
")</f>
        <v>Даниил Московский. Юрий Данилович
</v>
      </c>
      <c r="F59" s="1">
        <f>IFERROR(__xludf.DUMMYFUNCTION("""COMPUTED_VALUE"""),291.0)</f>
        <v>291</v>
      </c>
      <c r="G59" s="1" t="str">
        <f>IFERROR(__xludf.DUMMYFUNCTION("""COMPUTED_VALUE"""),"Николай II до 1905 г. внутренняя политика
")</f>
        <v>Николай II до 1905 г. внутренняя политика
</v>
      </c>
      <c r="H59" s="1">
        <f>IFERROR(__xludf.DUMMYFUNCTION("""COMPUTED_VALUE"""),390.0)</f>
        <v>390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tr">
        <f>IFERROR(__xludf.DUMMYFUNCTION("""COMPUTED_VALUE"""),"Эпоха тандема 2008-2012 гг.
")</f>
        <v>Эпоха тандема 2008-2012 гг.
</v>
      </c>
      <c r="B60" s="1">
        <f>IFERROR(__xludf.DUMMYFUNCTION("""COMPUTED_VALUE"""),94.0)</f>
        <v>94</v>
      </c>
      <c r="C60" s="1" t="str">
        <f>IFERROR(__xludf.DUMMYFUNCTION("""COMPUTED_VALUE"""),"Литература первой половины 18 века
")</f>
        <v>Литература первой половины 18 века
</v>
      </c>
      <c r="D60" s="1">
        <f>IFERROR(__xludf.DUMMYFUNCTION("""COMPUTED_VALUE"""),198.0)</f>
        <v>198</v>
      </c>
      <c r="E60" s="1" t="str">
        <f>IFERROR(__xludf.DUMMYFUNCTION("""COMPUTED_VALUE"""),"Иван Калита. Симеон Гордый и Иван Красный
")</f>
        <v>Иван Калита. Симеон Гордый и Иван Красный
</v>
      </c>
      <c r="F60" s="1">
        <f>IFERROR(__xludf.DUMMYFUNCTION("""COMPUTED_VALUE"""),292.0)</f>
        <v>292</v>
      </c>
      <c r="G60" s="1" t="str">
        <f>IFERROR(__xludf.DUMMYFUNCTION("""COMPUTED_VALUE"""),"Николай II до 1905 г. внешняя политика
")</f>
        <v>Николай II до 1905 г. внешняя политика
</v>
      </c>
      <c r="H60" s="1">
        <f>IFERROR(__xludf.DUMMYFUNCTION("""COMPUTED_VALUE"""),391.0)</f>
        <v>391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tr">
        <f>IFERROR(__xludf.DUMMYFUNCTION("""COMPUTED_VALUE"""),"Путин внешняя политика
")</f>
        <v>Путин внешняя политика
</v>
      </c>
      <c r="B61" s="1">
        <f>IFERROR(__xludf.DUMMYFUNCTION("""COMPUTED_VALUE"""),95.0)</f>
        <v>95</v>
      </c>
      <c r="C61" s="1" t="str">
        <f>IFERROR(__xludf.DUMMYFUNCTION("""COMPUTED_VALUE"""),"Литература второй половины 18 века
")</f>
        <v>Литература второй половины 18 века
</v>
      </c>
      <c r="D61" s="1">
        <f>IFERROR(__xludf.DUMMYFUNCTION("""COMPUTED_VALUE"""),199.0)</f>
        <v>199</v>
      </c>
      <c r="E61" s="1" t="str">
        <f>IFERROR(__xludf.DUMMYFUNCTION("""COMPUTED_VALUE"""),"Дмитрий Донской
")</f>
        <v>Дмитрий Донской
</v>
      </c>
      <c r="F61" s="1">
        <f>IFERROR(__xludf.DUMMYFUNCTION("""COMPUTED_VALUE"""),293.0)</f>
        <v>293</v>
      </c>
      <c r="G61" s="1" t="str">
        <f>IFERROR(__xludf.DUMMYFUNCTION("""COMPUTED_VALUE"""),"Первая Русская революция
")</f>
        <v>Первая Русская революция
</v>
      </c>
      <c r="H61" s="1">
        <f>IFERROR(__xludf.DUMMYFUNCTION("""COMPUTED_VALUE"""),392.0)</f>
        <v>392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tr">
        <f>IFERROR(__xludf.DUMMYFUNCTION("""COMPUTED_VALUE"""),"Литература второй половины 20 века - начала 21 века")</f>
        <v>Литература второй половины 20 века - начала 21 века</v>
      </c>
      <c r="B62" s="1">
        <f>IFERROR(__xludf.DUMMYFUNCTION("""COMPUTED_VALUE"""),96.0)</f>
        <v>96</v>
      </c>
      <c r="C62" s="1" t="str">
        <f>IFERROR(__xludf.DUMMYFUNCTION("""COMPUTED_VALUE"""),"Раздробленность 1132-1263 гг. (причины/последствия, плюсы и минусы, характерные черты)")</f>
        <v>Раздробленность 1132-1263 гг. (причины/последствия, плюсы и минусы, характерные черты)</v>
      </c>
      <c r="D62" s="1">
        <f>IFERROR(__xludf.DUMMYFUNCTION("""COMPUTED_VALUE"""),1201.0)</f>
        <v>1201</v>
      </c>
      <c r="E62" s="1" t="str">
        <f>IFERROR(__xludf.DUMMYFUNCTION("""COMPUTED_VALUE"""),"Василий I
")</f>
        <v>Василий I
</v>
      </c>
      <c r="F62" s="1">
        <f>IFERROR(__xludf.DUMMYFUNCTION("""COMPUTED_VALUE"""),294.0)</f>
        <v>294</v>
      </c>
      <c r="G62" s="1" t="str">
        <f>IFERROR(__xludf.DUMMYFUNCTION("""COMPUTED_VALUE"""),"Николай II 1907-1917 гг. внутренняя политика
")</f>
        <v>Николай II 1907-1917 гг. внутренняя политика
</v>
      </c>
      <c r="H62" s="1">
        <f>IFERROR(__xludf.DUMMYFUNCTION("""COMPUTED_VALUE"""),393.0)</f>
        <v>393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tr">
        <f>IFERROR(__xludf.DUMMYFUNCTION("""COMPUTED_VALUE"""),"Архитектура второй половины 20 века - начала 21 века")</f>
        <v>Архитектура второй половины 20 века - начала 21 века</v>
      </c>
      <c r="B63" s="1">
        <f>IFERROR(__xludf.DUMMYFUNCTION("""COMPUTED_VALUE"""),97.0)</f>
        <v>97</v>
      </c>
      <c r="C63" s="1" t="str">
        <f>IFERROR(__xludf.DUMMYFUNCTION("""COMPUTED_VALUE"""),"Князья Владимиро-Суздальского княжества")</f>
        <v>Князья Владимиро-Суздальского княжества</v>
      </c>
      <c r="D63" s="1">
        <f>IFERROR(__xludf.DUMMYFUNCTION("""COMPUTED_VALUE"""),1202.0)</f>
        <v>1202</v>
      </c>
      <c r="E63" s="1" t="str">
        <f>IFERROR(__xludf.DUMMYFUNCTION("""COMPUTED_VALUE"""),"Василий II
")</f>
        <v>Василий II
</v>
      </c>
      <c r="F63" s="1">
        <f>IFERROR(__xludf.DUMMYFUNCTION("""COMPUTED_VALUE"""),295.0)</f>
        <v>295</v>
      </c>
      <c r="G63" s="1" t="str">
        <f>IFERROR(__xludf.DUMMYFUNCTION("""COMPUTED_VALUE"""),"Николай II до 1907-1914 гг. внешняя политика
")</f>
        <v>Николай II до 1907-1914 гг. внешняя политика
</v>
      </c>
      <c r="H63" s="1">
        <f>IFERROR(__xludf.DUMMYFUNCTION("""COMPUTED_VALUE"""),394.0)</f>
        <v>394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tr">
        <f>IFERROR(__xludf.DUMMYFUNCTION("""COMPUTED_VALUE"""),"Живопись второй половины 20 века - начала 21 века
")</f>
        <v>Живопись второй половины 20 века - начала 21 века
</v>
      </c>
      <c r="B64" s="1">
        <f>IFERROR(__xludf.DUMMYFUNCTION("""COMPUTED_VALUE"""),98.0)</f>
        <v>98</v>
      </c>
      <c r="C64" s="1" t="str">
        <f>IFERROR(__xludf.DUMMYFUNCTION("""COMPUTED_VALUE"""),"Новгородское княжество и Псков")</f>
        <v>Новгородское княжество и Псков</v>
      </c>
      <c r="D64" s="1">
        <f>IFERROR(__xludf.DUMMYFUNCTION("""COMPUTED_VALUE"""),1203.0)</f>
        <v>1203</v>
      </c>
      <c r="E64" s="1" t="str">
        <f>IFERROR(__xludf.DUMMYFUNCTION("""COMPUTED_VALUE"""),"Иван III внутренняя политика
")</f>
        <v>Иван III внутренняя политика
</v>
      </c>
      <c r="F64" s="1">
        <f>IFERROR(__xludf.DUMMYFUNCTION("""COMPUTED_VALUE"""),296.0)</f>
        <v>296</v>
      </c>
      <c r="G64" s="1" t="str">
        <f>IFERROR(__xludf.DUMMYFUNCTION("""COMPUTED_VALUE"""),"Первая мировая война
")</f>
        <v>Первая мировая война
</v>
      </c>
      <c r="H64" s="1">
        <f>IFERROR(__xludf.DUMMYFUNCTION("""COMPUTED_VALUE"""),395.0)</f>
        <v>395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tr">
        <f>IFERROR(__xludf.DUMMYFUNCTION("""COMPUTED_VALUE"""),"Образование и наука второй половины 20 века - начала 21 века
")</f>
        <v>Образование и наука второй половины 20 века - начала 21 века
</v>
      </c>
      <c r="B65" s="1">
        <f>IFERROR(__xludf.DUMMYFUNCTION("""COMPUTED_VALUE"""),99.0)</f>
        <v>99</v>
      </c>
      <c r="C65" s="1" t="str">
        <f>IFERROR(__xludf.DUMMYFUNCTION("""COMPUTED_VALUE"""),"Киевское княжество")</f>
        <v>Киевское княжество</v>
      </c>
      <c r="D65" s="1">
        <f>IFERROR(__xludf.DUMMYFUNCTION("""COMPUTED_VALUE"""),1204.0)</f>
        <v>1204</v>
      </c>
      <c r="E65" s="1" t="str">
        <f>IFERROR(__xludf.DUMMYFUNCTION("""COMPUTED_VALUE"""),"Иван III внешняя политика
")</f>
        <v>Иван III внешняя политика
</v>
      </c>
      <c r="F65" s="1">
        <f>IFERROR(__xludf.DUMMYFUNCTION("""COMPUTED_VALUE"""),297.0)</f>
        <v>297</v>
      </c>
      <c r="G65" s="1" t="str">
        <f>IFERROR(__xludf.DUMMYFUNCTION("""COMPUTED_VALUE"""),"Общественное мысль, партии при Николае II
")</f>
        <v>Общественное мысль, партии при Николае II
</v>
      </c>
      <c r="H65" s="1">
        <f>IFERROR(__xludf.DUMMYFUNCTION("""COMPUTED_VALUE"""),396.0)</f>
        <v>396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tr">
        <f>IFERROR(__xludf.DUMMYFUNCTION("""COMPUTED_VALUE"""),"Соседи славян")</f>
        <v>Соседи славян</v>
      </c>
      <c r="B66" s="1">
        <f>IFERROR(__xludf.DUMMYFUNCTION("""COMPUTED_VALUE"""),1101.0)</f>
        <v>1101</v>
      </c>
      <c r="C66" s="1" t="str">
        <f>IFERROR(__xludf.DUMMYFUNCTION("""COMPUTED_VALUE"""),"Галицко-Волынское княжество")</f>
        <v>Галицко-Волынское княжество</v>
      </c>
      <c r="D66" s="1">
        <f>IFERROR(__xludf.DUMMYFUNCTION("""COMPUTED_VALUE"""),1205.0)</f>
        <v>1205</v>
      </c>
      <c r="E66" s="1" t="str">
        <f>IFERROR(__xludf.DUMMYFUNCTION("""COMPUTED_VALUE"""),"Василий III
")</f>
        <v>Василий III
</v>
      </c>
      <c r="F66" s="1">
        <f>IFERROR(__xludf.DUMMYFUNCTION("""COMPUTED_VALUE"""),298.0)</f>
        <v>298</v>
      </c>
      <c r="G66" s="1" t="str">
        <f>IFERROR(__xludf.DUMMYFUNCTION("""COMPUTED_VALUE"""),"Литература второй половины 19 века")</f>
        <v>Литература второй половины 19 века</v>
      </c>
      <c r="H66" s="1">
        <f>IFERROR(__xludf.DUMMYFUNCTION("""COMPUTED_VALUE"""),397.0)</f>
        <v>397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tr">
        <f>IFERROR(__xludf.DUMMYFUNCTION("""COMPUTED_VALUE"""),"Славяне")</f>
        <v>Славяне</v>
      </c>
      <c r="B67" s="1">
        <f>IFERROR(__xludf.DUMMYFUNCTION("""COMPUTED_VALUE"""),1102.0)</f>
        <v>1102</v>
      </c>
      <c r="C67" s="1" t="str">
        <f>IFERROR(__xludf.DUMMYFUNCTION("""COMPUTED_VALUE"""),"Монголы (древность – 1237 гг.)")</f>
        <v>Монголы (древность – 1237 гг.)</v>
      </c>
      <c r="D67" s="1">
        <f>IFERROR(__xludf.DUMMYFUNCTION("""COMPUTED_VALUE"""),1206.0)</f>
        <v>1206</v>
      </c>
      <c r="E67" s="1" t="str">
        <f>IFERROR(__xludf.DUMMYFUNCTION("""COMPUTED_VALUE"""),"Литература раздробленности 1132-1263 гг.
")</f>
        <v>Литература раздробленности 1132-1263 гг.
</v>
      </c>
      <c r="F67" s="1">
        <f>IFERROR(__xludf.DUMMYFUNCTION("""COMPUTED_VALUE"""),299.0)</f>
        <v>299</v>
      </c>
      <c r="G67" s="1" t="str">
        <f>IFERROR(__xludf.DUMMYFUNCTION("""COMPUTED_VALUE"""),"Литература начала 20 века (1894-1917 гг.)")</f>
        <v>Литература начала 20 века (1894-1917 гг.)</v>
      </c>
      <c r="H67" s="1">
        <f>IFERROR(__xludf.DUMMYFUNCTION("""COMPUTED_VALUE"""),398.0)</f>
        <v>398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tr">
        <f>IFERROR(__xludf.DUMMYFUNCTION("""COMPUTED_VALUE"""),"Экономика до появления государства Торговые пути")</f>
        <v>Экономика до появления государства Торговые пути</v>
      </c>
      <c r="B68" s="1">
        <f>IFERROR(__xludf.DUMMYFUNCTION("""COMPUTED_VALUE"""),1103.0)</f>
        <v>1103</v>
      </c>
      <c r="C68" s="1" t="str">
        <f>IFERROR(__xludf.DUMMYFUNCTION("""COMPUTED_VALUE"""),"Нашествие Монголов. Золотая орда (1237-1480 гг.)")</f>
        <v>Нашествие Монголов. Золотая орда (1237-1480 гг.)</v>
      </c>
      <c r="D68" s="1">
        <f>IFERROR(__xludf.DUMMYFUNCTION("""COMPUTED_VALUE"""),1207.0)</f>
        <v>1207</v>
      </c>
      <c r="E68" s="1" t="str">
        <f>IFERROR(__xludf.DUMMYFUNCTION("""COMPUTED_VALUE"""),"Елена Глинская и Боярское правление")</f>
        <v>Елена Глинская и Боярское правление</v>
      </c>
      <c r="F68" s="1">
        <f>IFERROR(__xludf.DUMMYFUNCTION("""COMPUTED_VALUE"""),1301.0)</f>
        <v>1301</v>
      </c>
      <c r="G68" s="1" t="str">
        <f>IFERROR(__xludf.DUMMYFUNCTION("""COMPUTED_VALUE"""),"Архитектура второй половины 19 века – начала 20 века
")</f>
        <v>Архитектура второй половины 19 века – начала 20 века
</v>
      </c>
      <c r="H68" s="1">
        <f>IFERROR(__xludf.DUMMYFUNCTION("""COMPUTED_VALUE"""),399.0)</f>
        <v>399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tr">
        <f>IFERROR(__xludf.DUMMYFUNCTION("""COMPUTED_VALUE"""),"Рюрик. Норманнская, антинорманнская теория")</f>
        <v>Рюрик. Норманнская, антинорманнская теория</v>
      </c>
      <c r="B69" s="1">
        <f>IFERROR(__xludf.DUMMYFUNCTION("""COMPUTED_VALUE"""),1104.0)</f>
        <v>1104</v>
      </c>
      <c r="C69" s="1" t="str">
        <f>IFERROR(__xludf.DUMMYFUNCTION("""COMPUTED_VALUE"""),"Александр Невский")</f>
        <v>Александр Невский</v>
      </c>
      <c r="D69" s="1">
        <f>IFERROR(__xludf.DUMMYFUNCTION("""COMPUTED_VALUE"""),1208.0)</f>
        <v>1208</v>
      </c>
      <c r="E69" s="1" t="str">
        <f>IFERROR(__xludf.DUMMYFUNCTION("""COMPUTED_VALUE"""),"Иван Грозный внутренняя политика 1547-1565 гг.")</f>
        <v>Иван Грозный внутренняя политика 1547-1565 гг.</v>
      </c>
      <c r="F69" s="1">
        <f>IFERROR(__xludf.DUMMYFUNCTION("""COMPUTED_VALUE"""),1302.0)</f>
        <v>1302</v>
      </c>
      <c r="G69" s="1" t="str">
        <f>IFERROR(__xludf.DUMMYFUNCTION("""COMPUTED_VALUE"""),"Михаил Федорович внутренняя политика")</f>
        <v>Михаил Федорович внутренняя политика</v>
      </c>
      <c r="H69" s="1">
        <f>IFERROR(__xludf.DUMMYFUNCTION("""COMPUTED_VALUE"""),1401.0)</f>
        <v>1401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tr">
        <f>IFERROR(__xludf.DUMMYFUNCTION("""COMPUTED_VALUE"""),"Ольга — Святослав")</f>
        <v>Ольга — Святослав</v>
      </c>
      <c r="B70" s="1">
        <f>IFERROR(__xludf.DUMMYFUNCTION("""COMPUTED_VALUE"""),1105.0)</f>
        <v>1105</v>
      </c>
      <c r="C70" s="1" t="str">
        <f>IFERROR(__xludf.DUMMYFUNCTION("""COMPUTED_VALUE"""),"Возвышение Москвы (причины/последствия, плюсы и минусы, характерные черты)")</f>
        <v>Возвышение Москвы (причины/последствия, плюсы и минусы, характерные черты)</v>
      </c>
      <c r="D70" s="1">
        <f>IFERROR(__xludf.DUMMYFUNCTION("""COMPUTED_VALUE"""),1209.0)</f>
        <v>1209</v>
      </c>
      <c r="E70" s="1" t="str">
        <f>IFERROR(__xludf.DUMMYFUNCTION("""COMPUTED_VALUE"""),"Опричнина и последние годы")</f>
        <v>Опричнина и последние годы</v>
      </c>
      <c r="F70" s="1">
        <f>IFERROR(__xludf.DUMMYFUNCTION("""COMPUTED_VALUE"""),1303.0)</f>
        <v>1303</v>
      </c>
      <c r="G70" s="1" t="str">
        <f>IFERROR(__xludf.DUMMYFUNCTION("""COMPUTED_VALUE"""),"Михаил Федорович внешняя политика")</f>
        <v>Михаил Федорович внешняя политика</v>
      </c>
      <c r="H70" s="1">
        <f>IFERROR(__xludf.DUMMYFUNCTION("""COMPUTED_VALUE"""),1402.0)</f>
        <v>1402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tr">
        <f>IFERROR(__xludf.DUMMYFUNCTION("""COMPUTED_VALUE"""),"Владимир Святой")</f>
        <v>Владимир Святой</v>
      </c>
      <c r="B71" s="1">
        <f>IFERROR(__xludf.DUMMYFUNCTION("""COMPUTED_VALUE"""),1106.0)</f>
        <v>1106</v>
      </c>
      <c r="C71" s="1" t="str">
        <f>IFERROR(__xludf.DUMMYFUNCTION("""COMPUTED_VALUE"""),"Даниил Московский. Юрий Данилович")</f>
        <v>Даниил Московский. Юрий Данилович</v>
      </c>
      <c r="D71" s="1">
        <f>IFERROR(__xludf.DUMMYFUNCTION("""COMPUTED_VALUE"""),1210.0)</f>
        <v>1210</v>
      </c>
      <c r="E71" s="1" t="str">
        <f>IFERROR(__xludf.DUMMYFUNCTION("""COMPUTED_VALUE"""),"Иван Грозный внешняя политика")</f>
        <v>Иван Грозный внешняя политика</v>
      </c>
      <c r="F71" s="1">
        <f>IFERROR(__xludf.DUMMYFUNCTION("""COMPUTED_VALUE"""),1304.0)</f>
        <v>1304</v>
      </c>
      <c r="G71" s="1" t="str">
        <f>IFERROR(__xludf.DUMMYFUNCTION("""COMPUTED_VALUE"""),"Алексей Михайлович внутренняя политика")</f>
        <v>Алексей Михайлович внутренняя политика</v>
      </c>
      <c r="H71" s="1">
        <f>IFERROR(__xludf.DUMMYFUNCTION("""COMPUTED_VALUE"""),1403.0)</f>
        <v>1403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tr">
        <f>IFERROR(__xludf.DUMMYFUNCTION("""COMPUTED_VALUE"""),"Олег Вещий — Игорь Рюрикович")</f>
        <v>Олег Вещий — Игорь Рюрикович</v>
      </c>
      <c r="B72" s="1">
        <f>IFERROR(__xludf.DUMMYFUNCTION("""COMPUTED_VALUE"""),1107.0)</f>
        <v>1107</v>
      </c>
      <c r="C72" s="1" t="str">
        <f>IFERROR(__xludf.DUMMYFUNCTION("""COMPUTED_VALUE"""),"Иван Калита. Симеон Гордый и Иван Красный")</f>
        <v>Иван Калита. Симеон Гордый и Иван Красный</v>
      </c>
      <c r="D72" s="1">
        <f>IFERROR(__xludf.DUMMYFUNCTION("""COMPUTED_VALUE"""),1211.0)</f>
        <v>1211</v>
      </c>
      <c r="E72" s="1" t="str">
        <f>IFERROR(__xludf.DUMMYFUNCTION("""COMPUTED_VALUE"""),"Ливонская война")</f>
        <v>Ливонская война</v>
      </c>
      <c r="F72" s="1">
        <f>IFERROR(__xludf.DUMMYFUNCTION("""COMPUTED_VALUE"""),1305.0)</f>
        <v>1305</v>
      </c>
      <c r="G72" s="1" t="str">
        <f>IFERROR(__xludf.DUMMYFUNCTION("""COMPUTED_VALUE"""),"Алексей Михайлович внешняя политика")</f>
        <v>Алексей Михайлович внешняя политика</v>
      </c>
      <c r="H72" s="1">
        <f>IFERROR(__xludf.DUMMYFUNCTION("""COMPUTED_VALUE"""),1404.0)</f>
        <v>1404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tr">
        <f>IFERROR(__xludf.DUMMYFUNCTION("""COMPUTED_VALUE"""),"Ярослав Мудрый")</f>
        <v>Ярослав Мудрый</v>
      </c>
      <c r="B73" s="1">
        <f>IFERROR(__xludf.DUMMYFUNCTION("""COMPUTED_VALUE"""),1108.0)</f>
        <v>1108</v>
      </c>
      <c r="C73" s="1" t="str">
        <f>IFERROR(__xludf.DUMMYFUNCTION("""COMPUTED_VALUE"""),"Дмитрий Донской")</f>
        <v>Дмитрий Донской</v>
      </c>
      <c r="D73" s="1">
        <f>IFERROR(__xludf.DUMMYFUNCTION("""COMPUTED_VALUE"""),1212.0)</f>
        <v>1212</v>
      </c>
      <c r="E73" s="1" t="str">
        <f>IFERROR(__xludf.DUMMYFUNCTION("""COMPUTED_VALUE"""),"Федор Иоаннович")</f>
        <v>Федор Иоаннович</v>
      </c>
      <c r="F73" s="1">
        <f>IFERROR(__xludf.DUMMYFUNCTION("""COMPUTED_VALUE"""),1306.0)</f>
        <v>1306</v>
      </c>
      <c r="G73" s="1" t="str">
        <f>IFERROR(__xludf.DUMMYFUNCTION("""COMPUTED_VALUE"""),"Русско-польская война 1654-1667 гг.")</f>
        <v>Русско-польская война 1654-1667 гг.</v>
      </c>
      <c r="H73" s="1">
        <f>IFERROR(__xludf.DUMMYFUNCTION("""COMPUTED_VALUE"""),1405.0)</f>
        <v>1405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tr">
        <f>IFERROR(__xludf.DUMMYFUNCTION("""COMPUTED_VALUE"""),"Триумвират Ярославичей. Святополк Изяславич")</f>
        <v>Триумвират Ярославичей. Святополк Изяславич</v>
      </c>
      <c r="B74" s="1">
        <f>IFERROR(__xludf.DUMMYFUNCTION("""COMPUTED_VALUE"""),1109.0)</f>
        <v>1109</v>
      </c>
      <c r="C74" s="1" t="str">
        <f>IFERROR(__xludf.DUMMYFUNCTION("""COMPUTED_VALUE"""),"Василий I")</f>
        <v>Василий I</v>
      </c>
      <c r="D74" s="1">
        <f>IFERROR(__xludf.DUMMYFUNCTION("""COMPUTED_VALUE"""),1213.0)</f>
        <v>1213</v>
      </c>
      <c r="E74" s="1" t="str">
        <f>IFERROR(__xludf.DUMMYFUNCTION("""COMPUTED_VALUE"""),"Смута 1598-1613 гг. (причины/последствия/основные черты)")</f>
        <v>Смута 1598-1613 гг. (причины/последствия/основные черты)</v>
      </c>
      <c r="F74" s="1">
        <f>IFERROR(__xludf.DUMMYFUNCTION("""COMPUTED_VALUE"""),1307.0)</f>
        <v>1307</v>
      </c>
      <c r="G74" s="1" t="str">
        <f>IFERROR(__xludf.DUMMYFUNCTION("""COMPUTED_VALUE"""),"Федор Алексеевич")</f>
        <v>Федор Алексеевич</v>
      </c>
      <c r="H74" s="1">
        <f>IFERROR(__xludf.DUMMYFUNCTION("""COMPUTED_VALUE"""),1406.0)</f>
        <v>1406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tr">
        <f>IFERROR(__xludf.DUMMYFUNCTION("""COMPUTED_VALUE"""),"Владимир Мономах — Мстислав Великий")</f>
        <v>Владимир Мономах — Мстислав Великий</v>
      </c>
      <c r="B75" s="1">
        <f>IFERROR(__xludf.DUMMYFUNCTION("""COMPUTED_VALUE"""),1110.0)</f>
        <v>1110</v>
      </c>
      <c r="C75" s="1" t="str">
        <f>IFERROR(__xludf.DUMMYFUNCTION("""COMPUTED_VALUE"""),"Василий II")</f>
        <v>Василий II</v>
      </c>
      <c r="D75" s="1">
        <f>IFERROR(__xludf.DUMMYFUNCTION("""COMPUTED_VALUE"""),1214.0)</f>
        <v>1214</v>
      </c>
      <c r="E75" s="1" t="str">
        <f>IFERROR(__xludf.DUMMYFUNCTION("""COMPUTED_VALUE"""),"Борис Годунов (1598-1605 гг.) и Федор Годунов")</f>
        <v>Борис Годунов (1598-1605 гг.) и Федор Годунов</v>
      </c>
      <c r="F75" s="1">
        <f>IFERROR(__xludf.DUMMYFUNCTION("""COMPUTED_VALUE"""),1308.0)</f>
        <v>1308</v>
      </c>
      <c r="G75" s="1" t="str">
        <f>IFERROR(__xludf.DUMMYFUNCTION("""COMPUTED_VALUE"""),"Экономика 17 века, первопроходцы, торговля")</f>
        <v>Экономика 17 века, первопроходцы, торговля</v>
      </c>
      <c r="H75" s="1">
        <f>IFERROR(__xludf.DUMMYFUNCTION("""COMPUTED_VALUE"""),1407.0)</f>
        <v>1407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tr">
        <f>IFERROR(__xludf.DUMMYFUNCTION("""COMPUTED_VALUE"""),"Экономика Древнерусского государства")</f>
        <v>Экономика Древнерусского государства</v>
      </c>
      <c r="B76" s="1">
        <f>IFERROR(__xludf.DUMMYFUNCTION("""COMPUTED_VALUE"""),1111.0)</f>
        <v>1111</v>
      </c>
      <c r="C76" s="1" t="str">
        <f>IFERROR(__xludf.DUMMYFUNCTION("""COMPUTED_VALUE"""),"Иван III внутренняя политика")</f>
        <v>Иван III внутренняя политика</v>
      </c>
      <c r="D76" s="1">
        <f>IFERROR(__xludf.DUMMYFUNCTION("""COMPUTED_VALUE"""),1215.0)</f>
        <v>1215</v>
      </c>
      <c r="E76" s="1" t="str">
        <f>IFERROR(__xludf.DUMMYFUNCTION("""COMPUTED_VALUE"""),"Лжедмитрий I")</f>
        <v>Лжедмитрий I</v>
      </c>
      <c r="F76" s="1">
        <f>IFERROR(__xludf.DUMMYFUNCTION("""COMPUTED_VALUE"""),1309.0)</f>
        <v>1309</v>
      </c>
      <c r="G76" s="1" t="str">
        <f>IFERROR(__xludf.DUMMYFUNCTION("""COMPUTED_VALUE"""),"Этапы закрепощения, виды крестьян")</f>
        <v>Этапы закрепощения, виды крестьян</v>
      </c>
      <c r="H76" s="1">
        <f>IFERROR(__xludf.DUMMYFUNCTION("""COMPUTED_VALUE"""),1408.0)</f>
        <v>1408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tr">
        <f>IFERROR(__xludf.DUMMYFUNCTION("""COMPUTED_VALUE"""),"Русская правда")</f>
        <v>Русская правда</v>
      </c>
      <c r="B77" s="1">
        <f>IFERROR(__xludf.DUMMYFUNCTION("""COMPUTED_VALUE"""),1112.0)</f>
        <v>1112</v>
      </c>
      <c r="C77" s="1" t="str">
        <f>IFERROR(__xludf.DUMMYFUNCTION("""COMPUTED_VALUE"""),"Иван III внешняя политика")</f>
        <v>Иван III внешняя политика</v>
      </c>
      <c r="D77" s="1">
        <f>IFERROR(__xludf.DUMMYFUNCTION("""COMPUTED_VALUE"""),1216.0)</f>
        <v>1216</v>
      </c>
      <c r="E77" s="1" t="str">
        <f>IFERROR(__xludf.DUMMYFUNCTION("""COMPUTED_VALUE"""),"Василий Шуйский")</f>
        <v>Василий Шуйский</v>
      </c>
      <c r="F77" s="1">
        <f>IFERROR(__xludf.DUMMYFUNCTION("""COMPUTED_VALUE"""),1310.0)</f>
        <v>1310</v>
      </c>
      <c r="G77" s="1" t="str">
        <f>IFERROR(__xludf.DUMMYFUNCTION("""COMPUTED_VALUE"""),"Литература 17 в.")</f>
        <v>Литература 17 в.</v>
      </c>
      <c r="H77" s="1">
        <f>IFERROR(__xludf.DUMMYFUNCTION("""COMPUTED_VALUE"""),1409.0)</f>
        <v>1409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tr">
        <f>IFERROR(__xludf.DUMMYFUNCTION("""COMPUTED_VALUE"""),"Печенеги и половцы Литература Древнерусского государства")</f>
        <v>Печенеги и половцы Литература Древнерусского государства</v>
      </c>
      <c r="B78" s="1">
        <f>IFERROR(__xludf.DUMMYFUNCTION("""COMPUTED_VALUE"""),1113.0)</f>
        <v>1113</v>
      </c>
      <c r="C78" s="1" t="str">
        <f>IFERROR(__xludf.DUMMYFUNCTION("""COMPUTED_VALUE"""),"Василий III")</f>
        <v>Василий III</v>
      </c>
      <c r="D78" s="1">
        <f>IFERROR(__xludf.DUMMYFUNCTION("""COMPUTED_VALUE"""),1217.0)</f>
        <v>1217</v>
      </c>
      <c r="E78" s="1" t="str">
        <f>IFERROR(__xludf.DUMMYFUNCTION("""COMPUTED_VALUE"""),"Лжедмитрий II")</f>
        <v>Лжедмитрий II</v>
      </c>
      <c r="F78" s="1">
        <f>IFERROR(__xludf.DUMMYFUNCTION("""COMPUTED_VALUE"""),1311.0)</f>
        <v>1311</v>
      </c>
      <c r="G78" s="1" t="str">
        <f>IFERROR(__xludf.DUMMYFUNCTION("""COMPUTED_VALUE"""),"Архитектура 17 в.")</f>
        <v>Архитектура 17 в.</v>
      </c>
      <c r="H78" s="1">
        <f>IFERROR(__xludf.DUMMYFUNCTION("""COMPUTED_VALUE"""),1410.0)</f>
        <v>1410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tr">
        <f>IFERROR(__xludf.DUMMYFUNCTION("""COMPUTED_VALUE"""),"Архитектура Древнерусского государства")</f>
        <v>Архитектура Древнерусского государства</v>
      </c>
      <c r="B79" s="1">
        <f>IFERROR(__xludf.DUMMYFUNCTION("""COMPUTED_VALUE"""),1114.0)</f>
        <v>1114</v>
      </c>
      <c r="C79" s="1" t="str">
        <f>IFERROR(__xludf.DUMMYFUNCTION("""COMPUTED_VALUE"""),"Литература раздробленности 1132-1263 гг.")</f>
        <v>Литература раздробленности 1132-1263 гг.</v>
      </c>
      <c r="D79" s="1">
        <f>IFERROR(__xludf.DUMMYFUNCTION("""COMPUTED_VALUE"""),1218.0)</f>
        <v>1218</v>
      </c>
      <c r="E79" s="1" t="str">
        <f>IFERROR(__xludf.DUMMYFUNCTION("""COMPUTED_VALUE"""),"Семибоярщина")</f>
        <v>Семибоярщина</v>
      </c>
      <c r="F79" s="1">
        <f>IFERROR(__xludf.DUMMYFUNCTION("""COMPUTED_VALUE"""),1312.0)</f>
        <v>1312</v>
      </c>
      <c r="G79" s="1" t="str">
        <f>IFERROR(__xludf.DUMMYFUNCTION("""COMPUTED_VALUE"""),"Живопись 17 в.")</f>
        <v>Живопись 17 в.</v>
      </c>
      <c r="H79" s="1">
        <f>IFERROR(__xludf.DUMMYFUNCTION("""COMPUTED_VALUE"""),1411.0)</f>
        <v>1411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 t="str">
        <f>IFERROR(__xludf.DUMMYFUNCTION("""COMPUTED_VALUE"""),"Литература Возвышения Москвы 1263-1533 гг.
")</f>
        <v>Литература Возвышения Москвы 1263-1533 гг.
</v>
      </c>
      <c r="D80" s="1">
        <f>IFERROR(__xludf.DUMMYFUNCTION("""COMPUTED_VALUE"""),1219.0)</f>
        <v>1219</v>
      </c>
      <c r="E80" s="1" t="str">
        <f>IFERROR(__xludf.DUMMYFUNCTION("""COMPUTED_VALUE"""),"Народные ополчения и интервенции + земский собор 1613 г.")</f>
        <v>Народные ополчения и интервенции + земский собор 1613 г.</v>
      </c>
      <c r="F80" s="1">
        <f>IFERROR(__xludf.DUMMYFUNCTION("""COMPUTED_VALUE"""),1313.0)</f>
        <v>1313</v>
      </c>
      <c r="G80" s="1" t="str">
        <f>IFERROR(__xludf.DUMMYFUNCTION("""COMPUTED_VALUE"""),"Образование и наука 17 в.")</f>
        <v>Образование и наука 17 в.</v>
      </c>
      <c r="H80" s="1">
        <f>IFERROR(__xludf.DUMMYFUNCTION("""COMPUTED_VALUE"""),1412.0)</f>
        <v>1412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 t="str">
        <f>IFERROR(__xludf.DUMMYFUNCTION("""COMPUTED_VALUE"""),"Архитектура раздробленности 1132-1263 гг.
")</f>
        <v>Архитектура раздробленности 1132-1263 гг.
</v>
      </c>
      <c r="D81" s="1">
        <f>IFERROR(__xludf.DUMMYFUNCTION("""COMPUTED_VALUE"""),1220.0)</f>
        <v>1220</v>
      </c>
      <c r="E81" s="1" t="str">
        <f>IFERROR(__xludf.DUMMYFUNCTION("""COMPUTED_VALUE"""),"Литература 16 в.")</f>
        <v>Литература 16 в.</v>
      </c>
      <c r="F81" s="1">
        <f>IFERROR(__xludf.DUMMYFUNCTION("""COMPUTED_VALUE"""),1314.0)</f>
        <v>1314</v>
      </c>
      <c r="G81" s="1" t="str">
        <f>IFERROR(__xludf.DUMMYFUNCTION("""COMPUTED_VALUE"""),"Софья Алексеевна")</f>
        <v>Софья Алексеевна</v>
      </c>
      <c r="H81" s="1">
        <f>IFERROR(__xludf.DUMMYFUNCTION("""COMPUTED_VALUE"""),1413.0)</f>
        <v>1413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 t="str">
        <f>IFERROR(__xludf.DUMMYFUNCTION("""COMPUTED_VALUE"""),"Архитектура Возвышения Москвы 1263-1533 гг.
")</f>
        <v>Архитектура Возвышения Москвы 1263-1533 гг.
</v>
      </c>
      <c r="D82" s="1">
        <f>IFERROR(__xludf.DUMMYFUNCTION("""COMPUTED_VALUE"""),1221.0)</f>
        <v>1221</v>
      </c>
      <c r="E82" s="1" t="str">
        <f>IFERROR(__xludf.DUMMYFUNCTION("""COMPUTED_VALUE"""),"Архитектура 16 в.")</f>
        <v>Архитектура 16 в.</v>
      </c>
      <c r="F82" s="1">
        <f>IFERROR(__xludf.DUMMYFUNCTION("""COMPUTED_VALUE"""),1315.0)</f>
        <v>1315</v>
      </c>
      <c r="G82" s="1" t="str">
        <f>IFERROR(__xludf.DUMMYFUNCTION("""COMPUTED_VALUE"""),"Петр Первый внутренняя политика")</f>
        <v>Петр Первый внутренняя политика</v>
      </c>
      <c r="H82" s="1">
        <f>IFERROR(__xludf.DUMMYFUNCTION("""COMPUTED_VALUE"""),1414.0)</f>
        <v>1414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 t="str">
        <f>IFERROR(__xludf.DUMMYFUNCTION("""COMPUTED_VALUE"""),"Живопись раздробленности 1132-1263 гг.
")</f>
        <v>Живопись раздробленности 1132-1263 гг.
</v>
      </c>
      <c r="D83" s="1">
        <f>IFERROR(__xludf.DUMMYFUNCTION("""COMPUTED_VALUE"""),1222.0)</f>
        <v>1222</v>
      </c>
      <c r="E83" s="1" t="str">
        <f>IFERROR(__xludf.DUMMYFUNCTION("""COMPUTED_VALUE"""),"Живопись 16 в.")</f>
        <v>Живопись 16 в.</v>
      </c>
      <c r="F83" s="1">
        <f>IFERROR(__xludf.DUMMYFUNCTION("""COMPUTED_VALUE"""),1316.0)</f>
        <v>1316</v>
      </c>
      <c r="G83" s="1" t="str">
        <f>IFERROR(__xludf.DUMMYFUNCTION("""COMPUTED_VALUE"""),"Петр Первый внешняя политика")</f>
        <v>Петр Первый внешняя политика</v>
      </c>
      <c r="H83" s="1">
        <f>IFERROR(__xludf.DUMMYFUNCTION("""COMPUTED_VALUE"""),1415.0)</f>
        <v>1415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 t="str">
        <f>IFERROR(__xludf.DUMMYFUNCTION("""COMPUTED_VALUE"""),"Живопись Возвышения Москвы 1263-1533 гг.
")</f>
        <v>Живопись Возвышения Москвы 1263-1533 гг.
</v>
      </c>
      <c r="D84" s="1">
        <f>IFERROR(__xludf.DUMMYFUNCTION("""COMPUTED_VALUE"""),1223.0)</f>
        <v>1223</v>
      </c>
      <c r="E84" s="1" t="str">
        <f>IFERROR(__xludf.DUMMYFUNCTION("""COMPUTED_VALUE"""),"Образование и наука 16 в.")</f>
        <v>Образование и наука 16 в.</v>
      </c>
      <c r="F84" s="1">
        <f>IFERROR(__xludf.DUMMYFUNCTION("""COMPUTED_VALUE"""),1317.0)</f>
        <v>1317</v>
      </c>
      <c r="G84" s="1" t="str">
        <f>IFERROR(__xludf.DUMMYFUNCTION("""COMPUTED_VALUE"""),"Эпоха дворцовых переворотов")</f>
        <v>Эпоха дворцовых переворотов</v>
      </c>
      <c r="H84" s="1">
        <f>IFERROR(__xludf.DUMMYFUNCTION("""COMPUTED_VALUE"""),1416.0)</f>
        <v>1416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 t="str">
        <f>IFERROR(__xludf.DUMMYFUNCTION("""COMPUTED_VALUE"""),"Екатерина I. Петр II")</f>
        <v>Екатерина I. Петр II</v>
      </c>
      <c r="H85" s="1">
        <f>IFERROR(__xludf.DUMMYFUNCTION("""COMPUTED_VALUE"""),1417.0)</f>
        <v>1417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 t="str">
        <f>IFERROR(__xludf.DUMMYFUNCTION("""COMPUTED_VALUE"""),"Анна Иоанновна внутренняя политика")</f>
        <v>Анна Иоанновна внутренняя политика</v>
      </c>
      <c r="H86" s="1">
        <f>IFERROR(__xludf.DUMMYFUNCTION("""COMPUTED_VALUE"""),1418.0)</f>
        <v>1418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 t="str">
        <f>IFERROR(__xludf.DUMMYFUNCTION("""COMPUTED_VALUE"""),"Анна Иоанновна внешняя политика")</f>
        <v>Анна Иоанновна внешняя политика</v>
      </c>
      <c r="H87" s="1">
        <f>IFERROR(__xludf.DUMMYFUNCTION("""COMPUTED_VALUE"""),1419.0)</f>
        <v>1419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 t="str">
        <f>IFERROR(__xludf.DUMMYFUNCTION("""COMPUTED_VALUE"""),"Иван Антонович")</f>
        <v>Иван Антонович</v>
      </c>
      <c r="H88" s="1">
        <f>IFERROR(__xludf.DUMMYFUNCTION("""COMPUTED_VALUE"""),1420.0)</f>
        <v>1420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 t="str">
        <f>IFERROR(__xludf.DUMMYFUNCTION("""COMPUTED_VALUE"""),"Елизавета Петровна внутренняя политика")</f>
        <v>Елизавета Петровна внутренняя политика</v>
      </c>
      <c r="H89" s="1">
        <f>IFERROR(__xludf.DUMMYFUNCTION("""COMPUTED_VALUE"""),1421.0)</f>
        <v>1421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 t="str">
        <f>IFERROR(__xludf.DUMMYFUNCTION("""COMPUTED_VALUE"""),"Елизавета Петровна внешняя политика")</f>
        <v>Елизавета Петровна внешняя политика</v>
      </c>
      <c r="H90" s="1">
        <f>IFERROR(__xludf.DUMMYFUNCTION("""COMPUTED_VALUE"""),1422.0)</f>
        <v>1422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 t="str">
        <f>IFERROR(__xludf.DUMMYFUNCTION("""COMPUTED_VALUE"""),"Семилетняя война")</f>
        <v>Семилетняя война</v>
      </c>
      <c r="H91" s="1">
        <f>IFERROR(__xludf.DUMMYFUNCTION("""COMPUTED_VALUE"""),1423.0)</f>
        <v>1423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 t="str">
        <f>IFERROR(__xludf.DUMMYFUNCTION("""COMPUTED_VALUE"""),"Пётр III")</f>
        <v>Пётр III</v>
      </c>
      <c r="H92" s="1">
        <f>IFERROR(__xludf.DUMMYFUNCTION("""COMPUTED_VALUE"""),1424.0)</f>
        <v>1424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